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externalLinks/externalLink30.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charts/chart5.xml" ContentType="application/vnd.openxmlformats-officedocument.drawingml.char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ml.chartshapes+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28.xml" ContentType="application/vnd.openxmlformats-officedocument.drawingml.chart+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charts/chart1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externalLinks/externalLink69.xml" ContentType="application/vnd.openxmlformats-officedocument.spreadsheetml.externalLink+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externalLinks/externalLink59.xml" ContentType="application/vnd.openxmlformats-officedocument.spreadsheetml.externalLink+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Default Extension="jpeg" ContentType="image/jpeg"/>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drawings/drawing16.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harts/chart26.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charts/chart15.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comments4.xml" ContentType="application/vnd.openxmlformats-officedocument.spreadsheetml.comments+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420" windowWidth="9420" windowHeight="7875" tabRatio="846" firstSheet="60" activeTab="68"/>
  </bookViews>
  <sheets>
    <sheet name="BOPI" sheetId="2" state="hidden" r:id="rId1"/>
    <sheet name="BOP COTI" sheetId="3" state="hidden" r:id="rId2"/>
    <sheet name="Inflow Outflow" sheetId="4" state="hidden" r:id="rId3"/>
    <sheet name="Worksheet" sheetId="10" state="hidden" r:id="rId4"/>
    <sheet name="Revised assumptions" sheetId="11" state="hidden" r:id="rId5"/>
    <sheet name="Revised reserves" sheetId="12" state="hidden" r:id="rId6"/>
    <sheet name="Reserves Projection" sheetId="14" state="hidden" r:id="rId7"/>
    <sheet name="Yearly Count" sheetId="15" state="hidden" r:id="rId8"/>
    <sheet name="final outpt" sheetId="43" state="hidden" r:id="rId9"/>
    <sheet name="GDPreal" sheetId="42" state="hidden" r:id="rId10"/>
    <sheet name="Monthly Comp" sheetId="5" state="hidden" r:id="rId11"/>
    <sheet name="Velocity" sheetId="17" state="hidden" r:id="rId12"/>
    <sheet name="Yearly Comp" sheetId="23" state="hidden" r:id="rId13"/>
    <sheet name="Monthly Count" sheetId="19" state="hidden" r:id="rId14"/>
    <sheet name="Charts" sheetId="25" state="hidden" r:id="rId15"/>
    <sheet name="Sheet2" sheetId="58" state="hidden" r:id="rId16"/>
    <sheet name="Sheet1" sheetId="6" state="hidden" r:id="rId17"/>
    <sheet name="Annaul Report" sheetId="7" state="hidden" r:id="rId18"/>
    <sheet name="Contribution to M2" sheetId="18" state="hidden" r:id="rId19"/>
    <sheet name="Monthly Statistical Bulletin" sheetId="121" r:id="rId20"/>
    <sheet name="Abbreviations and Symbols" sheetId="122" r:id="rId21"/>
    <sheet name="Preface" sheetId="123" r:id="rId22"/>
    <sheet name="Key Econ. Ind." sheetId="94" r:id="rId23"/>
    <sheet name="Monetary Survey Components" sheetId="24" r:id="rId24"/>
    <sheet name="Monetary Survey Counterparts" sheetId="9" r:id="rId25"/>
    <sheet name="Monetary Charts" sheetId="125" r:id="rId26"/>
    <sheet name="DMB Assets" sheetId="20" r:id="rId27"/>
    <sheet name="DMB Liabilities" sheetId="21" r:id="rId28"/>
    <sheet name="BOB Assets" sheetId="76" r:id="rId29"/>
    <sheet name="BOB Liabilities" sheetId="77" r:id="rId30"/>
    <sheet name="BNB Assets" sheetId="78" r:id="rId31"/>
    <sheet name="BNB Liabilities" sheetId="79" r:id="rId32"/>
    <sheet name="TBank Assets" sheetId="80" r:id="rId33"/>
    <sheet name="TBank Liabilities" sheetId="81" r:id="rId34"/>
    <sheet name="DPNB Assets" sheetId="82" r:id="rId35"/>
    <sheet name="DPNB Liabilities" sheetId="83" r:id="rId36"/>
    <sheet name="BDBL Assets" sheetId="84" r:id="rId37"/>
    <sheet name="BDBL Liabilities" sheetId="85" r:id="rId38"/>
    <sheet name="RICB Assets " sheetId="86" r:id="rId39"/>
    <sheet name="RICB Liabilities" sheetId="87" r:id="rId40"/>
    <sheet name="BIL Assets" sheetId="88" r:id="rId41"/>
    <sheet name="BIL Liabilities" sheetId="89" r:id="rId42"/>
    <sheet name="RMA Assets" sheetId="92" r:id="rId43"/>
    <sheet name="RMA Liabilities" sheetId="90" r:id="rId44"/>
    <sheet name="Banks' Reserves with RMA" sheetId="68" r:id="rId45"/>
    <sheet name="Foreign Assets of Banks" sheetId="69" r:id="rId46"/>
    <sheet name="Sectoral Credit by the FIs" sheetId="105" r:id="rId47"/>
    <sheet name="Sectoral Credit Charts" sheetId="126" r:id="rId48"/>
    <sheet name="Deposits Liabilities of Banks" sheetId="29" r:id="rId49"/>
    <sheet name="Gross International Reserves" sheetId="103" r:id="rId50"/>
    <sheet name="External Debt" sheetId="107" r:id="rId51"/>
    <sheet name="Overall BOP" sheetId="111" r:id="rId52"/>
    <sheet name="BOP India" sheetId="112" r:id="rId53"/>
    <sheet name="BOP Countries other than India" sheetId="113" r:id="rId54"/>
    <sheet name="Intl. Investment Position" sheetId="110" r:id="rId55"/>
    <sheet name="Tourist Arrivals and Revenue" sheetId="120" r:id="rId56"/>
    <sheet name="ForEx Earnings Tourism Chart" sheetId="128" r:id="rId57"/>
    <sheet name="Operations-Hydropower Projects" sheetId="102" r:id="rId58"/>
    <sheet name="HydropowerExport Earnings Chart" sheetId="129" r:id="rId59"/>
    <sheet name="NRB Remittances" sheetId="108" r:id="rId60"/>
    <sheet name="Exchange Rates" sheetId="109" r:id="rId61"/>
    <sheet name="Exchange Rates Chart" sheetId="127" r:id="rId62"/>
    <sheet name="CPI Quarterly" sheetId="35" r:id="rId63"/>
    <sheet name="CPI Monthly" sheetId="106" r:id="rId64"/>
    <sheet name="PPI" sheetId="114" r:id="rId65"/>
    <sheet name="Deposit Rates" sheetId="97" r:id="rId66"/>
    <sheet name="Lending Rates" sheetId="98" r:id="rId67"/>
    <sheet name="Interest Rates India" sheetId="100" r:id="rId68"/>
    <sheet name="Key Policy Indicators" sheetId="99" r:id="rId69"/>
    <sheet name="Sheet3" sheetId="28" state="hidden" r:id="rId70"/>
    <sheet name="Reserves" sheetId="13" state="hidden" r:id="rId71"/>
    <sheet name="ReservesReport(Old)" sheetId="53" state="hidden" r:id="rId72"/>
    <sheet name="BOPOverall" sheetId="46" state="hidden" r:id="rId73"/>
    <sheet name="BOPIndia" sheetId="44" state="hidden" r:id="rId74"/>
    <sheet name="BOPCOTI" sheetId="45" state="hidden" r:id="rId75"/>
    <sheet name="old NRB REMIT" sheetId="33" state="hidden" r:id="rId76"/>
    <sheet name="old CPI" sheetId="34" state="hidden" r:id="rId77"/>
    <sheet name="Budget" sheetId="39" state="hidden" r:id="rId78"/>
    <sheet name="Int Bht" sheetId="37" state="hidden" r:id="rId79"/>
    <sheet name="Sheet4" sheetId="60" state="hidden" r:id="rId80"/>
    <sheet name="Key Ind " sheetId="73" state="hidden"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_TAB15">[1]Original!$W$5:$AC$50</definedName>
    <definedName name="_TAB16">[1]Original!$A$1:$G$45</definedName>
    <definedName name="_TAB17">[1]Original!$L$5:$R$48</definedName>
    <definedName name="Agency_List">[2]Control!$H$17:$H$19</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[2]Control!$J$20:$J$21</definedName>
    <definedName name="Country">[4]Control!$C$1</definedName>
    <definedName name="GIR">[5]Original!$W$5:$AF$49</definedName>
    <definedName name="Pilot2">#REF!</definedName>
    <definedName name="_xlnm.Print_Area" localSheetId="20">'Abbreviations and Symbols'!$A$1:$M$14</definedName>
    <definedName name="_xlnm.Print_Area" localSheetId="44">'Banks'' Reserves with RMA'!$B$2:$K$143</definedName>
    <definedName name="_xlnm.Print_Area" localSheetId="36">'BDBL Assets'!$B$1:$N$92</definedName>
    <definedName name="_xlnm.Print_Area" localSheetId="37">'BDBL Liabilities'!$B$1:$M$52</definedName>
    <definedName name="_xlnm.Print_Area" localSheetId="40">'BIL Assets'!$B$1:$M$89</definedName>
    <definedName name="_xlnm.Print_Area" localSheetId="41">'BIL Liabilities'!$B$1:$L$48</definedName>
    <definedName name="_xlnm.Print_Area" localSheetId="30">'BNB Assets'!$B$1:$L$224</definedName>
    <definedName name="_xlnm.Print_Area" localSheetId="31">'BNB Liabilities'!$B$1:$M$185</definedName>
    <definedName name="_xlnm.Print_Area" localSheetId="28">'BOB Assets'!$B$1:$L$223</definedName>
    <definedName name="_xlnm.Print_Area" localSheetId="29">'BOB Liabilities'!$A$1:$N$203</definedName>
    <definedName name="_xlnm.Print_Area" localSheetId="53">'BOP Countries other than India'!#REF!</definedName>
    <definedName name="_xlnm.Print_Area" localSheetId="52">'BOP India'!#REF!</definedName>
    <definedName name="_xlnm.Print_Area" localSheetId="72">BOPOverall!$A$1:$R$47</definedName>
    <definedName name="_xlnm.Print_Area" localSheetId="62">'CPI Quarterly'!#REF!</definedName>
    <definedName name="_xlnm.Print_Area" localSheetId="48">'Deposits Liabilities of Banks'!$A$2:$P$28</definedName>
    <definedName name="_xlnm.Print_Area" localSheetId="26">'DMB Assets'!$B$1:$J$225</definedName>
    <definedName name="_xlnm.Print_Area" localSheetId="27">'DMB Liabilities'!$B$1:$M$182</definedName>
    <definedName name="_xlnm.Print_Area" localSheetId="34">'DPNB Assets'!$B$1:$L$94</definedName>
    <definedName name="_xlnm.Print_Area" localSheetId="35">'DPNB Liabilities'!$B$1:$M$51</definedName>
    <definedName name="_xlnm.Print_Area" localSheetId="60">'Exchange Rates'!$B$1:$J$49</definedName>
    <definedName name="_xlnm.Print_Area" localSheetId="61">'Exchange Rates Chart'!$A$1:$L$28</definedName>
    <definedName name="_xlnm.Print_Area" localSheetId="50">'External Debt'!$B$4:$F$29</definedName>
    <definedName name="_xlnm.Print_Area" localSheetId="45">'Foreign Assets of Banks'!$B$2:$G$143</definedName>
    <definedName name="_xlnm.Print_Area" localSheetId="49">'Gross International Reserves'!$A$1:$BO$45</definedName>
    <definedName name="_xlnm.Print_Area" localSheetId="67">'Interest Rates India'!$B$3:$D$610</definedName>
    <definedName name="_xlnm.Print_Area" localSheetId="22">'Key Econ. Ind.'!$B$2:$E$69</definedName>
    <definedName name="_xlnm.Print_Area" localSheetId="80">'Key Ind '!$A$1:$U$57</definedName>
    <definedName name="_xlnm.Print_Area" localSheetId="25">'Monetary Charts'!$A$1:$O$65</definedName>
    <definedName name="_xlnm.Print_Area" localSheetId="23">'Monetary Survey Components'!$B$2:$K$151</definedName>
    <definedName name="_xlnm.Print_Area" localSheetId="24">'Monetary Survey Counterparts'!$B$2:$K$151</definedName>
    <definedName name="_xlnm.Print_Area" localSheetId="19">'Monthly Statistical Bulletin'!$A$1:$H$37</definedName>
    <definedName name="_xlnm.Print_Area" localSheetId="75">'old NRB REMIT'!$O$3:$AA$69</definedName>
    <definedName name="_xlnm.Print_Area" localSheetId="57">'Operations-Hydropower Projects'!$B$3:$R$87</definedName>
    <definedName name="_xlnm.Print_Area" localSheetId="51">'Overall BOP'!#REF!</definedName>
    <definedName name="_xlnm.Print_Area" localSheetId="21">Preface!$A$1:$J$11</definedName>
    <definedName name="_xlnm.Print_Area" localSheetId="70">Reserves!$A$1:$DQ$43</definedName>
    <definedName name="_xlnm.Print_Area" localSheetId="71">'ReservesReport(Old)'!$A$2:$CG$17</definedName>
    <definedName name="_xlnm.Print_Area" localSheetId="38">'RICB Assets '!$A$1:$N$225</definedName>
    <definedName name="_xlnm.Print_Area" localSheetId="39">'RICB Liabilities'!$B$1:$J$218</definedName>
    <definedName name="_xlnm.Print_Area" localSheetId="46">'Sectoral Credit by the FIs'!$A$1:$S$22</definedName>
    <definedName name="_xlnm.Print_Area" localSheetId="47">'Sectoral Credit Charts'!$A$1:$P$70</definedName>
    <definedName name="_xlnm.Print_Area" localSheetId="32">'TBank Assets'!$B$1:$L$91</definedName>
    <definedName name="_xlnm.Print_Area" localSheetId="33">'TBank Liabilities'!$B$3:$M$52</definedName>
    <definedName name="_xlnm.Print_Area" localSheetId="55">'Tourist Arrivals and Revenue'!$B$1:$P$34</definedName>
    <definedName name="_xlnm.Print_Area">[1]Original!$W$5:$AF$49</definedName>
    <definedName name="PRINT_AREA_MI">[1]Original!$W$5:$AB$52</definedName>
    <definedName name="Test1">#REF!</definedName>
    <definedName name="Uploaded_Currency">[4]Control!$F$17</definedName>
    <definedName name="Uploaded_Scale">[4]Control!$F$18</definedName>
    <definedName name="www">[6]Control!$B$13</definedName>
    <definedName name="Year">[4]Control!$C$3</definedName>
  </definedNames>
  <calcPr calcId="124519"/>
</workbook>
</file>

<file path=xl/calcChain.xml><?xml version="1.0" encoding="utf-8"?>
<calcChain xmlns="http://schemas.openxmlformats.org/spreadsheetml/2006/main">
  <c r="X16" i="35"/>
  <c r="K126" i="9" l="1"/>
  <c r="J126"/>
  <c r="K113"/>
  <c r="J113"/>
  <c r="K100"/>
  <c r="J100"/>
  <c r="K86"/>
  <c r="J86"/>
  <c r="I86"/>
  <c r="H86"/>
  <c r="K85"/>
  <c r="J85"/>
  <c r="I85"/>
  <c r="H85"/>
  <c r="K84"/>
  <c r="J84"/>
  <c r="I84"/>
  <c r="H84"/>
  <c r="K83"/>
  <c r="J83"/>
  <c r="I83"/>
  <c r="H83"/>
  <c r="K82"/>
  <c r="J82"/>
  <c r="I82"/>
  <c r="H82"/>
  <c r="K81"/>
  <c r="J81"/>
  <c r="I81"/>
  <c r="H81"/>
  <c r="K80"/>
  <c r="J80"/>
  <c r="I80"/>
  <c r="H80"/>
  <c r="K79"/>
  <c r="J79"/>
  <c r="G79"/>
  <c r="K78"/>
  <c r="J78"/>
  <c r="G78"/>
  <c r="K77"/>
  <c r="J77"/>
  <c r="G77"/>
  <c r="F77" s="1"/>
  <c r="E77" s="1"/>
  <c r="C77" s="1"/>
  <c r="K76"/>
  <c r="J76"/>
  <c r="G76"/>
  <c r="K75"/>
  <c r="J75"/>
  <c r="G75"/>
  <c r="F75"/>
  <c r="E75" s="1"/>
  <c r="C75" s="1"/>
  <c r="K73"/>
  <c r="J73"/>
  <c r="I73"/>
  <c r="H73"/>
  <c r="K72"/>
  <c r="J72"/>
  <c r="I72"/>
  <c r="H72"/>
  <c r="G72" s="1"/>
  <c r="K71"/>
  <c r="J71"/>
  <c r="I71"/>
  <c r="H71"/>
  <c r="K70"/>
  <c r="J70"/>
  <c r="I70"/>
  <c r="H70"/>
  <c r="K69"/>
  <c r="J69"/>
  <c r="I69"/>
  <c r="H69"/>
  <c r="G69" s="1"/>
  <c r="K68"/>
  <c r="J68"/>
  <c r="I68"/>
  <c r="H68"/>
  <c r="G68" s="1"/>
  <c r="K67"/>
  <c r="J67"/>
  <c r="I67"/>
  <c r="H67"/>
  <c r="K66"/>
  <c r="J66"/>
  <c r="G66"/>
  <c r="K65"/>
  <c r="J65"/>
  <c r="F65" s="1"/>
  <c r="G65"/>
  <c r="K64"/>
  <c r="J64"/>
  <c r="G64"/>
  <c r="K63"/>
  <c r="J63"/>
  <c r="G63"/>
  <c r="K62"/>
  <c r="J62"/>
  <c r="G62"/>
  <c r="F62" s="1"/>
  <c r="K60"/>
  <c r="J60"/>
  <c r="F60" s="1"/>
  <c r="G60"/>
  <c r="K59"/>
  <c r="J59"/>
  <c r="G59"/>
  <c r="K58"/>
  <c r="J58"/>
  <c r="G58"/>
  <c r="K57"/>
  <c r="J57"/>
  <c r="G57"/>
  <c r="F57" s="1"/>
  <c r="E57" s="1"/>
  <c r="C57" s="1"/>
  <c r="K56"/>
  <c r="J56"/>
  <c r="F56" s="1"/>
  <c r="G56"/>
  <c r="K55"/>
  <c r="J55"/>
  <c r="G55"/>
  <c r="K54"/>
  <c r="J54"/>
  <c r="G54"/>
  <c r="K53"/>
  <c r="J53"/>
  <c r="G53"/>
  <c r="F53" s="1"/>
  <c r="E53" s="1"/>
  <c r="C53" s="1"/>
  <c r="K52"/>
  <c r="J52"/>
  <c r="F52" s="1"/>
  <c r="G52"/>
  <c r="K51"/>
  <c r="J51"/>
  <c r="G51"/>
  <c r="K50"/>
  <c r="J50"/>
  <c r="F50" s="1"/>
  <c r="E50" s="1"/>
  <c r="C50" s="1"/>
  <c r="G50"/>
  <c r="K49"/>
  <c r="J49"/>
  <c r="G49"/>
  <c r="F49" s="1"/>
  <c r="E49" s="1"/>
  <c r="C49" s="1"/>
  <c r="K47"/>
  <c r="J47"/>
  <c r="G47"/>
  <c r="K46"/>
  <c r="J46"/>
  <c r="G46"/>
  <c r="K45"/>
  <c r="J45"/>
  <c r="F45" s="1"/>
  <c r="E45" s="1"/>
  <c r="C45" s="1"/>
  <c r="G45"/>
  <c r="K44"/>
  <c r="J44"/>
  <c r="G44"/>
  <c r="F44" s="1"/>
  <c r="E44" s="1"/>
  <c r="C44" s="1"/>
  <c r="K43"/>
  <c r="J43"/>
  <c r="G43"/>
  <c r="K42"/>
  <c r="J42"/>
  <c r="G42"/>
  <c r="K41"/>
  <c r="J41"/>
  <c r="F41" s="1"/>
  <c r="E41" s="1"/>
  <c r="C41" s="1"/>
  <c r="G41"/>
  <c r="K40"/>
  <c r="J40"/>
  <c r="G40"/>
  <c r="F40" s="1"/>
  <c r="E40" s="1"/>
  <c r="C40" s="1"/>
  <c r="K39"/>
  <c r="J39"/>
  <c r="F39" s="1"/>
  <c r="G39"/>
  <c r="K38"/>
  <c r="J38"/>
  <c r="G38"/>
  <c r="K37"/>
  <c r="J37"/>
  <c r="F37" s="1"/>
  <c r="E37" s="1"/>
  <c r="C37" s="1"/>
  <c r="G37"/>
  <c r="K36"/>
  <c r="J36"/>
  <c r="G36"/>
  <c r="F36" s="1"/>
  <c r="E36" s="1"/>
  <c r="C36" s="1"/>
  <c r="K34"/>
  <c r="J34"/>
  <c r="F34" s="1"/>
  <c r="G34"/>
  <c r="K33"/>
  <c r="J33"/>
  <c r="G33"/>
  <c r="K32"/>
  <c r="J32"/>
  <c r="F32" s="1"/>
  <c r="E32" s="1"/>
  <c r="C32" s="1"/>
  <c r="G32"/>
  <c r="K31"/>
  <c r="J31"/>
  <c r="G31"/>
  <c r="F31" s="1"/>
  <c r="E31" s="1"/>
  <c r="C31" s="1"/>
  <c r="K30"/>
  <c r="J30"/>
  <c r="F30" s="1"/>
  <c r="G30"/>
  <c r="K29"/>
  <c r="J29"/>
  <c r="G29"/>
  <c r="K28"/>
  <c r="J28"/>
  <c r="F28" s="1"/>
  <c r="E28" s="1"/>
  <c r="C28" s="1"/>
  <c r="G28"/>
  <c r="K27"/>
  <c r="J27"/>
  <c r="G27"/>
  <c r="F27" s="1"/>
  <c r="E27" s="1"/>
  <c r="C27" s="1"/>
  <c r="K26"/>
  <c r="J26"/>
  <c r="F26" s="1"/>
  <c r="G26"/>
  <c r="K25"/>
  <c r="J25"/>
  <c r="G25"/>
  <c r="K24"/>
  <c r="J24"/>
  <c r="F24" s="1"/>
  <c r="E24" s="1"/>
  <c r="C24" s="1"/>
  <c r="G24"/>
  <c r="K23"/>
  <c r="J23"/>
  <c r="G23"/>
  <c r="F23" s="1"/>
  <c r="E23" s="1"/>
  <c r="C23" s="1"/>
  <c r="K21"/>
  <c r="J21"/>
  <c r="F21" s="1"/>
  <c r="G21"/>
  <c r="K20"/>
  <c r="J20"/>
  <c r="G20"/>
  <c r="K19"/>
  <c r="J19"/>
  <c r="F19" s="1"/>
  <c r="E19" s="1"/>
  <c r="C19" s="1"/>
  <c r="G19"/>
  <c r="K18"/>
  <c r="J18"/>
  <c r="G18"/>
  <c r="F18" s="1"/>
  <c r="E18" s="1"/>
  <c r="C18" s="1"/>
  <c r="K17"/>
  <c r="J17"/>
  <c r="F17" s="1"/>
  <c r="G17"/>
  <c r="K16"/>
  <c r="J16"/>
  <c r="G16"/>
  <c r="F16" s="1"/>
  <c r="K15"/>
  <c r="J15"/>
  <c r="F15" s="1"/>
  <c r="E15" s="1"/>
  <c r="C15" s="1"/>
  <c r="G15"/>
  <c r="K14"/>
  <c r="J14"/>
  <c r="G14"/>
  <c r="F14" s="1"/>
  <c r="E14" s="1"/>
  <c r="C14" s="1"/>
  <c r="K13"/>
  <c r="J13"/>
  <c r="F13" s="1"/>
  <c r="G13"/>
  <c r="K12"/>
  <c r="J12"/>
  <c r="G12"/>
  <c r="F12" s="1"/>
  <c r="K11"/>
  <c r="J11"/>
  <c r="F11" s="1"/>
  <c r="E11" s="1"/>
  <c r="C11" s="1"/>
  <c r="G11"/>
  <c r="K10"/>
  <c r="J10"/>
  <c r="G10"/>
  <c r="F10" s="1"/>
  <c r="E10" s="1"/>
  <c r="C10" s="1"/>
  <c r="E12" l="1"/>
  <c r="C12" s="1"/>
  <c r="E13"/>
  <c r="C13" s="1"/>
  <c r="E17"/>
  <c r="C17" s="1"/>
  <c r="E21"/>
  <c r="C21" s="1"/>
  <c r="E26"/>
  <c r="C26" s="1"/>
  <c r="F29"/>
  <c r="E29" s="1"/>
  <c r="C29" s="1"/>
  <c r="F33"/>
  <c r="E33" s="1"/>
  <c r="C33" s="1"/>
  <c r="F38"/>
  <c r="E38" s="1"/>
  <c r="C38" s="1"/>
  <c r="F42"/>
  <c r="E42" s="1"/>
  <c r="C42" s="1"/>
  <c r="F46"/>
  <c r="E46" s="1"/>
  <c r="C46" s="1"/>
  <c r="F51"/>
  <c r="E51" s="1"/>
  <c r="C51" s="1"/>
  <c r="E56"/>
  <c r="C56" s="1"/>
  <c r="F59"/>
  <c r="E59" s="1"/>
  <c r="C59" s="1"/>
  <c r="F64"/>
  <c r="E64" s="1"/>
  <c r="C64" s="1"/>
  <c r="F54"/>
  <c r="E54" s="1"/>
  <c r="C54" s="1"/>
  <c r="F58"/>
  <c r="E58" s="1"/>
  <c r="C58" s="1"/>
  <c r="E62"/>
  <c r="C62" s="1"/>
  <c r="F63"/>
  <c r="E63" s="1"/>
  <c r="C63" s="1"/>
  <c r="E16"/>
  <c r="C16" s="1"/>
  <c r="F20"/>
  <c r="E20" s="1"/>
  <c r="C20" s="1"/>
  <c r="F25"/>
  <c r="E25" s="1"/>
  <c r="C25" s="1"/>
  <c r="E30"/>
  <c r="C30" s="1"/>
  <c r="E34"/>
  <c r="C34" s="1"/>
  <c r="E39"/>
  <c r="C39" s="1"/>
  <c r="E52"/>
  <c r="C52" s="1"/>
  <c r="F55"/>
  <c r="E55" s="1"/>
  <c r="C55" s="1"/>
  <c r="E60"/>
  <c r="C60" s="1"/>
  <c r="E65"/>
  <c r="C65" s="1"/>
  <c r="G86"/>
  <c r="F86" s="1"/>
  <c r="E86" s="1"/>
  <c r="F66"/>
  <c r="E66" s="1"/>
  <c r="C66" s="1"/>
  <c r="G73"/>
  <c r="F73" s="1"/>
  <c r="E73" s="1"/>
  <c r="G82"/>
  <c r="F82" s="1"/>
  <c r="E82" s="1"/>
  <c r="G83"/>
  <c r="F83" s="1"/>
  <c r="E83" s="1"/>
  <c r="G85"/>
  <c r="F85" s="1"/>
  <c r="E85" s="1"/>
  <c r="F68"/>
  <c r="E68" s="1"/>
  <c r="C68" s="1"/>
  <c r="F69"/>
  <c r="E69" s="1"/>
  <c r="F72"/>
  <c r="E72" s="1"/>
  <c r="G67"/>
  <c r="F67" s="1"/>
  <c r="E67" s="1"/>
  <c r="C67" s="1"/>
  <c r="G70"/>
  <c r="F70" s="1"/>
  <c r="E70" s="1"/>
  <c r="G80"/>
  <c r="F80" s="1"/>
  <c r="E80" s="1"/>
  <c r="C80" s="1"/>
  <c r="G81"/>
  <c r="F81" s="1"/>
  <c r="E81" s="1"/>
  <c r="C81" s="1"/>
  <c r="G84"/>
  <c r="F84" s="1"/>
  <c r="E84" s="1"/>
  <c r="G71"/>
  <c r="F71" s="1"/>
  <c r="E71" s="1"/>
  <c r="F79"/>
  <c r="E79" s="1"/>
  <c r="C79" s="1"/>
  <c r="F76"/>
  <c r="E76" s="1"/>
  <c r="C76" s="1"/>
  <c r="F43"/>
  <c r="E43" s="1"/>
  <c r="C43" s="1"/>
  <c r="F47"/>
  <c r="E47" s="1"/>
  <c r="C47" s="1"/>
  <c r="F78"/>
  <c r="E78" s="1"/>
  <c r="C78" s="1"/>
  <c r="H137" i="24" l="1"/>
  <c r="G137"/>
  <c r="H136"/>
  <c r="G136"/>
  <c r="H135"/>
  <c r="G135"/>
  <c r="F135" s="1"/>
  <c r="H134"/>
  <c r="G134"/>
  <c r="H133"/>
  <c r="G133"/>
  <c r="H132"/>
  <c r="G132"/>
  <c r="H131"/>
  <c r="G131"/>
  <c r="F131" s="1"/>
  <c r="H130"/>
  <c r="G130"/>
  <c r="H129"/>
  <c r="G129"/>
  <c r="H128"/>
  <c r="G128"/>
  <c r="H127"/>
  <c r="G127"/>
  <c r="F127" s="1"/>
  <c r="H125"/>
  <c r="G125"/>
  <c r="H124"/>
  <c r="G124"/>
  <c r="H123"/>
  <c r="G123"/>
  <c r="H122"/>
  <c r="G122"/>
  <c r="F122" s="1"/>
  <c r="H121"/>
  <c r="G121"/>
  <c r="H120"/>
  <c r="G120"/>
  <c r="H119"/>
  <c r="G119"/>
  <c r="H118"/>
  <c r="G118"/>
  <c r="H117"/>
  <c r="G117"/>
  <c r="H116"/>
  <c r="G116"/>
  <c r="H115"/>
  <c r="G115"/>
  <c r="H114"/>
  <c r="G114"/>
  <c r="F114" s="1"/>
  <c r="H112"/>
  <c r="G112"/>
  <c r="H111"/>
  <c r="G111"/>
  <c r="H110"/>
  <c r="G110"/>
  <c r="H109"/>
  <c r="G109"/>
  <c r="F109" s="1"/>
  <c r="H108"/>
  <c r="G108"/>
  <c r="H107"/>
  <c r="G107"/>
  <c r="H106"/>
  <c r="G106"/>
  <c r="H105"/>
  <c r="G105"/>
  <c r="H104"/>
  <c r="G104"/>
  <c r="H103"/>
  <c r="G103"/>
  <c r="H102"/>
  <c r="G102"/>
  <c r="H101"/>
  <c r="G101"/>
  <c r="H99"/>
  <c r="G99"/>
  <c r="H98"/>
  <c r="G98"/>
  <c r="H97"/>
  <c r="G97"/>
  <c r="H96"/>
  <c r="G96"/>
  <c r="H95"/>
  <c r="G95"/>
  <c r="H94"/>
  <c r="G94"/>
  <c r="H93"/>
  <c r="G93"/>
  <c r="H92"/>
  <c r="G92"/>
  <c r="H91"/>
  <c r="G91"/>
  <c r="H90"/>
  <c r="G90"/>
  <c r="H89"/>
  <c r="G89"/>
  <c r="H88"/>
  <c r="G88"/>
  <c r="F86"/>
  <c r="E86"/>
  <c r="D86"/>
  <c r="K85"/>
  <c r="J85"/>
  <c r="F85"/>
  <c r="E85"/>
  <c r="D85"/>
  <c r="K84"/>
  <c r="J84"/>
  <c r="F84"/>
  <c r="E84"/>
  <c r="D84"/>
  <c r="F83"/>
  <c r="E83"/>
  <c r="D83"/>
  <c r="F82"/>
  <c r="E82"/>
  <c r="D82"/>
  <c r="F81"/>
  <c r="E81"/>
  <c r="D81"/>
  <c r="H80"/>
  <c r="G80"/>
  <c r="F80" s="1"/>
  <c r="K98" i="18" s="1"/>
  <c r="E80" i="24"/>
  <c r="D80"/>
  <c r="F79"/>
  <c r="J78"/>
  <c r="F78"/>
  <c r="J77"/>
  <c r="F77"/>
  <c r="J76"/>
  <c r="F76"/>
  <c r="J75"/>
  <c r="F75"/>
  <c r="K73"/>
  <c r="J73"/>
  <c r="F73"/>
  <c r="K72"/>
  <c r="J72"/>
  <c r="F72"/>
  <c r="K71"/>
  <c r="J71"/>
  <c r="F71"/>
  <c r="K70"/>
  <c r="J70"/>
  <c r="F70"/>
  <c r="I69"/>
  <c r="F69"/>
  <c r="I68"/>
  <c r="F68"/>
  <c r="K67"/>
  <c r="J67"/>
  <c r="H67"/>
  <c r="G67"/>
  <c r="I66"/>
  <c r="F66"/>
  <c r="I65"/>
  <c r="F65"/>
  <c r="C65"/>
  <c r="I64"/>
  <c r="C64" s="1"/>
  <c r="F64"/>
  <c r="I63"/>
  <c r="C63" s="1"/>
  <c r="F63"/>
  <c r="I62"/>
  <c r="C62" s="1"/>
  <c r="F62"/>
  <c r="I60"/>
  <c r="C60" s="1"/>
  <c r="F60"/>
  <c r="I59"/>
  <c r="C59" s="1"/>
  <c r="F59"/>
  <c r="I58"/>
  <c r="C58" s="1"/>
  <c r="F58"/>
  <c r="I57"/>
  <c r="C57" s="1"/>
  <c r="F57"/>
  <c r="I56"/>
  <c r="C56" s="1"/>
  <c r="F56"/>
  <c r="I55"/>
  <c r="F55"/>
  <c r="C55"/>
  <c r="I54"/>
  <c r="C54" s="1"/>
  <c r="F54"/>
  <c r="I53"/>
  <c r="C53" s="1"/>
  <c r="F53"/>
  <c r="I52"/>
  <c r="C52" s="1"/>
  <c r="F52"/>
  <c r="I51"/>
  <c r="C51" s="1"/>
  <c r="F51"/>
  <c r="I50"/>
  <c r="C50" s="1"/>
  <c r="F50"/>
  <c r="I49"/>
  <c r="C49" s="1"/>
  <c r="F49"/>
  <c r="I47"/>
  <c r="C47" s="1"/>
  <c r="F47"/>
  <c r="I46"/>
  <c r="C46" s="1"/>
  <c r="F46"/>
  <c r="I45"/>
  <c r="C45" s="1"/>
  <c r="F45"/>
  <c r="I44"/>
  <c r="C44" s="1"/>
  <c r="F44"/>
  <c r="I43"/>
  <c r="C43" s="1"/>
  <c r="F43"/>
  <c r="I42"/>
  <c r="C42" s="1"/>
  <c r="F42"/>
  <c r="I41"/>
  <c r="C41" s="1"/>
  <c r="F41"/>
  <c r="I40"/>
  <c r="C40" s="1"/>
  <c r="F40"/>
  <c r="I39"/>
  <c r="F39"/>
  <c r="C39"/>
  <c r="I38"/>
  <c r="C38" s="1"/>
  <c r="F38"/>
  <c r="I37"/>
  <c r="C37" s="1"/>
  <c r="F37"/>
  <c r="I36"/>
  <c r="C36" s="1"/>
  <c r="F36"/>
  <c r="I34"/>
  <c r="C34" s="1"/>
  <c r="F34"/>
  <c r="I33"/>
  <c r="C33" s="1"/>
  <c r="F33"/>
  <c r="I32"/>
  <c r="C32" s="1"/>
  <c r="F32"/>
  <c r="I31"/>
  <c r="C31" s="1"/>
  <c r="F31"/>
  <c r="I30"/>
  <c r="C30" s="1"/>
  <c r="F30"/>
  <c r="I29"/>
  <c r="F29"/>
  <c r="C29"/>
  <c r="I28"/>
  <c r="C28" s="1"/>
  <c r="F28"/>
  <c r="I27"/>
  <c r="C27" s="1"/>
  <c r="F27"/>
  <c r="I26"/>
  <c r="C26" s="1"/>
  <c r="F26"/>
  <c r="I25"/>
  <c r="C25" s="1"/>
  <c r="F25"/>
  <c r="I24"/>
  <c r="C24" s="1"/>
  <c r="F24"/>
  <c r="I23"/>
  <c r="C23" s="1"/>
  <c r="F23"/>
  <c r="I21"/>
  <c r="F21"/>
  <c r="C21"/>
  <c r="I20"/>
  <c r="C20" s="1"/>
  <c r="B116" i="5" s="1"/>
  <c r="F20" i="24"/>
  <c r="I19"/>
  <c r="C19" s="1"/>
  <c r="F19"/>
  <c r="I18"/>
  <c r="C18" s="1"/>
  <c r="F18"/>
  <c r="I17"/>
  <c r="C17" s="1"/>
  <c r="F17"/>
  <c r="I16"/>
  <c r="F16"/>
  <c r="C16"/>
  <c r="I15"/>
  <c r="C15" s="1"/>
  <c r="F15"/>
  <c r="I14"/>
  <c r="C14" s="1"/>
  <c r="F14"/>
  <c r="I13"/>
  <c r="C13" s="1"/>
  <c r="F13"/>
  <c r="I12"/>
  <c r="C12" s="1"/>
  <c r="F12"/>
  <c r="I11"/>
  <c r="C11" s="1"/>
  <c r="F11"/>
  <c r="I10"/>
  <c r="C10" s="1"/>
  <c r="F10"/>
  <c r="M41" i="21"/>
  <c r="M42"/>
  <c r="M43"/>
  <c r="M44"/>
  <c r="M45"/>
  <c r="M48"/>
  <c r="M50"/>
  <c r="M51"/>
  <c r="M52"/>
  <c r="M53"/>
  <c r="M54"/>
  <c r="M55"/>
  <c r="M56"/>
  <c r="M57"/>
  <c r="M58"/>
  <c r="M59"/>
  <c r="M60"/>
  <c r="M61"/>
  <c r="M63"/>
  <c r="M64"/>
  <c r="M65"/>
  <c r="M66"/>
  <c r="M67"/>
  <c r="M68"/>
  <c r="M69"/>
  <c r="M70"/>
  <c r="M71"/>
  <c r="M72"/>
  <c r="M73"/>
  <c r="M74"/>
  <c r="R81" i="102"/>
  <c r="N81" s="1"/>
  <c r="M81"/>
  <c r="I81" s="1"/>
  <c r="C81"/>
  <c r="R80"/>
  <c r="N80" s="1"/>
  <c r="M80"/>
  <c r="I80" s="1"/>
  <c r="C80"/>
  <c r="N79"/>
  <c r="M79"/>
  <c r="I79" s="1"/>
  <c r="C79"/>
  <c r="N78"/>
  <c r="M78"/>
  <c r="I78" s="1"/>
  <c r="C78"/>
  <c r="N77"/>
  <c r="M77"/>
  <c r="C77"/>
  <c r="R76"/>
  <c r="N76" s="1"/>
  <c r="M76"/>
  <c r="I76" s="1"/>
  <c r="C76"/>
  <c r="R75"/>
  <c r="N75" s="1"/>
  <c r="M75"/>
  <c r="I75" s="1"/>
  <c r="C75"/>
  <c r="R74"/>
  <c r="N74" s="1"/>
  <c r="M74"/>
  <c r="C74"/>
  <c r="R73"/>
  <c r="N73" s="1"/>
  <c r="M73"/>
  <c r="I73"/>
  <c r="C73"/>
  <c r="R72"/>
  <c r="N72" s="1"/>
  <c r="I72"/>
  <c r="C72"/>
  <c r="R71"/>
  <c r="N71" s="1"/>
  <c r="I71"/>
  <c r="C71"/>
  <c r="R69"/>
  <c r="P69"/>
  <c r="M69"/>
  <c r="J69"/>
  <c r="H69"/>
  <c r="E69"/>
  <c r="E57" s="1"/>
  <c r="N68"/>
  <c r="I68"/>
  <c r="C68"/>
  <c r="N67"/>
  <c r="I67"/>
  <c r="C67"/>
  <c r="P66"/>
  <c r="M66"/>
  <c r="I66" s="1"/>
  <c r="C66"/>
  <c r="N65"/>
  <c r="I65"/>
  <c r="C65"/>
  <c r="N64"/>
  <c r="I64"/>
  <c r="C64"/>
  <c r="N63"/>
  <c r="I63"/>
  <c r="C63"/>
  <c r="N62"/>
  <c r="I62"/>
  <c r="C62"/>
  <c r="N61"/>
  <c r="I61"/>
  <c r="G61"/>
  <c r="G57" s="1"/>
  <c r="R60"/>
  <c r="N60" s="1"/>
  <c r="M60"/>
  <c r="I60"/>
  <c r="C60"/>
  <c r="R59"/>
  <c r="N59" s="1"/>
  <c r="M59"/>
  <c r="H59"/>
  <c r="C59" s="1"/>
  <c r="R58"/>
  <c r="N58" s="1"/>
  <c r="M58"/>
  <c r="J58"/>
  <c r="J57" s="1"/>
  <c r="H58"/>
  <c r="H57" s="1"/>
  <c r="Q57"/>
  <c r="O57"/>
  <c r="L57"/>
  <c r="D57"/>
  <c r="R56"/>
  <c r="N56" s="1"/>
  <c r="M56"/>
  <c r="C56"/>
  <c r="N55"/>
  <c r="I55"/>
  <c r="C55"/>
  <c r="R54"/>
  <c r="N54" s="1"/>
  <c r="M54"/>
  <c r="C54"/>
  <c r="R53"/>
  <c r="Q53"/>
  <c r="M53"/>
  <c r="L53"/>
  <c r="L44" s="1"/>
  <c r="G53"/>
  <c r="C53" s="1"/>
  <c r="R52"/>
  <c r="M52"/>
  <c r="I52" s="1"/>
  <c r="C52"/>
  <c r="R51"/>
  <c r="O51"/>
  <c r="M51"/>
  <c r="C51"/>
  <c r="Q50"/>
  <c r="N50" s="1"/>
  <c r="I50"/>
  <c r="D50"/>
  <c r="D44" s="1"/>
  <c r="Q49"/>
  <c r="O49"/>
  <c r="I49"/>
  <c r="C49"/>
  <c r="Q48"/>
  <c r="N48" s="1"/>
  <c r="I48"/>
  <c r="E48"/>
  <c r="C48" s="1"/>
  <c r="Q47"/>
  <c r="N47" s="1"/>
  <c r="I47"/>
  <c r="C47"/>
  <c r="Q46"/>
  <c r="N46" s="1"/>
  <c r="I46"/>
  <c r="C46"/>
  <c r="Q45"/>
  <c r="I45"/>
  <c r="C45"/>
  <c r="P44"/>
  <c r="J44"/>
  <c r="H44"/>
  <c r="Q43"/>
  <c r="I43"/>
  <c r="C43"/>
  <c r="Q42"/>
  <c r="N42" s="1"/>
  <c r="I42"/>
  <c r="C42"/>
  <c r="Q41"/>
  <c r="N41" s="1"/>
  <c r="I41"/>
  <c r="C41"/>
  <c r="C28"/>
  <c r="Q40"/>
  <c r="N40" s="1"/>
  <c r="I40"/>
  <c r="C40"/>
  <c r="Q39"/>
  <c r="N39" s="1"/>
  <c r="I39"/>
  <c r="C39"/>
  <c r="Q38"/>
  <c r="N38" s="1"/>
  <c r="I38"/>
  <c r="C38"/>
  <c r="Q37"/>
  <c r="N37" s="1"/>
  <c r="I37"/>
  <c r="C37"/>
  <c r="C24"/>
  <c r="Q36"/>
  <c r="N36" s="1"/>
  <c r="I36"/>
  <c r="C36"/>
  <c r="N35"/>
  <c r="I35"/>
  <c r="C35"/>
  <c r="Q34"/>
  <c r="N34" s="1"/>
  <c r="I34"/>
  <c r="C34"/>
  <c r="Q33"/>
  <c r="N33" s="1"/>
  <c r="I33"/>
  <c r="I31" s="1"/>
  <c r="C33"/>
  <c r="Q32"/>
  <c r="I32"/>
  <c r="C32"/>
  <c r="C31" s="1"/>
  <c r="R31"/>
  <c r="P31"/>
  <c r="O31"/>
  <c r="M31"/>
  <c r="L31"/>
  <c r="J31"/>
  <c r="H31"/>
  <c r="G31"/>
  <c r="E31"/>
  <c r="D31"/>
  <c r="Q30"/>
  <c r="N30" s="1"/>
  <c r="I30"/>
  <c r="C30"/>
  <c r="Q29"/>
  <c r="N29" s="1"/>
  <c r="I29"/>
  <c r="C29"/>
  <c r="Q28"/>
  <c r="N28" s="1"/>
  <c r="I28"/>
  <c r="Q27"/>
  <c r="N27" s="1"/>
  <c r="I27"/>
  <c r="C27"/>
  <c r="Q26"/>
  <c r="N26" s="1"/>
  <c r="I26"/>
  <c r="C26"/>
  <c r="Q25"/>
  <c r="N25" s="1"/>
  <c r="I25"/>
  <c r="C25"/>
  <c r="Q24"/>
  <c r="N24" s="1"/>
  <c r="I24"/>
  <c r="Q23"/>
  <c r="N23" s="1"/>
  <c r="I23"/>
  <c r="C23"/>
  <c r="Q22"/>
  <c r="N22" s="1"/>
  <c r="I22"/>
  <c r="C22"/>
  <c r="Q21"/>
  <c r="N21" s="1"/>
  <c r="I21"/>
  <c r="C21"/>
  <c r="Q20"/>
  <c r="N20" s="1"/>
  <c r="I20"/>
  <c r="C20"/>
  <c r="Q19"/>
  <c r="I19"/>
  <c r="C19"/>
  <c r="C18" s="1"/>
  <c r="R18"/>
  <c r="P18"/>
  <c r="O18"/>
  <c r="M18"/>
  <c r="L18"/>
  <c r="J18"/>
  <c r="H18"/>
  <c r="G18"/>
  <c r="E18"/>
  <c r="D18"/>
  <c r="Q17"/>
  <c r="N17" s="1"/>
  <c r="I17"/>
  <c r="C17"/>
  <c r="Q16"/>
  <c r="N16" s="1"/>
  <c r="I16"/>
  <c r="C16"/>
  <c r="Q15"/>
  <c r="N15" s="1"/>
  <c r="I15"/>
  <c r="C15"/>
  <c r="Q14"/>
  <c r="N14" s="1"/>
  <c r="I14"/>
  <c r="C14"/>
  <c r="Q13"/>
  <c r="O13"/>
  <c r="I13"/>
  <c r="D13"/>
  <c r="C13" s="1"/>
  <c r="R12"/>
  <c r="Q12"/>
  <c r="O12"/>
  <c r="M12"/>
  <c r="I12" s="1"/>
  <c r="D12"/>
  <c r="C12" s="1"/>
  <c r="R11"/>
  <c r="N11" s="1"/>
  <c r="Q11"/>
  <c r="M11"/>
  <c r="M5" s="1"/>
  <c r="C11"/>
  <c r="Q10"/>
  <c r="N10" s="1"/>
  <c r="I10"/>
  <c r="C10"/>
  <c r="Q9"/>
  <c r="N9" s="1"/>
  <c r="I9"/>
  <c r="C9"/>
  <c r="Q8"/>
  <c r="O8"/>
  <c r="I8"/>
  <c r="D8"/>
  <c r="D5" s="1"/>
  <c r="Q7"/>
  <c r="N7" s="1"/>
  <c r="I7"/>
  <c r="C7"/>
  <c r="Q6"/>
  <c r="N6" s="1"/>
  <c r="I6"/>
  <c r="C6"/>
  <c r="P5"/>
  <c r="L5"/>
  <c r="J5"/>
  <c r="H5"/>
  <c r="G5"/>
  <c r="E5"/>
  <c r="N45"/>
  <c r="N43"/>
  <c r="I74"/>
  <c r="I77"/>
  <c r="E44"/>
  <c r="I51"/>
  <c r="N52"/>
  <c r="I54"/>
  <c r="I59"/>
  <c r="I58"/>
  <c r="N19"/>
  <c r="N32"/>
  <c r="M214" i="21"/>
  <c r="M213"/>
  <c r="M212"/>
  <c r="M211"/>
  <c r="M210"/>
  <c r="M209"/>
  <c r="M208"/>
  <c r="M207"/>
  <c r="AN102" i="73"/>
  <c r="AN105" s="1"/>
  <c r="AQ106"/>
  <c r="AP106"/>
  <c r="AO106"/>
  <c r="AN106"/>
  <c r="AO105"/>
  <c r="AQ104"/>
  <c r="AP104"/>
  <c r="AN104"/>
  <c r="AQ102"/>
  <c r="AQ105" s="1"/>
  <c r="AP102"/>
  <c r="AP105" s="1"/>
  <c r="AN98"/>
  <c r="AM98"/>
  <c r="AL98"/>
  <c r="AK98"/>
  <c r="AJ98"/>
  <c r="AN97"/>
  <c r="AM97"/>
  <c r="AL97"/>
  <c r="AK97"/>
  <c r="AJ97"/>
  <c r="AQ96"/>
  <c r="AN96"/>
  <c r="AM96"/>
  <c r="AL96"/>
  <c r="AK96"/>
  <c r="AJ96"/>
  <c r="AI96"/>
  <c r="AQ95"/>
  <c r="AN95"/>
  <c r="AK95"/>
  <c r="AJ95"/>
  <c r="AI95"/>
  <c r="AP92"/>
  <c r="AN92"/>
  <c r="AM92"/>
  <c r="AL92"/>
  <c r="AK92"/>
  <c r="AJ92"/>
  <c r="AI92"/>
  <c r="AP91"/>
  <c r="AN91"/>
  <c r="AM91"/>
  <c r="AL91"/>
  <c r="AK91"/>
  <c r="AJ91"/>
  <c r="AI91"/>
  <c r="AP90"/>
  <c r="AN90"/>
  <c r="AM90"/>
  <c r="AL90"/>
  <c r="AK90"/>
  <c r="AJ90"/>
  <c r="AI90"/>
  <c r="AP89"/>
  <c r="AN89"/>
  <c r="AM89"/>
  <c r="AL89"/>
  <c r="AK89"/>
  <c r="AJ89"/>
  <c r="AI89"/>
  <c r="AP88"/>
  <c r="AN88"/>
  <c r="AM88"/>
  <c r="AL88"/>
  <c r="AK88"/>
  <c r="AJ88"/>
  <c r="AI88"/>
  <c r="AP87"/>
  <c r="AN87"/>
  <c r="AM87"/>
  <c r="AL87"/>
  <c r="AK87"/>
  <c r="AJ87"/>
  <c r="AI87"/>
  <c r="AP86"/>
  <c r="AN86"/>
  <c r="AM86"/>
  <c r="AL86"/>
  <c r="AK86"/>
  <c r="AJ86"/>
  <c r="AI86"/>
  <c r="AP85"/>
  <c r="AN85"/>
  <c r="AM85"/>
  <c r="AL85"/>
  <c r="AK85"/>
  <c r="AJ85"/>
  <c r="AI85"/>
  <c r="AP84"/>
  <c r="AN84"/>
  <c r="AM84"/>
  <c r="AL84"/>
  <c r="AK84"/>
  <c r="AJ84"/>
  <c r="AI84"/>
  <c r="AP83"/>
  <c r="AN83"/>
  <c r="AM83"/>
  <c r="AL83"/>
  <c r="AK83"/>
  <c r="AJ83"/>
  <c r="AI83"/>
  <c r="AP82"/>
  <c r="AN82"/>
  <c r="AM82"/>
  <c r="AL82"/>
  <c r="AK82"/>
  <c r="AJ82"/>
  <c r="AI82"/>
  <c r="AO77"/>
  <c r="AP74"/>
  <c r="AP73"/>
  <c r="AP69"/>
  <c r="AN69"/>
  <c r="AM69"/>
  <c r="AI69"/>
  <c r="U53"/>
  <c r="T53"/>
  <c r="S53"/>
  <c r="R53"/>
  <c r="S52"/>
  <c r="U51"/>
  <c r="T51"/>
  <c r="R51"/>
  <c r="U49"/>
  <c r="U52" s="1"/>
  <c r="T49"/>
  <c r="T52" s="1"/>
  <c r="R49"/>
  <c r="R52" s="1"/>
  <c r="T48"/>
  <c r="R48"/>
  <c r="R17"/>
  <c r="T45"/>
  <c r="S45"/>
  <c r="R45"/>
  <c r="Q45"/>
  <c r="P45"/>
  <c r="O45"/>
  <c r="N45"/>
  <c r="T44"/>
  <c r="S44"/>
  <c r="R44"/>
  <c r="Q44"/>
  <c r="P44"/>
  <c r="O44"/>
  <c r="N44"/>
  <c r="U43"/>
  <c r="T43"/>
  <c r="R43"/>
  <c r="Q43"/>
  <c r="P43"/>
  <c r="O43"/>
  <c r="N43"/>
  <c r="M43"/>
  <c r="U42"/>
  <c r="T42"/>
  <c r="R42"/>
  <c r="O42"/>
  <c r="N42"/>
  <c r="M42"/>
  <c r="T39"/>
  <c r="R39"/>
  <c r="Q39"/>
  <c r="P39"/>
  <c r="O39"/>
  <c r="N39"/>
  <c r="M39"/>
  <c r="T38"/>
  <c r="R38"/>
  <c r="Q38"/>
  <c r="P38"/>
  <c r="O38"/>
  <c r="N38"/>
  <c r="M38"/>
  <c r="T37"/>
  <c r="R37"/>
  <c r="Q37"/>
  <c r="P37"/>
  <c r="O37"/>
  <c r="N37"/>
  <c r="M37"/>
  <c r="T36"/>
  <c r="R36"/>
  <c r="Q36"/>
  <c r="P36"/>
  <c r="O36"/>
  <c r="N36"/>
  <c r="M36"/>
  <c r="T35"/>
  <c r="R35"/>
  <c r="Q35"/>
  <c r="P35"/>
  <c r="O35"/>
  <c r="N35"/>
  <c r="M35"/>
  <c r="T34"/>
  <c r="R34"/>
  <c r="Q34"/>
  <c r="P34"/>
  <c r="O34"/>
  <c r="N34"/>
  <c r="M34"/>
  <c r="T33"/>
  <c r="R33"/>
  <c r="Q33"/>
  <c r="P33"/>
  <c r="O33"/>
  <c r="N33"/>
  <c r="M33"/>
  <c r="T32"/>
  <c r="R32"/>
  <c r="Q32"/>
  <c r="P32"/>
  <c r="O32"/>
  <c r="N32"/>
  <c r="M32"/>
  <c r="T31"/>
  <c r="R31"/>
  <c r="Q31"/>
  <c r="P31"/>
  <c r="O31"/>
  <c r="N31"/>
  <c r="M31"/>
  <c r="T30"/>
  <c r="R30"/>
  <c r="Q30"/>
  <c r="P30"/>
  <c r="O30"/>
  <c r="N30"/>
  <c r="M30"/>
  <c r="T29"/>
  <c r="R29"/>
  <c r="Q29"/>
  <c r="P29"/>
  <c r="O29"/>
  <c r="N29"/>
  <c r="M29"/>
  <c r="S24"/>
  <c r="T21"/>
  <c r="T20"/>
  <c r="T17"/>
  <c r="S17"/>
  <c r="Q17"/>
  <c r="P17"/>
  <c r="O17"/>
  <c r="N17"/>
  <c r="T16"/>
  <c r="T15"/>
  <c r="R15"/>
  <c r="Q15"/>
  <c r="M15"/>
  <c r="T14"/>
  <c r="T13"/>
  <c r="T12"/>
  <c r="T9"/>
  <c r="R9"/>
  <c r="T8"/>
  <c r="R8"/>
  <c r="T7"/>
  <c r="R7"/>
  <c r="G118" i="39"/>
  <c r="F118"/>
  <c r="F101"/>
  <c r="F86"/>
  <c r="F83"/>
  <c r="F82"/>
  <c r="F81"/>
  <c r="F80"/>
  <c r="F79"/>
  <c r="G78"/>
  <c r="F78"/>
  <c r="F61"/>
  <c r="E61"/>
  <c r="D61"/>
  <c r="C61"/>
  <c r="B61"/>
  <c r="F60"/>
  <c r="E60"/>
  <c r="D60"/>
  <c r="C60"/>
  <c r="B60"/>
  <c r="N50"/>
  <c r="N46"/>
  <c r="M46"/>
  <c r="L46"/>
  <c r="K46"/>
  <c r="F102"/>
  <c r="J46"/>
  <c r="J39"/>
  <c r="O42"/>
  <c r="I46"/>
  <c r="H46"/>
  <c r="G46"/>
  <c r="G39"/>
  <c r="N43"/>
  <c r="M43"/>
  <c r="I43"/>
  <c r="H43"/>
  <c r="R32"/>
  <c r="O31"/>
  <c r="N30"/>
  <c r="N26"/>
  <c r="M30"/>
  <c r="M26"/>
  <c r="L30"/>
  <c r="L26"/>
  <c r="K30"/>
  <c r="K26"/>
  <c r="J30"/>
  <c r="I30"/>
  <c r="H30"/>
  <c r="G80"/>
  <c r="G30"/>
  <c r="G79"/>
  <c r="O29"/>
  <c r="N21"/>
  <c r="M21"/>
  <c r="L21"/>
  <c r="N19"/>
  <c r="M19"/>
  <c r="L19"/>
  <c r="K17"/>
  <c r="J17"/>
  <c r="G122"/>
  <c r="I17"/>
  <c r="G121"/>
  <c r="H17"/>
  <c r="G120"/>
  <c r="G17"/>
  <c r="G119"/>
  <c r="L15"/>
  <c r="L9"/>
  <c r="J15"/>
  <c r="J9"/>
  <c r="I15"/>
  <c r="I9"/>
  <c r="H15"/>
  <c r="H9"/>
  <c r="G15"/>
  <c r="G9"/>
  <c r="N9"/>
  <c r="M9"/>
  <c r="K9"/>
  <c r="U33" i="34"/>
  <c r="Q28"/>
  <c r="P28"/>
  <c r="O28"/>
  <c r="N28"/>
  <c r="M28"/>
  <c r="L28"/>
  <c r="K28"/>
  <c r="J28"/>
  <c r="I28"/>
  <c r="H28"/>
  <c r="Q27"/>
  <c r="P27"/>
  <c r="O27"/>
  <c r="N27"/>
  <c r="M27"/>
  <c r="L27"/>
  <c r="K27"/>
  <c r="J27"/>
  <c r="I27"/>
  <c r="H27"/>
  <c r="Q26"/>
  <c r="P26"/>
  <c r="O26"/>
  <c r="N26"/>
  <c r="M26"/>
  <c r="L26"/>
  <c r="K26"/>
  <c r="J26"/>
  <c r="I26"/>
  <c r="H26"/>
  <c r="T22"/>
  <c r="S22"/>
  <c r="R22"/>
  <c r="Q22"/>
  <c r="P22"/>
  <c r="O22"/>
  <c r="N22"/>
  <c r="M22"/>
  <c r="L22"/>
  <c r="K22"/>
  <c r="J22"/>
  <c r="I22"/>
  <c r="H22"/>
  <c r="U21"/>
  <c r="T21"/>
  <c r="S21"/>
  <c r="R21"/>
  <c r="Q21"/>
  <c r="P21"/>
  <c r="O21"/>
  <c r="N21"/>
  <c r="M21"/>
  <c r="L21"/>
  <c r="K21"/>
  <c r="J21"/>
  <c r="I21"/>
  <c r="H21"/>
  <c r="U20"/>
  <c r="T20"/>
  <c r="S20"/>
  <c r="R20"/>
  <c r="Q20"/>
  <c r="P20"/>
  <c r="O20"/>
  <c r="N20"/>
  <c r="M20"/>
  <c r="L20"/>
  <c r="K20"/>
  <c r="J20"/>
  <c r="I20"/>
  <c r="H20"/>
  <c r="AE69" i="33"/>
  <c r="AE70"/>
  <c r="AE71"/>
  <c r="P62"/>
  <c r="P59"/>
  <c r="AC53"/>
  <c r="AC40"/>
  <c r="AA34"/>
  <c r="Z34"/>
  <c r="Y34"/>
  <c r="X34"/>
  <c r="W34"/>
  <c r="V34"/>
  <c r="U34"/>
  <c r="T34"/>
  <c r="S34"/>
  <c r="R34"/>
  <c r="Q34"/>
  <c r="P34"/>
  <c r="AA21"/>
  <c r="Z21"/>
  <c r="Y21"/>
  <c r="X21"/>
  <c r="W21"/>
  <c r="V21"/>
  <c r="S21"/>
  <c r="R21"/>
  <c r="Q21"/>
  <c r="P21"/>
  <c r="M14"/>
  <c r="L14"/>
  <c r="K14"/>
  <c r="G14"/>
  <c r="F14"/>
  <c r="E14"/>
  <c r="J11"/>
  <c r="J14"/>
  <c r="I11"/>
  <c r="I14"/>
  <c r="H11"/>
  <c r="H14"/>
  <c r="D11"/>
  <c r="C11"/>
  <c r="C14"/>
  <c r="B11"/>
  <c r="B14"/>
  <c r="D5"/>
  <c r="L62" i="45"/>
  <c r="K62"/>
  <c r="J62"/>
  <c r="K60"/>
  <c r="J60"/>
  <c r="I60"/>
  <c r="K59"/>
  <c r="J59"/>
  <c r="I59"/>
  <c r="K57"/>
  <c r="J57"/>
  <c r="I57"/>
  <c r="K56"/>
  <c r="J56"/>
  <c r="I56"/>
  <c r="K54"/>
  <c r="J54"/>
  <c r="I54"/>
  <c r="K53"/>
  <c r="J53"/>
  <c r="I53"/>
  <c r="P3"/>
  <c r="P2"/>
  <c r="K56" i="44"/>
  <c r="J56"/>
  <c r="I56"/>
  <c r="K55"/>
  <c r="J55"/>
  <c r="I55"/>
  <c r="K53"/>
  <c r="J53"/>
  <c r="I53"/>
  <c r="K52"/>
  <c r="J52"/>
  <c r="I52"/>
  <c r="K50"/>
  <c r="J50"/>
  <c r="I50"/>
  <c r="K49"/>
  <c r="J49"/>
  <c r="I49"/>
  <c r="X11"/>
  <c r="X10"/>
  <c r="W10"/>
  <c r="W11"/>
  <c r="W12"/>
  <c r="W13"/>
  <c r="W14"/>
  <c r="W15"/>
  <c r="W16"/>
  <c r="X8"/>
  <c r="W8"/>
  <c r="W6"/>
  <c r="W74" i="46"/>
  <c r="M74"/>
  <c r="L74"/>
  <c r="J74"/>
  <c r="I74"/>
  <c r="H74"/>
  <c r="G74"/>
  <c r="U71"/>
  <c r="U72"/>
  <c r="U73"/>
  <c r="U74"/>
  <c r="U75"/>
  <c r="U76"/>
  <c r="U77"/>
  <c r="U78"/>
  <c r="U79"/>
  <c r="L71"/>
  <c r="K71"/>
  <c r="J71"/>
  <c r="I71"/>
  <c r="H71"/>
  <c r="G71"/>
  <c r="F71"/>
  <c r="E71"/>
  <c r="D71"/>
  <c r="L70"/>
  <c r="K70"/>
  <c r="J70"/>
  <c r="I70"/>
  <c r="H70"/>
  <c r="G70"/>
  <c r="F70"/>
  <c r="E70"/>
  <c r="D70"/>
  <c r="L69"/>
  <c r="K69"/>
  <c r="J69"/>
  <c r="I69"/>
  <c r="H69"/>
  <c r="G69"/>
  <c r="F69"/>
  <c r="E69"/>
  <c r="D69"/>
  <c r="L68"/>
  <c r="K68"/>
  <c r="J68"/>
  <c r="I68"/>
  <c r="H68"/>
  <c r="G68"/>
  <c r="F68"/>
  <c r="E68"/>
  <c r="D68"/>
  <c r="L67"/>
  <c r="K67"/>
  <c r="J67"/>
  <c r="I67"/>
  <c r="H67"/>
  <c r="G67"/>
  <c r="F67"/>
  <c r="E67"/>
  <c r="D67"/>
  <c r="L65"/>
  <c r="K65"/>
  <c r="J65"/>
  <c r="M63"/>
  <c r="L63"/>
  <c r="K63"/>
  <c r="O55"/>
  <c r="O56"/>
  <c r="U46"/>
  <c r="T46"/>
  <c r="U44"/>
  <c r="T44"/>
  <c r="U38"/>
  <c r="T38"/>
  <c r="U34"/>
  <c r="T34"/>
  <c r="U30"/>
  <c r="T30"/>
  <c r="S30"/>
  <c r="R30"/>
  <c r="U27"/>
  <c r="T27"/>
  <c r="U26"/>
  <c r="T26"/>
  <c r="U25"/>
  <c r="T25"/>
  <c r="V24"/>
  <c r="U24"/>
  <c r="T24"/>
  <c r="S24"/>
  <c r="R24"/>
  <c r="U22"/>
  <c r="T22"/>
  <c r="V21"/>
  <c r="U21"/>
  <c r="T21"/>
  <c r="U20"/>
  <c r="T20"/>
  <c r="S20"/>
  <c r="R20"/>
  <c r="V18"/>
  <c r="U18"/>
  <c r="T18"/>
  <c r="U17"/>
  <c r="T17"/>
  <c r="V16"/>
  <c r="U16"/>
  <c r="T16"/>
  <c r="S16"/>
  <c r="R16"/>
  <c r="T14"/>
  <c r="S14"/>
  <c r="R14"/>
  <c r="W12"/>
  <c r="V12"/>
  <c r="U12"/>
  <c r="T12"/>
  <c r="U11"/>
  <c r="W10"/>
  <c r="U10"/>
  <c r="T10"/>
  <c r="V9"/>
  <c r="U8"/>
  <c r="T8"/>
  <c r="T6"/>
  <c r="AI27" i="53"/>
  <c r="W27"/>
  <c r="AI26"/>
  <c r="W26"/>
  <c r="AI25"/>
  <c r="AH25"/>
  <c r="AG25"/>
  <c r="AF25"/>
  <c r="AE25"/>
  <c r="AD25"/>
  <c r="AC25"/>
  <c r="AB25"/>
  <c r="AA25"/>
  <c r="Z25"/>
  <c r="Y25"/>
  <c r="X25"/>
  <c r="W25"/>
  <c r="AQ24"/>
  <c r="AP24"/>
  <c r="AO24"/>
  <c r="AN24"/>
  <c r="AM24"/>
  <c r="AL24"/>
  <c r="AK24"/>
  <c r="AJ24"/>
  <c r="AI24"/>
  <c r="AH24"/>
  <c r="AG24"/>
  <c r="AF24"/>
  <c r="AE24"/>
  <c r="AD24"/>
  <c r="AC24"/>
  <c r="AB24"/>
  <c r="AA24"/>
  <c r="Z24"/>
  <c r="Y24"/>
  <c r="X24"/>
  <c r="W24"/>
  <c r="AY15"/>
  <c r="AY14"/>
  <c r="F89" i="13"/>
  <c r="E89"/>
  <c r="D89"/>
  <c r="D86"/>
  <c r="AH81"/>
  <c r="AS69"/>
  <c r="F47"/>
  <c r="E47"/>
  <c r="D47"/>
  <c r="C47"/>
  <c r="AR45"/>
  <c r="AQ45"/>
  <c r="AQ51"/>
  <c r="AP45"/>
  <c r="AP51"/>
  <c r="AO45"/>
  <c r="AO51"/>
  <c r="AN45"/>
  <c r="AN51"/>
  <c r="AM45"/>
  <c r="AL45"/>
  <c r="AL51"/>
  <c r="AK45"/>
  <c r="AK51"/>
  <c r="AJ45"/>
  <c r="AJ51"/>
  <c r="AI45"/>
  <c r="AI51"/>
  <c r="AH45"/>
  <c r="AG45"/>
  <c r="AG51"/>
  <c r="AF45"/>
  <c r="AF51"/>
  <c r="AE45"/>
  <c r="AD45"/>
  <c r="AD51"/>
  <c r="AC45"/>
  <c r="AC51"/>
  <c r="AB45"/>
  <c r="AB51"/>
  <c r="AA45"/>
  <c r="AA51"/>
  <c r="Z45"/>
  <c r="Y45"/>
  <c r="Y51"/>
  <c r="X45"/>
  <c r="X51"/>
  <c r="W45"/>
  <c r="V45"/>
  <c r="V51"/>
  <c r="U45"/>
  <c r="U51"/>
  <c r="T45"/>
  <c r="T51"/>
  <c r="S45"/>
  <c r="S51"/>
  <c r="R45"/>
  <c r="R51"/>
  <c r="Q45"/>
  <c r="Q51"/>
  <c r="P45"/>
  <c r="P51"/>
  <c r="O45"/>
  <c r="O51"/>
  <c r="N45"/>
  <c r="N51"/>
  <c r="M45"/>
  <c r="M51"/>
  <c r="L45"/>
  <c r="L51"/>
  <c r="K45"/>
  <c r="K51"/>
  <c r="J45"/>
  <c r="J51"/>
  <c r="I45"/>
  <c r="H45"/>
  <c r="G45"/>
  <c r="F45"/>
  <c r="E45"/>
  <c r="D45"/>
  <c r="C45"/>
  <c r="AV43"/>
  <c r="AV44"/>
  <c r="DD38"/>
  <c r="DC38"/>
  <c r="DB38"/>
  <c r="DA38"/>
  <c r="DQ36"/>
  <c r="DP36"/>
  <c r="DO36"/>
  <c r="DN36"/>
  <c r="DM36"/>
  <c r="DL36"/>
  <c r="DK36"/>
  <c r="DJ36"/>
  <c r="DI36"/>
  <c r="DH36"/>
  <c r="DG36"/>
  <c r="DF36"/>
  <c r="DE36"/>
  <c r="DD36"/>
  <c r="DC36"/>
  <c r="DB36"/>
  <c r="DQ34"/>
  <c r="DP34"/>
  <c r="DO34"/>
  <c r="DN34"/>
  <c r="DM34"/>
  <c r="DL34"/>
  <c r="DK34"/>
  <c r="DJ34"/>
  <c r="DI34"/>
  <c r="DH34"/>
  <c r="DG34"/>
  <c r="DF34"/>
  <c r="DE34"/>
  <c r="DD34"/>
  <c r="DC34"/>
  <c r="DB34"/>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V31"/>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V26"/>
  <c r="DQ26"/>
  <c r="DQ24" s="1"/>
  <c r="DP26"/>
  <c r="DP24" s="1"/>
  <c r="DD8" i="53" s="1"/>
  <c r="DO26" i="13"/>
  <c r="DO24" s="1"/>
  <c r="DC8" i="53" s="1"/>
  <c r="DN26" i="13"/>
  <c r="DN24" s="1"/>
  <c r="DB8" i="53" s="1"/>
  <c r="DB13" s="1"/>
  <c r="DM26" i="13"/>
  <c r="DM24" s="1"/>
  <c r="DA8" i="53" s="1"/>
  <c r="DL26" i="13"/>
  <c r="DL24" s="1"/>
  <c r="CZ8" i="53" s="1"/>
  <c r="DK26" i="13"/>
  <c r="DK24" s="1"/>
  <c r="CY8" i="53" s="1"/>
  <c r="CY13" s="1"/>
  <c r="DJ26" i="13"/>
  <c r="DJ24" s="1"/>
  <c r="CX8" i="53" s="1"/>
  <c r="CX13" s="1"/>
  <c r="DI26" i="13"/>
  <c r="DI24" s="1"/>
  <c r="DH26"/>
  <c r="DH24" s="1"/>
  <c r="DG26"/>
  <c r="DG24" s="1"/>
  <c r="CU8" i="53" s="1"/>
  <c r="DF26" i="13"/>
  <c r="DF24" s="1"/>
  <c r="CT8" i="53" s="1"/>
  <c r="DE26" i="13"/>
  <c r="DE24" s="1"/>
  <c r="DD26"/>
  <c r="DD24" s="1"/>
  <c r="CQ8" i="53" s="1"/>
  <c r="DC26" i="13"/>
  <c r="DC24" s="1"/>
  <c r="CP8" i="53" s="1"/>
  <c r="DB26" i="13"/>
  <c r="DB24" s="1"/>
  <c r="CO8" i="53" s="1"/>
  <c r="DA26" i="13"/>
  <c r="DA24" s="1"/>
  <c r="CZ26"/>
  <c r="CZ24" s="1"/>
  <c r="CM8" i="53" s="1"/>
  <c r="CY26" i="13"/>
  <c r="CY24" s="1"/>
  <c r="CL8" i="53" s="1"/>
  <c r="CX26" i="13"/>
  <c r="CX24" s="1"/>
  <c r="CW26"/>
  <c r="CW24" s="1"/>
  <c r="CJ8" i="53" s="1"/>
  <c r="CV26" i="13"/>
  <c r="CV24" s="1"/>
  <c r="CI8" i="53" s="1"/>
  <c r="CU26" i="13"/>
  <c r="CU24" s="1"/>
  <c r="CH8" i="53" s="1"/>
  <c r="CT26" i="13"/>
  <c r="CT24" s="1"/>
  <c r="CG8" i="53" s="1"/>
  <c r="CS26" i="13"/>
  <c r="CS24" s="1"/>
  <c r="CF8" i="53" s="1"/>
  <c r="CR26" i="13"/>
  <c r="CR24" s="1"/>
  <c r="CE8" i="53" s="1"/>
  <c r="CQ26" i="13"/>
  <c r="CQ24" s="1"/>
  <c r="CD8" i="53" s="1"/>
  <c r="CP26" i="13"/>
  <c r="CP24" s="1"/>
  <c r="CC8" i="53" s="1"/>
  <c r="CO26" i="13"/>
  <c r="CO24" s="1"/>
  <c r="CB8" i="53" s="1"/>
  <c r="CN26" i="13"/>
  <c r="CN24" s="1"/>
  <c r="CA8" i="53" s="1"/>
  <c r="CM26" i="13"/>
  <c r="CM24" s="1"/>
  <c r="BZ8" i="53" s="1"/>
  <c r="CL26" i="13"/>
  <c r="CL24" s="1"/>
  <c r="BY8" i="53" s="1"/>
  <c r="CK26" i="13"/>
  <c r="CK24" s="1"/>
  <c r="CJ26"/>
  <c r="CJ24" s="1"/>
  <c r="CI26"/>
  <c r="CI24" s="1"/>
  <c r="BV8" i="53" s="1"/>
  <c r="BV13" s="1"/>
  <c r="CH26" i="13"/>
  <c r="CH24" s="1"/>
  <c r="BU8" i="53" s="1"/>
  <c r="CG26" i="13"/>
  <c r="CG24" s="1"/>
  <c r="CF26"/>
  <c r="CF24" s="1"/>
  <c r="CE26"/>
  <c r="CE24" s="1"/>
  <c r="BR8" i="53" s="1"/>
  <c r="CD26" i="13"/>
  <c r="CD24" s="1"/>
  <c r="BQ8" i="53" s="1"/>
  <c r="CC26" i="13"/>
  <c r="CC24" s="1"/>
  <c r="BP8" i="53" s="1"/>
  <c r="CB26" i="13"/>
  <c r="CB24" s="1"/>
  <c r="BO8" i="53" s="1"/>
  <c r="CA26" i="13"/>
  <c r="CA24" s="1"/>
  <c r="BN8" i="53" s="1"/>
  <c r="BN13" s="1"/>
  <c r="BZ26" i="13"/>
  <c r="BZ24" s="1"/>
  <c r="BY26"/>
  <c r="BY24" s="1"/>
  <c r="BL8" i="53" s="1"/>
  <c r="BL13" s="1"/>
  <c r="BX26" i="13"/>
  <c r="BX24" s="1"/>
  <c r="BK8" i="53" s="1"/>
  <c r="BW26" i="13"/>
  <c r="BW24" s="1"/>
  <c r="BJ8" i="53" s="1"/>
  <c r="BV26" i="13"/>
  <c r="BV24" s="1"/>
  <c r="BI8" i="53" s="1"/>
  <c r="BU26" i="13"/>
  <c r="BU24" s="1"/>
  <c r="BH8" i="53" s="1"/>
  <c r="BT26" i="13"/>
  <c r="BT24" s="1"/>
  <c r="BG8" i="53" s="1"/>
  <c r="BS26" i="13"/>
  <c r="BS24" s="1"/>
  <c r="BR26"/>
  <c r="BR24" s="1"/>
  <c r="BE8" i="53" s="1"/>
  <c r="BQ26" i="13"/>
  <c r="BQ24" s="1"/>
  <c r="BP26"/>
  <c r="BP24" s="1"/>
  <c r="BO26"/>
  <c r="BO24" s="1"/>
  <c r="BN26"/>
  <c r="BN24" s="1"/>
  <c r="BM26"/>
  <c r="BM24" s="1"/>
  <c r="BL26"/>
  <c r="BL24" s="1"/>
  <c r="AY8" i="53" s="1"/>
  <c r="BK26" i="13"/>
  <c r="BK24" s="1"/>
  <c r="BJ26"/>
  <c r="BJ24" s="1"/>
  <c r="AW8" i="53" s="1"/>
  <c r="BI26" i="13"/>
  <c r="BI24" s="1"/>
  <c r="BH26"/>
  <c r="AU27" i="53" s="1"/>
  <c r="BG26" i="13"/>
  <c r="BG24" s="1"/>
  <c r="BF26"/>
  <c r="BF24" s="1"/>
  <c r="AS8" i="53" s="1"/>
  <c r="BE26" i="13"/>
  <c r="BD26"/>
  <c r="BD24" s="1"/>
  <c r="BC26"/>
  <c r="BC24" s="1"/>
  <c r="BC60" s="1"/>
  <c r="BB26"/>
  <c r="BB24" s="1"/>
  <c r="BA26"/>
  <c r="BA24" s="1"/>
  <c r="AZ26"/>
  <c r="AZ43" s="1"/>
  <c r="AY26"/>
  <c r="AY24" s="1"/>
  <c r="AY60" s="1"/>
  <c r="AX26"/>
  <c r="AX24" s="1"/>
  <c r="AW26"/>
  <c r="AW24" s="1"/>
  <c r="AJ8" i="53" s="1"/>
  <c r="AV26" i="13"/>
  <c r="AV24" s="1"/>
  <c r="AU26"/>
  <c r="AU24" s="1"/>
  <c r="AT26"/>
  <c r="AS26"/>
  <c r="AS24"/>
  <c r="AR26"/>
  <c r="AQ26"/>
  <c r="AP26"/>
  <c r="AP47"/>
  <c r="AP54"/>
  <c r="AO26"/>
  <c r="AO47"/>
  <c r="AN26"/>
  <c r="AM26"/>
  <c r="AL26"/>
  <c r="AL47"/>
  <c r="AL52"/>
  <c r="AK26"/>
  <c r="AK47"/>
  <c r="AK54"/>
  <c r="AJ26"/>
  <c r="AI26"/>
  <c r="AH26"/>
  <c r="AH47"/>
  <c r="AH54"/>
  <c r="AG26"/>
  <c r="AG24"/>
  <c r="AF26"/>
  <c r="AE26"/>
  <c r="AD26"/>
  <c r="AD47"/>
  <c r="AC26"/>
  <c r="AC24"/>
  <c r="AB26"/>
  <c r="AA26"/>
  <c r="Z26"/>
  <c r="Y26"/>
  <c r="Y47"/>
  <c r="X26"/>
  <c r="W26"/>
  <c r="W47"/>
  <c r="V26"/>
  <c r="V47"/>
  <c r="V54"/>
  <c r="U26"/>
  <c r="U24"/>
  <c r="H8" i="53"/>
  <c r="T26" i="13"/>
  <c r="S26"/>
  <c r="R26"/>
  <c r="R47" s="1"/>
  <c r="Q26"/>
  <c r="Q47"/>
  <c r="P26"/>
  <c r="O26"/>
  <c r="O47" s="1"/>
  <c r="N26"/>
  <c r="N47" s="1"/>
  <c r="M26"/>
  <c r="M47" s="1"/>
  <c r="L26"/>
  <c r="L47"/>
  <c r="L54"/>
  <c r="K26"/>
  <c r="J26"/>
  <c r="I26"/>
  <c r="I47"/>
  <c r="H26"/>
  <c r="H47" s="1"/>
  <c r="G26"/>
  <c r="AT24"/>
  <c r="AG8" i="53"/>
  <c r="F24" i="13"/>
  <c r="E24"/>
  <c r="D24"/>
  <c r="C24"/>
  <c r="DD21"/>
  <c r="DC21"/>
  <c r="DB21"/>
  <c r="DA21"/>
  <c r="DQ19"/>
  <c r="DP19"/>
  <c r="DO19"/>
  <c r="DN19"/>
  <c r="DM19"/>
  <c r="DL19"/>
  <c r="DK19"/>
  <c r="DJ19"/>
  <c r="DI19"/>
  <c r="DH19"/>
  <c r="DG19"/>
  <c r="DF19"/>
  <c r="DE19"/>
  <c r="DD19"/>
  <c r="DC19"/>
  <c r="DB19"/>
  <c r="DQ17"/>
  <c r="DP17"/>
  <c r="DO17"/>
  <c r="DN17"/>
  <c r="DM17"/>
  <c r="DL17"/>
  <c r="DK17"/>
  <c r="DJ17"/>
  <c r="DI17"/>
  <c r="DH17"/>
  <c r="DG17"/>
  <c r="DF17"/>
  <c r="DE17"/>
  <c r="DD17"/>
  <c r="DC17"/>
  <c r="DB17"/>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S44" s="1"/>
  <c r="BR13"/>
  <c r="BQ13"/>
  <c r="BP13"/>
  <c r="BO13"/>
  <c r="BN13"/>
  <c r="BM13"/>
  <c r="BL13"/>
  <c r="BK13"/>
  <c r="BJ13"/>
  <c r="BI13"/>
  <c r="BH13"/>
  <c r="BG13"/>
  <c r="BF13"/>
  <c r="BE13"/>
  <c r="BD13"/>
  <c r="BC13"/>
  <c r="BB13"/>
  <c r="BA13"/>
  <c r="AZ13"/>
  <c r="AY13"/>
  <c r="AX13"/>
  <c r="AW13"/>
  <c r="AV13"/>
  <c r="AU13"/>
  <c r="AT13"/>
  <c r="AS13"/>
  <c r="AR13"/>
  <c r="AQ13"/>
  <c r="AP13"/>
  <c r="AO13"/>
  <c r="AN13"/>
  <c r="AM13"/>
  <c r="AL13"/>
  <c r="AK13"/>
  <c r="AK9"/>
  <c r="AJ13"/>
  <c r="AI13"/>
  <c r="AH13"/>
  <c r="AG13"/>
  <c r="AF13"/>
  <c r="AE13"/>
  <c r="AD13"/>
  <c r="AC13"/>
  <c r="AB13"/>
  <c r="AA13"/>
  <c r="Z13"/>
  <c r="Y13"/>
  <c r="X13"/>
  <c r="W13"/>
  <c r="V13"/>
  <c r="U13"/>
  <c r="T13"/>
  <c r="S13"/>
  <c r="R13"/>
  <c r="Q13"/>
  <c r="P13"/>
  <c r="O13"/>
  <c r="N13"/>
  <c r="M13"/>
  <c r="L13"/>
  <c r="K13"/>
  <c r="J13"/>
  <c r="I13"/>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AH26" i="53" s="1"/>
  <c r="CG11" i="13"/>
  <c r="AG26" i="53" s="1"/>
  <c r="CF11" i="13"/>
  <c r="AF26" i="53" s="1"/>
  <c r="CE11" i="13"/>
  <c r="AE26" i="53" s="1"/>
  <c r="CD11" i="13"/>
  <c r="AD26" i="53" s="1"/>
  <c r="CC11" i="13"/>
  <c r="AC26" i="53" s="1"/>
  <c r="CB11" i="13"/>
  <c r="AB26" i="53" s="1"/>
  <c r="CA11" i="13"/>
  <c r="BZ11"/>
  <c r="BY11"/>
  <c r="BX11"/>
  <c r="BW11"/>
  <c r="BV11"/>
  <c r="BU11"/>
  <c r="BS11"/>
  <c r="BR11"/>
  <c r="BQ11"/>
  <c r="BP11"/>
  <c r="BO11"/>
  <c r="BN11"/>
  <c r="BM11"/>
  <c r="AA26" i="53" s="1"/>
  <c r="BL11" i="13"/>
  <c r="BK11"/>
  <c r="BJ11"/>
  <c r="BI11"/>
  <c r="BH11"/>
  <c r="AU26" i="53" s="1"/>
  <c r="BG11" i="13"/>
  <c r="AT26" i="53" s="1"/>
  <c r="BF11" i="13"/>
  <c r="BE11"/>
  <c r="AR26" i="53" s="1"/>
  <c r="BD11" i="13"/>
  <c r="BC11"/>
  <c r="BB11"/>
  <c r="BA11"/>
  <c r="AZ11"/>
  <c r="AY11"/>
  <c r="AX11"/>
  <c r="AW11"/>
  <c r="H9"/>
  <c r="G88"/>
  <c r="G9"/>
  <c r="G39"/>
  <c r="G64" s="1"/>
  <c r="F9"/>
  <c r="F76"/>
  <c r="E9"/>
  <c r="D9"/>
  <c r="C9"/>
  <c r="D41" i="28"/>
  <c r="E41"/>
  <c r="D40"/>
  <c r="C40"/>
  <c r="D39"/>
  <c r="E39"/>
  <c r="D38"/>
  <c r="E38"/>
  <c r="E37"/>
  <c r="E36"/>
  <c r="E35"/>
  <c r="E34"/>
  <c r="E33"/>
  <c r="E32"/>
  <c r="E31"/>
  <c r="E30"/>
  <c r="E29"/>
  <c r="E28"/>
  <c r="E27"/>
  <c r="E26"/>
  <c r="E25"/>
  <c r="E24"/>
  <c r="E23"/>
  <c r="E22"/>
  <c r="E21"/>
  <c r="E20"/>
  <c r="E19"/>
  <c r="E18"/>
  <c r="E17"/>
  <c r="E16"/>
  <c r="E15"/>
  <c r="E14"/>
  <c r="E13"/>
  <c r="E12"/>
  <c r="E11"/>
  <c r="E10"/>
  <c r="E9"/>
  <c r="E8"/>
  <c r="E7"/>
  <c r="E6"/>
  <c r="I5"/>
  <c r="E5"/>
  <c r="I4"/>
  <c r="E4"/>
  <c r="E3"/>
  <c r="E2"/>
  <c r="J61" i="39"/>
  <c r="M39"/>
  <c r="G26"/>
  <c r="AH80" i="13"/>
  <c r="AH82"/>
  <c r="AD54"/>
  <c r="AM51"/>
  <c r="AE51"/>
  <c r="W51"/>
  <c r="AC47"/>
  <c r="AC43"/>
  <c r="AC50"/>
  <c r="W43"/>
  <c r="W50"/>
  <c r="F39"/>
  <c r="F78" s="1"/>
  <c r="W24"/>
  <c r="U148" i="86"/>
  <c r="S220"/>
  <c r="U147"/>
  <c r="M206" i="21"/>
  <c r="M204"/>
  <c r="M203"/>
  <c r="M202"/>
  <c r="M201"/>
  <c r="M200"/>
  <c r="M199"/>
  <c r="M198"/>
  <c r="M197"/>
  <c r="M196"/>
  <c r="M195"/>
  <c r="M194"/>
  <c r="M193"/>
  <c r="M191"/>
  <c r="M190"/>
  <c r="M189"/>
  <c r="M188"/>
  <c r="M177"/>
  <c r="M176"/>
  <c r="M175"/>
  <c r="M174"/>
  <c r="M173"/>
  <c r="M172"/>
  <c r="M171"/>
  <c r="M170"/>
  <c r="M169"/>
  <c r="M165"/>
  <c r="M164"/>
  <c r="M163"/>
  <c r="M162"/>
  <c r="M161"/>
  <c r="M160"/>
  <c r="M159"/>
  <c r="M158"/>
  <c r="M157"/>
  <c r="M156"/>
  <c r="M155"/>
  <c r="M154"/>
  <c r="M152"/>
  <c r="M151"/>
  <c r="M150"/>
  <c r="M149"/>
  <c r="M148"/>
  <c r="M147"/>
  <c r="M146"/>
  <c r="M145"/>
  <c r="M144"/>
  <c r="M143"/>
  <c r="M142"/>
  <c r="M141"/>
  <c r="M139"/>
  <c r="M138"/>
  <c r="M137"/>
  <c r="M136"/>
  <c r="M135"/>
  <c r="M134"/>
  <c r="M133"/>
  <c r="M132"/>
  <c r="M131"/>
  <c r="M130"/>
  <c r="M129"/>
  <c r="M128"/>
  <c r="M126"/>
  <c r="M125"/>
  <c r="M124"/>
  <c r="M123"/>
  <c r="M122"/>
  <c r="M121"/>
  <c r="M120"/>
  <c r="M119"/>
  <c r="M118"/>
  <c r="M117"/>
  <c r="M116"/>
  <c r="M115"/>
  <c r="M113"/>
  <c r="M112"/>
  <c r="M111"/>
  <c r="M110"/>
  <c r="M109"/>
  <c r="M108"/>
  <c r="M107"/>
  <c r="M106"/>
  <c r="M105"/>
  <c r="M104"/>
  <c r="M103"/>
  <c r="M102"/>
  <c r="M100"/>
  <c r="M99"/>
  <c r="M98"/>
  <c r="M97"/>
  <c r="M96"/>
  <c r="M95"/>
  <c r="M94"/>
  <c r="M93"/>
  <c r="M92"/>
  <c r="M91"/>
  <c r="M90"/>
  <c r="M89"/>
  <c r="M87"/>
  <c r="M86"/>
  <c r="M85"/>
  <c r="M84"/>
  <c r="M83"/>
  <c r="M82"/>
  <c r="M81"/>
  <c r="M80"/>
  <c r="M79"/>
  <c r="M78"/>
  <c r="M77"/>
  <c r="M76"/>
  <c r="K103" i="6"/>
  <c r="K101"/>
  <c r="K91"/>
  <c r="L14" i="18"/>
  <c r="L9"/>
  <c r="K81" i="6"/>
  <c r="J80"/>
  <c r="B10" i="7"/>
  <c r="B8"/>
  <c r="S80" i="6"/>
  <c r="R80"/>
  <c r="S79"/>
  <c r="Q79"/>
  <c r="J79" i="19"/>
  <c r="R78" i="6"/>
  <c r="Q78"/>
  <c r="S77"/>
  <c r="R77"/>
  <c r="S76"/>
  <c r="R76"/>
  <c r="Q76"/>
  <c r="T75"/>
  <c r="R75"/>
  <c r="Q75"/>
  <c r="H7" i="18"/>
  <c r="G7"/>
  <c r="F7"/>
  <c r="G74" i="19"/>
  <c r="I74"/>
  <c r="P73" i="6"/>
  <c r="T72"/>
  <c r="I72" i="19"/>
  <c r="T71" i="6"/>
  <c r="P71"/>
  <c r="P70"/>
  <c r="T69"/>
  <c r="S69"/>
  <c r="P69"/>
  <c r="S68"/>
  <c r="Q68"/>
  <c r="T67"/>
  <c r="S67"/>
  <c r="Q67"/>
  <c r="T66"/>
  <c r="R66"/>
  <c r="G67" i="19"/>
  <c r="T65" i="6"/>
  <c r="S65"/>
  <c r="R65"/>
  <c r="S64"/>
  <c r="T63"/>
  <c r="S63"/>
  <c r="R63"/>
  <c r="Q63"/>
  <c r="T61"/>
  <c r="I62" i="19"/>
  <c r="P61" i="6"/>
  <c r="T60"/>
  <c r="S60"/>
  <c r="T59"/>
  <c r="S58"/>
  <c r="T57"/>
  <c r="S57"/>
  <c r="I57" i="19"/>
  <c r="I26" i="15" s="1"/>
  <c r="T55" i="6"/>
  <c r="S54"/>
  <c r="P54"/>
  <c r="T53"/>
  <c r="T52"/>
  <c r="S52"/>
  <c r="P50"/>
  <c r="T49"/>
  <c r="S49"/>
  <c r="S48"/>
  <c r="P48"/>
  <c r="T47"/>
  <c r="S47"/>
  <c r="P46"/>
  <c r="T45"/>
  <c r="I44" i="19"/>
  <c r="S43" i="6"/>
  <c r="S42"/>
  <c r="P42"/>
  <c r="T41"/>
  <c r="P40"/>
  <c r="T37"/>
  <c r="I36" i="19"/>
  <c r="P36" i="6"/>
  <c r="T35"/>
  <c r="P34"/>
  <c r="T33"/>
  <c r="S32"/>
  <c r="S30"/>
  <c r="P30"/>
  <c r="S29"/>
  <c r="S28"/>
  <c r="T27"/>
  <c r="S26"/>
  <c r="J25" i="19"/>
  <c r="S25" i="6"/>
  <c r="P24"/>
  <c r="O23"/>
  <c r="T22"/>
  <c r="S22"/>
  <c r="P22"/>
  <c r="I20" i="19"/>
  <c r="T19" i="6"/>
  <c r="S18"/>
  <c r="T17"/>
  <c r="S16"/>
  <c r="T15"/>
  <c r="O15"/>
  <c r="T14"/>
  <c r="P14"/>
  <c r="T13"/>
  <c r="S13"/>
  <c r="S11"/>
  <c r="T10"/>
  <c r="P10"/>
  <c r="S9"/>
  <c r="B13" i="7"/>
  <c r="U111" i="24"/>
  <c r="O89"/>
  <c r="N89"/>
  <c r="O88"/>
  <c r="N88"/>
  <c r="G104" i="6"/>
  <c r="H103"/>
  <c r="G103"/>
  <c r="H102"/>
  <c r="E81" i="5"/>
  <c r="I80"/>
  <c r="E80"/>
  <c r="F76"/>
  <c r="D75"/>
  <c r="J66"/>
  <c r="I66"/>
  <c r="J64"/>
  <c r="I63"/>
  <c r="G63"/>
  <c r="F64"/>
  <c r="E48"/>
  <c r="H105" i="18"/>
  <c r="H104"/>
  <c r="J104"/>
  <c r="H103"/>
  <c r="H102"/>
  <c r="H101"/>
  <c r="H100"/>
  <c r="J100"/>
  <c r="H99"/>
  <c r="H97"/>
  <c r="H96"/>
  <c r="J96"/>
  <c r="H95"/>
  <c r="H94"/>
  <c r="J94"/>
  <c r="H92"/>
  <c r="H90"/>
  <c r="H88"/>
  <c r="H86"/>
  <c r="J84"/>
  <c r="H82"/>
  <c r="J82"/>
  <c r="J81"/>
  <c r="H80"/>
  <c r="H79"/>
  <c r="H78"/>
  <c r="H77"/>
  <c r="J77"/>
  <c r="H76"/>
  <c r="H75"/>
  <c r="H74"/>
  <c r="H73"/>
  <c r="H72"/>
  <c r="H71"/>
  <c r="H70"/>
  <c r="H68"/>
  <c r="H66"/>
  <c r="H65"/>
  <c r="H64"/>
  <c r="J64"/>
  <c r="H63"/>
  <c r="H62"/>
  <c r="H61"/>
  <c r="H60"/>
  <c r="H59"/>
  <c r="H58"/>
  <c r="J58"/>
  <c r="H57"/>
  <c r="H56"/>
  <c r="H55"/>
  <c r="H54"/>
  <c r="J54"/>
  <c r="H53"/>
  <c r="H52"/>
  <c r="H50"/>
  <c r="H49"/>
  <c r="H48"/>
  <c r="J48"/>
  <c r="H47"/>
  <c r="H46"/>
  <c r="H45"/>
  <c r="J45"/>
  <c r="H43"/>
  <c r="H42"/>
  <c r="H41"/>
  <c r="H39"/>
  <c r="H38"/>
  <c r="H32"/>
  <c r="T103" i="6"/>
  <c r="H29" i="18"/>
  <c r="E100" i="6"/>
  <c r="H27" i="18"/>
  <c r="T96" i="6"/>
  <c r="E96"/>
  <c r="H23" i="18"/>
  <c r="E95" i="6"/>
  <c r="T94"/>
  <c r="T93"/>
  <c r="J21" i="18"/>
  <c r="H19"/>
  <c r="T91" i="6"/>
  <c r="E88"/>
  <c r="H13" i="18"/>
  <c r="T85" i="6"/>
  <c r="E82"/>
  <c r="H8" i="18"/>
  <c r="E81" i="6"/>
  <c r="D80"/>
  <c r="D75"/>
  <c r="D63"/>
  <c r="J6" i="18"/>
  <c r="D61" i="6"/>
  <c r="G105" i="18"/>
  <c r="E105"/>
  <c r="G104"/>
  <c r="G103"/>
  <c r="G102"/>
  <c r="E102"/>
  <c r="E101"/>
  <c r="G100"/>
  <c r="E100"/>
  <c r="G99"/>
  <c r="E99"/>
  <c r="G98"/>
  <c r="E98"/>
  <c r="G97"/>
  <c r="E97"/>
  <c r="G96"/>
  <c r="F96"/>
  <c r="G95"/>
  <c r="G94"/>
  <c r="E94"/>
  <c r="G92"/>
  <c r="E92"/>
  <c r="G91"/>
  <c r="E91"/>
  <c r="E90"/>
  <c r="G89"/>
  <c r="E89"/>
  <c r="G88"/>
  <c r="E88"/>
  <c r="G87"/>
  <c r="E87"/>
  <c r="G85"/>
  <c r="G84"/>
  <c r="E84"/>
  <c r="G83"/>
  <c r="E83"/>
  <c r="G79"/>
  <c r="G78"/>
  <c r="E78"/>
  <c r="G77"/>
  <c r="E77"/>
  <c r="E76"/>
  <c r="G75"/>
  <c r="F75"/>
  <c r="E75"/>
  <c r="G74"/>
  <c r="E74"/>
  <c r="G73"/>
  <c r="E72"/>
  <c r="G71"/>
  <c r="E71"/>
  <c r="G70"/>
  <c r="E70"/>
  <c r="F69"/>
  <c r="E68"/>
  <c r="G67"/>
  <c r="E67"/>
  <c r="G66"/>
  <c r="E66"/>
  <c r="G65"/>
  <c r="E64"/>
  <c r="G63"/>
  <c r="E63"/>
  <c r="G62"/>
  <c r="F62"/>
  <c r="E62"/>
  <c r="F61"/>
  <c r="G60"/>
  <c r="F60"/>
  <c r="E60"/>
  <c r="F59"/>
  <c r="F58"/>
  <c r="E58"/>
  <c r="G57"/>
  <c r="E57"/>
  <c r="F56"/>
  <c r="F55"/>
  <c r="E55"/>
  <c r="F54"/>
  <c r="F53"/>
  <c r="E53"/>
  <c r="F52"/>
  <c r="G51"/>
  <c r="F51"/>
  <c r="E51"/>
  <c r="F50"/>
  <c r="F49"/>
  <c r="E49"/>
  <c r="F48"/>
  <c r="G47"/>
  <c r="F47"/>
  <c r="E47"/>
  <c r="F46"/>
  <c r="E45"/>
  <c r="G44"/>
  <c r="E44"/>
  <c r="F43"/>
  <c r="G42"/>
  <c r="E42"/>
  <c r="G40"/>
  <c r="E40"/>
  <c r="F39"/>
  <c r="G38"/>
  <c r="E38"/>
  <c r="G36"/>
  <c r="E36"/>
  <c r="F35"/>
  <c r="G34"/>
  <c r="E34"/>
  <c r="S104" i="6"/>
  <c r="R104"/>
  <c r="R103"/>
  <c r="G30" i="18"/>
  <c r="R102" i="6"/>
  <c r="F29" i="18"/>
  <c r="G28"/>
  <c r="R100" i="6"/>
  <c r="Q100"/>
  <c r="F27" i="18"/>
  <c r="F26"/>
  <c r="E26"/>
  <c r="D26" s="1"/>
  <c r="F25"/>
  <c r="R96" i="6"/>
  <c r="Q96"/>
  <c r="G22" i="18"/>
  <c r="E22"/>
  <c r="D22" s="1"/>
  <c r="R93" i="6"/>
  <c r="R91"/>
  <c r="F15" i="18"/>
  <c r="G14"/>
  <c r="Q87" i="6"/>
  <c r="F13" i="18"/>
  <c r="S85" i="6"/>
  <c r="C10" i="7"/>
  <c r="Q85" i="6"/>
  <c r="M78"/>
  <c r="M67"/>
  <c r="C20" i="15"/>
  <c r="C12"/>
  <c r="C11"/>
  <c r="C10"/>
  <c r="C9"/>
  <c r="C8"/>
  <c r="C616" i="18"/>
  <c r="C615"/>
  <c r="H614"/>
  <c r="G614"/>
  <c r="C614"/>
  <c r="H613"/>
  <c r="G613"/>
  <c r="C613"/>
  <c r="H612"/>
  <c r="G612"/>
  <c r="C612"/>
  <c r="H611"/>
  <c r="G611"/>
  <c r="C611"/>
  <c r="H610"/>
  <c r="G610"/>
  <c r="C610"/>
  <c r="J605"/>
  <c r="I605"/>
  <c r="H605"/>
  <c r="G605"/>
  <c r="C605"/>
  <c r="J603"/>
  <c r="I603"/>
  <c r="H603"/>
  <c r="G603"/>
  <c r="C603"/>
  <c r="J602"/>
  <c r="I602"/>
  <c r="H602"/>
  <c r="G602"/>
  <c r="C602"/>
  <c r="J601"/>
  <c r="I601"/>
  <c r="H601"/>
  <c r="G601"/>
  <c r="C601"/>
  <c r="J600"/>
  <c r="I600"/>
  <c r="H600"/>
  <c r="G600"/>
  <c r="C600"/>
  <c r="J599"/>
  <c r="I599"/>
  <c r="H599"/>
  <c r="G599"/>
  <c r="C599"/>
  <c r="J598"/>
  <c r="I598"/>
  <c r="H598"/>
  <c r="G598"/>
  <c r="C598"/>
  <c r="J597"/>
  <c r="I597"/>
  <c r="H597"/>
  <c r="G597"/>
  <c r="C597"/>
  <c r="J596"/>
  <c r="I596"/>
  <c r="H596"/>
  <c r="G596"/>
  <c r="C596"/>
  <c r="J595"/>
  <c r="I595"/>
  <c r="H595"/>
  <c r="G595"/>
  <c r="C595"/>
  <c r="J594"/>
  <c r="I594"/>
  <c r="H594"/>
  <c r="G594"/>
  <c r="C594"/>
  <c r="J593"/>
  <c r="I593"/>
  <c r="H593"/>
  <c r="G593"/>
  <c r="C593"/>
  <c r="J592"/>
  <c r="I592"/>
  <c r="H592"/>
  <c r="G592"/>
  <c r="C592"/>
  <c r="J590"/>
  <c r="I590"/>
  <c r="H590"/>
  <c r="G590"/>
  <c r="C590"/>
  <c r="C686"/>
  <c r="J589"/>
  <c r="I589"/>
  <c r="H589"/>
  <c r="G589"/>
  <c r="C589"/>
  <c r="J588"/>
  <c r="I588"/>
  <c r="H588"/>
  <c r="G588"/>
  <c r="C588"/>
  <c r="J587"/>
  <c r="I587"/>
  <c r="H587"/>
  <c r="G587"/>
  <c r="C587"/>
  <c r="J586"/>
  <c r="I586"/>
  <c r="H586"/>
  <c r="G586"/>
  <c r="C586"/>
  <c r="J585"/>
  <c r="I585"/>
  <c r="H585"/>
  <c r="G585"/>
  <c r="C585"/>
  <c r="J584"/>
  <c r="I584"/>
  <c r="H584"/>
  <c r="G584"/>
  <c r="C584"/>
  <c r="J583"/>
  <c r="I583"/>
  <c r="H583"/>
  <c r="G583"/>
  <c r="C583"/>
  <c r="J582"/>
  <c r="I582"/>
  <c r="H582"/>
  <c r="G582"/>
  <c r="C582"/>
  <c r="J581"/>
  <c r="I581"/>
  <c r="H581"/>
  <c r="G581"/>
  <c r="C581"/>
  <c r="J580"/>
  <c r="I580"/>
  <c r="H580"/>
  <c r="G580"/>
  <c r="C580"/>
  <c r="J579"/>
  <c r="I579"/>
  <c r="H579"/>
  <c r="G579"/>
  <c r="C579"/>
  <c r="J577"/>
  <c r="I577"/>
  <c r="H577"/>
  <c r="G577"/>
  <c r="C577"/>
  <c r="J576"/>
  <c r="I576"/>
  <c r="H576"/>
  <c r="G576"/>
  <c r="C576"/>
  <c r="J575"/>
  <c r="I575"/>
  <c r="H575"/>
  <c r="G575"/>
  <c r="C575"/>
  <c r="J574"/>
  <c r="I574"/>
  <c r="H574"/>
  <c r="G574"/>
  <c r="G670"/>
  <c r="C574"/>
  <c r="J573"/>
  <c r="I573"/>
  <c r="H573"/>
  <c r="G573"/>
  <c r="C573"/>
  <c r="J572"/>
  <c r="I572"/>
  <c r="H572"/>
  <c r="G572"/>
  <c r="C572"/>
  <c r="J571"/>
  <c r="I571"/>
  <c r="H571"/>
  <c r="G571"/>
  <c r="C571"/>
  <c r="J570"/>
  <c r="I570"/>
  <c r="H570"/>
  <c r="G570"/>
  <c r="C570"/>
  <c r="J569"/>
  <c r="I569"/>
  <c r="H569"/>
  <c r="G569"/>
  <c r="C569"/>
  <c r="J568"/>
  <c r="I568"/>
  <c r="H568"/>
  <c r="G568"/>
  <c r="C568"/>
  <c r="J567"/>
  <c r="I567"/>
  <c r="H567"/>
  <c r="G567"/>
  <c r="C567"/>
  <c r="J566"/>
  <c r="I566"/>
  <c r="H566"/>
  <c r="G566"/>
  <c r="C566"/>
  <c r="J564"/>
  <c r="I564"/>
  <c r="H564"/>
  <c r="G564"/>
  <c r="C564"/>
  <c r="J563"/>
  <c r="I563"/>
  <c r="H563"/>
  <c r="G563"/>
  <c r="C563"/>
  <c r="J562"/>
  <c r="I562"/>
  <c r="H562"/>
  <c r="G562"/>
  <c r="C562"/>
  <c r="J561"/>
  <c r="I561"/>
  <c r="H561"/>
  <c r="G561"/>
  <c r="C561"/>
  <c r="J560"/>
  <c r="I560"/>
  <c r="H560"/>
  <c r="H656"/>
  <c r="G560"/>
  <c r="C560"/>
  <c r="J559"/>
  <c r="I559"/>
  <c r="H559"/>
  <c r="G559"/>
  <c r="C559"/>
  <c r="J558"/>
  <c r="I558"/>
  <c r="H558"/>
  <c r="G558"/>
  <c r="C558"/>
  <c r="J557"/>
  <c r="I557"/>
  <c r="H557"/>
  <c r="G557"/>
  <c r="C557"/>
  <c r="J556"/>
  <c r="I556"/>
  <c r="H556"/>
  <c r="G556"/>
  <c r="C556"/>
  <c r="J555"/>
  <c r="I555"/>
  <c r="H555"/>
  <c r="G555"/>
  <c r="C555"/>
  <c r="J554"/>
  <c r="I554"/>
  <c r="H554"/>
  <c r="G554"/>
  <c r="C554"/>
  <c r="J553"/>
  <c r="I553"/>
  <c r="H553"/>
  <c r="G553"/>
  <c r="C553"/>
  <c r="J551"/>
  <c r="I551"/>
  <c r="H551"/>
  <c r="G551"/>
  <c r="C551"/>
  <c r="J550"/>
  <c r="I550"/>
  <c r="H550"/>
  <c r="G550"/>
  <c r="C550"/>
  <c r="J549"/>
  <c r="I549"/>
  <c r="H549"/>
  <c r="G549"/>
  <c r="C549"/>
  <c r="J548"/>
  <c r="I548"/>
  <c r="H548"/>
  <c r="G548"/>
  <c r="C548"/>
  <c r="J547"/>
  <c r="I547"/>
  <c r="H547"/>
  <c r="G547"/>
  <c r="C547"/>
  <c r="J546"/>
  <c r="I546"/>
  <c r="H546"/>
  <c r="G546"/>
  <c r="C546"/>
  <c r="C629"/>
  <c r="J545"/>
  <c r="I545"/>
  <c r="H545"/>
  <c r="G545"/>
  <c r="C545"/>
  <c r="J544"/>
  <c r="I544"/>
  <c r="H544"/>
  <c r="G544"/>
  <c r="G627"/>
  <c r="C544"/>
  <c r="C627"/>
  <c r="J543"/>
  <c r="I543"/>
  <c r="H543"/>
  <c r="H626"/>
  <c r="G543"/>
  <c r="C543"/>
  <c r="C626"/>
  <c r="J542"/>
  <c r="I542"/>
  <c r="H542"/>
  <c r="H625"/>
  <c r="G542"/>
  <c r="G625"/>
  <c r="C542"/>
  <c r="C625"/>
  <c r="J541"/>
  <c r="I541"/>
  <c r="H541"/>
  <c r="H624"/>
  <c r="G541"/>
  <c r="C541"/>
  <c r="J540"/>
  <c r="I540"/>
  <c r="H540"/>
  <c r="G540"/>
  <c r="G623"/>
  <c r="C540"/>
  <c r="C623"/>
  <c r="J538"/>
  <c r="I538"/>
  <c r="H538"/>
  <c r="G538"/>
  <c r="C538"/>
  <c r="J537"/>
  <c r="I537"/>
  <c r="H537"/>
  <c r="G537"/>
  <c r="C537"/>
  <c r="J536"/>
  <c r="I536"/>
  <c r="H536"/>
  <c r="G536"/>
  <c r="C536"/>
  <c r="J535"/>
  <c r="I535"/>
  <c r="H535"/>
  <c r="G535"/>
  <c r="C535"/>
  <c r="J534"/>
  <c r="I534"/>
  <c r="H534"/>
  <c r="G534"/>
  <c r="C534"/>
  <c r="J533"/>
  <c r="I533"/>
  <c r="H533"/>
  <c r="G533"/>
  <c r="J532"/>
  <c r="I532"/>
  <c r="H532"/>
  <c r="G532"/>
  <c r="I531"/>
  <c r="F531"/>
  <c r="J530"/>
  <c r="I530"/>
  <c r="F530"/>
  <c r="J529"/>
  <c r="I529"/>
  <c r="F529"/>
  <c r="J528"/>
  <c r="I528"/>
  <c r="F528"/>
  <c r="J527"/>
  <c r="I527"/>
  <c r="F527"/>
  <c r="H525"/>
  <c r="G525"/>
  <c r="G608"/>
  <c r="C525"/>
  <c r="C608"/>
  <c r="J524"/>
  <c r="H524"/>
  <c r="C524"/>
  <c r="H523"/>
  <c r="G523"/>
  <c r="C523"/>
  <c r="H522"/>
  <c r="G522"/>
  <c r="C522"/>
  <c r="I521"/>
  <c r="H521"/>
  <c r="G521"/>
  <c r="C521"/>
  <c r="J520"/>
  <c r="H520"/>
  <c r="G520"/>
  <c r="H519"/>
  <c r="G519"/>
  <c r="F518"/>
  <c r="J517"/>
  <c r="I517"/>
  <c r="F517"/>
  <c r="J516"/>
  <c r="I516"/>
  <c r="F516"/>
  <c r="J515"/>
  <c r="I515"/>
  <c r="F515"/>
  <c r="J514"/>
  <c r="I514"/>
  <c r="F514"/>
  <c r="J512"/>
  <c r="I512"/>
  <c r="F512"/>
  <c r="J511"/>
  <c r="I511"/>
  <c r="F511"/>
  <c r="J510"/>
  <c r="I510"/>
  <c r="F510"/>
  <c r="J509"/>
  <c r="I509"/>
  <c r="F509"/>
  <c r="J508"/>
  <c r="I508"/>
  <c r="F508"/>
  <c r="J507"/>
  <c r="I507"/>
  <c r="F507"/>
  <c r="J506"/>
  <c r="I506"/>
  <c r="F506"/>
  <c r="J505"/>
  <c r="I505"/>
  <c r="F505"/>
  <c r="J504"/>
  <c r="I504"/>
  <c r="F504"/>
  <c r="J503"/>
  <c r="I503"/>
  <c r="F503"/>
  <c r="J502"/>
  <c r="I502"/>
  <c r="F502"/>
  <c r="J501"/>
  <c r="I501"/>
  <c r="F501"/>
  <c r="J499"/>
  <c r="I499"/>
  <c r="F499"/>
  <c r="J498"/>
  <c r="I498"/>
  <c r="F498"/>
  <c r="J497"/>
  <c r="I497"/>
  <c r="F497"/>
  <c r="J496"/>
  <c r="I496"/>
  <c r="F496"/>
  <c r="J495"/>
  <c r="I495"/>
  <c r="F495"/>
  <c r="J494"/>
  <c r="I494"/>
  <c r="F494"/>
  <c r="J493"/>
  <c r="I493"/>
  <c r="F493"/>
  <c r="J492"/>
  <c r="I492"/>
  <c r="F492"/>
  <c r="J491"/>
  <c r="I491"/>
  <c r="F491"/>
  <c r="J490"/>
  <c r="I490"/>
  <c r="F490"/>
  <c r="J489"/>
  <c r="I489"/>
  <c r="F489"/>
  <c r="J488"/>
  <c r="I488"/>
  <c r="F488"/>
  <c r="J486"/>
  <c r="I486"/>
  <c r="F486"/>
  <c r="J485"/>
  <c r="I485"/>
  <c r="F485"/>
  <c r="J484"/>
  <c r="I484"/>
  <c r="F484"/>
  <c r="J483"/>
  <c r="I483"/>
  <c r="F483"/>
  <c r="J482"/>
  <c r="I482"/>
  <c r="F482"/>
  <c r="J481"/>
  <c r="I481"/>
  <c r="F481"/>
  <c r="J480"/>
  <c r="I480"/>
  <c r="F480"/>
  <c r="J479"/>
  <c r="I479"/>
  <c r="F479"/>
  <c r="J478"/>
  <c r="I478"/>
  <c r="F478"/>
  <c r="J477"/>
  <c r="I477"/>
  <c r="F477"/>
  <c r="J476"/>
  <c r="I476"/>
  <c r="F476"/>
  <c r="J475"/>
  <c r="I475"/>
  <c r="F475"/>
  <c r="J473"/>
  <c r="I473"/>
  <c r="F473"/>
  <c r="J472"/>
  <c r="I472"/>
  <c r="F472"/>
  <c r="J471"/>
  <c r="I471"/>
  <c r="F471"/>
  <c r="J470"/>
  <c r="I470"/>
  <c r="F470"/>
  <c r="J469"/>
  <c r="I469"/>
  <c r="F469"/>
  <c r="J468"/>
  <c r="I468"/>
  <c r="F468"/>
  <c r="J467"/>
  <c r="I467"/>
  <c r="F467"/>
  <c r="J466"/>
  <c r="I466"/>
  <c r="F466"/>
  <c r="J465"/>
  <c r="I465"/>
  <c r="F465"/>
  <c r="J464"/>
  <c r="I464"/>
  <c r="F464"/>
  <c r="J463"/>
  <c r="I463"/>
  <c r="F463"/>
  <c r="J462"/>
  <c r="I462"/>
  <c r="F462"/>
  <c r="C378"/>
  <c r="C377"/>
  <c r="H376"/>
  <c r="G376"/>
  <c r="C376"/>
  <c r="H375"/>
  <c r="G375"/>
  <c r="C375"/>
  <c r="H374"/>
  <c r="G374"/>
  <c r="C374"/>
  <c r="H373"/>
  <c r="G373"/>
  <c r="C373"/>
  <c r="H372"/>
  <c r="G372"/>
  <c r="C372"/>
  <c r="J367"/>
  <c r="I367"/>
  <c r="H367"/>
  <c r="G367"/>
  <c r="C367"/>
  <c r="J366"/>
  <c r="I366"/>
  <c r="H366"/>
  <c r="G366"/>
  <c r="C366"/>
  <c r="J365"/>
  <c r="I365"/>
  <c r="H365"/>
  <c r="G365"/>
  <c r="C365"/>
  <c r="J364"/>
  <c r="I364"/>
  <c r="H364"/>
  <c r="G364"/>
  <c r="C364"/>
  <c r="J362"/>
  <c r="I362"/>
  <c r="H362"/>
  <c r="G362"/>
  <c r="C362"/>
  <c r="J361"/>
  <c r="I361"/>
  <c r="H361"/>
  <c r="G361"/>
  <c r="C361"/>
  <c r="J360"/>
  <c r="I360"/>
  <c r="H360"/>
  <c r="G360"/>
  <c r="C360"/>
  <c r="J359"/>
  <c r="I359"/>
  <c r="H359"/>
  <c r="G359"/>
  <c r="C359"/>
  <c r="J358"/>
  <c r="I358"/>
  <c r="H358"/>
  <c r="G358"/>
  <c r="C358"/>
  <c r="J357"/>
  <c r="I357"/>
  <c r="H357"/>
  <c r="G357"/>
  <c r="C357"/>
  <c r="J356"/>
  <c r="I356"/>
  <c r="H356"/>
  <c r="G356"/>
  <c r="C356"/>
  <c r="J355"/>
  <c r="I355"/>
  <c r="H355"/>
  <c r="G355"/>
  <c r="C355"/>
  <c r="J354"/>
  <c r="I354"/>
  <c r="H354"/>
  <c r="G354"/>
  <c r="C354"/>
  <c r="J353"/>
  <c r="I353"/>
  <c r="H353"/>
  <c r="G353"/>
  <c r="C353"/>
  <c r="J352"/>
  <c r="I352"/>
  <c r="H352"/>
  <c r="G352"/>
  <c r="C352"/>
  <c r="J351"/>
  <c r="I351"/>
  <c r="H351"/>
  <c r="G351"/>
  <c r="C351"/>
  <c r="J349"/>
  <c r="I349"/>
  <c r="H349"/>
  <c r="G349"/>
  <c r="C349"/>
  <c r="J348"/>
  <c r="I348"/>
  <c r="H348"/>
  <c r="G348"/>
  <c r="C348"/>
  <c r="J347"/>
  <c r="I347"/>
  <c r="H347"/>
  <c r="G347"/>
  <c r="C347"/>
  <c r="J346"/>
  <c r="I346"/>
  <c r="H346"/>
  <c r="G346"/>
  <c r="C346"/>
  <c r="J345"/>
  <c r="I345"/>
  <c r="H345"/>
  <c r="G345"/>
  <c r="C345"/>
  <c r="J344"/>
  <c r="I344"/>
  <c r="H344"/>
  <c r="G344"/>
  <c r="C344"/>
  <c r="J343"/>
  <c r="I343"/>
  <c r="H343"/>
  <c r="G343"/>
  <c r="C343"/>
  <c r="J342"/>
  <c r="I342"/>
  <c r="H342"/>
  <c r="G342"/>
  <c r="C342"/>
  <c r="J341"/>
  <c r="I341"/>
  <c r="H341"/>
  <c r="G341"/>
  <c r="C341"/>
  <c r="J340"/>
  <c r="I340"/>
  <c r="H340"/>
  <c r="G340"/>
  <c r="C340"/>
  <c r="J339"/>
  <c r="I339"/>
  <c r="H339"/>
  <c r="G339"/>
  <c r="C339"/>
  <c r="J338"/>
  <c r="I338"/>
  <c r="H338"/>
  <c r="G338"/>
  <c r="C338"/>
  <c r="J336"/>
  <c r="I336"/>
  <c r="H336"/>
  <c r="G336"/>
  <c r="C336"/>
  <c r="J335"/>
  <c r="I335"/>
  <c r="H335"/>
  <c r="G335"/>
  <c r="C335"/>
  <c r="J334"/>
  <c r="I334"/>
  <c r="H334"/>
  <c r="G334"/>
  <c r="C334"/>
  <c r="J333"/>
  <c r="I333"/>
  <c r="H333"/>
  <c r="G333"/>
  <c r="C333"/>
  <c r="J332"/>
  <c r="I332"/>
  <c r="I431"/>
  <c r="H332"/>
  <c r="G332"/>
  <c r="C332"/>
  <c r="J331"/>
  <c r="J430"/>
  <c r="I331"/>
  <c r="H331"/>
  <c r="G331"/>
  <c r="C331"/>
  <c r="J330"/>
  <c r="I330"/>
  <c r="H330"/>
  <c r="G330"/>
  <c r="G429"/>
  <c r="C330"/>
  <c r="J329"/>
  <c r="I329"/>
  <c r="H329"/>
  <c r="G329"/>
  <c r="C329"/>
  <c r="J328"/>
  <c r="I328"/>
  <c r="H328"/>
  <c r="G328"/>
  <c r="C328"/>
  <c r="J327"/>
  <c r="I327"/>
  <c r="H327"/>
  <c r="G327"/>
  <c r="C327"/>
  <c r="J326"/>
  <c r="I326"/>
  <c r="H326"/>
  <c r="G326"/>
  <c r="C326"/>
  <c r="J325"/>
  <c r="I325"/>
  <c r="H325"/>
  <c r="G325"/>
  <c r="C325"/>
  <c r="J323"/>
  <c r="I323"/>
  <c r="H323"/>
  <c r="G323"/>
  <c r="C323"/>
  <c r="J322"/>
  <c r="I322"/>
  <c r="H322"/>
  <c r="G322"/>
  <c r="C322"/>
  <c r="J321"/>
  <c r="I321"/>
  <c r="H321"/>
  <c r="G321"/>
  <c r="C321"/>
  <c r="J320"/>
  <c r="I320"/>
  <c r="H320"/>
  <c r="G320"/>
  <c r="C320"/>
  <c r="J319"/>
  <c r="I319"/>
  <c r="H319"/>
  <c r="G319"/>
  <c r="C319"/>
  <c r="J318"/>
  <c r="I318"/>
  <c r="H318"/>
  <c r="G318"/>
  <c r="C318"/>
  <c r="J317"/>
  <c r="I317"/>
  <c r="H317"/>
  <c r="G317"/>
  <c r="C317"/>
  <c r="J316"/>
  <c r="I316"/>
  <c r="H316"/>
  <c r="G316"/>
  <c r="C316"/>
  <c r="J315"/>
  <c r="I315"/>
  <c r="H315"/>
  <c r="G315"/>
  <c r="C315"/>
  <c r="J314"/>
  <c r="I314"/>
  <c r="H314"/>
  <c r="G314"/>
  <c r="C314"/>
  <c r="J313"/>
  <c r="I313"/>
  <c r="H313"/>
  <c r="G313"/>
  <c r="C313"/>
  <c r="J312"/>
  <c r="I312"/>
  <c r="H312"/>
  <c r="G312"/>
  <c r="C312"/>
  <c r="J310"/>
  <c r="I310"/>
  <c r="H310"/>
  <c r="G310"/>
  <c r="C310"/>
  <c r="J309"/>
  <c r="I309"/>
  <c r="H309"/>
  <c r="G309"/>
  <c r="C309"/>
  <c r="J308"/>
  <c r="I308"/>
  <c r="H308"/>
  <c r="G308"/>
  <c r="C308"/>
  <c r="C407"/>
  <c r="J307"/>
  <c r="I307"/>
  <c r="H307"/>
  <c r="G307"/>
  <c r="C307"/>
  <c r="J306"/>
  <c r="I306"/>
  <c r="H306"/>
  <c r="G306"/>
  <c r="C306"/>
  <c r="J305"/>
  <c r="I305"/>
  <c r="H305"/>
  <c r="G305"/>
  <c r="C305"/>
  <c r="J304"/>
  <c r="I304"/>
  <c r="H304"/>
  <c r="G304"/>
  <c r="C304"/>
  <c r="C390"/>
  <c r="J303"/>
  <c r="I303"/>
  <c r="H303"/>
  <c r="H389"/>
  <c r="G303"/>
  <c r="G389"/>
  <c r="C303"/>
  <c r="C389"/>
  <c r="J302"/>
  <c r="I302"/>
  <c r="H302"/>
  <c r="H388"/>
  <c r="G302"/>
  <c r="C302"/>
  <c r="C388"/>
  <c r="J301"/>
  <c r="I301"/>
  <c r="H301"/>
  <c r="H387"/>
  <c r="G301"/>
  <c r="C301"/>
  <c r="C387"/>
  <c r="J300"/>
  <c r="I300"/>
  <c r="H300"/>
  <c r="G300"/>
  <c r="G386"/>
  <c r="C300"/>
  <c r="C386"/>
  <c r="J299"/>
  <c r="I299"/>
  <c r="H299"/>
  <c r="H385"/>
  <c r="G299"/>
  <c r="G385"/>
  <c r="C299"/>
  <c r="C385"/>
  <c r="J297"/>
  <c r="I297"/>
  <c r="H297"/>
  <c r="G297"/>
  <c r="C297"/>
  <c r="J296"/>
  <c r="I296"/>
  <c r="H296"/>
  <c r="G296"/>
  <c r="C296"/>
  <c r="J295"/>
  <c r="I295"/>
  <c r="H295"/>
  <c r="G295"/>
  <c r="C295"/>
  <c r="J294"/>
  <c r="I294"/>
  <c r="H294"/>
  <c r="G294"/>
  <c r="C294"/>
  <c r="J293"/>
  <c r="I293"/>
  <c r="H293"/>
  <c r="G293"/>
  <c r="C293"/>
  <c r="J292"/>
  <c r="I292"/>
  <c r="H292"/>
  <c r="G292"/>
  <c r="J291"/>
  <c r="I291"/>
  <c r="H291"/>
  <c r="G291"/>
  <c r="J290"/>
  <c r="I290"/>
  <c r="F290"/>
  <c r="J289"/>
  <c r="I289"/>
  <c r="F289"/>
  <c r="J288"/>
  <c r="I288"/>
  <c r="F288"/>
  <c r="J287"/>
  <c r="I287"/>
  <c r="F287"/>
  <c r="J286"/>
  <c r="I286"/>
  <c r="F286"/>
  <c r="H284"/>
  <c r="H370"/>
  <c r="G284"/>
  <c r="G370"/>
  <c r="C284"/>
  <c r="C370"/>
  <c r="H283"/>
  <c r="G283"/>
  <c r="C283"/>
  <c r="H282"/>
  <c r="C282"/>
  <c r="H281"/>
  <c r="G281"/>
  <c r="C281"/>
  <c r="H280"/>
  <c r="G280"/>
  <c r="C280"/>
  <c r="I279"/>
  <c r="H279"/>
  <c r="G279"/>
  <c r="H278"/>
  <c r="G278"/>
  <c r="J277"/>
  <c r="F277"/>
  <c r="J276"/>
  <c r="I276"/>
  <c r="F276"/>
  <c r="J275"/>
  <c r="I275"/>
  <c r="F275"/>
  <c r="J274"/>
  <c r="I274"/>
  <c r="F274"/>
  <c r="J273"/>
  <c r="I273"/>
  <c r="F273"/>
  <c r="J27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8"/>
  <c r="I258"/>
  <c r="F258"/>
  <c r="J257"/>
  <c r="I257"/>
  <c r="F257"/>
  <c r="J256"/>
  <c r="I256"/>
  <c r="F256"/>
  <c r="J255"/>
  <c r="I255"/>
  <c r="F255"/>
  <c r="J254"/>
  <c r="I254"/>
  <c r="F254"/>
  <c r="J253"/>
  <c r="I253"/>
  <c r="F253"/>
  <c r="J252"/>
  <c r="I252"/>
  <c r="F252"/>
  <c r="J251"/>
  <c r="I251"/>
  <c r="F251"/>
  <c r="J250"/>
  <c r="I250"/>
  <c r="F250"/>
  <c r="J249"/>
  <c r="I249"/>
  <c r="F249"/>
  <c r="J248"/>
  <c r="I248"/>
  <c r="F248"/>
  <c r="J247"/>
  <c r="I247"/>
  <c r="F247"/>
  <c r="J245"/>
  <c r="I245"/>
  <c r="F245"/>
  <c r="J244"/>
  <c r="I244"/>
  <c r="F244"/>
  <c r="J243"/>
  <c r="I243"/>
  <c r="F243"/>
  <c r="J242"/>
  <c r="I242"/>
  <c r="F242"/>
  <c r="J241"/>
  <c r="I241"/>
  <c r="F241"/>
  <c r="J240"/>
  <c r="I240"/>
  <c r="F240"/>
  <c r="J239"/>
  <c r="I239"/>
  <c r="F239"/>
  <c r="J238"/>
  <c r="I238"/>
  <c r="F238"/>
  <c r="J237"/>
  <c r="I237"/>
  <c r="F237"/>
  <c r="J236"/>
  <c r="I236"/>
  <c r="F236"/>
  <c r="J235"/>
  <c r="I235"/>
  <c r="F235"/>
  <c r="J234"/>
  <c r="I234"/>
  <c r="F234"/>
  <c r="J232"/>
  <c r="I232"/>
  <c r="F232"/>
  <c r="J231"/>
  <c r="I231"/>
  <c r="F231"/>
  <c r="J230"/>
  <c r="I230"/>
  <c r="F230"/>
  <c r="J229"/>
  <c r="I229"/>
  <c r="F229"/>
  <c r="J228"/>
  <c r="I228"/>
  <c r="F228"/>
  <c r="J227"/>
  <c r="I227"/>
  <c r="F227"/>
  <c r="J226"/>
  <c r="I226"/>
  <c r="F226"/>
  <c r="J225"/>
  <c r="I225"/>
  <c r="F225"/>
  <c r="J224"/>
  <c r="I224"/>
  <c r="F224"/>
  <c r="J223"/>
  <c r="I223"/>
  <c r="F223"/>
  <c r="J222"/>
  <c r="I222"/>
  <c r="F222"/>
  <c r="J221"/>
  <c r="I221"/>
  <c r="F221"/>
  <c r="F130"/>
  <c r="J130"/>
  <c r="E130"/>
  <c r="I130"/>
  <c r="D130"/>
  <c r="H130"/>
  <c r="C130"/>
  <c r="G130"/>
  <c r="B130"/>
  <c r="H81"/>
  <c r="G81"/>
  <c r="F81"/>
  <c r="E81"/>
  <c r="C81"/>
  <c r="A34"/>
  <c r="A33"/>
  <c r="A32"/>
  <c r="A31"/>
  <c r="A30"/>
  <c r="A29"/>
  <c r="A28"/>
  <c r="A27"/>
  <c r="A26"/>
  <c r="A25"/>
  <c r="A24"/>
  <c r="A23"/>
  <c r="A22"/>
  <c r="A21"/>
  <c r="A20"/>
  <c r="A19"/>
  <c r="A18"/>
  <c r="A17"/>
  <c r="A16"/>
  <c r="A15"/>
  <c r="A14"/>
  <c r="A13"/>
  <c r="A12"/>
  <c r="A11"/>
  <c r="A10"/>
  <c r="A9"/>
  <c r="C7"/>
  <c r="C6"/>
  <c r="B31" i="7"/>
  <c r="B21"/>
  <c r="E17"/>
  <c r="D17"/>
  <c r="C17"/>
  <c r="B17"/>
  <c r="V104" i="6"/>
  <c r="B104"/>
  <c r="V103"/>
  <c r="B103"/>
  <c r="V102"/>
  <c r="B102"/>
  <c r="V101"/>
  <c r="B101"/>
  <c r="V100"/>
  <c r="I100"/>
  <c r="F100"/>
  <c r="V99"/>
  <c r="I99"/>
  <c r="F99"/>
  <c r="V98"/>
  <c r="I98"/>
  <c r="F98"/>
  <c r="V97"/>
  <c r="I97"/>
  <c r="F97"/>
  <c r="V96"/>
  <c r="I96"/>
  <c r="F96"/>
  <c r="V95"/>
  <c r="I95"/>
  <c r="F95"/>
  <c r="V94"/>
  <c r="I94"/>
  <c r="F94"/>
  <c r="V93"/>
  <c r="I93"/>
  <c r="F93"/>
  <c r="V92"/>
  <c r="F92"/>
  <c r="V91"/>
  <c r="F91"/>
  <c r="V90"/>
  <c r="I90"/>
  <c r="F90"/>
  <c r="V89"/>
  <c r="I89"/>
  <c r="F89"/>
  <c r="V88"/>
  <c r="I88"/>
  <c r="F88"/>
  <c r="V87"/>
  <c r="I87"/>
  <c r="F87"/>
  <c r="V86"/>
  <c r="I86"/>
  <c r="F86"/>
  <c r="V85"/>
  <c r="I85"/>
  <c r="F85"/>
  <c r="V84"/>
  <c r="I84"/>
  <c r="F84"/>
  <c r="V83"/>
  <c r="I83"/>
  <c r="F83"/>
  <c r="V82"/>
  <c r="I82"/>
  <c r="F82"/>
  <c r="V81"/>
  <c r="F81"/>
  <c r="V80"/>
  <c r="F80"/>
  <c r="E80"/>
  <c r="V79"/>
  <c r="K79"/>
  <c r="J79"/>
  <c r="F79"/>
  <c r="E79"/>
  <c r="V78"/>
  <c r="K78"/>
  <c r="J78"/>
  <c r="F78"/>
  <c r="E78"/>
  <c r="V77"/>
  <c r="K77"/>
  <c r="F77"/>
  <c r="E77"/>
  <c r="V76"/>
  <c r="F76"/>
  <c r="E76"/>
  <c r="V75"/>
  <c r="M75"/>
  <c r="K75"/>
  <c r="F75"/>
  <c r="E75"/>
  <c r="V74"/>
  <c r="M74"/>
  <c r="I74"/>
  <c r="H74"/>
  <c r="G74"/>
  <c r="E74"/>
  <c r="V73"/>
  <c r="R73"/>
  <c r="Q73"/>
  <c r="M73"/>
  <c r="I73"/>
  <c r="C73"/>
  <c r="AH73"/>
  <c r="F73"/>
  <c r="V72"/>
  <c r="R72"/>
  <c r="Q72"/>
  <c r="M72"/>
  <c r="I72"/>
  <c r="C72"/>
  <c r="AH72"/>
  <c r="F72"/>
  <c r="V71"/>
  <c r="S71"/>
  <c r="R71"/>
  <c r="Q71"/>
  <c r="M71"/>
  <c r="I71"/>
  <c r="C71"/>
  <c r="F71"/>
  <c r="V70"/>
  <c r="R70"/>
  <c r="Q70"/>
  <c r="M70"/>
  <c r="I70"/>
  <c r="C70"/>
  <c r="F70"/>
  <c r="V69"/>
  <c r="R69"/>
  <c r="Q69"/>
  <c r="M69"/>
  <c r="I69"/>
  <c r="C69"/>
  <c r="AH69"/>
  <c r="F69"/>
  <c r="K68"/>
  <c r="J68"/>
  <c r="I68" s="1"/>
  <c r="C68" s="1"/>
  <c r="AH68" s="1"/>
  <c r="F68"/>
  <c r="K67"/>
  <c r="J67"/>
  <c r="F67"/>
  <c r="K66"/>
  <c r="J66"/>
  <c r="F66"/>
  <c r="K65"/>
  <c r="J65"/>
  <c r="F65"/>
  <c r="I64"/>
  <c r="F64"/>
  <c r="M63"/>
  <c r="I63"/>
  <c r="F63"/>
  <c r="M62"/>
  <c r="K62"/>
  <c r="J62"/>
  <c r="H62"/>
  <c r="G62"/>
  <c r="R61"/>
  <c r="Q61"/>
  <c r="M61"/>
  <c r="I61"/>
  <c r="F61"/>
  <c r="R60"/>
  <c r="Q60"/>
  <c r="M60"/>
  <c r="I60"/>
  <c r="C60"/>
  <c r="AH60"/>
  <c r="F60"/>
  <c r="S59"/>
  <c r="R59"/>
  <c r="Q59"/>
  <c r="M59"/>
  <c r="I59"/>
  <c r="C59"/>
  <c r="AH59"/>
  <c r="F59"/>
  <c r="T58"/>
  <c r="R58"/>
  <c r="Q58"/>
  <c r="M58"/>
  <c r="I58"/>
  <c r="C58"/>
  <c r="AH58"/>
  <c r="F58"/>
  <c r="R57"/>
  <c r="Q57"/>
  <c r="M57"/>
  <c r="I57"/>
  <c r="C57"/>
  <c r="AH57"/>
  <c r="F57"/>
  <c r="T56"/>
  <c r="R56"/>
  <c r="Q56"/>
  <c r="P56"/>
  <c r="M56"/>
  <c r="I56"/>
  <c r="C56"/>
  <c r="F56"/>
  <c r="S55"/>
  <c r="R55"/>
  <c r="Q55"/>
  <c r="M55"/>
  <c r="I55"/>
  <c r="C55"/>
  <c r="F55"/>
  <c r="R54"/>
  <c r="Q54"/>
  <c r="M54"/>
  <c r="I54"/>
  <c r="C54"/>
  <c r="F54"/>
  <c r="R53"/>
  <c r="Q53"/>
  <c r="M53"/>
  <c r="I53"/>
  <c r="C53"/>
  <c r="F53"/>
  <c r="R52"/>
  <c r="Q52"/>
  <c r="M52"/>
  <c r="I52"/>
  <c r="C52"/>
  <c r="F52"/>
  <c r="R51"/>
  <c r="Q51"/>
  <c r="M51"/>
  <c r="I51"/>
  <c r="C51"/>
  <c r="F51"/>
  <c r="R50"/>
  <c r="Q50"/>
  <c r="M50"/>
  <c r="I50"/>
  <c r="C50"/>
  <c r="F50"/>
  <c r="R49"/>
  <c r="Q49"/>
  <c r="M49"/>
  <c r="I49"/>
  <c r="C49"/>
  <c r="F49"/>
  <c r="R48"/>
  <c r="Q48"/>
  <c r="M48"/>
  <c r="I48"/>
  <c r="C48"/>
  <c r="F48"/>
  <c r="R47"/>
  <c r="Q47"/>
  <c r="M47"/>
  <c r="I47"/>
  <c r="C47"/>
  <c r="F47"/>
  <c r="R46"/>
  <c r="Q46"/>
  <c r="M46"/>
  <c r="I46"/>
  <c r="C46"/>
  <c r="F46"/>
  <c r="R45"/>
  <c r="Q45"/>
  <c r="M45"/>
  <c r="I45"/>
  <c r="C45"/>
  <c r="F45"/>
  <c r="R44"/>
  <c r="Q44"/>
  <c r="M44"/>
  <c r="I44"/>
  <c r="C44"/>
  <c r="F44"/>
  <c r="T43"/>
  <c r="R43"/>
  <c r="Q43"/>
  <c r="M43"/>
  <c r="I43"/>
  <c r="C43"/>
  <c r="F43"/>
  <c r="R42"/>
  <c r="Q42"/>
  <c r="M42"/>
  <c r="I42"/>
  <c r="C42"/>
  <c r="F42"/>
  <c r="R41"/>
  <c r="Q41"/>
  <c r="M41"/>
  <c r="I41"/>
  <c r="C41"/>
  <c r="F41"/>
  <c r="T40"/>
  <c r="R40"/>
  <c r="Q40"/>
  <c r="M40"/>
  <c r="I40"/>
  <c r="C40"/>
  <c r="F40"/>
  <c r="S39"/>
  <c r="R39"/>
  <c r="Q39"/>
  <c r="M39"/>
  <c r="I39"/>
  <c r="C39"/>
  <c r="F39"/>
  <c r="S38"/>
  <c r="R38"/>
  <c r="Q38"/>
  <c r="P38"/>
  <c r="M38"/>
  <c r="I38"/>
  <c r="C38"/>
  <c r="F38"/>
  <c r="R37"/>
  <c r="Q37"/>
  <c r="M37"/>
  <c r="I37"/>
  <c r="C37"/>
  <c r="F37"/>
  <c r="T36"/>
  <c r="R36"/>
  <c r="Q36"/>
  <c r="M36"/>
  <c r="I36"/>
  <c r="C36"/>
  <c r="F36"/>
  <c r="S35"/>
  <c r="R35"/>
  <c r="Q35"/>
  <c r="M35"/>
  <c r="I35"/>
  <c r="C35"/>
  <c r="F35"/>
  <c r="R34"/>
  <c r="Q34"/>
  <c r="M34"/>
  <c r="I34"/>
  <c r="C34"/>
  <c r="F34"/>
  <c r="R33"/>
  <c r="Q33"/>
  <c r="M33"/>
  <c r="I33"/>
  <c r="C33"/>
  <c r="F33"/>
  <c r="T32"/>
  <c r="R32"/>
  <c r="Q32"/>
  <c r="M32"/>
  <c r="I32"/>
  <c r="C32"/>
  <c r="F32"/>
  <c r="T31"/>
  <c r="S31"/>
  <c r="R31"/>
  <c r="Q31"/>
  <c r="M31"/>
  <c r="I31"/>
  <c r="C31"/>
  <c r="F31"/>
  <c r="R30"/>
  <c r="Q30"/>
  <c r="M30"/>
  <c r="I30"/>
  <c r="C30"/>
  <c r="F30"/>
  <c r="R29"/>
  <c r="Q29"/>
  <c r="M29"/>
  <c r="I29"/>
  <c r="C29"/>
  <c r="F29"/>
  <c r="T28"/>
  <c r="R28"/>
  <c r="Q28"/>
  <c r="P28"/>
  <c r="M28"/>
  <c r="I28"/>
  <c r="C28"/>
  <c r="F28"/>
  <c r="S27"/>
  <c r="R27"/>
  <c r="Q27"/>
  <c r="M27"/>
  <c r="I27"/>
  <c r="C27"/>
  <c r="F27"/>
  <c r="R26"/>
  <c r="Q26"/>
  <c r="M26"/>
  <c r="I26"/>
  <c r="C26"/>
  <c r="F26"/>
  <c r="R25"/>
  <c r="Q25"/>
  <c r="M25"/>
  <c r="I25"/>
  <c r="C25"/>
  <c r="F25"/>
  <c r="T24"/>
  <c r="R24"/>
  <c r="Q24"/>
  <c r="M24"/>
  <c r="I24"/>
  <c r="C24"/>
  <c r="F24"/>
  <c r="T23"/>
  <c r="S23"/>
  <c r="R23"/>
  <c r="Q23"/>
  <c r="M23"/>
  <c r="I23"/>
  <c r="C23"/>
  <c r="F23"/>
  <c r="R22"/>
  <c r="Q22"/>
  <c r="M22"/>
  <c r="I22"/>
  <c r="C22"/>
  <c r="F22"/>
  <c r="R21"/>
  <c r="Q21"/>
  <c r="M21"/>
  <c r="I21"/>
  <c r="C21"/>
  <c r="F21"/>
  <c r="R20"/>
  <c r="Q20"/>
  <c r="M20"/>
  <c r="I20"/>
  <c r="C20"/>
  <c r="F20"/>
  <c r="S19"/>
  <c r="R19"/>
  <c r="Q19"/>
  <c r="M19"/>
  <c r="I19"/>
  <c r="C19"/>
  <c r="F19"/>
  <c r="R18"/>
  <c r="Q18"/>
  <c r="M18"/>
  <c r="I18"/>
  <c r="C18"/>
  <c r="F18"/>
  <c r="R17"/>
  <c r="Q17"/>
  <c r="M17"/>
  <c r="I17"/>
  <c r="C17"/>
  <c r="F17"/>
  <c r="T16"/>
  <c r="R16"/>
  <c r="Q16"/>
  <c r="M16"/>
  <c r="I16"/>
  <c r="C16"/>
  <c r="F16"/>
  <c r="S15"/>
  <c r="R15"/>
  <c r="Q15"/>
  <c r="M15"/>
  <c r="I15"/>
  <c r="C15"/>
  <c r="F15"/>
  <c r="R14"/>
  <c r="Q14"/>
  <c r="M14"/>
  <c r="I14"/>
  <c r="C14"/>
  <c r="F14"/>
  <c r="R13"/>
  <c r="Q13"/>
  <c r="M13"/>
  <c r="I13"/>
  <c r="C13"/>
  <c r="F13"/>
  <c r="R12"/>
  <c r="Q12"/>
  <c r="M12"/>
  <c r="I12"/>
  <c r="C12"/>
  <c r="F12"/>
  <c r="T11"/>
  <c r="R11"/>
  <c r="Q11"/>
  <c r="M11"/>
  <c r="I11"/>
  <c r="C11"/>
  <c r="F11"/>
  <c r="S10"/>
  <c r="R10"/>
  <c r="Q10"/>
  <c r="M10"/>
  <c r="I10"/>
  <c r="C10"/>
  <c r="F10"/>
  <c r="R9"/>
  <c r="Q9"/>
  <c r="M9"/>
  <c r="I9"/>
  <c r="C9"/>
  <c r="F9"/>
  <c r="C75" i="19"/>
  <c r="C74"/>
  <c r="H73"/>
  <c r="G73"/>
  <c r="C73"/>
  <c r="H72"/>
  <c r="G72"/>
  <c r="C72"/>
  <c r="H71"/>
  <c r="G71"/>
  <c r="C71"/>
  <c r="H70"/>
  <c r="G70"/>
  <c r="C70"/>
  <c r="C63"/>
  <c r="C62"/>
  <c r="H61"/>
  <c r="G61"/>
  <c r="C61"/>
  <c r="J60"/>
  <c r="H60"/>
  <c r="G60"/>
  <c r="C60"/>
  <c r="J59"/>
  <c r="H59"/>
  <c r="G59"/>
  <c r="C59"/>
  <c r="I58"/>
  <c r="H58"/>
  <c r="G58"/>
  <c r="C58"/>
  <c r="H57"/>
  <c r="H26" i="15" s="1"/>
  <c r="G57" i="19"/>
  <c r="G26" i="15" s="1"/>
  <c r="F26" s="1"/>
  <c r="E26" s="1"/>
  <c r="C57" i="19"/>
  <c r="C26" i="15" s="1"/>
  <c r="B26" s="1"/>
  <c r="H56" i="19"/>
  <c r="G56"/>
  <c r="C56"/>
  <c r="H55"/>
  <c r="G55"/>
  <c r="C55"/>
  <c r="H54"/>
  <c r="G54"/>
  <c r="C54"/>
  <c r="H53"/>
  <c r="G53"/>
  <c r="C53"/>
  <c r="H52"/>
  <c r="G52"/>
  <c r="C52"/>
  <c r="H51"/>
  <c r="G51"/>
  <c r="C51"/>
  <c r="H50"/>
  <c r="G50"/>
  <c r="C50"/>
  <c r="H49"/>
  <c r="G49"/>
  <c r="C49"/>
  <c r="H48"/>
  <c r="G48"/>
  <c r="C48"/>
  <c r="H47"/>
  <c r="G47"/>
  <c r="C47"/>
  <c r="H46"/>
  <c r="G46"/>
  <c r="C46"/>
  <c r="H45"/>
  <c r="H25" i="15" s="1"/>
  <c r="G45" i="19"/>
  <c r="G25" i="15" s="1"/>
  <c r="F25" s="1"/>
  <c r="E25" s="1"/>
  <c r="C45" i="19"/>
  <c r="C25" i="15" s="1"/>
  <c r="B25" s="1"/>
  <c r="H44" i="19"/>
  <c r="G44"/>
  <c r="C44"/>
  <c r="H43"/>
  <c r="G43"/>
  <c r="C43"/>
  <c r="H42"/>
  <c r="G42"/>
  <c r="C42"/>
  <c r="H41"/>
  <c r="G41"/>
  <c r="C41"/>
  <c r="H40"/>
  <c r="G40"/>
  <c r="C40"/>
  <c r="H39"/>
  <c r="G39"/>
  <c r="C39"/>
  <c r="H38"/>
  <c r="G38"/>
  <c r="C38"/>
  <c r="H37"/>
  <c r="G37"/>
  <c r="C37"/>
  <c r="H36"/>
  <c r="G36"/>
  <c r="C36"/>
  <c r="H35"/>
  <c r="G35"/>
  <c r="C35"/>
  <c r="H34"/>
  <c r="G34"/>
  <c r="C34"/>
  <c r="I33"/>
  <c r="I24" i="15" s="1"/>
  <c r="H33" i="19"/>
  <c r="H24" i="15" s="1"/>
  <c r="G33" i="19"/>
  <c r="G24" i="15" s="1"/>
  <c r="F24" s="1"/>
  <c r="E24" s="1"/>
  <c r="C33" i="19"/>
  <c r="C24" i="15" s="1"/>
  <c r="B24" s="1"/>
  <c r="J32" i="19"/>
  <c r="H32"/>
  <c r="G32"/>
  <c r="C32"/>
  <c r="I31"/>
  <c r="H31"/>
  <c r="G31"/>
  <c r="C31"/>
  <c r="H30"/>
  <c r="G30"/>
  <c r="C30"/>
  <c r="H29"/>
  <c r="G29"/>
  <c r="C29"/>
  <c r="J28"/>
  <c r="H28"/>
  <c r="G28"/>
  <c r="C28"/>
  <c r="I27"/>
  <c r="H27"/>
  <c r="G27"/>
  <c r="C27"/>
  <c r="H26"/>
  <c r="G26"/>
  <c r="C26"/>
  <c r="H25"/>
  <c r="G25"/>
  <c r="C25"/>
  <c r="H24"/>
  <c r="G24"/>
  <c r="C24"/>
  <c r="H23"/>
  <c r="G23"/>
  <c r="C23"/>
  <c r="H22"/>
  <c r="G22"/>
  <c r="C22"/>
  <c r="H21"/>
  <c r="H23" i="15" s="1"/>
  <c r="G21" i="19"/>
  <c r="G23" i="15" s="1"/>
  <c r="F23" s="1"/>
  <c r="E23" s="1"/>
  <c r="C21" i="19"/>
  <c r="C23" i="15" s="1"/>
  <c r="B23" s="1"/>
  <c r="V23" s="1"/>
  <c r="H20" i="19"/>
  <c r="G20"/>
  <c r="C20"/>
  <c r="H19"/>
  <c r="G19"/>
  <c r="C19"/>
  <c r="H18"/>
  <c r="G18"/>
  <c r="C18"/>
  <c r="H17"/>
  <c r="G17"/>
  <c r="C17"/>
  <c r="H16"/>
  <c r="G16"/>
  <c r="C16"/>
  <c r="H15"/>
  <c r="G15"/>
  <c r="C15"/>
  <c r="H14"/>
  <c r="G14"/>
  <c r="C14"/>
  <c r="H13"/>
  <c r="G13"/>
  <c r="C13"/>
  <c r="H12"/>
  <c r="G12"/>
  <c r="C12"/>
  <c r="H11"/>
  <c r="G11"/>
  <c r="C11"/>
  <c r="H10"/>
  <c r="G10"/>
  <c r="C10"/>
  <c r="J91" i="5"/>
  <c r="J90"/>
  <c r="J89"/>
  <c r="J88"/>
  <c r="J87"/>
  <c r="J86"/>
  <c r="J85"/>
  <c r="J84"/>
  <c r="G81"/>
  <c r="F81"/>
  <c r="G80"/>
  <c r="F80"/>
  <c r="G79"/>
  <c r="F79"/>
  <c r="G78"/>
  <c r="F78"/>
  <c r="G77"/>
  <c r="F77"/>
  <c r="J75"/>
  <c r="J74"/>
  <c r="G74"/>
  <c r="F74"/>
  <c r="D74"/>
  <c r="C74"/>
  <c r="J73"/>
  <c r="G73"/>
  <c r="F73"/>
  <c r="D73"/>
  <c r="C73"/>
  <c r="J72"/>
  <c r="G72"/>
  <c r="F72"/>
  <c r="D72"/>
  <c r="C72"/>
  <c r="J71"/>
  <c r="G71"/>
  <c r="F71"/>
  <c r="D71"/>
  <c r="C71"/>
  <c r="G70"/>
  <c r="G12" i="23" s="1"/>
  <c r="F70" i="5"/>
  <c r="F12" i="23" s="1"/>
  <c r="E12" s="1"/>
  <c r="G69" i="5"/>
  <c r="F69"/>
  <c r="G68"/>
  <c r="F68"/>
  <c r="G67"/>
  <c r="F67"/>
  <c r="G66"/>
  <c r="F66"/>
  <c r="J65"/>
  <c r="I65"/>
  <c r="G65"/>
  <c r="F65"/>
  <c r="G64"/>
  <c r="J62"/>
  <c r="I62"/>
  <c r="G62"/>
  <c r="F62"/>
  <c r="D62"/>
  <c r="J61"/>
  <c r="I61"/>
  <c r="G61"/>
  <c r="F61"/>
  <c r="D61"/>
  <c r="C61"/>
  <c r="J60"/>
  <c r="I60"/>
  <c r="G60"/>
  <c r="F60"/>
  <c r="D60"/>
  <c r="C60"/>
  <c r="J59"/>
  <c r="I59"/>
  <c r="G59"/>
  <c r="F59"/>
  <c r="D59"/>
  <c r="C59"/>
  <c r="J58"/>
  <c r="J11" i="23" s="1"/>
  <c r="I58" i="5"/>
  <c r="I11" i="23" s="1"/>
  <c r="G58" i="5"/>
  <c r="G11" i="23" s="1"/>
  <c r="F58" i="5"/>
  <c r="F11" i="23" s="1"/>
  <c r="D58" i="5"/>
  <c r="D11" i="23" s="1"/>
  <c r="C58" i="5"/>
  <c r="C11" i="23" s="1"/>
  <c r="J57" i="5"/>
  <c r="I57"/>
  <c r="G57"/>
  <c r="F57"/>
  <c r="D57"/>
  <c r="C57"/>
  <c r="J56"/>
  <c r="I56"/>
  <c r="G56"/>
  <c r="F56"/>
  <c r="D56"/>
  <c r="C56"/>
  <c r="J55"/>
  <c r="I55"/>
  <c r="G55"/>
  <c r="F55"/>
  <c r="D55"/>
  <c r="C55"/>
  <c r="J54"/>
  <c r="I54"/>
  <c r="G54"/>
  <c r="F54"/>
  <c r="D54"/>
  <c r="C54"/>
  <c r="J53"/>
  <c r="I53"/>
  <c r="G53"/>
  <c r="F53"/>
  <c r="D53"/>
  <c r="C53"/>
  <c r="J52"/>
  <c r="I52"/>
  <c r="G52"/>
  <c r="F52"/>
  <c r="D52"/>
  <c r="C52"/>
  <c r="J51"/>
  <c r="I51"/>
  <c r="G51"/>
  <c r="F51"/>
  <c r="D51"/>
  <c r="C51"/>
  <c r="B51"/>
  <c r="J50"/>
  <c r="I50"/>
  <c r="G50"/>
  <c r="F50"/>
  <c r="D50"/>
  <c r="C50"/>
  <c r="J49"/>
  <c r="I49"/>
  <c r="G49"/>
  <c r="F49"/>
  <c r="D49"/>
  <c r="C49"/>
  <c r="J48"/>
  <c r="I48"/>
  <c r="G48"/>
  <c r="F48"/>
  <c r="D48"/>
  <c r="C48"/>
  <c r="J47"/>
  <c r="I47"/>
  <c r="G47"/>
  <c r="F47"/>
  <c r="D47"/>
  <c r="C47"/>
  <c r="J46"/>
  <c r="J10" i="23" s="1"/>
  <c r="I46" i="5"/>
  <c r="I10" i="23" s="1"/>
  <c r="H46" i="5"/>
  <c r="G46"/>
  <c r="G10" i="23" s="1"/>
  <c r="F46" i="5"/>
  <c r="F10" i="23" s="1"/>
  <c r="D46" i="5"/>
  <c r="D10" i="23" s="1"/>
  <c r="C46" i="5"/>
  <c r="C10" i="23" s="1"/>
  <c r="B10" s="1"/>
  <c r="B5" i="17" s="1"/>
  <c r="J45" i="5"/>
  <c r="I45"/>
  <c r="G45"/>
  <c r="F45"/>
  <c r="D45"/>
  <c r="C45"/>
  <c r="J44"/>
  <c r="I44"/>
  <c r="G44"/>
  <c r="F44"/>
  <c r="D44"/>
  <c r="C44"/>
  <c r="J43"/>
  <c r="I43"/>
  <c r="G43"/>
  <c r="F43"/>
  <c r="D43"/>
  <c r="C43"/>
  <c r="J42"/>
  <c r="I42"/>
  <c r="G42"/>
  <c r="F42"/>
  <c r="D42"/>
  <c r="C42"/>
  <c r="J41"/>
  <c r="I41"/>
  <c r="G41"/>
  <c r="F41"/>
  <c r="D41"/>
  <c r="C41"/>
  <c r="J40"/>
  <c r="I40"/>
  <c r="G40"/>
  <c r="F40"/>
  <c r="D40"/>
  <c r="C40"/>
  <c r="J39"/>
  <c r="I39"/>
  <c r="G39"/>
  <c r="F39"/>
  <c r="D39"/>
  <c r="C39"/>
  <c r="J38"/>
  <c r="I38"/>
  <c r="G38"/>
  <c r="F38"/>
  <c r="D38"/>
  <c r="C38"/>
  <c r="J37"/>
  <c r="I37"/>
  <c r="G37"/>
  <c r="F37"/>
  <c r="D37"/>
  <c r="C37"/>
  <c r="J36"/>
  <c r="I36"/>
  <c r="G36"/>
  <c r="F36"/>
  <c r="D36"/>
  <c r="C36"/>
  <c r="J35"/>
  <c r="I35"/>
  <c r="G35"/>
  <c r="F35"/>
  <c r="D35"/>
  <c r="C35"/>
  <c r="J34"/>
  <c r="J9" i="23" s="1"/>
  <c r="I34" i="5"/>
  <c r="I9" i="23" s="1"/>
  <c r="H9" s="1"/>
  <c r="G34" i="5"/>
  <c r="G9" i="23" s="1"/>
  <c r="F34" i="5"/>
  <c r="F9" i="23" s="1"/>
  <c r="D34" i="5"/>
  <c r="D9" i="23" s="1"/>
  <c r="C34" i="5"/>
  <c r="C9" i="23" s="1"/>
  <c r="B9" s="1"/>
  <c r="J33" i="5"/>
  <c r="I33"/>
  <c r="G33"/>
  <c r="F33"/>
  <c r="D33"/>
  <c r="C33"/>
  <c r="J32"/>
  <c r="I32"/>
  <c r="G32"/>
  <c r="F32"/>
  <c r="D32"/>
  <c r="C32"/>
  <c r="J31"/>
  <c r="I31"/>
  <c r="G31"/>
  <c r="F31"/>
  <c r="D31"/>
  <c r="C31"/>
  <c r="J30"/>
  <c r="I30"/>
  <c r="G30"/>
  <c r="F30"/>
  <c r="D30"/>
  <c r="C30"/>
  <c r="J29"/>
  <c r="I29"/>
  <c r="G29"/>
  <c r="F29"/>
  <c r="D29"/>
  <c r="C29"/>
  <c r="J28"/>
  <c r="I28"/>
  <c r="G28"/>
  <c r="F28"/>
  <c r="D28"/>
  <c r="C28"/>
  <c r="J27"/>
  <c r="I27"/>
  <c r="G27"/>
  <c r="F27"/>
  <c r="D27"/>
  <c r="C27"/>
  <c r="J26"/>
  <c r="I26"/>
  <c r="G26"/>
  <c r="F26"/>
  <c r="D26"/>
  <c r="C26"/>
  <c r="J25"/>
  <c r="I25"/>
  <c r="G25"/>
  <c r="F25"/>
  <c r="D25"/>
  <c r="C25"/>
  <c r="J24"/>
  <c r="I24"/>
  <c r="G24"/>
  <c r="F24"/>
  <c r="D24"/>
  <c r="C24"/>
  <c r="J23"/>
  <c r="I23"/>
  <c r="G23"/>
  <c r="F23"/>
  <c r="D23"/>
  <c r="C23"/>
  <c r="J22"/>
  <c r="J8" i="23" s="1"/>
  <c r="I22" i="5"/>
  <c r="I8" i="23" s="1"/>
  <c r="H8" s="1"/>
  <c r="G22" i="5"/>
  <c r="G8" i="23" s="1"/>
  <c r="F22" i="5"/>
  <c r="F8" i="23" s="1"/>
  <c r="E8" s="1"/>
  <c r="D22" i="5"/>
  <c r="D8" i="23" s="1"/>
  <c r="C22" i="5"/>
  <c r="C8" i="23" s="1"/>
  <c r="B8" s="1"/>
  <c r="B3" i="17" s="1"/>
  <c r="B10" s="1"/>
  <c r="J21" i="5"/>
  <c r="I21"/>
  <c r="G21"/>
  <c r="F21"/>
  <c r="D21"/>
  <c r="C21"/>
  <c r="J20"/>
  <c r="I20"/>
  <c r="G20"/>
  <c r="F20"/>
  <c r="D20"/>
  <c r="C20"/>
  <c r="J19"/>
  <c r="I19"/>
  <c r="G19"/>
  <c r="F19"/>
  <c r="D19"/>
  <c r="C19"/>
  <c r="J18"/>
  <c r="I18"/>
  <c r="G18"/>
  <c r="F18"/>
  <c r="D18"/>
  <c r="C18"/>
  <c r="J17"/>
  <c r="I17"/>
  <c r="G17"/>
  <c r="F17"/>
  <c r="D17"/>
  <c r="C17"/>
  <c r="J16"/>
  <c r="I16"/>
  <c r="G16"/>
  <c r="F16"/>
  <c r="D16"/>
  <c r="C16"/>
  <c r="J15"/>
  <c r="I15"/>
  <c r="G15"/>
  <c r="F15"/>
  <c r="D15"/>
  <c r="C15"/>
  <c r="J14"/>
  <c r="I14"/>
  <c r="G14"/>
  <c r="F14"/>
  <c r="D14"/>
  <c r="C14"/>
  <c r="J13"/>
  <c r="I13"/>
  <c r="G13"/>
  <c r="F13"/>
  <c r="D13"/>
  <c r="C13"/>
  <c r="J12"/>
  <c r="I12"/>
  <c r="G12"/>
  <c r="F12"/>
  <c r="D12"/>
  <c r="C12"/>
  <c r="J11"/>
  <c r="I11"/>
  <c r="G11"/>
  <c r="F11"/>
  <c r="D11"/>
  <c r="C11"/>
  <c r="S91" i="42"/>
  <c r="R91"/>
  <c r="Q91"/>
  <c r="P91"/>
  <c r="O91"/>
  <c r="N91"/>
  <c r="M91"/>
  <c r="L91"/>
  <c r="K91"/>
  <c r="J91"/>
  <c r="I91"/>
  <c r="R57"/>
  <c r="Q57"/>
  <c r="P57"/>
  <c r="O57"/>
  <c r="N57"/>
  <c r="M57"/>
  <c r="L57"/>
  <c r="Y43"/>
  <c r="C39"/>
  <c r="W37"/>
  <c r="V37"/>
  <c r="U37"/>
  <c r="W36"/>
  <c r="V36"/>
  <c r="U36"/>
  <c r="W35"/>
  <c r="V35"/>
  <c r="U35"/>
  <c r="W34"/>
  <c r="V34"/>
  <c r="U34"/>
  <c r="W33"/>
  <c r="V33"/>
  <c r="U33"/>
  <c r="T32"/>
  <c r="R32"/>
  <c r="Q32"/>
  <c r="P32"/>
  <c r="O32"/>
  <c r="N32"/>
  <c r="M32"/>
  <c r="L32"/>
  <c r="K32"/>
  <c r="J32"/>
  <c r="I32"/>
  <c r="H32"/>
  <c r="G32"/>
  <c r="F32"/>
  <c r="E32"/>
  <c r="D32"/>
  <c r="W30"/>
  <c r="V30"/>
  <c r="U30"/>
  <c r="W29"/>
  <c r="V29"/>
  <c r="U29"/>
  <c r="T28"/>
  <c r="S28"/>
  <c r="R28"/>
  <c r="Q28"/>
  <c r="P28"/>
  <c r="O28"/>
  <c r="N28"/>
  <c r="M28"/>
  <c r="L28"/>
  <c r="K28"/>
  <c r="J28"/>
  <c r="I28"/>
  <c r="H28"/>
  <c r="G28"/>
  <c r="F28"/>
  <c r="E28"/>
  <c r="D28"/>
  <c r="W27"/>
  <c r="V27"/>
  <c r="U27"/>
  <c r="T27"/>
  <c r="W25"/>
  <c r="V25"/>
  <c r="U25"/>
  <c r="Z24"/>
  <c r="Z26" s="1"/>
  <c r="W24"/>
  <c r="V24"/>
  <c r="U24"/>
  <c r="T24"/>
  <c r="W23"/>
  <c r="V23"/>
  <c r="U23"/>
  <c r="T23"/>
  <c r="AA22"/>
  <c r="W22"/>
  <c r="V22"/>
  <c r="U22"/>
  <c r="T22"/>
  <c r="T47" s="1"/>
  <c r="Z21"/>
  <c r="W21"/>
  <c r="V21"/>
  <c r="U21"/>
  <c r="T21"/>
  <c r="W20"/>
  <c r="V20"/>
  <c r="U20"/>
  <c r="T20"/>
  <c r="W18"/>
  <c r="V18"/>
  <c r="U18"/>
  <c r="T18"/>
  <c r="W17"/>
  <c r="V17"/>
  <c r="U17"/>
  <c r="T17"/>
  <c r="W16"/>
  <c r="V16"/>
  <c r="U16"/>
  <c r="T16"/>
  <c r="S14"/>
  <c r="T14"/>
  <c r="U43" s="1"/>
  <c r="R14"/>
  <c r="Q14"/>
  <c r="P14"/>
  <c r="O14"/>
  <c r="N14"/>
  <c r="M14"/>
  <c r="L14"/>
  <c r="K14"/>
  <c r="J14"/>
  <c r="I14"/>
  <c r="H14"/>
  <c r="G14"/>
  <c r="F14"/>
  <c r="E14"/>
  <c r="D14"/>
  <c r="C14"/>
  <c r="L57" i="43"/>
  <c r="K57"/>
  <c r="J57"/>
  <c r="L56"/>
  <c r="K56"/>
  <c r="J56"/>
  <c r="S48"/>
  <c r="V47"/>
  <c r="U47"/>
  <c r="T47"/>
  <c r="S47"/>
  <c r="V43"/>
  <c r="V40" s="1"/>
  <c r="U43"/>
  <c r="K55" s="1"/>
  <c r="T43"/>
  <c r="T40" s="1"/>
  <c r="S43"/>
  <c r="S40" s="1"/>
  <c r="S41" s="1"/>
  <c r="S42" s="1"/>
  <c r="R43"/>
  <c r="R44" s="1"/>
  <c r="Q43"/>
  <c r="Q44" s="1"/>
  <c r="P43"/>
  <c r="P44" s="1"/>
  <c r="O43"/>
  <c r="O44" s="1"/>
  <c r="N43"/>
  <c r="M43"/>
  <c r="M44" s="1"/>
  <c r="L43"/>
  <c r="L44" s="1"/>
  <c r="K43"/>
  <c r="K44" s="1"/>
  <c r="J43"/>
  <c r="J44" s="1"/>
  <c r="C40"/>
  <c r="R32"/>
  <c r="Q32"/>
  <c r="P32"/>
  <c r="O32"/>
  <c r="N32"/>
  <c r="M32"/>
  <c r="L32"/>
  <c r="K32"/>
  <c r="J32"/>
  <c r="I32"/>
  <c r="H32"/>
  <c r="G32"/>
  <c r="F32"/>
  <c r="E32"/>
  <c r="D32"/>
  <c r="S28"/>
  <c r="R28"/>
  <c r="Q28"/>
  <c r="P28"/>
  <c r="O28"/>
  <c r="N28"/>
  <c r="M28"/>
  <c r="L28"/>
  <c r="K28"/>
  <c r="J28"/>
  <c r="I28"/>
  <c r="H28"/>
  <c r="G28"/>
  <c r="F28"/>
  <c r="E28"/>
  <c r="D28"/>
  <c r="S14"/>
  <c r="S39"/>
  <c r="R14"/>
  <c r="R40"/>
  <c r="Q14"/>
  <c r="Q65"/>
  <c r="P14"/>
  <c r="P39"/>
  <c r="K65" i="39"/>
  <c r="O14" i="43"/>
  <c r="O39"/>
  <c r="N14"/>
  <c r="N40"/>
  <c r="M14"/>
  <c r="M39"/>
  <c r="L14"/>
  <c r="L39"/>
  <c r="G65" i="39"/>
  <c r="K14" i="43"/>
  <c r="K39"/>
  <c r="J14"/>
  <c r="J40"/>
  <c r="I14"/>
  <c r="I39"/>
  <c r="H14"/>
  <c r="H39"/>
  <c r="G14"/>
  <c r="G39"/>
  <c r="F14"/>
  <c r="F40"/>
  <c r="E14"/>
  <c r="E39"/>
  <c r="D14"/>
  <c r="D39"/>
  <c r="C14"/>
  <c r="C39"/>
  <c r="R55" i="15"/>
  <c r="Q55"/>
  <c r="R53"/>
  <c r="Q53"/>
  <c r="W38"/>
  <c r="W31"/>
  <c r="AI25"/>
  <c r="AH25"/>
  <c r="AG25"/>
  <c r="AF25"/>
  <c r="AE25"/>
  <c r="AD25"/>
  <c r="AC25"/>
  <c r="J22"/>
  <c r="I22"/>
  <c r="H22"/>
  <c r="G22"/>
  <c r="J21"/>
  <c r="I21"/>
  <c r="H21"/>
  <c r="G21"/>
  <c r="J20"/>
  <c r="I20"/>
  <c r="H20"/>
  <c r="G20"/>
  <c r="J19"/>
  <c r="I19"/>
  <c r="H19"/>
  <c r="G19"/>
  <c r="J18"/>
  <c r="I18"/>
  <c r="H18"/>
  <c r="G18"/>
  <c r="J17"/>
  <c r="I17"/>
  <c r="H17"/>
  <c r="G17"/>
  <c r="J16"/>
  <c r="I16"/>
  <c r="H16"/>
  <c r="G16"/>
  <c r="C16"/>
  <c r="J15"/>
  <c r="I15"/>
  <c r="H15"/>
  <c r="G15"/>
  <c r="J14"/>
  <c r="I14"/>
  <c r="H14"/>
  <c r="G14"/>
  <c r="J13"/>
  <c r="I13"/>
  <c r="H13"/>
  <c r="G13"/>
  <c r="J12"/>
  <c r="I12"/>
  <c r="H12"/>
  <c r="G12"/>
  <c r="J11"/>
  <c r="I11"/>
  <c r="H11"/>
  <c r="G11"/>
  <c r="J10"/>
  <c r="I10"/>
  <c r="H10"/>
  <c r="G10"/>
  <c r="J9"/>
  <c r="I9"/>
  <c r="H9"/>
  <c r="G9"/>
  <c r="J8"/>
  <c r="I8"/>
  <c r="H8"/>
  <c r="G8"/>
  <c r="L68" i="14"/>
  <c r="K68"/>
  <c r="J68"/>
  <c r="L67"/>
  <c r="K67"/>
  <c r="J67"/>
  <c r="I67"/>
  <c r="I49"/>
  <c r="J49"/>
  <c r="J51"/>
  <c r="H46"/>
  <c r="G46"/>
  <c r="F46"/>
  <c r="I45"/>
  <c r="J45"/>
  <c r="H42"/>
  <c r="H29"/>
  <c r="G29"/>
  <c r="F29"/>
  <c r="L18"/>
  <c r="K18"/>
  <c r="J18"/>
  <c r="I18"/>
  <c r="H18"/>
  <c r="G18"/>
  <c r="F18"/>
  <c r="E18"/>
  <c r="D18"/>
  <c r="C18"/>
  <c r="B18"/>
  <c r="H14"/>
  <c r="H15" s="1"/>
  <c r="G14"/>
  <c r="G15" s="1"/>
  <c r="F14"/>
  <c r="F15" s="1"/>
  <c r="E14"/>
  <c r="E15" s="1"/>
  <c r="D14"/>
  <c r="D15" s="1"/>
  <c r="H13"/>
  <c r="G13"/>
  <c r="F13"/>
  <c r="E13"/>
  <c r="K11"/>
  <c r="G27" s="1"/>
  <c r="J11"/>
  <c r="F27" s="1"/>
  <c r="H11"/>
  <c r="H66"/>
  <c r="G11"/>
  <c r="G66"/>
  <c r="F11"/>
  <c r="F66"/>
  <c r="E11"/>
  <c r="E66"/>
  <c r="D11"/>
  <c r="C11"/>
  <c r="I9"/>
  <c r="H9"/>
  <c r="G9"/>
  <c r="F9"/>
  <c r="J8"/>
  <c r="J9"/>
  <c r="H6"/>
  <c r="H12"/>
  <c r="G6"/>
  <c r="G12"/>
  <c r="F6"/>
  <c r="F12"/>
  <c r="E6"/>
  <c r="E12"/>
  <c r="H5"/>
  <c r="G5"/>
  <c r="F5"/>
  <c r="D4"/>
  <c r="D6" s="1"/>
  <c r="E7" s="1"/>
  <c r="E65" s="1"/>
  <c r="I55" i="12"/>
  <c r="I57"/>
  <c r="H52"/>
  <c r="G52"/>
  <c r="F52"/>
  <c r="I51"/>
  <c r="H48"/>
  <c r="H35"/>
  <c r="H41"/>
  <c r="H31"/>
  <c r="G31"/>
  <c r="F31"/>
  <c r="E31"/>
  <c r="H29"/>
  <c r="H17"/>
  <c r="G29"/>
  <c r="G17"/>
  <c r="F29"/>
  <c r="F17"/>
  <c r="E29"/>
  <c r="E17"/>
  <c r="D29"/>
  <c r="D17"/>
  <c r="C29"/>
  <c r="K17"/>
  <c r="J17"/>
  <c r="B17"/>
  <c r="H16"/>
  <c r="G16"/>
  <c r="F16"/>
  <c r="E16"/>
  <c r="D16"/>
  <c r="C16"/>
  <c r="B16"/>
  <c r="I13"/>
  <c r="H13"/>
  <c r="G13"/>
  <c r="F13"/>
  <c r="J12"/>
  <c r="J13"/>
  <c r="H9"/>
  <c r="H30"/>
  <c r="G9"/>
  <c r="G30"/>
  <c r="F9"/>
  <c r="F30"/>
  <c r="E9"/>
  <c r="E30"/>
  <c r="H4"/>
  <c r="G4"/>
  <c r="F4"/>
  <c r="D115" i="11"/>
  <c r="C115"/>
  <c r="B115"/>
  <c r="A115"/>
  <c r="D114"/>
  <c r="C114"/>
  <c r="B114"/>
  <c r="A114"/>
  <c r="A113"/>
  <c r="D112"/>
  <c r="C112"/>
  <c r="B112"/>
  <c r="A112"/>
  <c r="D111"/>
  <c r="C111"/>
  <c r="B111"/>
  <c r="A111"/>
  <c r="D109"/>
  <c r="C109"/>
  <c r="B109"/>
  <c r="A109"/>
  <c r="B107"/>
  <c r="A107"/>
  <c r="B106"/>
  <c r="A106"/>
  <c r="D100"/>
  <c r="C100"/>
  <c r="B100"/>
  <c r="A100"/>
  <c r="D99"/>
  <c r="C99"/>
  <c r="B99"/>
  <c r="A99"/>
  <c r="D98"/>
  <c r="C98"/>
  <c r="B98"/>
  <c r="A98"/>
  <c r="A97"/>
  <c r="D95"/>
  <c r="C95"/>
  <c r="B95"/>
  <c r="A95"/>
  <c r="D94"/>
  <c r="C94"/>
  <c r="B94"/>
  <c r="A94"/>
  <c r="D93"/>
  <c r="C93"/>
  <c r="B93"/>
  <c r="A93"/>
  <c r="D92"/>
  <c r="C92"/>
  <c r="B92"/>
  <c r="A92"/>
  <c r="D90"/>
  <c r="C90"/>
  <c r="B90"/>
  <c r="A90"/>
  <c r="D87"/>
  <c r="D86"/>
  <c r="B86"/>
  <c r="C85"/>
  <c r="C86"/>
  <c r="B84"/>
  <c r="A84"/>
  <c r="D58"/>
  <c r="D97"/>
  <c r="C58"/>
  <c r="C97"/>
  <c r="B58"/>
  <c r="B97"/>
  <c r="D56"/>
  <c r="C54"/>
  <c r="C56"/>
  <c r="E53" i="10"/>
  <c r="E57"/>
  <c r="D53"/>
  <c r="D57"/>
  <c r="C53"/>
  <c r="C57"/>
  <c r="B53"/>
  <c r="B57"/>
  <c r="H30"/>
  <c r="G30"/>
  <c r="H29"/>
  <c r="G29"/>
  <c r="H28"/>
  <c r="G28"/>
  <c r="F28"/>
  <c r="E28"/>
  <c r="D28"/>
  <c r="C28"/>
  <c r="B28"/>
  <c r="H26"/>
  <c r="G26"/>
  <c r="F26"/>
  <c r="E26"/>
  <c r="D26"/>
  <c r="C26"/>
  <c r="B26"/>
  <c r="H25"/>
  <c r="G25"/>
  <c r="F25"/>
  <c r="E25"/>
  <c r="D25"/>
  <c r="C25"/>
  <c r="B25"/>
  <c r="H23"/>
  <c r="G23"/>
  <c r="F23"/>
  <c r="E23"/>
  <c r="D23"/>
  <c r="C23"/>
  <c r="B23"/>
  <c r="H22"/>
  <c r="G22"/>
  <c r="F22"/>
  <c r="E22"/>
  <c r="D22"/>
  <c r="C22"/>
  <c r="B22"/>
  <c r="H20"/>
  <c r="G20"/>
  <c r="F20"/>
  <c r="E20"/>
  <c r="D20"/>
  <c r="C20"/>
  <c r="B20"/>
  <c r="H19"/>
  <c r="G19"/>
  <c r="F19"/>
  <c r="E19"/>
  <c r="D19"/>
  <c r="C19"/>
  <c r="B19"/>
  <c r="H17"/>
  <c r="G17"/>
  <c r="F17"/>
  <c r="F45"/>
  <c r="E17"/>
  <c r="D17"/>
  <c r="C17"/>
  <c r="C49"/>
  <c r="B17"/>
  <c r="B45"/>
  <c r="H10"/>
  <c r="H9"/>
  <c r="G9"/>
  <c r="F9"/>
  <c r="E9"/>
  <c r="D9"/>
  <c r="C9"/>
  <c r="B9"/>
  <c r="H8"/>
  <c r="G8"/>
  <c r="F8"/>
  <c r="E8"/>
  <c r="D8"/>
  <c r="C8"/>
  <c r="I6"/>
  <c r="H6"/>
  <c r="G6"/>
  <c r="F6"/>
  <c r="F50"/>
  <c r="E6"/>
  <c r="E46"/>
  <c r="D6"/>
  <c r="D50"/>
  <c r="C6"/>
  <c r="C46"/>
  <c r="B6"/>
  <c r="B50"/>
  <c r="H5"/>
  <c r="G5"/>
  <c r="F5"/>
  <c r="E5"/>
  <c r="D5"/>
  <c r="C5"/>
  <c r="B5"/>
  <c r="I4"/>
  <c r="H4"/>
  <c r="G4"/>
  <c r="F4"/>
  <c r="E4"/>
  <c r="D4"/>
  <c r="C4"/>
  <c r="B4"/>
  <c r="E49" i="4"/>
  <c r="D49"/>
  <c r="C49"/>
  <c r="B49"/>
  <c r="E46"/>
  <c r="D46"/>
  <c r="D45" s="1"/>
  <c r="C46"/>
  <c r="B46"/>
  <c r="H44"/>
  <c r="G44"/>
  <c r="H43"/>
  <c r="G43"/>
  <c r="F43"/>
  <c r="E43"/>
  <c r="D43"/>
  <c r="C43"/>
  <c r="B43"/>
  <c r="H42"/>
  <c r="G42"/>
  <c r="F42"/>
  <c r="E42"/>
  <c r="D42"/>
  <c r="C42"/>
  <c r="B42"/>
  <c r="H41"/>
  <c r="G41"/>
  <c r="F41"/>
  <c r="E41"/>
  <c r="D41"/>
  <c r="C41"/>
  <c r="B41"/>
  <c r="H38"/>
  <c r="C58" s="1"/>
  <c r="G38"/>
  <c r="B58" s="1"/>
  <c r="F38"/>
  <c r="E38"/>
  <c r="D38"/>
  <c r="C38"/>
  <c r="B38"/>
  <c r="H36"/>
  <c r="G36"/>
  <c r="H35"/>
  <c r="G35"/>
  <c r="H34"/>
  <c r="G34"/>
  <c r="H33"/>
  <c r="G33"/>
  <c r="H32"/>
  <c r="G32"/>
  <c r="H31"/>
  <c r="G31"/>
  <c r="H28"/>
  <c r="G28"/>
  <c r="F28"/>
  <c r="E28"/>
  <c r="D28"/>
  <c r="C28"/>
  <c r="H24"/>
  <c r="G24"/>
  <c r="H23"/>
  <c r="G23"/>
  <c r="H22"/>
  <c r="G22"/>
  <c r="F22"/>
  <c r="E22"/>
  <c r="D22"/>
  <c r="C22"/>
  <c r="B22"/>
  <c r="F19"/>
  <c r="E19"/>
  <c r="D19"/>
  <c r="C19"/>
  <c r="B19"/>
  <c r="H17"/>
  <c r="G17"/>
  <c r="F17"/>
  <c r="E17"/>
  <c r="D17"/>
  <c r="C17"/>
  <c r="C39" s="1"/>
  <c r="B17"/>
  <c r="H16"/>
  <c r="G16"/>
  <c r="F16"/>
  <c r="E16"/>
  <c r="D16"/>
  <c r="C16"/>
  <c r="B16"/>
  <c r="H15"/>
  <c r="G15"/>
  <c r="F15"/>
  <c r="E15"/>
  <c r="D15"/>
  <c r="C15"/>
  <c r="B15"/>
  <c r="H11"/>
  <c r="G11"/>
  <c r="H10"/>
  <c r="G10"/>
  <c r="G12" s="1"/>
  <c r="H9"/>
  <c r="G9"/>
  <c r="F9"/>
  <c r="E9"/>
  <c r="D9"/>
  <c r="C9"/>
  <c r="B9"/>
  <c r="H7"/>
  <c r="H40" s="1"/>
  <c r="G7"/>
  <c r="F7"/>
  <c r="F40" s="1"/>
  <c r="E7"/>
  <c r="E40" s="1"/>
  <c r="D7"/>
  <c r="D40" s="1"/>
  <c r="C7"/>
  <c r="C40" s="1"/>
  <c r="B7"/>
  <c r="B40" s="1"/>
  <c r="H6"/>
  <c r="G6"/>
  <c r="F6"/>
  <c r="E6"/>
  <c r="D6"/>
  <c r="C6"/>
  <c r="B6"/>
  <c r="H3"/>
  <c r="G3"/>
  <c r="F3"/>
  <c r="E3"/>
  <c r="D3"/>
  <c r="C3"/>
  <c r="B3"/>
  <c r="F11" i="19"/>
  <c r="F43"/>
  <c r="S72" i="6"/>
  <c r="E229" i="18"/>
  <c r="AP52" i="13"/>
  <c r="E40" i="5"/>
  <c r="E44"/>
  <c r="E52"/>
  <c r="E54"/>
  <c r="E56"/>
  <c r="E60"/>
  <c r="H62"/>
  <c r="E228" i="18"/>
  <c r="AP43" i="13"/>
  <c r="AP50"/>
  <c r="F41" i="28"/>
  <c r="G41"/>
  <c r="G47" i="13"/>
  <c r="H34" i="5"/>
  <c r="M17" i="39"/>
  <c r="H118"/>
  <c r="Q56" i="42"/>
  <c r="F5" i="28"/>
  <c r="G5"/>
  <c r="E239" i="18"/>
  <c r="E243"/>
  <c r="E248"/>
  <c r="D248"/>
  <c r="B248"/>
  <c r="E265"/>
  <c r="E269"/>
  <c r="D269"/>
  <c r="B269"/>
  <c r="V43" i="13"/>
  <c r="E16" i="5"/>
  <c r="E27"/>
  <c r="E28"/>
  <c r="M9" i="13"/>
  <c r="G93"/>
  <c r="D78" i="5"/>
  <c r="J81" i="6"/>
  <c r="I81"/>
  <c r="K92"/>
  <c r="B46" i="5"/>
  <c r="E72"/>
  <c r="I23" i="19"/>
  <c r="E223" i="18"/>
  <c r="D223"/>
  <c r="B223"/>
  <c r="E227"/>
  <c r="E275"/>
  <c r="F374"/>
  <c r="F351"/>
  <c r="E351"/>
  <c r="D351"/>
  <c r="F359"/>
  <c r="E359"/>
  <c r="D359"/>
  <c r="B359"/>
  <c r="E466"/>
  <c r="E475"/>
  <c r="E483"/>
  <c r="D483"/>
  <c r="B483"/>
  <c r="F13" i="19"/>
  <c r="I18"/>
  <c r="J27"/>
  <c r="F29"/>
  <c r="I34"/>
  <c r="I46"/>
  <c r="F53"/>
  <c r="I54"/>
  <c r="F61"/>
  <c r="AD43" i="13"/>
  <c r="H59"/>
  <c r="V74" i="46"/>
  <c r="AM9" i="13"/>
  <c r="Z9"/>
  <c r="M7" i="53"/>
  <c r="AD24" i="13"/>
  <c r="Q8" i="53"/>
  <c r="Q36"/>
  <c r="AT64" i="13"/>
  <c r="M24" i="39"/>
  <c r="M33"/>
  <c r="H41" i="5"/>
  <c r="E271" i="18"/>
  <c r="H15" i="5"/>
  <c r="L52" i="13"/>
  <c r="AL54"/>
  <c r="I61" i="39"/>
  <c r="I24"/>
  <c r="AD64" i="13"/>
  <c r="P58" i="42"/>
  <c r="F63" i="5"/>
  <c r="F122" i="39"/>
  <c r="H122"/>
  <c r="F121"/>
  <c r="H121"/>
  <c r="F120"/>
  <c r="H120"/>
  <c r="F119"/>
  <c r="H119"/>
  <c r="J24"/>
  <c r="F87"/>
  <c r="G83"/>
  <c r="G82"/>
  <c r="G81"/>
  <c r="N17"/>
  <c r="N24"/>
  <c r="N67"/>
  <c r="R39" i="43"/>
  <c r="M67" i="39"/>
  <c r="L17"/>
  <c r="L24"/>
  <c r="Q39" i="43"/>
  <c r="L67" i="39"/>
  <c r="K24"/>
  <c r="K67"/>
  <c r="J67"/>
  <c r="N39" i="43"/>
  <c r="I67" i="39"/>
  <c r="H24"/>
  <c r="H67"/>
  <c r="G24"/>
  <c r="G67"/>
  <c r="F67"/>
  <c r="J39" i="43"/>
  <c r="E67" i="39"/>
  <c r="D67"/>
  <c r="C67"/>
  <c r="B67"/>
  <c r="N66"/>
  <c r="M66"/>
  <c r="L66"/>
  <c r="K66"/>
  <c r="J26"/>
  <c r="J66"/>
  <c r="I26"/>
  <c r="I66"/>
  <c r="H26"/>
  <c r="H66"/>
  <c r="G66"/>
  <c r="F66"/>
  <c r="E66"/>
  <c r="D66"/>
  <c r="C66"/>
  <c r="B66"/>
  <c r="N65"/>
  <c r="M65"/>
  <c r="L65"/>
  <c r="J65"/>
  <c r="I65"/>
  <c r="H65"/>
  <c r="F65"/>
  <c r="E65"/>
  <c r="D65"/>
  <c r="C65"/>
  <c r="B65"/>
  <c r="N33"/>
  <c r="N64"/>
  <c r="M64"/>
  <c r="L33"/>
  <c r="L64"/>
  <c r="K33"/>
  <c r="K64"/>
  <c r="J33"/>
  <c r="J64"/>
  <c r="I33"/>
  <c r="I64"/>
  <c r="H33"/>
  <c r="H64"/>
  <c r="G33"/>
  <c r="G64"/>
  <c r="F64"/>
  <c r="E64"/>
  <c r="D64"/>
  <c r="C64"/>
  <c r="B64"/>
  <c r="K61"/>
  <c r="H61"/>
  <c r="G61"/>
  <c r="K60"/>
  <c r="J60"/>
  <c r="I60"/>
  <c r="H60"/>
  <c r="G60"/>
  <c r="O43"/>
  <c r="K39"/>
  <c r="I39"/>
  <c r="H39"/>
  <c r="O26"/>
  <c r="X21" i="34"/>
  <c r="X20"/>
  <c r="D14" i="33"/>
  <c r="M75" i="46"/>
  <c r="AM24" i="13"/>
  <c r="Z8" i="53"/>
  <c r="Z41"/>
  <c r="AL24" i="13"/>
  <c r="Y8" i="53"/>
  <c r="Y41"/>
  <c r="AK24" i="13"/>
  <c r="X8" i="53"/>
  <c r="X41"/>
  <c r="AJ24" i="13"/>
  <c r="W8" i="53"/>
  <c r="W41"/>
  <c r="AI24" i="13"/>
  <c r="V8" i="53"/>
  <c r="V41"/>
  <c r="AH24" i="13"/>
  <c r="U8" i="53"/>
  <c r="U41"/>
  <c r="T8"/>
  <c r="T41"/>
  <c r="AF24" i="13"/>
  <c r="S8" i="53"/>
  <c r="S41"/>
  <c r="AE24" i="13"/>
  <c r="R8" i="53"/>
  <c r="R41"/>
  <c r="Q41"/>
  <c r="P8"/>
  <c r="P41"/>
  <c r="AB24" i="13"/>
  <c r="O8" i="53"/>
  <c r="O41"/>
  <c r="AA24" i="13"/>
  <c r="N8" i="53"/>
  <c r="N41"/>
  <c r="Z24" i="13"/>
  <c r="M8" i="53"/>
  <c r="M41"/>
  <c r="Y24" i="13"/>
  <c r="L8" i="53"/>
  <c r="L41"/>
  <c r="X24" i="13"/>
  <c r="K8" i="53"/>
  <c r="K41"/>
  <c r="J8"/>
  <c r="J41"/>
  <c r="V24" i="13"/>
  <c r="I8" i="53"/>
  <c r="I41"/>
  <c r="H41"/>
  <c r="T24" i="13"/>
  <c r="G8" i="53"/>
  <c r="G41"/>
  <c r="S24" i="13"/>
  <c r="F8" i="53"/>
  <c r="F41"/>
  <c r="Z7"/>
  <c r="Z40"/>
  <c r="AL9" i="13"/>
  <c r="Y7" i="53"/>
  <c r="Y40"/>
  <c r="X7"/>
  <c r="X40"/>
  <c r="AJ9" i="13"/>
  <c r="W7" i="53"/>
  <c r="W40"/>
  <c r="AI9" i="13"/>
  <c r="V7" i="53"/>
  <c r="V40"/>
  <c r="AH9" i="13"/>
  <c r="U7" i="53"/>
  <c r="U40"/>
  <c r="AG9" i="13"/>
  <c r="T7" i="53"/>
  <c r="T40"/>
  <c r="AF9" i="13"/>
  <c r="S7" i="53"/>
  <c r="S40"/>
  <c r="AE9" i="13"/>
  <c r="R7" i="53"/>
  <c r="R40"/>
  <c r="AD9" i="13"/>
  <c r="Q7" i="53"/>
  <c r="Q40"/>
  <c r="AC9" i="13"/>
  <c r="P7" i="53"/>
  <c r="P40"/>
  <c r="AB9" i="13"/>
  <c r="O7" i="53"/>
  <c r="O40"/>
  <c r="AA9" i="13"/>
  <c r="N7" i="53"/>
  <c r="N40"/>
  <c r="M40"/>
  <c r="Y9" i="13"/>
  <c r="L7" i="53"/>
  <c r="L40"/>
  <c r="X9" i="13"/>
  <c r="K7" i="53"/>
  <c r="K40"/>
  <c r="W9" i="13"/>
  <c r="J7" i="53"/>
  <c r="J40"/>
  <c r="V9" i="13"/>
  <c r="I7" i="53"/>
  <c r="I40"/>
  <c r="U9" i="13"/>
  <c r="H7" i="53"/>
  <c r="H40"/>
  <c r="T9" i="13"/>
  <c r="G7" i="53"/>
  <c r="G40"/>
  <c r="S9" i="13"/>
  <c r="F7" i="53"/>
  <c r="F40"/>
  <c r="Z39"/>
  <c r="Y39"/>
  <c r="X39"/>
  <c r="W39"/>
  <c r="V39"/>
  <c r="U39"/>
  <c r="T39"/>
  <c r="S39"/>
  <c r="R39"/>
  <c r="Q39"/>
  <c r="P39"/>
  <c r="O39"/>
  <c r="N39"/>
  <c r="M39"/>
  <c r="L39"/>
  <c r="K39"/>
  <c r="J39"/>
  <c r="I39"/>
  <c r="H39"/>
  <c r="G39"/>
  <c r="F39"/>
  <c r="Z36"/>
  <c r="Y36"/>
  <c r="X36"/>
  <c r="W36"/>
  <c r="V36"/>
  <c r="U36"/>
  <c r="T36"/>
  <c r="S36"/>
  <c r="R36"/>
  <c r="P36"/>
  <c r="O36"/>
  <c r="N36"/>
  <c r="M36"/>
  <c r="L36"/>
  <c r="K36"/>
  <c r="J36"/>
  <c r="I36"/>
  <c r="H36"/>
  <c r="G36"/>
  <c r="F36"/>
  <c r="Z35"/>
  <c r="Y35"/>
  <c r="X35"/>
  <c r="W35"/>
  <c r="V35"/>
  <c r="U35"/>
  <c r="T35"/>
  <c r="S35"/>
  <c r="R35"/>
  <c r="Q35"/>
  <c r="P35"/>
  <c r="O35"/>
  <c r="N35"/>
  <c r="M35"/>
  <c r="L35"/>
  <c r="K35"/>
  <c r="J35"/>
  <c r="I35"/>
  <c r="H35"/>
  <c r="G35"/>
  <c r="F35"/>
  <c r="Z34"/>
  <c r="Y34"/>
  <c r="X34"/>
  <c r="W34"/>
  <c r="V34"/>
  <c r="U34"/>
  <c r="T34"/>
  <c r="S34"/>
  <c r="R34"/>
  <c r="Q34"/>
  <c r="P34"/>
  <c r="O34"/>
  <c r="N34"/>
  <c r="M34"/>
  <c r="L34"/>
  <c r="K34"/>
  <c r="J34"/>
  <c r="I34"/>
  <c r="H34"/>
  <c r="G34"/>
  <c r="F34"/>
  <c r="AP24" i="13"/>
  <c r="AC8" i="53"/>
  <c r="AP9" i="13"/>
  <c r="AC7" i="53"/>
  <c r="AC6"/>
  <c r="AF8"/>
  <c r="AR24" i="13"/>
  <c r="AE8" i="53"/>
  <c r="AQ24" i="13"/>
  <c r="AD8" i="53"/>
  <c r="AO24" i="13"/>
  <c r="AB8" i="53"/>
  <c r="AN24" i="13"/>
  <c r="AA8" i="53"/>
  <c r="AG21"/>
  <c r="AF21"/>
  <c r="AE21"/>
  <c r="AD21"/>
  <c r="AC21"/>
  <c r="AB21"/>
  <c r="AA21"/>
  <c r="Z21"/>
  <c r="Y21"/>
  <c r="X21"/>
  <c r="W21"/>
  <c r="V21"/>
  <c r="U21"/>
  <c r="T21"/>
  <c r="S21"/>
  <c r="R21"/>
  <c r="L24" i="13"/>
  <c r="E8" i="53"/>
  <c r="K24" i="13"/>
  <c r="D8" i="53"/>
  <c r="E21"/>
  <c r="J24" i="13"/>
  <c r="C8" i="53"/>
  <c r="D21"/>
  <c r="I24" i="13"/>
  <c r="B8" i="53"/>
  <c r="C21"/>
  <c r="AV9" i="13"/>
  <c r="AI7" i="53"/>
  <c r="AU9" i="13"/>
  <c r="AH7" i="53"/>
  <c r="AT9" i="13"/>
  <c r="AG7" i="53"/>
  <c r="AS9" i="13"/>
  <c r="AF7" i="53"/>
  <c r="AR9" i="13"/>
  <c r="AE7" i="53"/>
  <c r="AQ9" i="13"/>
  <c r="AD7" i="53"/>
  <c r="AO9" i="13"/>
  <c r="AB7" i="53"/>
  <c r="AN9" i="13"/>
  <c r="AA7" i="53"/>
  <c r="AI20"/>
  <c r="AH20"/>
  <c r="AG20"/>
  <c r="AF20"/>
  <c r="AE20"/>
  <c r="AD20"/>
  <c r="AC20"/>
  <c r="AB20"/>
  <c r="AA20"/>
  <c r="Z20"/>
  <c r="Y20"/>
  <c r="X20"/>
  <c r="W20"/>
  <c r="V20"/>
  <c r="U20"/>
  <c r="T20"/>
  <c r="S20"/>
  <c r="R20"/>
  <c r="L9" i="13"/>
  <c r="E7" i="53"/>
  <c r="K9" i="13"/>
  <c r="D7" i="53"/>
  <c r="E20"/>
  <c r="J9" i="13"/>
  <c r="C7" i="53"/>
  <c r="D20"/>
  <c r="I9" i="13"/>
  <c r="B7" i="53"/>
  <c r="C20"/>
  <c r="AG6"/>
  <c r="AF6"/>
  <c r="AE6"/>
  <c r="AD6"/>
  <c r="AB6"/>
  <c r="AA6"/>
  <c r="Z6"/>
  <c r="Y6"/>
  <c r="X6"/>
  <c r="W6"/>
  <c r="V6"/>
  <c r="U6"/>
  <c r="AG19"/>
  <c r="T6"/>
  <c r="AF19"/>
  <c r="S6"/>
  <c r="AE19"/>
  <c r="R6"/>
  <c r="AD19"/>
  <c r="Q6"/>
  <c r="AC19"/>
  <c r="P6"/>
  <c r="AB19"/>
  <c r="O6"/>
  <c r="AA19"/>
  <c r="N6"/>
  <c r="Z19"/>
  <c r="M6"/>
  <c r="Y19"/>
  <c r="L6"/>
  <c r="X19"/>
  <c r="K6"/>
  <c r="W19"/>
  <c r="J6"/>
  <c r="V19"/>
  <c r="I6"/>
  <c r="U19"/>
  <c r="H6"/>
  <c r="T19"/>
  <c r="G6"/>
  <c r="S19"/>
  <c r="F6"/>
  <c r="R19"/>
  <c r="E6"/>
  <c r="D6"/>
  <c r="E19"/>
  <c r="C6"/>
  <c r="D19"/>
  <c r="B6"/>
  <c r="C19"/>
  <c r="AG13"/>
  <c r="AF13"/>
  <c r="AE13"/>
  <c r="AD13"/>
  <c r="AC13"/>
  <c r="AB13"/>
  <c r="AA13"/>
  <c r="Z13"/>
  <c r="Y13"/>
  <c r="X13"/>
  <c r="W13"/>
  <c r="V13"/>
  <c r="U13"/>
  <c r="T13"/>
  <c r="S13"/>
  <c r="R13"/>
  <c r="Q13"/>
  <c r="P13"/>
  <c r="O13"/>
  <c r="N13"/>
  <c r="M13"/>
  <c r="L13"/>
  <c r="K13"/>
  <c r="J13"/>
  <c r="I13"/>
  <c r="H13"/>
  <c r="G13"/>
  <c r="F13"/>
  <c r="E13"/>
  <c r="D13"/>
  <c r="C13"/>
  <c r="B13"/>
  <c r="AI12"/>
  <c r="AH12"/>
  <c r="AG12"/>
  <c r="AF12"/>
  <c r="AE12"/>
  <c r="AD12"/>
  <c r="AC12"/>
  <c r="AB12"/>
  <c r="AA12"/>
  <c r="Z12"/>
  <c r="Y12"/>
  <c r="X12"/>
  <c r="W12"/>
  <c r="V12"/>
  <c r="U12"/>
  <c r="T12"/>
  <c r="S12"/>
  <c r="R12"/>
  <c r="Q12"/>
  <c r="P12"/>
  <c r="O12"/>
  <c r="N12"/>
  <c r="M12"/>
  <c r="L12"/>
  <c r="K12"/>
  <c r="J12"/>
  <c r="I12"/>
  <c r="H12"/>
  <c r="G12"/>
  <c r="F12"/>
  <c r="E12"/>
  <c r="D12"/>
  <c r="C12"/>
  <c r="B12"/>
  <c r="AG11"/>
  <c r="AF11"/>
  <c r="AE11"/>
  <c r="AD11"/>
  <c r="AC11"/>
  <c r="AB11"/>
  <c r="AA11"/>
  <c r="Z11"/>
  <c r="Y11"/>
  <c r="X11"/>
  <c r="W11"/>
  <c r="V11"/>
  <c r="U11"/>
  <c r="T11"/>
  <c r="S11"/>
  <c r="R11"/>
  <c r="Q11"/>
  <c r="P11"/>
  <c r="O11"/>
  <c r="N11"/>
  <c r="M11"/>
  <c r="L11"/>
  <c r="K11"/>
  <c r="J11"/>
  <c r="I11"/>
  <c r="H11"/>
  <c r="G11"/>
  <c r="F11"/>
  <c r="E11"/>
  <c r="D11"/>
  <c r="C11"/>
  <c r="B11"/>
  <c r="AG10"/>
  <c r="AF10"/>
  <c r="AE10"/>
  <c r="AD10"/>
  <c r="AC10"/>
  <c r="AB10"/>
  <c r="AA10"/>
  <c r="Z10"/>
  <c r="Y10"/>
  <c r="X10"/>
  <c r="W10"/>
  <c r="V10"/>
  <c r="U10"/>
  <c r="T10"/>
  <c r="S10"/>
  <c r="R10"/>
  <c r="Q10"/>
  <c r="P10"/>
  <c r="O10"/>
  <c r="N10"/>
  <c r="M10"/>
  <c r="L10"/>
  <c r="K10"/>
  <c r="J10"/>
  <c r="I10"/>
  <c r="H10"/>
  <c r="G10"/>
  <c r="F10"/>
  <c r="E10"/>
  <c r="D10"/>
  <c r="N117" i="13"/>
  <c r="M117"/>
  <c r="L117"/>
  <c r="K117"/>
  <c r="J117"/>
  <c r="N116"/>
  <c r="M116"/>
  <c r="L116"/>
  <c r="K116"/>
  <c r="J116"/>
  <c r="S39"/>
  <c r="K105"/>
  <c r="J105"/>
  <c r="I105"/>
  <c r="I98"/>
  <c r="I100"/>
  <c r="H98"/>
  <c r="H100"/>
  <c r="I99"/>
  <c r="H99"/>
  <c r="G99"/>
  <c r="F99"/>
  <c r="E99"/>
  <c r="D99"/>
  <c r="G98"/>
  <c r="F98"/>
  <c r="E98"/>
  <c r="D98"/>
  <c r="H92"/>
  <c r="G92"/>
  <c r="H91"/>
  <c r="G91"/>
  <c r="H90"/>
  <c r="G90"/>
  <c r="H89"/>
  <c r="G89"/>
  <c r="F88"/>
  <c r="E88"/>
  <c r="G87"/>
  <c r="AL39"/>
  <c r="L39"/>
  <c r="K39"/>
  <c r="L79"/>
  <c r="J39"/>
  <c r="K79"/>
  <c r="I39"/>
  <c r="J79"/>
  <c r="H39"/>
  <c r="I79" s="1"/>
  <c r="E39"/>
  <c r="D39"/>
  <c r="C39"/>
  <c r="C64" s="1"/>
  <c r="L78"/>
  <c r="K78"/>
  <c r="J78"/>
  <c r="I78"/>
  <c r="L76"/>
  <c r="L77" s="1"/>
  <c r="K76"/>
  <c r="K77" s="1"/>
  <c r="J76"/>
  <c r="J77" s="1"/>
  <c r="I76"/>
  <c r="I77" s="1"/>
  <c r="H76"/>
  <c r="H77" s="1"/>
  <c r="G76"/>
  <c r="E76"/>
  <c r="D76"/>
  <c r="L73"/>
  <c r="L75"/>
  <c r="K73"/>
  <c r="K75" s="1"/>
  <c r="J73"/>
  <c r="J75" s="1"/>
  <c r="L74"/>
  <c r="O9"/>
  <c r="K67"/>
  <c r="AO39"/>
  <c r="AN39"/>
  <c r="AM39"/>
  <c r="AS64"/>
  <c r="AR64"/>
  <c r="AQ64"/>
  <c r="AP64"/>
  <c r="AO64"/>
  <c r="AN64"/>
  <c r="AM64"/>
  <c r="AL64"/>
  <c r="AK64"/>
  <c r="AJ64"/>
  <c r="AI64"/>
  <c r="AH64"/>
  <c r="AG64"/>
  <c r="AF64"/>
  <c r="AE64"/>
  <c r="AC64"/>
  <c r="AB64"/>
  <c r="AA64"/>
  <c r="Z64"/>
  <c r="Y64"/>
  <c r="S64"/>
  <c r="R9"/>
  <c r="Q24"/>
  <c r="Q9"/>
  <c r="Q39"/>
  <c r="Q64"/>
  <c r="P24"/>
  <c r="P9"/>
  <c r="P39"/>
  <c r="P64"/>
  <c r="K64"/>
  <c r="J64"/>
  <c r="I64"/>
  <c r="AV63"/>
  <c r="AU63"/>
  <c r="AT63"/>
  <c r="AS63"/>
  <c r="AR63"/>
  <c r="AQ63"/>
  <c r="AP63"/>
  <c r="AO63"/>
  <c r="AN63"/>
  <c r="AM63"/>
  <c r="AL63"/>
  <c r="AK63"/>
  <c r="AJ63"/>
  <c r="AI63"/>
  <c r="AH63"/>
  <c r="AG63"/>
  <c r="AF63"/>
  <c r="AE63"/>
  <c r="AD63"/>
  <c r="AC63"/>
  <c r="AB63"/>
  <c r="AA63"/>
  <c r="Z63"/>
  <c r="Y63"/>
  <c r="AT39"/>
  <c r="AS39"/>
  <c r="AT62"/>
  <c r="AR39"/>
  <c r="AS62"/>
  <c r="AQ39"/>
  <c r="AR62"/>
  <c r="AP39"/>
  <c r="AQ62"/>
  <c r="AP62"/>
  <c r="AO62"/>
  <c r="AN62"/>
  <c r="AM62"/>
  <c r="AK39"/>
  <c r="AL62"/>
  <c r="AJ39"/>
  <c r="AK62"/>
  <c r="AI39"/>
  <c r="AJ62"/>
  <c r="AH39"/>
  <c r="AI62"/>
  <c r="AG39"/>
  <c r="AH62"/>
  <c r="AF39"/>
  <c r="AG62"/>
  <c r="AE39"/>
  <c r="AF62"/>
  <c r="AD39"/>
  <c r="AE62"/>
  <c r="AC39"/>
  <c r="AD62"/>
  <c r="AB39"/>
  <c r="AC62"/>
  <c r="AA39"/>
  <c r="AB62"/>
  <c r="Z39"/>
  <c r="AA62"/>
  <c r="Y39"/>
  <c r="Z62"/>
  <c r="X39"/>
  <c r="Y62"/>
  <c r="T39"/>
  <c r="T62"/>
  <c r="J59"/>
  <c r="K59"/>
  <c r="L59"/>
  <c r="M59"/>
  <c r="N9"/>
  <c r="N59"/>
  <c r="O59"/>
  <c r="P59"/>
  <c r="Q59"/>
  <c r="R59"/>
  <c r="S59"/>
  <c r="T59"/>
  <c r="U59"/>
  <c r="V59"/>
  <c r="W59"/>
  <c r="X59"/>
  <c r="AA59"/>
  <c r="AB59"/>
  <c r="AC59"/>
  <c r="AD59"/>
  <c r="AE59"/>
  <c r="AF59"/>
  <c r="AG59"/>
  <c r="AH59"/>
  <c r="AI59"/>
  <c r="AJ59"/>
  <c r="AJ61"/>
  <c r="AT60"/>
  <c r="AS60"/>
  <c r="AR60"/>
  <c r="AQ60"/>
  <c r="AP60"/>
  <c r="AO60"/>
  <c r="AN60"/>
  <c r="AM60"/>
  <c r="AL60"/>
  <c r="AK60"/>
  <c r="AJ60"/>
  <c r="AI60"/>
  <c r="AH60"/>
  <c r="AG60"/>
  <c r="AF60"/>
  <c r="AE60"/>
  <c r="AD60"/>
  <c r="AC60"/>
  <c r="AB60"/>
  <c r="AA60"/>
  <c r="X60"/>
  <c r="W60"/>
  <c r="V60"/>
  <c r="U60"/>
  <c r="T60"/>
  <c r="Q60"/>
  <c r="L60"/>
  <c r="K60"/>
  <c r="J60"/>
  <c r="F60"/>
  <c r="E60"/>
  <c r="D60"/>
  <c r="AV59"/>
  <c r="AU59"/>
  <c r="AT59"/>
  <c r="AS59"/>
  <c r="AR59"/>
  <c r="AQ59"/>
  <c r="AP59"/>
  <c r="AO59"/>
  <c r="AN59"/>
  <c r="AM59"/>
  <c r="AL59"/>
  <c r="AK59"/>
  <c r="I59"/>
  <c r="G59"/>
  <c r="F59"/>
  <c r="E59"/>
  <c r="D59"/>
  <c r="AT58"/>
  <c r="AS58"/>
  <c r="AR58"/>
  <c r="AQ58"/>
  <c r="AP58"/>
  <c r="AO58"/>
  <c r="AN58"/>
  <c r="AM58"/>
  <c r="AL58"/>
  <c r="AK58"/>
  <c r="AJ58"/>
  <c r="AI58"/>
  <c r="AH58"/>
  <c r="AG58"/>
  <c r="AF58"/>
  <c r="AE58"/>
  <c r="AD58"/>
  <c r="AC58"/>
  <c r="AB58"/>
  <c r="AA58"/>
  <c r="X58"/>
  <c r="W39"/>
  <c r="V39"/>
  <c r="W58"/>
  <c r="U39"/>
  <c r="V58"/>
  <c r="U58"/>
  <c r="T58"/>
  <c r="Q58"/>
  <c r="M39"/>
  <c r="M58" s="1"/>
  <c r="L58"/>
  <c r="K58"/>
  <c r="J58"/>
  <c r="V56"/>
  <c r="U56"/>
  <c r="T56"/>
  <c r="AR55"/>
  <c r="AJ55"/>
  <c r="X55"/>
  <c r="AQ47"/>
  <c r="AQ54"/>
  <c r="AO54"/>
  <c r="AN47"/>
  <c r="AN54"/>
  <c r="AM47"/>
  <c r="AM54"/>
  <c r="AJ47"/>
  <c r="AJ54"/>
  <c r="AI47"/>
  <c r="AI54"/>
  <c r="AG47"/>
  <c r="AG54"/>
  <c r="AF47"/>
  <c r="AF54"/>
  <c r="AE47"/>
  <c r="AE54"/>
  <c r="AC54"/>
  <c r="AB47"/>
  <c r="AB54"/>
  <c r="AA47"/>
  <c r="AA54"/>
  <c r="Z47"/>
  <c r="Z54"/>
  <c r="Y54"/>
  <c r="X47"/>
  <c r="X54"/>
  <c r="W54"/>
  <c r="U47"/>
  <c r="U54"/>
  <c r="T47"/>
  <c r="T54"/>
  <c r="S47"/>
  <c r="S54"/>
  <c r="Q54"/>
  <c r="P47"/>
  <c r="P54"/>
  <c r="K47"/>
  <c r="K54"/>
  <c r="J47"/>
  <c r="J54"/>
  <c r="AQ52"/>
  <c r="AO52"/>
  <c r="AN52"/>
  <c r="AM52"/>
  <c r="AK52"/>
  <c r="AJ52"/>
  <c r="X52"/>
  <c r="K52"/>
  <c r="J52"/>
  <c r="AH51"/>
  <c r="Z51"/>
  <c r="J43"/>
  <c r="J50"/>
  <c r="AR50"/>
  <c r="AQ43"/>
  <c r="AQ50"/>
  <c r="AO43"/>
  <c r="AO50"/>
  <c r="AN43"/>
  <c r="AN50"/>
  <c r="AM43"/>
  <c r="AM50"/>
  <c r="AL43"/>
  <c r="AL50"/>
  <c r="AK43"/>
  <c r="AK50"/>
  <c r="AJ43"/>
  <c r="AJ50"/>
  <c r="AI43"/>
  <c r="AI50"/>
  <c r="AH43"/>
  <c r="AH50"/>
  <c r="AG43"/>
  <c r="AG50"/>
  <c r="AF43"/>
  <c r="AF50"/>
  <c r="AE43"/>
  <c r="AE50"/>
  <c r="AD50"/>
  <c r="AB43"/>
  <c r="AB50"/>
  <c r="AA43"/>
  <c r="AA50"/>
  <c r="Z43"/>
  <c r="Z50"/>
  <c r="Y43"/>
  <c r="Y50"/>
  <c r="X43"/>
  <c r="X50"/>
  <c r="V50"/>
  <c r="U43"/>
  <c r="U50"/>
  <c r="T43"/>
  <c r="T50"/>
  <c r="S43"/>
  <c r="S50"/>
  <c r="Q43"/>
  <c r="Q50"/>
  <c r="P43"/>
  <c r="P50"/>
  <c r="L43"/>
  <c r="L50"/>
  <c r="K43"/>
  <c r="K50"/>
  <c r="AP48"/>
  <c r="AO48"/>
  <c r="AN48"/>
  <c r="AM48"/>
  <c r="AL48"/>
  <c r="AK48"/>
  <c r="AJ48"/>
  <c r="AI48"/>
  <c r="AH48"/>
  <c r="AG48"/>
  <c r="AF48"/>
  <c r="AE48"/>
  <c r="AD48"/>
  <c r="AC48"/>
  <c r="AB48"/>
  <c r="AA48"/>
  <c r="Z48"/>
  <c r="Y48"/>
  <c r="X48"/>
  <c r="W48"/>
  <c r="V48"/>
  <c r="U48"/>
  <c r="T48"/>
  <c r="S48"/>
  <c r="Q48"/>
  <c r="P48"/>
  <c r="L48"/>
  <c r="K48"/>
  <c r="J48"/>
  <c r="CQ45"/>
  <c r="CQ47" s="1"/>
  <c r="AR47"/>
  <c r="AU46"/>
  <c r="E40" i="28"/>
  <c r="E44"/>
  <c r="F40"/>
  <c r="G40"/>
  <c r="F37"/>
  <c r="F36"/>
  <c r="F33"/>
  <c r="G33"/>
  <c r="F32"/>
  <c r="G32"/>
  <c r="F29"/>
  <c r="G29"/>
  <c r="F28"/>
  <c r="G28"/>
  <c r="F25"/>
  <c r="F24"/>
  <c r="F21"/>
  <c r="G21"/>
  <c r="F20"/>
  <c r="G20"/>
  <c r="F17"/>
  <c r="F16"/>
  <c r="F13"/>
  <c r="G13"/>
  <c r="F12"/>
  <c r="G12"/>
  <c r="F9"/>
  <c r="G9"/>
  <c r="F8"/>
  <c r="G8"/>
  <c r="J5"/>
  <c r="J4"/>
  <c r="F4"/>
  <c r="G4"/>
  <c r="U220" i="86"/>
  <c r="T148"/>
  <c r="T147"/>
  <c r="T141"/>
  <c r="T144" s="1"/>
  <c r="T142"/>
  <c r="N126" i="77"/>
  <c r="N125"/>
  <c r="N124"/>
  <c r="N123"/>
  <c r="N122"/>
  <c r="N121"/>
  <c r="N120"/>
  <c r="N119"/>
  <c r="N118"/>
  <c r="N117"/>
  <c r="N116"/>
  <c r="M187" i="21"/>
  <c r="M186"/>
  <c r="M185"/>
  <c r="M184"/>
  <c r="M183"/>
  <c r="M182"/>
  <c r="M181"/>
  <c r="M180"/>
  <c r="M178"/>
  <c r="M168"/>
  <c r="M167"/>
  <c r="L7" i="18"/>
  <c r="L6"/>
  <c r="E6"/>
  <c r="D6" s="1"/>
  <c r="H6"/>
  <c r="I7"/>
  <c r="I6"/>
  <c r="L13"/>
  <c r="E7"/>
  <c r="D7" s="1"/>
  <c r="I13"/>
  <c r="B695" s="1"/>
  <c r="L26"/>
  <c r="C13"/>
  <c r="E13"/>
  <c r="D13" s="1"/>
  <c r="I26"/>
  <c r="L39"/>
  <c r="E714" s="1"/>
  <c r="C26"/>
  <c r="H26"/>
  <c r="I39"/>
  <c r="B714" s="1"/>
  <c r="L51"/>
  <c r="C39"/>
  <c r="E39"/>
  <c r="G39"/>
  <c r="I51"/>
  <c r="K7"/>
  <c r="K6"/>
  <c r="K13"/>
  <c r="K26"/>
  <c r="K39"/>
  <c r="K51"/>
  <c r="J7"/>
  <c r="J13"/>
  <c r="J26"/>
  <c r="J39"/>
  <c r="J51"/>
  <c r="L50"/>
  <c r="L38"/>
  <c r="C38"/>
  <c r="F38"/>
  <c r="I50"/>
  <c r="I38"/>
  <c r="K50"/>
  <c r="K38"/>
  <c r="J50"/>
  <c r="J38"/>
  <c r="L49"/>
  <c r="L37"/>
  <c r="C37"/>
  <c r="E37"/>
  <c r="F37"/>
  <c r="G37"/>
  <c r="H37"/>
  <c r="I49"/>
  <c r="I37"/>
  <c r="K49"/>
  <c r="K37"/>
  <c r="J49"/>
  <c r="J37"/>
  <c r="L48"/>
  <c r="L36"/>
  <c r="C36"/>
  <c r="F36"/>
  <c r="H36"/>
  <c r="I48"/>
  <c r="I36"/>
  <c r="K48"/>
  <c r="K36"/>
  <c r="J36"/>
  <c r="L47"/>
  <c r="L35"/>
  <c r="C35"/>
  <c r="E35"/>
  <c r="G35"/>
  <c r="H35"/>
  <c r="I47"/>
  <c r="I35"/>
  <c r="K47"/>
  <c r="K35"/>
  <c r="J47"/>
  <c r="J35"/>
  <c r="L46"/>
  <c r="L34"/>
  <c r="C34"/>
  <c r="F34"/>
  <c r="H34"/>
  <c r="I46"/>
  <c r="I34"/>
  <c r="K46"/>
  <c r="K34"/>
  <c r="J46"/>
  <c r="J34"/>
  <c r="L45"/>
  <c r="L32"/>
  <c r="C32"/>
  <c r="E32"/>
  <c r="D32" s="1"/>
  <c r="I45"/>
  <c r="I32"/>
  <c r="K45"/>
  <c r="K32"/>
  <c r="J32"/>
  <c r="L44"/>
  <c r="L31"/>
  <c r="C31"/>
  <c r="E31"/>
  <c r="D31" s="1"/>
  <c r="H31"/>
  <c r="I44"/>
  <c r="I31"/>
  <c r="K44"/>
  <c r="K31"/>
  <c r="J44"/>
  <c r="J31"/>
  <c r="L43"/>
  <c r="L30"/>
  <c r="C30"/>
  <c r="E30"/>
  <c r="D30" s="1"/>
  <c r="H30"/>
  <c r="I43"/>
  <c r="I30"/>
  <c r="K43"/>
  <c r="K30"/>
  <c r="J43"/>
  <c r="J30"/>
  <c r="L42"/>
  <c r="L29"/>
  <c r="C29"/>
  <c r="E29"/>
  <c r="D29" s="1"/>
  <c r="I42"/>
  <c r="I29"/>
  <c r="K42"/>
  <c r="K29"/>
  <c r="J42"/>
  <c r="J29"/>
  <c r="L41"/>
  <c r="L28"/>
  <c r="C28"/>
  <c r="E28"/>
  <c r="D28" s="1"/>
  <c r="H28"/>
  <c r="I41"/>
  <c r="I28"/>
  <c r="K41"/>
  <c r="K28"/>
  <c r="J41"/>
  <c r="J28"/>
  <c r="L40"/>
  <c r="L27"/>
  <c r="C27"/>
  <c r="E27"/>
  <c r="D27" s="1"/>
  <c r="I40"/>
  <c r="I27"/>
  <c r="K40"/>
  <c r="K27"/>
  <c r="J40"/>
  <c r="J27"/>
  <c r="L25"/>
  <c r="C25"/>
  <c r="E25"/>
  <c r="D25" s="1"/>
  <c r="H25"/>
  <c r="I25"/>
  <c r="K25"/>
  <c r="J25"/>
  <c r="L24"/>
  <c r="C24"/>
  <c r="E24"/>
  <c r="D24" s="1"/>
  <c r="H24"/>
  <c r="I24"/>
  <c r="K24"/>
  <c r="J24"/>
  <c r="L23"/>
  <c r="E711" s="1"/>
  <c r="C23"/>
  <c r="E23"/>
  <c r="D23" s="1"/>
  <c r="I23"/>
  <c r="K23"/>
  <c r="J23"/>
  <c r="L22"/>
  <c r="C22"/>
  <c r="H22"/>
  <c r="I22"/>
  <c r="K22"/>
  <c r="J22"/>
  <c r="L21"/>
  <c r="C21"/>
  <c r="E21"/>
  <c r="D21" s="1"/>
  <c r="H21"/>
  <c r="I21"/>
  <c r="K21"/>
  <c r="L19"/>
  <c r="C19"/>
  <c r="E19"/>
  <c r="D19" s="1"/>
  <c r="I19"/>
  <c r="K19"/>
  <c r="J19"/>
  <c r="L18"/>
  <c r="C18"/>
  <c r="E18"/>
  <c r="D18" s="1"/>
  <c r="H18"/>
  <c r="I18"/>
  <c r="K18"/>
  <c r="J18"/>
  <c r="L17"/>
  <c r="C17"/>
  <c r="E17"/>
  <c r="D17" s="1"/>
  <c r="H17"/>
  <c r="I17"/>
  <c r="K17"/>
  <c r="J17"/>
  <c r="L16"/>
  <c r="C16"/>
  <c r="E16"/>
  <c r="D16" s="1"/>
  <c r="H16"/>
  <c r="I16"/>
  <c r="K16"/>
  <c r="J16"/>
  <c r="L15"/>
  <c r="C15"/>
  <c r="E15"/>
  <c r="D15" s="1"/>
  <c r="H15"/>
  <c r="I15"/>
  <c r="K15"/>
  <c r="J15"/>
  <c r="C14"/>
  <c r="E14"/>
  <c r="D14" s="1"/>
  <c r="H14"/>
  <c r="I14"/>
  <c r="K14"/>
  <c r="J14"/>
  <c r="L12"/>
  <c r="C12"/>
  <c r="E12"/>
  <c r="D12" s="1"/>
  <c r="H12"/>
  <c r="I12"/>
  <c r="K12"/>
  <c r="J12"/>
  <c r="L11"/>
  <c r="C11"/>
  <c r="E11"/>
  <c r="D11" s="1"/>
  <c r="H11"/>
  <c r="I11"/>
  <c r="K11"/>
  <c r="J11"/>
  <c r="L10"/>
  <c r="C10"/>
  <c r="E10"/>
  <c r="D10" s="1"/>
  <c r="H10"/>
  <c r="I10"/>
  <c r="K10"/>
  <c r="J10"/>
  <c r="C9"/>
  <c r="E9"/>
  <c r="D9" s="1"/>
  <c r="H9"/>
  <c r="I9"/>
  <c r="K9"/>
  <c r="J9"/>
  <c r="L8"/>
  <c r="C8"/>
  <c r="E8"/>
  <c r="D8" s="1"/>
  <c r="I8"/>
  <c r="K8"/>
  <c r="J8"/>
  <c r="J688"/>
  <c r="I688"/>
  <c r="H688"/>
  <c r="G688"/>
  <c r="F605"/>
  <c r="F592"/>
  <c r="F688"/>
  <c r="E605"/>
  <c r="E592"/>
  <c r="E688"/>
  <c r="D605"/>
  <c r="D592"/>
  <c r="D688"/>
  <c r="C688"/>
  <c r="B605"/>
  <c r="B592"/>
  <c r="B688"/>
  <c r="J686"/>
  <c r="I686"/>
  <c r="H686"/>
  <c r="G686"/>
  <c r="F603"/>
  <c r="F590"/>
  <c r="F686"/>
  <c r="E603"/>
  <c r="E590"/>
  <c r="E686"/>
  <c r="D603"/>
  <c r="D590"/>
  <c r="D686"/>
  <c r="B603"/>
  <c r="B590"/>
  <c r="B686"/>
  <c r="J685"/>
  <c r="I685"/>
  <c r="H685"/>
  <c r="G685"/>
  <c r="F602"/>
  <c r="F589"/>
  <c r="F685"/>
  <c r="E602"/>
  <c r="E589"/>
  <c r="E685"/>
  <c r="D602"/>
  <c r="D589"/>
  <c r="D685"/>
  <c r="C685"/>
  <c r="B602"/>
  <c r="B589"/>
  <c r="B685"/>
  <c r="J684"/>
  <c r="I684"/>
  <c r="H684"/>
  <c r="G684"/>
  <c r="F601"/>
  <c r="F588"/>
  <c r="F684"/>
  <c r="E601"/>
  <c r="E588"/>
  <c r="E684"/>
  <c r="D601"/>
  <c r="D588"/>
  <c r="D684"/>
  <c r="C684"/>
  <c r="B601"/>
  <c r="B588"/>
  <c r="B684"/>
  <c r="J683"/>
  <c r="I683"/>
  <c r="H683"/>
  <c r="G683"/>
  <c r="F600"/>
  <c r="F587"/>
  <c r="F683"/>
  <c r="E600"/>
  <c r="E587"/>
  <c r="E683"/>
  <c r="D600"/>
  <c r="D587"/>
  <c r="D683"/>
  <c r="C683"/>
  <c r="B600"/>
  <c r="B587"/>
  <c r="B683"/>
  <c r="J682"/>
  <c r="I682"/>
  <c r="H682"/>
  <c r="G682"/>
  <c r="F599"/>
  <c r="F586"/>
  <c r="F682"/>
  <c r="E599"/>
  <c r="E586"/>
  <c r="E682"/>
  <c r="D599"/>
  <c r="D586"/>
  <c r="D682"/>
  <c r="C682"/>
  <c r="B599"/>
  <c r="B586"/>
  <c r="B682"/>
  <c r="J681"/>
  <c r="I681"/>
  <c r="H681"/>
  <c r="G681"/>
  <c r="F598"/>
  <c r="F585"/>
  <c r="F681"/>
  <c r="E598"/>
  <c r="E585"/>
  <c r="E681"/>
  <c r="D598"/>
  <c r="D585"/>
  <c r="D681"/>
  <c r="C681"/>
  <c r="B598"/>
  <c r="B585"/>
  <c r="B681"/>
  <c r="J680"/>
  <c r="I680"/>
  <c r="H680"/>
  <c r="G680"/>
  <c r="F597"/>
  <c r="F584"/>
  <c r="F680"/>
  <c r="E597"/>
  <c r="E584"/>
  <c r="E680"/>
  <c r="D597"/>
  <c r="D584"/>
  <c r="D680"/>
  <c r="C680"/>
  <c r="B597"/>
  <c r="B584"/>
  <c r="B680"/>
  <c r="J679"/>
  <c r="I679"/>
  <c r="H679"/>
  <c r="G679"/>
  <c r="F596"/>
  <c r="F583"/>
  <c r="F679"/>
  <c r="E596"/>
  <c r="E583"/>
  <c r="E679"/>
  <c r="D596"/>
  <c r="D583"/>
  <c r="D679"/>
  <c r="C679"/>
  <c r="B596"/>
  <c r="B583"/>
  <c r="B679"/>
  <c r="J678"/>
  <c r="I678"/>
  <c r="H678"/>
  <c r="G678"/>
  <c r="F595"/>
  <c r="F582"/>
  <c r="F678"/>
  <c r="E595"/>
  <c r="E582"/>
  <c r="E678"/>
  <c r="D595"/>
  <c r="D582"/>
  <c r="D678"/>
  <c r="C678"/>
  <c r="B595"/>
  <c r="B582"/>
  <c r="B678"/>
  <c r="J677"/>
  <c r="I677"/>
  <c r="H677"/>
  <c r="G677"/>
  <c r="F594"/>
  <c r="F581"/>
  <c r="F677"/>
  <c r="E594"/>
  <c r="E581"/>
  <c r="E677"/>
  <c r="D594"/>
  <c r="D581"/>
  <c r="D677"/>
  <c r="C677"/>
  <c r="B594"/>
  <c r="B581"/>
  <c r="B677"/>
  <c r="J676"/>
  <c r="I676"/>
  <c r="H676"/>
  <c r="G676"/>
  <c r="F593"/>
  <c r="F580"/>
  <c r="F676"/>
  <c r="E593"/>
  <c r="E580"/>
  <c r="E676"/>
  <c r="D593"/>
  <c r="D580"/>
  <c r="D676"/>
  <c r="C676"/>
  <c r="B593"/>
  <c r="B580"/>
  <c r="B676"/>
  <c r="J675"/>
  <c r="I675"/>
  <c r="H675"/>
  <c r="G675"/>
  <c r="F579"/>
  <c r="F675"/>
  <c r="E579"/>
  <c r="E675"/>
  <c r="D579"/>
  <c r="D675"/>
  <c r="C675"/>
  <c r="B579"/>
  <c r="B675"/>
  <c r="J673"/>
  <c r="I673"/>
  <c r="H673"/>
  <c r="G673"/>
  <c r="F577"/>
  <c r="F673"/>
  <c r="E577"/>
  <c r="E673"/>
  <c r="D577"/>
  <c r="D673"/>
  <c r="C673"/>
  <c r="B577"/>
  <c r="B673"/>
  <c r="J672"/>
  <c r="I672"/>
  <c r="H672"/>
  <c r="G672"/>
  <c r="F576"/>
  <c r="F672"/>
  <c r="E576"/>
  <c r="E672"/>
  <c r="D576"/>
  <c r="D672"/>
  <c r="C672"/>
  <c r="B576"/>
  <c r="B672"/>
  <c r="J671"/>
  <c r="I671"/>
  <c r="H671"/>
  <c r="G671"/>
  <c r="F575"/>
  <c r="F671"/>
  <c r="E575"/>
  <c r="E671"/>
  <c r="D575"/>
  <c r="D671"/>
  <c r="C671"/>
  <c r="B575"/>
  <c r="B671"/>
  <c r="J670"/>
  <c r="I670"/>
  <c r="H670"/>
  <c r="F574"/>
  <c r="F670"/>
  <c r="E574"/>
  <c r="E670"/>
  <c r="D574"/>
  <c r="D670"/>
  <c r="C670"/>
  <c r="B574"/>
  <c r="B670"/>
  <c r="J669"/>
  <c r="I669"/>
  <c r="H669"/>
  <c r="G669"/>
  <c r="F573"/>
  <c r="F669"/>
  <c r="E573"/>
  <c r="E669"/>
  <c r="D573"/>
  <c r="D669"/>
  <c r="C669"/>
  <c r="B573"/>
  <c r="B669"/>
  <c r="J668"/>
  <c r="I668"/>
  <c r="H668"/>
  <c r="G668"/>
  <c r="F572"/>
  <c r="F668"/>
  <c r="E572"/>
  <c r="E668"/>
  <c r="D572"/>
  <c r="D668"/>
  <c r="C668"/>
  <c r="B572"/>
  <c r="B668"/>
  <c r="J667"/>
  <c r="I667"/>
  <c r="H667"/>
  <c r="G667"/>
  <c r="F571"/>
  <c r="F667"/>
  <c r="E571"/>
  <c r="E667"/>
  <c r="D571"/>
  <c r="D667"/>
  <c r="C667"/>
  <c r="B571"/>
  <c r="B667"/>
  <c r="J666"/>
  <c r="I666"/>
  <c r="H666"/>
  <c r="G666"/>
  <c r="F570"/>
  <c r="F666"/>
  <c r="E570"/>
  <c r="E666"/>
  <c r="D570"/>
  <c r="D666"/>
  <c r="C666"/>
  <c r="B570"/>
  <c r="B666"/>
  <c r="J665"/>
  <c r="I665"/>
  <c r="H665"/>
  <c r="G665"/>
  <c r="F569"/>
  <c r="F665"/>
  <c r="E569"/>
  <c r="E665"/>
  <c r="D569"/>
  <c r="D665"/>
  <c r="C665"/>
  <c r="B569"/>
  <c r="B665"/>
  <c r="J664"/>
  <c r="I664"/>
  <c r="H664"/>
  <c r="G664"/>
  <c r="F568"/>
  <c r="F664"/>
  <c r="E568"/>
  <c r="E664"/>
  <c r="D568"/>
  <c r="D664"/>
  <c r="C664"/>
  <c r="B568"/>
  <c r="B664"/>
  <c r="J663"/>
  <c r="I663"/>
  <c r="H663"/>
  <c r="G663"/>
  <c r="F567"/>
  <c r="F663"/>
  <c r="E567"/>
  <c r="E663"/>
  <c r="D567"/>
  <c r="D663"/>
  <c r="C663"/>
  <c r="B567"/>
  <c r="B663"/>
  <c r="J662"/>
  <c r="I662"/>
  <c r="H662"/>
  <c r="G662"/>
  <c r="F566"/>
  <c r="F662"/>
  <c r="E566"/>
  <c r="E662"/>
  <c r="D566"/>
  <c r="D662"/>
  <c r="C662"/>
  <c r="B566"/>
  <c r="B662"/>
  <c r="J660"/>
  <c r="I660"/>
  <c r="H660"/>
  <c r="G660"/>
  <c r="F564"/>
  <c r="F660"/>
  <c r="E564"/>
  <c r="E660"/>
  <c r="D564"/>
  <c r="D660"/>
  <c r="C660"/>
  <c r="B564"/>
  <c r="B660"/>
  <c r="J659"/>
  <c r="I659"/>
  <c r="H659"/>
  <c r="G659"/>
  <c r="F563"/>
  <c r="F659"/>
  <c r="E563"/>
  <c r="E659"/>
  <c r="D563"/>
  <c r="D659"/>
  <c r="C659"/>
  <c r="B563"/>
  <c r="B659"/>
  <c r="J658"/>
  <c r="I658"/>
  <c r="H658"/>
  <c r="G658"/>
  <c r="F562"/>
  <c r="F658"/>
  <c r="E562"/>
  <c r="E658"/>
  <c r="D562"/>
  <c r="D658"/>
  <c r="C658"/>
  <c r="B562"/>
  <c r="B658"/>
  <c r="J657"/>
  <c r="I657"/>
  <c r="H657"/>
  <c r="G657"/>
  <c r="F561"/>
  <c r="F657"/>
  <c r="E561"/>
  <c r="E657"/>
  <c r="D561"/>
  <c r="D657"/>
  <c r="C657"/>
  <c r="B561"/>
  <c r="B657"/>
  <c r="J656"/>
  <c r="I656"/>
  <c r="G656"/>
  <c r="F560"/>
  <c r="F656"/>
  <c r="E560"/>
  <c r="E656"/>
  <c r="D560"/>
  <c r="D656"/>
  <c r="C656"/>
  <c r="B560"/>
  <c r="B656"/>
  <c r="J655"/>
  <c r="I655"/>
  <c r="H655"/>
  <c r="G655"/>
  <c r="F559"/>
  <c r="F655"/>
  <c r="E559"/>
  <c r="E655"/>
  <c r="D559"/>
  <c r="D655"/>
  <c r="C655"/>
  <c r="B559"/>
  <c r="B655"/>
  <c r="J654"/>
  <c r="I654"/>
  <c r="H654"/>
  <c r="G654"/>
  <c r="F558"/>
  <c r="F654"/>
  <c r="E558"/>
  <c r="E654"/>
  <c r="D558"/>
  <c r="D654"/>
  <c r="C654"/>
  <c r="B558"/>
  <c r="B654"/>
  <c r="J653"/>
  <c r="I653"/>
  <c r="H653"/>
  <c r="G653"/>
  <c r="F557"/>
  <c r="F653"/>
  <c r="E557"/>
  <c r="E653"/>
  <c r="D557"/>
  <c r="D653"/>
  <c r="C653"/>
  <c r="B557"/>
  <c r="B653"/>
  <c r="J652"/>
  <c r="I652"/>
  <c r="H652"/>
  <c r="G652"/>
  <c r="F556"/>
  <c r="F652"/>
  <c r="E556"/>
  <c r="E652"/>
  <c r="D556"/>
  <c r="D652"/>
  <c r="C652"/>
  <c r="B556"/>
  <c r="B652"/>
  <c r="J651"/>
  <c r="I651"/>
  <c r="H651"/>
  <c r="G651"/>
  <c r="F555"/>
  <c r="F651"/>
  <c r="E555"/>
  <c r="E651"/>
  <c r="D555"/>
  <c r="D651"/>
  <c r="C651"/>
  <c r="B555"/>
  <c r="B651"/>
  <c r="J650"/>
  <c r="I650"/>
  <c r="H650"/>
  <c r="G650"/>
  <c r="F554"/>
  <c r="F650"/>
  <c r="E554"/>
  <c r="E650"/>
  <c r="D554"/>
  <c r="D650"/>
  <c r="C650"/>
  <c r="B554"/>
  <c r="B650"/>
  <c r="J649"/>
  <c r="I649"/>
  <c r="H649"/>
  <c r="G649"/>
  <c r="F553"/>
  <c r="F649"/>
  <c r="E553"/>
  <c r="E649"/>
  <c r="D553"/>
  <c r="D649"/>
  <c r="C649"/>
  <c r="B553"/>
  <c r="B649"/>
  <c r="J647"/>
  <c r="I647"/>
  <c r="H647"/>
  <c r="G647"/>
  <c r="F551"/>
  <c r="F647"/>
  <c r="E551"/>
  <c r="E647"/>
  <c r="D551"/>
  <c r="D647"/>
  <c r="C647"/>
  <c r="B551"/>
  <c r="B647"/>
  <c r="J646"/>
  <c r="I646"/>
  <c r="H646"/>
  <c r="G646"/>
  <c r="F550"/>
  <c r="F646"/>
  <c r="E550"/>
  <c r="E646"/>
  <c r="D550"/>
  <c r="D646"/>
  <c r="C646"/>
  <c r="B550"/>
  <c r="B646"/>
  <c r="J645"/>
  <c r="I645"/>
  <c r="H645"/>
  <c r="G645"/>
  <c r="F549"/>
  <c r="F645"/>
  <c r="E549"/>
  <c r="E645"/>
  <c r="D549"/>
  <c r="D645"/>
  <c r="C645"/>
  <c r="B549"/>
  <c r="B645"/>
  <c r="J644"/>
  <c r="I644"/>
  <c r="H644"/>
  <c r="G644"/>
  <c r="F548"/>
  <c r="F644"/>
  <c r="E548"/>
  <c r="E644"/>
  <c r="D548"/>
  <c r="D644"/>
  <c r="C644"/>
  <c r="B548"/>
  <c r="B644"/>
  <c r="J643"/>
  <c r="I643"/>
  <c r="H643"/>
  <c r="G643"/>
  <c r="F547"/>
  <c r="F643"/>
  <c r="E547"/>
  <c r="E643"/>
  <c r="D547"/>
  <c r="D643"/>
  <c r="C643"/>
  <c r="B547"/>
  <c r="B643"/>
  <c r="J642"/>
  <c r="I642"/>
  <c r="H642"/>
  <c r="G642"/>
  <c r="F546"/>
  <c r="F642"/>
  <c r="E546"/>
  <c r="E642"/>
  <c r="D546"/>
  <c r="D642"/>
  <c r="C642"/>
  <c r="B546"/>
  <c r="B642"/>
  <c r="J641"/>
  <c r="I641"/>
  <c r="H641"/>
  <c r="G641"/>
  <c r="F545"/>
  <c r="F641"/>
  <c r="E545"/>
  <c r="E641"/>
  <c r="D545"/>
  <c r="D641"/>
  <c r="C641"/>
  <c r="B545"/>
  <c r="B641"/>
  <c r="J640"/>
  <c r="I640"/>
  <c r="H640"/>
  <c r="G640"/>
  <c r="F544"/>
  <c r="F640"/>
  <c r="E544"/>
  <c r="E640"/>
  <c r="D544"/>
  <c r="D640"/>
  <c r="C640"/>
  <c r="B544"/>
  <c r="B640"/>
  <c r="J639"/>
  <c r="I639"/>
  <c r="H639"/>
  <c r="G639"/>
  <c r="F543"/>
  <c r="F639"/>
  <c r="E543"/>
  <c r="E639"/>
  <c r="D543"/>
  <c r="D639"/>
  <c r="C639"/>
  <c r="B543"/>
  <c r="B639"/>
  <c r="J638"/>
  <c r="I638"/>
  <c r="H638"/>
  <c r="G638"/>
  <c r="F542"/>
  <c r="F638"/>
  <c r="E542"/>
  <c r="E638"/>
  <c r="D542"/>
  <c r="D638"/>
  <c r="C638"/>
  <c r="B542"/>
  <c r="B638"/>
  <c r="J637"/>
  <c r="I637"/>
  <c r="H637"/>
  <c r="G637"/>
  <c r="F541"/>
  <c r="F637"/>
  <c r="E541"/>
  <c r="E637"/>
  <c r="D541"/>
  <c r="D637"/>
  <c r="C637"/>
  <c r="B541"/>
  <c r="B637"/>
  <c r="J636"/>
  <c r="I636"/>
  <c r="H636"/>
  <c r="G636"/>
  <c r="F540"/>
  <c r="F636"/>
  <c r="E540"/>
  <c r="E636"/>
  <c r="D540"/>
  <c r="D636"/>
  <c r="C636"/>
  <c r="B540"/>
  <c r="B636"/>
  <c r="J634"/>
  <c r="I634"/>
  <c r="H634"/>
  <c r="G634"/>
  <c r="F538"/>
  <c r="F634"/>
  <c r="E538"/>
  <c r="E634"/>
  <c r="D538"/>
  <c r="D634"/>
  <c r="C634"/>
  <c r="B538"/>
  <c r="B634"/>
  <c r="J633"/>
  <c r="I633"/>
  <c r="H633"/>
  <c r="G633"/>
  <c r="F537"/>
  <c r="F633"/>
  <c r="E537"/>
  <c r="E633"/>
  <c r="D537"/>
  <c r="D633"/>
  <c r="C633"/>
  <c r="B537"/>
  <c r="B633"/>
  <c r="J632"/>
  <c r="I632"/>
  <c r="H632"/>
  <c r="G632"/>
  <c r="F536"/>
  <c r="F632"/>
  <c r="E536"/>
  <c r="E632"/>
  <c r="D536"/>
  <c r="D632"/>
  <c r="C632"/>
  <c r="B536"/>
  <c r="B632"/>
  <c r="J631"/>
  <c r="I631"/>
  <c r="H631"/>
  <c r="G631"/>
  <c r="F535"/>
  <c r="F631"/>
  <c r="E535"/>
  <c r="E631"/>
  <c r="D535"/>
  <c r="D631"/>
  <c r="C631"/>
  <c r="B535"/>
  <c r="B631"/>
  <c r="J630"/>
  <c r="I630"/>
  <c r="H630"/>
  <c r="G630"/>
  <c r="F534"/>
  <c r="F630"/>
  <c r="E534"/>
  <c r="E630"/>
  <c r="D534"/>
  <c r="D630"/>
  <c r="C630"/>
  <c r="B534"/>
  <c r="B630"/>
  <c r="J629"/>
  <c r="I629"/>
  <c r="H629"/>
  <c r="G629"/>
  <c r="F533"/>
  <c r="F629"/>
  <c r="E533"/>
  <c r="E629"/>
  <c r="D533"/>
  <c r="D629"/>
  <c r="B533"/>
  <c r="B629"/>
  <c r="J628"/>
  <c r="I628"/>
  <c r="H628"/>
  <c r="G628"/>
  <c r="F532"/>
  <c r="F628"/>
  <c r="E532"/>
  <c r="E628"/>
  <c r="D532"/>
  <c r="D628"/>
  <c r="C628"/>
  <c r="B532"/>
  <c r="B628"/>
  <c r="J531"/>
  <c r="J627"/>
  <c r="I627"/>
  <c r="H627"/>
  <c r="F627"/>
  <c r="E531"/>
  <c r="E627"/>
  <c r="D531"/>
  <c r="D627"/>
  <c r="B531"/>
  <c r="B627"/>
  <c r="J626"/>
  <c r="I626"/>
  <c r="G626"/>
  <c r="F626"/>
  <c r="E530"/>
  <c r="E626"/>
  <c r="D530"/>
  <c r="D626"/>
  <c r="B530"/>
  <c r="B626"/>
  <c r="J625"/>
  <c r="I625"/>
  <c r="F625"/>
  <c r="E529"/>
  <c r="E625"/>
  <c r="D529"/>
  <c r="D625"/>
  <c r="B529"/>
  <c r="B625"/>
  <c r="J624"/>
  <c r="I624"/>
  <c r="G624"/>
  <c r="F624"/>
  <c r="E528"/>
  <c r="E624"/>
  <c r="D528"/>
  <c r="D624"/>
  <c r="C624"/>
  <c r="B528"/>
  <c r="B624"/>
  <c r="J623"/>
  <c r="I623"/>
  <c r="H623"/>
  <c r="F623"/>
  <c r="E527"/>
  <c r="E623"/>
  <c r="D527"/>
  <c r="D623"/>
  <c r="B527"/>
  <c r="B623"/>
  <c r="J525"/>
  <c r="J621"/>
  <c r="I525"/>
  <c r="I621"/>
  <c r="H621"/>
  <c r="G621"/>
  <c r="F525"/>
  <c r="F621"/>
  <c r="E525"/>
  <c r="E621"/>
  <c r="D525"/>
  <c r="D621"/>
  <c r="C621"/>
  <c r="B525"/>
  <c r="B621"/>
  <c r="J620"/>
  <c r="I524"/>
  <c r="I620"/>
  <c r="H620"/>
  <c r="G524"/>
  <c r="G620"/>
  <c r="F524"/>
  <c r="F620"/>
  <c r="E524"/>
  <c r="E620"/>
  <c r="D524"/>
  <c r="D620"/>
  <c r="C620"/>
  <c r="B524"/>
  <c r="B620"/>
  <c r="J523"/>
  <c r="J619"/>
  <c r="I523"/>
  <c r="I619"/>
  <c r="H619"/>
  <c r="G619"/>
  <c r="F523"/>
  <c r="F619"/>
  <c r="E523"/>
  <c r="E619"/>
  <c r="D523"/>
  <c r="D619"/>
  <c r="C619"/>
  <c r="B523"/>
  <c r="B619"/>
  <c r="J522"/>
  <c r="J618"/>
  <c r="I522"/>
  <c r="I618"/>
  <c r="H618"/>
  <c r="G618"/>
  <c r="F522"/>
  <c r="F618"/>
  <c r="E522"/>
  <c r="E618"/>
  <c r="D522"/>
  <c r="D618"/>
  <c r="C618"/>
  <c r="B522"/>
  <c r="B618"/>
  <c r="J521"/>
  <c r="J617"/>
  <c r="I617"/>
  <c r="H617"/>
  <c r="G617"/>
  <c r="F521"/>
  <c r="F617"/>
  <c r="E521"/>
  <c r="E617"/>
  <c r="D521"/>
  <c r="D617"/>
  <c r="C617"/>
  <c r="B521"/>
  <c r="B617"/>
  <c r="J616"/>
  <c r="I520"/>
  <c r="I616"/>
  <c r="H616"/>
  <c r="G616"/>
  <c r="F520"/>
  <c r="F616"/>
  <c r="E520"/>
  <c r="E616"/>
  <c r="D520"/>
  <c r="D616"/>
  <c r="B520"/>
  <c r="B616"/>
  <c r="J519"/>
  <c r="J615"/>
  <c r="I519"/>
  <c r="I615"/>
  <c r="H615"/>
  <c r="G615"/>
  <c r="F519"/>
  <c r="F615"/>
  <c r="E519"/>
  <c r="E615"/>
  <c r="D519"/>
  <c r="D615"/>
  <c r="B519"/>
  <c r="B615"/>
  <c r="J518"/>
  <c r="J614"/>
  <c r="I518"/>
  <c r="I614"/>
  <c r="F614"/>
  <c r="E518"/>
  <c r="E614"/>
  <c r="D518"/>
  <c r="D614"/>
  <c r="B518"/>
  <c r="B614"/>
  <c r="J613"/>
  <c r="I613"/>
  <c r="F613"/>
  <c r="E517"/>
  <c r="E613"/>
  <c r="D517"/>
  <c r="D613"/>
  <c r="B517"/>
  <c r="B613"/>
  <c r="J612"/>
  <c r="I612"/>
  <c r="F612"/>
  <c r="E516"/>
  <c r="E612"/>
  <c r="D516"/>
  <c r="D612"/>
  <c r="B516"/>
  <c r="B612"/>
  <c r="J611"/>
  <c r="I611"/>
  <c r="F611"/>
  <c r="E515"/>
  <c r="E611"/>
  <c r="D515"/>
  <c r="D611"/>
  <c r="B515"/>
  <c r="B611"/>
  <c r="J610"/>
  <c r="I610"/>
  <c r="F610"/>
  <c r="E514"/>
  <c r="E610"/>
  <c r="D514"/>
  <c r="D610"/>
  <c r="B514"/>
  <c r="B610"/>
  <c r="J608"/>
  <c r="I608"/>
  <c r="H608"/>
  <c r="F608"/>
  <c r="E512"/>
  <c r="E608"/>
  <c r="D512"/>
  <c r="D608"/>
  <c r="B512"/>
  <c r="B608"/>
  <c r="E511"/>
  <c r="D511"/>
  <c r="B511"/>
  <c r="E510"/>
  <c r="D510"/>
  <c r="B510"/>
  <c r="E509"/>
  <c r="D509"/>
  <c r="B509"/>
  <c r="E508"/>
  <c r="D508"/>
  <c r="B508"/>
  <c r="E507"/>
  <c r="D507"/>
  <c r="B507"/>
  <c r="E506"/>
  <c r="D506"/>
  <c r="B506"/>
  <c r="E505"/>
  <c r="D505"/>
  <c r="B505"/>
  <c r="E504"/>
  <c r="D504"/>
  <c r="B504"/>
  <c r="E503"/>
  <c r="D503"/>
  <c r="B503"/>
  <c r="E502"/>
  <c r="D502"/>
  <c r="B502"/>
  <c r="E501"/>
  <c r="D501"/>
  <c r="B501"/>
  <c r="E499"/>
  <c r="D499"/>
  <c r="B499"/>
  <c r="E498"/>
  <c r="D498"/>
  <c r="B498"/>
  <c r="E497"/>
  <c r="D497"/>
  <c r="B497"/>
  <c r="E496"/>
  <c r="D496"/>
  <c r="B496"/>
  <c r="E495"/>
  <c r="D495"/>
  <c r="B495"/>
  <c r="E494"/>
  <c r="D494"/>
  <c r="B494"/>
  <c r="E493"/>
  <c r="D493"/>
  <c r="B493"/>
  <c r="E492"/>
  <c r="D492"/>
  <c r="B492"/>
  <c r="E491"/>
  <c r="D491"/>
  <c r="B491"/>
  <c r="E490"/>
  <c r="D490"/>
  <c r="B490"/>
  <c r="E489"/>
  <c r="D489"/>
  <c r="B489"/>
  <c r="E488"/>
  <c r="D488"/>
  <c r="B488"/>
  <c r="E486"/>
  <c r="D486"/>
  <c r="B486"/>
  <c r="E485"/>
  <c r="D485"/>
  <c r="B485"/>
  <c r="E484"/>
  <c r="D484"/>
  <c r="B484"/>
  <c r="E482"/>
  <c r="D482"/>
  <c r="B482"/>
  <c r="E481"/>
  <c r="D481"/>
  <c r="B481"/>
  <c r="E480"/>
  <c r="D480"/>
  <c r="B480"/>
  <c r="E479"/>
  <c r="D479"/>
  <c r="B479"/>
  <c r="E478"/>
  <c r="D478"/>
  <c r="B478"/>
  <c r="E477"/>
  <c r="D477"/>
  <c r="B477"/>
  <c r="E476"/>
  <c r="D476"/>
  <c r="B476"/>
  <c r="D475"/>
  <c r="B475"/>
  <c r="E473"/>
  <c r="D473"/>
  <c r="B473"/>
  <c r="E472"/>
  <c r="D472"/>
  <c r="B472"/>
  <c r="E471"/>
  <c r="D471"/>
  <c r="B471"/>
  <c r="E470"/>
  <c r="D470"/>
  <c r="B470"/>
  <c r="E469"/>
  <c r="D469"/>
  <c r="B469"/>
  <c r="E468"/>
  <c r="D468"/>
  <c r="B468"/>
  <c r="E467"/>
  <c r="D467"/>
  <c r="B467"/>
  <c r="D466"/>
  <c r="B466"/>
  <c r="E465"/>
  <c r="D465"/>
  <c r="B465"/>
  <c r="E464"/>
  <c r="D464"/>
  <c r="B464"/>
  <c r="E463"/>
  <c r="D463"/>
  <c r="B463"/>
  <c r="E462"/>
  <c r="D462"/>
  <c r="B462"/>
  <c r="J453"/>
  <c r="I453"/>
  <c r="H453"/>
  <c r="G453"/>
  <c r="F367"/>
  <c r="F354"/>
  <c r="F453"/>
  <c r="E367"/>
  <c r="E354"/>
  <c r="E453"/>
  <c r="D367"/>
  <c r="D354"/>
  <c r="D453"/>
  <c r="C453"/>
  <c r="B367"/>
  <c r="B354"/>
  <c r="B453"/>
  <c r="J452"/>
  <c r="I452"/>
  <c r="H452"/>
  <c r="G452"/>
  <c r="F366"/>
  <c r="F353"/>
  <c r="F452"/>
  <c r="E366"/>
  <c r="E353"/>
  <c r="E452"/>
  <c r="D366"/>
  <c r="D353"/>
  <c r="D452"/>
  <c r="C452"/>
  <c r="B366"/>
  <c r="B353"/>
  <c r="B452"/>
  <c r="J451"/>
  <c r="I451"/>
  <c r="H451"/>
  <c r="G451"/>
  <c r="F365"/>
  <c r="F352"/>
  <c r="F451"/>
  <c r="E365"/>
  <c r="E352"/>
  <c r="E451"/>
  <c r="D365"/>
  <c r="D352"/>
  <c r="D451"/>
  <c r="C451"/>
  <c r="B365"/>
  <c r="B352"/>
  <c r="B451"/>
  <c r="J450"/>
  <c r="I450"/>
  <c r="H450"/>
  <c r="G450"/>
  <c r="F364"/>
  <c r="F450"/>
  <c r="E364"/>
  <c r="E450"/>
  <c r="D364"/>
  <c r="D450"/>
  <c r="C450"/>
  <c r="B364"/>
  <c r="B351"/>
  <c r="B450"/>
  <c r="J448"/>
  <c r="I448"/>
  <c r="H448"/>
  <c r="G448"/>
  <c r="F362"/>
  <c r="F349"/>
  <c r="F448"/>
  <c r="E362"/>
  <c r="E349"/>
  <c r="E448"/>
  <c r="D362"/>
  <c r="D349"/>
  <c r="D448"/>
  <c r="C448"/>
  <c r="B362"/>
  <c r="B349"/>
  <c r="B448"/>
  <c r="J447"/>
  <c r="I447"/>
  <c r="H447"/>
  <c r="G447"/>
  <c r="F361"/>
  <c r="F348"/>
  <c r="F447"/>
  <c r="E361"/>
  <c r="E348"/>
  <c r="E447"/>
  <c r="D361"/>
  <c r="D348"/>
  <c r="D447"/>
  <c r="C447"/>
  <c r="B361"/>
  <c r="B348"/>
  <c r="B447"/>
  <c r="J446"/>
  <c r="I446"/>
  <c r="H446"/>
  <c r="G446"/>
  <c r="F360"/>
  <c r="F347"/>
  <c r="F446"/>
  <c r="E360"/>
  <c r="E347"/>
  <c r="E446"/>
  <c r="D360"/>
  <c r="D347"/>
  <c r="D446"/>
  <c r="C446"/>
  <c r="B360"/>
  <c r="B347"/>
  <c r="B446"/>
  <c r="J445"/>
  <c r="I445"/>
  <c r="H445"/>
  <c r="G445"/>
  <c r="F346"/>
  <c r="F445"/>
  <c r="E346"/>
  <c r="E445"/>
  <c r="D346"/>
  <c r="D445"/>
  <c r="C445"/>
  <c r="B346"/>
  <c r="B445"/>
  <c r="J444"/>
  <c r="I444"/>
  <c r="H444"/>
  <c r="G444"/>
  <c r="F358"/>
  <c r="F345"/>
  <c r="F444"/>
  <c r="E358"/>
  <c r="E345"/>
  <c r="E444"/>
  <c r="D358"/>
  <c r="D345"/>
  <c r="D444"/>
  <c r="C444"/>
  <c r="B358"/>
  <c r="B345"/>
  <c r="B444"/>
  <c r="J443"/>
  <c r="I443"/>
  <c r="H443"/>
  <c r="G443"/>
  <c r="F357"/>
  <c r="F344"/>
  <c r="F443"/>
  <c r="E357"/>
  <c r="E344"/>
  <c r="E443"/>
  <c r="D357"/>
  <c r="D344"/>
  <c r="D443"/>
  <c r="C443"/>
  <c r="B357"/>
  <c r="B344"/>
  <c r="B443"/>
  <c r="J442"/>
  <c r="I442"/>
  <c r="H442"/>
  <c r="G442"/>
  <c r="F356"/>
  <c r="F343"/>
  <c r="F442"/>
  <c r="E356"/>
  <c r="E343"/>
  <c r="E442"/>
  <c r="D356"/>
  <c r="D343"/>
  <c r="D442"/>
  <c r="C442"/>
  <c r="B356"/>
  <c r="B343"/>
  <c r="B442"/>
  <c r="J441"/>
  <c r="I441"/>
  <c r="H441"/>
  <c r="G441"/>
  <c r="F355"/>
  <c r="F342"/>
  <c r="F441"/>
  <c r="E355"/>
  <c r="E342"/>
  <c r="E441"/>
  <c r="D355"/>
  <c r="D342"/>
  <c r="D441"/>
  <c r="C441"/>
  <c r="B355"/>
  <c r="B342"/>
  <c r="B441"/>
  <c r="J440"/>
  <c r="I440"/>
  <c r="H440"/>
  <c r="G440"/>
  <c r="F341"/>
  <c r="F440"/>
  <c r="E341"/>
  <c r="E440"/>
  <c r="D341"/>
  <c r="D440"/>
  <c r="C440"/>
  <c r="B341"/>
  <c r="B440"/>
  <c r="J439"/>
  <c r="I439"/>
  <c r="H439"/>
  <c r="G439"/>
  <c r="F340"/>
  <c r="F439"/>
  <c r="E340"/>
  <c r="E439"/>
  <c r="D340"/>
  <c r="D439"/>
  <c r="C439"/>
  <c r="B340"/>
  <c r="B439"/>
  <c r="J438"/>
  <c r="I438"/>
  <c r="H438"/>
  <c r="G438"/>
  <c r="F339"/>
  <c r="F438"/>
  <c r="E339"/>
  <c r="E438"/>
  <c r="D339"/>
  <c r="D438"/>
  <c r="C438"/>
  <c r="B339"/>
  <c r="B438"/>
  <c r="J437"/>
  <c r="I437"/>
  <c r="H437"/>
  <c r="G437"/>
  <c r="F338"/>
  <c r="F437"/>
  <c r="E338"/>
  <c r="E437"/>
  <c r="D338"/>
  <c r="D437"/>
  <c r="C437"/>
  <c r="B338"/>
  <c r="B437"/>
  <c r="J435"/>
  <c r="I435"/>
  <c r="H435"/>
  <c r="G435"/>
  <c r="F336"/>
  <c r="F435"/>
  <c r="E336"/>
  <c r="E435"/>
  <c r="D336"/>
  <c r="D435"/>
  <c r="C435"/>
  <c r="B336"/>
  <c r="B435"/>
  <c r="J434"/>
  <c r="I434"/>
  <c r="H434"/>
  <c r="G434"/>
  <c r="F335"/>
  <c r="F434"/>
  <c r="E335"/>
  <c r="E434"/>
  <c r="D335"/>
  <c r="D434"/>
  <c r="C434"/>
  <c r="B335"/>
  <c r="B434"/>
  <c r="J433"/>
  <c r="I433"/>
  <c r="H433"/>
  <c r="G433"/>
  <c r="F334"/>
  <c r="F433"/>
  <c r="E334"/>
  <c r="E433"/>
  <c r="D334"/>
  <c r="D433"/>
  <c r="C433"/>
  <c r="B334"/>
  <c r="B433"/>
  <c r="J432"/>
  <c r="I432"/>
  <c r="H432"/>
  <c r="G432"/>
  <c r="F333"/>
  <c r="F432"/>
  <c r="E333"/>
  <c r="E432"/>
  <c r="D333"/>
  <c r="D432"/>
  <c r="C432"/>
  <c r="B333"/>
  <c r="B432"/>
  <c r="J431"/>
  <c r="H431"/>
  <c r="G431"/>
  <c r="F332"/>
  <c r="F431"/>
  <c r="E332"/>
  <c r="E431"/>
  <c r="D332"/>
  <c r="D431"/>
  <c r="C431"/>
  <c r="B332"/>
  <c r="B431"/>
  <c r="I430"/>
  <c r="H430"/>
  <c r="G430"/>
  <c r="F331"/>
  <c r="F430"/>
  <c r="E331"/>
  <c r="E430"/>
  <c r="D331"/>
  <c r="D430"/>
  <c r="C430"/>
  <c r="B331"/>
  <c r="B430"/>
  <c r="J429"/>
  <c r="I429"/>
  <c r="H429"/>
  <c r="F330"/>
  <c r="F429"/>
  <c r="E330"/>
  <c r="E429"/>
  <c r="D330"/>
  <c r="D429"/>
  <c r="C429"/>
  <c r="B330"/>
  <c r="B429"/>
  <c r="J428"/>
  <c r="I428"/>
  <c r="H428"/>
  <c r="G428"/>
  <c r="F329"/>
  <c r="F428"/>
  <c r="E329"/>
  <c r="E428"/>
  <c r="D329"/>
  <c r="D428"/>
  <c r="C428"/>
  <c r="B329"/>
  <c r="B428"/>
  <c r="J427"/>
  <c r="I427"/>
  <c r="H427"/>
  <c r="G427"/>
  <c r="F328"/>
  <c r="F427"/>
  <c r="E328"/>
  <c r="E427"/>
  <c r="D328"/>
  <c r="D427"/>
  <c r="C427"/>
  <c r="B328"/>
  <c r="B427"/>
  <c r="J426"/>
  <c r="I426"/>
  <c r="H426"/>
  <c r="G426"/>
  <c r="F327"/>
  <c r="F426"/>
  <c r="E327"/>
  <c r="E426"/>
  <c r="D327"/>
  <c r="D426"/>
  <c r="C426"/>
  <c r="B327"/>
  <c r="B426"/>
  <c r="J425"/>
  <c r="I425"/>
  <c r="H425"/>
  <c r="G425"/>
  <c r="F326"/>
  <c r="F425"/>
  <c r="E326"/>
  <c r="E425"/>
  <c r="D326"/>
  <c r="D425"/>
  <c r="C425"/>
  <c r="B326"/>
  <c r="B425"/>
  <c r="J424"/>
  <c r="I424"/>
  <c r="H424"/>
  <c r="G424"/>
  <c r="F325"/>
  <c r="F424"/>
  <c r="E325"/>
  <c r="E424"/>
  <c r="D325"/>
  <c r="D424"/>
  <c r="C424"/>
  <c r="B325"/>
  <c r="B424"/>
  <c r="J422"/>
  <c r="I422"/>
  <c r="H422"/>
  <c r="G422"/>
  <c r="F323"/>
  <c r="F422"/>
  <c r="E323"/>
  <c r="E422"/>
  <c r="D323"/>
  <c r="D422"/>
  <c r="C422"/>
  <c r="B323"/>
  <c r="B422"/>
  <c r="J421"/>
  <c r="I421"/>
  <c r="H421"/>
  <c r="G421"/>
  <c r="F322"/>
  <c r="F421"/>
  <c r="E322"/>
  <c r="E421"/>
  <c r="D322"/>
  <c r="D421"/>
  <c r="C421"/>
  <c r="B322"/>
  <c r="B421"/>
  <c r="J420"/>
  <c r="I420"/>
  <c r="H420"/>
  <c r="G420"/>
  <c r="F321"/>
  <c r="F420"/>
  <c r="E321"/>
  <c r="E420"/>
  <c r="D321"/>
  <c r="D420"/>
  <c r="C420"/>
  <c r="B321"/>
  <c r="B420"/>
  <c r="J419"/>
  <c r="I419"/>
  <c r="H419"/>
  <c r="G419"/>
  <c r="F320"/>
  <c r="F419"/>
  <c r="E320"/>
  <c r="E419"/>
  <c r="D320"/>
  <c r="D419"/>
  <c r="C419"/>
  <c r="B320"/>
  <c r="B419"/>
  <c r="J418"/>
  <c r="I418"/>
  <c r="H418"/>
  <c r="G418"/>
  <c r="F319"/>
  <c r="F418"/>
  <c r="E319"/>
  <c r="E418"/>
  <c r="D319"/>
  <c r="D418"/>
  <c r="C418"/>
  <c r="B319"/>
  <c r="B418"/>
  <c r="J417"/>
  <c r="I417"/>
  <c r="H417"/>
  <c r="G417"/>
  <c r="F318"/>
  <c r="F417"/>
  <c r="E318"/>
  <c r="E417"/>
  <c r="D318"/>
  <c r="D417"/>
  <c r="C417"/>
  <c r="B318"/>
  <c r="B417"/>
  <c r="J416"/>
  <c r="I416"/>
  <c r="H416"/>
  <c r="G416"/>
  <c r="F317"/>
  <c r="F416"/>
  <c r="E317"/>
  <c r="E416"/>
  <c r="D317"/>
  <c r="D416"/>
  <c r="C416"/>
  <c r="B317"/>
  <c r="B416"/>
  <c r="J415"/>
  <c r="I415"/>
  <c r="H415"/>
  <c r="G415"/>
  <c r="F316"/>
  <c r="F415"/>
  <c r="E316"/>
  <c r="E415"/>
  <c r="D316"/>
  <c r="D415"/>
  <c r="C415"/>
  <c r="B316"/>
  <c r="B415"/>
  <c r="J414"/>
  <c r="I414"/>
  <c r="H414"/>
  <c r="G414"/>
  <c r="F315"/>
  <c r="F414"/>
  <c r="E315"/>
  <c r="E414"/>
  <c r="D315"/>
  <c r="D414"/>
  <c r="C414"/>
  <c r="B315"/>
  <c r="B414"/>
  <c r="J413"/>
  <c r="I413"/>
  <c r="H413"/>
  <c r="G413"/>
  <c r="F314"/>
  <c r="F413"/>
  <c r="E314"/>
  <c r="E413"/>
  <c r="D314"/>
  <c r="D413"/>
  <c r="C413"/>
  <c r="B314"/>
  <c r="B413"/>
  <c r="J412"/>
  <c r="I412"/>
  <c r="H412"/>
  <c r="G412"/>
  <c r="F313"/>
  <c r="F412"/>
  <c r="E313"/>
  <c r="E412"/>
  <c r="D313"/>
  <c r="D412"/>
  <c r="C412"/>
  <c r="B313"/>
  <c r="B412"/>
  <c r="J411"/>
  <c r="I411"/>
  <c r="H411"/>
  <c r="G411"/>
  <c r="F312"/>
  <c r="F411"/>
  <c r="E312"/>
  <c r="E411"/>
  <c r="D312"/>
  <c r="D411"/>
  <c r="C411"/>
  <c r="B312"/>
  <c r="B411"/>
  <c r="J409"/>
  <c r="I409"/>
  <c r="H409"/>
  <c r="G409"/>
  <c r="F310"/>
  <c r="F409"/>
  <c r="E310"/>
  <c r="E409"/>
  <c r="D310"/>
  <c r="D409"/>
  <c r="C409"/>
  <c r="B310"/>
  <c r="B409"/>
  <c r="J408"/>
  <c r="I408"/>
  <c r="H408"/>
  <c r="G408"/>
  <c r="F309"/>
  <c r="F408"/>
  <c r="E309"/>
  <c r="E408"/>
  <c r="D309"/>
  <c r="D408"/>
  <c r="C408"/>
  <c r="B309"/>
  <c r="B408"/>
  <c r="J407"/>
  <c r="I407"/>
  <c r="H407"/>
  <c r="G407"/>
  <c r="F308"/>
  <c r="F407"/>
  <c r="E308"/>
  <c r="E407"/>
  <c r="D308"/>
  <c r="D407"/>
  <c r="B308"/>
  <c r="B407"/>
  <c r="J406"/>
  <c r="I406"/>
  <c r="H406"/>
  <c r="G406"/>
  <c r="F307"/>
  <c r="F406"/>
  <c r="E307"/>
  <c r="E406"/>
  <c r="D307"/>
  <c r="D406"/>
  <c r="C406"/>
  <c r="B307"/>
  <c r="B406"/>
  <c r="J405"/>
  <c r="I405"/>
  <c r="H405"/>
  <c r="G405"/>
  <c r="F306"/>
  <c r="F405"/>
  <c r="E306"/>
  <c r="E405"/>
  <c r="D306"/>
  <c r="D405"/>
  <c r="C405"/>
  <c r="B306"/>
  <c r="B405"/>
  <c r="J404"/>
  <c r="I404"/>
  <c r="H404"/>
  <c r="G404"/>
  <c r="F305"/>
  <c r="F404"/>
  <c r="E305"/>
  <c r="E404"/>
  <c r="D305"/>
  <c r="D404"/>
  <c r="C404"/>
  <c r="B305"/>
  <c r="B404"/>
  <c r="J403"/>
  <c r="I403"/>
  <c r="H403"/>
  <c r="G403"/>
  <c r="F304"/>
  <c r="F403"/>
  <c r="E304"/>
  <c r="E403"/>
  <c r="D304"/>
  <c r="D403"/>
  <c r="C403"/>
  <c r="B304"/>
  <c r="B403"/>
  <c r="J402"/>
  <c r="I402"/>
  <c r="H402"/>
  <c r="G402"/>
  <c r="F303"/>
  <c r="F402"/>
  <c r="E303"/>
  <c r="E402"/>
  <c r="D303"/>
  <c r="D402"/>
  <c r="C402"/>
  <c r="B303"/>
  <c r="B402"/>
  <c r="J401"/>
  <c r="I401"/>
  <c r="H401"/>
  <c r="G401"/>
  <c r="F302"/>
  <c r="F401"/>
  <c r="E302"/>
  <c r="E401"/>
  <c r="D302"/>
  <c r="D401"/>
  <c r="C401"/>
  <c r="B302"/>
  <c r="B401"/>
  <c r="J400"/>
  <c r="I400"/>
  <c r="H400"/>
  <c r="G400"/>
  <c r="F301"/>
  <c r="F400"/>
  <c r="E301"/>
  <c r="E400"/>
  <c r="D301"/>
  <c r="D400"/>
  <c r="C400"/>
  <c r="B301"/>
  <c r="B400"/>
  <c r="J399"/>
  <c r="I399"/>
  <c r="H399"/>
  <c r="G399"/>
  <c r="F300"/>
  <c r="F399"/>
  <c r="E300"/>
  <c r="E399"/>
  <c r="D300"/>
  <c r="D399"/>
  <c r="C399"/>
  <c r="B300"/>
  <c r="B399"/>
  <c r="J398"/>
  <c r="I398"/>
  <c r="H398"/>
  <c r="G398"/>
  <c r="F299"/>
  <c r="F398"/>
  <c r="E299"/>
  <c r="E398"/>
  <c r="D299"/>
  <c r="D398"/>
  <c r="C398"/>
  <c r="B299"/>
  <c r="B398"/>
  <c r="J396"/>
  <c r="I396"/>
  <c r="H396"/>
  <c r="G396"/>
  <c r="F297"/>
  <c r="F396"/>
  <c r="E297"/>
  <c r="E396"/>
  <c r="D297"/>
  <c r="D396"/>
  <c r="C396"/>
  <c r="B297"/>
  <c r="B396"/>
  <c r="J395"/>
  <c r="I395"/>
  <c r="H395"/>
  <c r="G395"/>
  <c r="F296"/>
  <c r="F395"/>
  <c r="E296"/>
  <c r="E395"/>
  <c r="D296"/>
  <c r="D395"/>
  <c r="C395"/>
  <c r="B296"/>
  <c r="B395"/>
  <c r="J394"/>
  <c r="I394"/>
  <c r="H394"/>
  <c r="G394"/>
  <c r="F295"/>
  <c r="F394"/>
  <c r="E295"/>
  <c r="E394"/>
  <c r="D295"/>
  <c r="D394"/>
  <c r="C394"/>
  <c r="B295"/>
  <c r="B394"/>
  <c r="J393"/>
  <c r="I393"/>
  <c r="H393"/>
  <c r="G393"/>
  <c r="F294"/>
  <c r="F393"/>
  <c r="E294"/>
  <c r="E393"/>
  <c r="D294"/>
  <c r="D393"/>
  <c r="C393"/>
  <c r="B294"/>
  <c r="B393"/>
  <c r="J392"/>
  <c r="I392"/>
  <c r="H392"/>
  <c r="G392"/>
  <c r="F293"/>
  <c r="F392"/>
  <c r="E293"/>
  <c r="E392"/>
  <c r="D293"/>
  <c r="D392"/>
  <c r="C392"/>
  <c r="B293"/>
  <c r="B392"/>
  <c r="J391"/>
  <c r="I391"/>
  <c r="H391"/>
  <c r="G391"/>
  <c r="F292"/>
  <c r="F391"/>
  <c r="E292"/>
  <c r="E391"/>
  <c r="D292"/>
  <c r="D391"/>
  <c r="C391"/>
  <c r="B292"/>
  <c r="B391"/>
  <c r="J390"/>
  <c r="I390"/>
  <c r="H390"/>
  <c r="G390"/>
  <c r="F291"/>
  <c r="F390"/>
  <c r="E291"/>
  <c r="E390"/>
  <c r="D291"/>
  <c r="D390"/>
  <c r="B291"/>
  <c r="B390"/>
  <c r="J389"/>
  <c r="I389"/>
  <c r="F389"/>
  <c r="E290"/>
  <c r="E389"/>
  <c r="D290"/>
  <c r="D389"/>
  <c r="B290"/>
  <c r="B389"/>
  <c r="J388"/>
  <c r="I388"/>
  <c r="G388"/>
  <c r="F388"/>
  <c r="E289"/>
  <c r="E388"/>
  <c r="D289"/>
  <c r="D388"/>
  <c r="B289"/>
  <c r="B388"/>
  <c r="J387"/>
  <c r="I387"/>
  <c r="G387"/>
  <c r="F387"/>
  <c r="E288"/>
  <c r="E387"/>
  <c r="D288"/>
  <c r="D387"/>
  <c r="B288"/>
  <c r="B387"/>
  <c r="J386"/>
  <c r="I386"/>
  <c r="H386"/>
  <c r="F386"/>
  <c r="E287"/>
  <c r="E386"/>
  <c r="D287"/>
  <c r="D386"/>
  <c r="B287"/>
  <c r="B386"/>
  <c r="J385"/>
  <c r="I385"/>
  <c r="F385"/>
  <c r="E286"/>
  <c r="E385"/>
  <c r="D286"/>
  <c r="D385"/>
  <c r="B286"/>
  <c r="B385"/>
  <c r="J284"/>
  <c r="J383"/>
  <c r="I284"/>
  <c r="I383"/>
  <c r="H383"/>
  <c r="G383"/>
  <c r="F284"/>
  <c r="F383"/>
  <c r="E284"/>
  <c r="E383"/>
  <c r="D284"/>
  <c r="D383"/>
  <c r="C383"/>
  <c r="B284"/>
  <c r="B383"/>
  <c r="J283"/>
  <c r="J382"/>
  <c r="I283"/>
  <c r="I382"/>
  <c r="H382"/>
  <c r="G382"/>
  <c r="F283"/>
  <c r="F382"/>
  <c r="E283"/>
  <c r="E382"/>
  <c r="D283"/>
  <c r="D382"/>
  <c r="C382"/>
  <c r="B283"/>
  <c r="B382"/>
  <c r="J282"/>
  <c r="J381"/>
  <c r="I282"/>
  <c r="I381"/>
  <c r="H381"/>
  <c r="G282"/>
  <c r="G381"/>
  <c r="F282"/>
  <c r="F381"/>
  <c r="E282"/>
  <c r="E381"/>
  <c r="D282"/>
  <c r="D381"/>
  <c r="C381"/>
  <c r="B282"/>
  <c r="B381"/>
  <c r="J281"/>
  <c r="J380"/>
  <c r="I281"/>
  <c r="I380"/>
  <c r="H380"/>
  <c r="G380"/>
  <c r="F281"/>
  <c r="F380"/>
  <c r="E281"/>
  <c r="E380"/>
  <c r="D281"/>
  <c r="D380"/>
  <c r="C380"/>
  <c r="B281"/>
  <c r="B380"/>
  <c r="J280"/>
  <c r="J379"/>
  <c r="I280"/>
  <c r="I379"/>
  <c r="H379"/>
  <c r="G379"/>
  <c r="F280"/>
  <c r="F379"/>
  <c r="E280"/>
  <c r="E379"/>
  <c r="D280"/>
  <c r="D379"/>
  <c r="C379"/>
  <c r="B280"/>
  <c r="B379"/>
  <c r="J279"/>
  <c r="J378"/>
  <c r="I378"/>
  <c r="H378"/>
  <c r="G378"/>
  <c r="F279"/>
  <c r="F378"/>
  <c r="E279"/>
  <c r="E378"/>
  <c r="D279"/>
  <c r="D378"/>
  <c r="B279"/>
  <c r="B378"/>
  <c r="J278"/>
  <c r="J377"/>
  <c r="I278"/>
  <c r="I377"/>
  <c r="H377"/>
  <c r="G377"/>
  <c r="F278"/>
  <c r="F377"/>
  <c r="E278"/>
  <c r="E377"/>
  <c r="D278"/>
  <c r="D377"/>
  <c r="B278"/>
  <c r="B377"/>
  <c r="J376"/>
  <c r="I277"/>
  <c r="I376"/>
  <c r="F376"/>
  <c r="E277"/>
  <c r="E376"/>
  <c r="D277"/>
  <c r="D376"/>
  <c r="B277"/>
  <c r="B376"/>
  <c r="J375"/>
  <c r="I375"/>
  <c r="F375"/>
  <c r="E276"/>
  <c r="E375"/>
  <c r="D276"/>
  <c r="D375"/>
  <c r="B276"/>
  <c r="B375"/>
  <c r="J374"/>
  <c r="I374"/>
  <c r="E374"/>
  <c r="D275"/>
  <c r="D374"/>
  <c r="B275"/>
  <c r="B374"/>
  <c r="J373"/>
  <c r="I373"/>
  <c r="F373"/>
  <c r="E274"/>
  <c r="E373"/>
  <c r="D274"/>
  <c r="D373"/>
  <c r="B274"/>
  <c r="B373"/>
  <c r="J372"/>
  <c r="I372"/>
  <c r="F372"/>
  <c r="E273"/>
  <c r="E372"/>
  <c r="D273"/>
  <c r="D372"/>
  <c r="B273"/>
  <c r="B372"/>
  <c r="J370"/>
  <c r="I370"/>
  <c r="F370"/>
  <c r="E370"/>
  <c r="D271"/>
  <c r="D370"/>
  <c r="B271"/>
  <c r="B370"/>
  <c r="E270"/>
  <c r="D270"/>
  <c r="B270"/>
  <c r="E268"/>
  <c r="D268"/>
  <c r="B268"/>
  <c r="E267"/>
  <c r="D267"/>
  <c r="B267"/>
  <c r="E266"/>
  <c r="D266"/>
  <c r="B266"/>
  <c r="D265"/>
  <c r="B265"/>
  <c r="E264"/>
  <c r="D264"/>
  <c r="B264"/>
  <c r="E263"/>
  <c r="D263"/>
  <c r="B263"/>
  <c r="E262"/>
  <c r="D262"/>
  <c r="B262"/>
  <c r="E261"/>
  <c r="D261"/>
  <c r="B261"/>
  <c r="E260"/>
  <c r="D260"/>
  <c r="B260"/>
  <c r="E258"/>
  <c r="D258"/>
  <c r="B258"/>
  <c r="E257"/>
  <c r="D257"/>
  <c r="B257"/>
  <c r="E256"/>
  <c r="D256"/>
  <c r="B256"/>
  <c r="E255"/>
  <c r="D255"/>
  <c r="B255"/>
  <c r="E254"/>
  <c r="D254"/>
  <c r="B254"/>
  <c r="E253"/>
  <c r="D253"/>
  <c r="B253"/>
  <c r="E252"/>
  <c r="D252"/>
  <c r="B252"/>
  <c r="E251"/>
  <c r="D251"/>
  <c r="B251"/>
  <c r="E250"/>
  <c r="D250"/>
  <c r="B250"/>
  <c r="E249"/>
  <c r="D249"/>
  <c r="B249"/>
  <c r="E247"/>
  <c r="D247"/>
  <c r="B247"/>
  <c r="E245"/>
  <c r="D245"/>
  <c r="B245"/>
  <c r="E244"/>
  <c r="D244"/>
  <c r="B244"/>
  <c r="D243"/>
  <c r="B243"/>
  <c r="E242"/>
  <c r="D242"/>
  <c r="B242"/>
  <c r="E241"/>
  <c r="D241"/>
  <c r="B241"/>
  <c r="E240"/>
  <c r="D240"/>
  <c r="B240"/>
  <c r="D239"/>
  <c r="B239"/>
  <c r="E238"/>
  <c r="D238"/>
  <c r="B238"/>
  <c r="E237"/>
  <c r="D237"/>
  <c r="B237"/>
  <c r="E236"/>
  <c r="D236"/>
  <c r="B236"/>
  <c r="E235"/>
  <c r="D235"/>
  <c r="B235"/>
  <c r="E234"/>
  <c r="D234"/>
  <c r="B234"/>
  <c r="E232"/>
  <c r="D232"/>
  <c r="B232"/>
  <c r="E231"/>
  <c r="D231"/>
  <c r="B231"/>
  <c r="E230"/>
  <c r="D230"/>
  <c r="B230"/>
  <c r="D229"/>
  <c r="B229"/>
  <c r="D228"/>
  <c r="B228"/>
  <c r="D227"/>
  <c r="B227"/>
  <c r="E226"/>
  <c r="D226"/>
  <c r="B226"/>
  <c r="E225"/>
  <c r="D225"/>
  <c r="B225"/>
  <c r="E224"/>
  <c r="D224"/>
  <c r="B224"/>
  <c r="E222"/>
  <c r="D222"/>
  <c r="B222"/>
  <c r="E221"/>
  <c r="D221"/>
  <c r="B221"/>
  <c r="G6"/>
  <c r="G13"/>
  <c r="G26"/>
  <c r="C51"/>
  <c r="H51"/>
  <c r="C99"/>
  <c r="F99"/>
  <c r="C98"/>
  <c r="F98"/>
  <c r="H98"/>
  <c r="C97"/>
  <c r="F97"/>
  <c r="C96"/>
  <c r="E96"/>
  <c r="C95"/>
  <c r="E95"/>
  <c r="F95"/>
  <c r="C94"/>
  <c r="F94"/>
  <c r="E93"/>
  <c r="F93"/>
  <c r="G93"/>
  <c r="H93"/>
  <c r="F105"/>
  <c r="F92"/>
  <c r="E104"/>
  <c r="F104"/>
  <c r="F91"/>
  <c r="H91"/>
  <c r="E103"/>
  <c r="F103"/>
  <c r="F90"/>
  <c r="G90"/>
  <c r="F102"/>
  <c r="F89"/>
  <c r="H89"/>
  <c r="F101"/>
  <c r="G101"/>
  <c r="C100"/>
  <c r="C88"/>
  <c r="F88"/>
  <c r="F100"/>
  <c r="C87"/>
  <c r="F87"/>
  <c r="H87"/>
  <c r="C86"/>
  <c r="E86"/>
  <c r="F86"/>
  <c r="G86"/>
  <c r="C85"/>
  <c r="E85"/>
  <c r="F85"/>
  <c r="H85"/>
  <c r="C84"/>
  <c r="F84"/>
  <c r="H84"/>
  <c r="C83"/>
  <c r="F83"/>
  <c r="H83"/>
  <c r="C82"/>
  <c r="E82"/>
  <c r="F82"/>
  <c r="G82"/>
  <c r="C80"/>
  <c r="E80"/>
  <c r="F80"/>
  <c r="G80"/>
  <c r="C79"/>
  <c r="E79"/>
  <c r="F79"/>
  <c r="C78"/>
  <c r="F78"/>
  <c r="C77"/>
  <c r="F77"/>
  <c r="C76"/>
  <c r="F76"/>
  <c r="G76"/>
  <c r="C75"/>
  <c r="C74"/>
  <c r="F74"/>
  <c r="C73"/>
  <c r="E73"/>
  <c r="F73"/>
  <c r="C72"/>
  <c r="F72"/>
  <c r="G72"/>
  <c r="C71"/>
  <c r="F71"/>
  <c r="C70"/>
  <c r="F70"/>
  <c r="C69"/>
  <c r="E69"/>
  <c r="G69"/>
  <c r="H69"/>
  <c r="C68"/>
  <c r="F68"/>
  <c r="G68"/>
  <c r="C67"/>
  <c r="F67"/>
  <c r="H67"/>
  <c r="C66"/>
  <c r="F66"/>
  <c r="C65"/>
  <c r="E65"/>
  <c r="F65"/>
  <c r="C64"/>
  <c r="F64"/>
  <c r="G64"/>
  <c r="C63"/>
  <c r="F63"/>
  <c r="C62"/>
  <c r="C61"/>
  <c r="E61"/>
  <c r="G61"/>
  <c r="C60"/>
  <c r="C59"/>
  <c r="E59"/>
  <c r="G59"/>
  <c r="C58"/>
  <c r="G58"/>
  <c r="C57"/>
  <c r="F57"/>
  <c r="C56"/>
  <c r="E56"/>
  <c r="G56"/>
  <c r="C55"/>
  <c r="G55"/>
  <c r="C54"/>
  <c r="E54"/>
  <c r="G54"/>
  <c r="C53"/>
  <c r="G53"/>
  <c r="C52"/>
  <c r="E52"/>
  <c r="G52"/>
  <c r="C50"/>
  <c r="E50"/>
  <c r="G50"/>
  <c r="C49"/>
  <c r="G49"/>
  <c r="C48"/>
  <c r="E48"/>
  <c r="G48"/>
  <c r="C47"/>
  <c r="C46"/>
  <c r="E46"/>
  <c r="G46"/>
  <c r="C45"/>
  <c r="F45"/>
  <c r="G45"/>
  <c r="C44"/>
  <c r="F44"/>
  <c r="H44"/>
  <c r="C43"/>
  <c r="E43"/>
  <c r="G43"/>
  <c r="C42"/>
  <c r="F42"/>
  <c r="C41"/>
  <c r="E41"/>
  <c r="F41"/>
  <c r="G41"/>
  <c r="C40"/>
  <c r="F40"/>
  <c r="H40"/>
  <c r="G32"/>
  <c r="G31"/>
  <c r="G29"/>
  <c r="G27"/>
  <c r="G25"/>
  <c r="G24"/>
  <c r="G23"/>
  <c r="G21"/>
  <c r="K130"/>
  <c r="G19"/>
  <c r="G18"/>
  <c r="G17"/>
  <c r="G16"/>
  <c r="G15"/>
  <c r="G12"/>
  <c r="G11"/>
  <c r="G10"/>
  <c r="G9"/>
  <c r="G8"/>
  <c r="L105"/>
  <c r="K105"/>
  <c r="J105"/>
  <c r="I105"/>
  <c r="K104"/>
  <c r="I104"/>
  <c r="K103"/>
  <c r="J103"/>
  <c r="I103"/>
  <c r="K102"/>
  <c r="J102"/>
  <c r="I102"/>
  <c r="K101"/>
  <c r="J101"/>
  <c r="I101"/>
  <c r="K100"/>
  <c r="I100"/>
  <c r="K99"/>
  <c r="J99"/>
  <c r="I99"/>
  <c r="J98"/>
  <c r="I98"/>
  <c r="K97"/>
  <c r="J97"/>
  <c r="I97"/>
  <c r="K96"/>
  <c r="I96"/>
  <c r="K95"/>
  <c r="J95"/>
  <c r="I95"/>
  <c r="K94"/>
  <c r="I94"/>
  <c r="L93"/>
  <c r="K93"/>
  <c r="J93"/>
  <c r="I93"/>
  <c r="K92"/>
  <c r="K91"/>
  <c r="K90"/>
  <c r="K89"/>
  <c r="L88"/>
  <c r="K88"/>
  <c r="L87"/>
  <c r="K87"/>
  <c r="L85"/>
  <c r="K85"/>
  <c r="J85"/>
  <c r="L84"/>
  <c r="K84"/>
  <c r="I84"/>
  <c r="L83"/>
  <c r="K83"/>
  <c r="J83"/>
  <c r="I83"/>
  <c r="L82"/>
  <c r="K82"/>
  <c r="I82"/>
  <c r="L81"/>
  <c r="K81"/>
  <c r="I81"/>
  <c r="L80"/>
  <c r="K80"/>
  <c r="J80"/>
  <c r="I80"/>
  <c r="L79"/>
  <c r="K79"/>
  <c r="J79"/>
  <c r="I79"/>
  <c r="L78"/>
  <c r="K78"/>
  <c r="J78"/>
  <c r="I78"/>
  <c r="L77"/>
  <c r="K77"/>
  <c r="I77"/>
  <c r="L76"/>
  <c r="K76"/>
  <c r="J76"/>
  <c r="I76"/>
  <c r="L75"/>
  <c r="K75"/>
  <c r="J75"/>
  <c r="I75"/>
  <c r="L74"/>
  <c r="K74"/>
  <c r="J74"/>
  <c r="I74"/>
  <c r="L73"/>
  <c r="K73"/>
  <c r="J73"/>
  <c r="I73"/>
  <c r="L72"/>
  <c r="K72"/>
  <c r="J72"/>
  <c r="I72"/>
  <c r="L71"/>
  <c r="K71"/>
  <c r="J71"/>
  <c r="I71"/>
  <c r="L70"/>
  <c r="K70"/>
  <c r="J70"/>
  <c r="I70"/>
  <c r="L69"/>
  <c r="K69"/>
  <c r="J69"/>
  <c r="I69"/>
  <c r="L68"/>
  <c r="K68"/>
  <c r="J68"/>
  <c r="I68"/>
  <c r="L67"/>
  <c r="K67"/>
  <c r="J67"/>
  <c r="I67"/>
  <c r="L66"/>
  <c r="K66"/>
  <c r="J66"/>
  <c r="I66"/>
  <c r="L65"/>
  <c r="K65"/>
  <c r="J65"/>
  <c r="I65"/>
  <c r="L64"/>
  <c r="K64"/>
  <c r="I64"/>
  <c r="L63"/>
  <c r="K63"/>
  <c r="J63"/>
  <c r="I63"/>
  <c r="L62"/>
  <c r="K62"/>
  <c r="J62"/>
  <c r="I62"/>
  <c r="L61"/>
  <c r="K61"/>
  <c r="J61"/>
  <c r="I61"/>
  <c r="L60"/>
  <c r="K60"/>
  <c r="J60"/>
  <c r="I60"/>
  <c r="L59"/>
  <c r="K59"/>
  <c r="J59"/>
  <c r="I59"/>
  <c r="L58"/>
  <c r="K58"/>
  <c r="I58"/>
  <c r="L57"/>
  <c r="K57"/>
  <c r="J57"/>
  <c r="I57"/>
  <c r="L56"/>
  <c r="K56"/>
  <c r="J56"/>
  <c r="I56"/>
  <c r="L55"/>
  <c r="K55"/>
  <c r="J55"/>
  <c r="I55"/>
  <c r="L54"/>
  <c r="K54"/>
  <c r="I54"/>
  <c r="L53"/>
  <c r="K53"/>
  <c r="J53"/>
  <c r="I53"/>
  <c r="L52"/>
  <c r="K52"/>
  <c r="J52"/>
  <c r="I52"/>
  <c r="F32"/>
  <c r="F31"/>
  <c r="F30"/>
  <c r="F28"/>
  <c r="F24"/>
  <c r="F23"/>
  <c r="F22"/>
  <c r="F21"/>
  <c r="F19"/>
  <c r="F18"/>
  <c r="F17"/>
  <c r="F16"/>
  <c r="F14"/>
  <c r="F12"/>
  <c r="F11"/>
  <c r="F10"/>
  <c r="F9"/>
  <c r="F8"/>
  <c r="F6"/>
  <c r="G31" i="7"/>
  <c r="F31"/>
  <c r="E31"/>
  <c r="D31"/>
  <c r="C31"/>
  <c r="G28"/>
  <c r="F28"/>
  <c r="E28"/>
  <c r="D28"/>
  <c r="C28"/>
  <c r="B28"/>
  <c r="E15"/>
  <c r="D15"/>
  <c r="C15"/>
  <c r="B15"/>
  <c r="E14"/>
  <c r="D14"/>
  <c r="C14"/>
  <c r="B14"/>
  <c r="E13"/>
  <c r="D13"/>
  <c r="C13"/>
  <c r="E11"/>
  <c r="D11"/>
  <c r="C11"/>
  <c r="B11"/>
  <c r="E10"/>
  <c r="D10"/>
  <c r="E9"/>
  <c r="D9"/>
  <c r="C9"/>
  <c r="B9"/>
  <c r="E8"/>
  <c r="D8"/>
  <c r="C8"/>
  <c r="E7"/>
  <c r="D7"/>
  <c r="C7"/>
  <c r="B7"/>
  <c r="E6"/>
  <c r="D6"/>
  <c r="C6"/>
  <c r="B6"/>
  <c r="E4"/>
  <c r="D4"/>
  <c r="C4"/>
  <c r="B4"/>
  <c r="E3"/>
  <c r="D3"/>
  <c r="C3"/>
  <c r="B3"/>
  <c r="L104" i="6"/>
  <c r="L98"/>
  <c r="M104"/>
  <c r="M98"/>
  <c r="C104"/>
  <c r="N104"/>
  <c r="N98"/>
  <c r="D92"/>
  <c r="J92"/>
  <c r="I92" s="1"/>
  <c r="C92" s="1"/>
  <c r="S92"/>
  <c r="T104"/>
  <c r="Q104"/>
  <c r="P104"/>
  <c r="O104"/>
  <c r="K104"/>
  <c r="J104"/>
  <c r="I104"/>
  <c r="H104"/>
  <c r="F104"/>
  <c r="E104"/>
  <c r="D104"/>
  <c r="L103"/>
  <c r="M103"/>
  <c r="C103"/>
  <c r="AH103" s="1"/>
  <c r="N103"/>
  <c r="D91"/>
  <c r="J91"/>
  <c r="I91" s="1"/>
  <c r="C91" s="1"/>
  <c r="S103"/>
  <c r="S91"/>
  <c r="Q103"/>
  <c r="P103"/>
  <c r="O103"/>
  <c r="J103"/>
  <c r="I103"/>
  <c r="F103"/>
  <c r="E103"/>
  <c r="D103"/>
  <c r="L102"/>
  <c r="M102"/>
  <c r="C102"/>
  <c r="X102" s="1"/>
  <c r="N102"/>
  <c r="D90"/>
  <c r="C90"/>
  <c r="S102"/>
  <c r="S90"/>
  <c r="T102"/>
  <c r="Q102"/>
  <c r="P102"/>
  <c r="O102"/>
  <c r="K102"/>
  <c r="J102"/>
  <c r="I102"/>
  <c r="G102"/>
  <c r="F102"/>
  <c r="E102"/>
  <c r="D102"/>
  <c r="L101"/>
  <c r="M101"/>
  <c r="C101"/>
  <c r="AH101" s="1"/>
  <c r="N101"/>
  <c r="D89"/>
  <c r="C89"/>
  <c r="S101"/>
  <c r="S89"/>
  <c r="T101"/>
  <c r="R101"/>
  <c r="Q101"/>
  <c r="P101"/>
  <c r="O101"/>
  <c r="J101"/>
  <c r="I101"/>
  <c r="H101"/>
  <c r="G101"/>
  <c r="F101"/>
  <c r="E101"/>
  <c r="D101"/>
  <c r="L100"/>
  <c r="M100"/>
  <c r="D100"/>
  <c r="C100"/>
  <c r="AH100"/>
  <c r="N100"/>
  <c r="D88"/>
  <c r="C88"/>
  <c r="X100"/>
  <c r="S100"/>
  <c r="S88"/>
  <c r="T100"/>
  <c r="P100"/>
  <c r="O100"/>
  <c r="L99"/>
  <c r="L86"/>
  <c r="M99"/>
  <c r="M86"/>
  <c r="D99"/>
  <c r="C99"/>
  <c r="AH99"/>
  <c r="N99"/>
  <c r="N86"/>
  <c r="D87"/>
  <c r="C87"/>
  <c r="X99"/>
  <c r="S99"/>
  <c r="S87"/>
  <c r="T99"/>
  <c r="R99"/>
  <c r="Q99"/>
  <c r="P99"/>
  <c r="O99"/>
  <c r="E99"/>
  <c r="D98"/>
  <c r="C98"/>
  <c r="AH98"/>
  <c r="D86"/>
  <c r="C86"/>
  <c r="X98"/>
  <c r="S98"/>
  <c r="S86"/>
  <c r="T98"/>
  <c r="R98"/>
  <c r="Q98"/>
  <c r="P98"/>
  <c r="O98"/>
  <c r="E98"/>
  <c r="L97"/>
  <c r="M97"/>
  <c r="D97"/>
  <c r="C97"/>
  <c r="AH97"/>
  <c r="N97"/>
  <c r="D85"/>
  <c r="C85"/>
  <c r="X97"/>
  <c r="S97"/>
  <c r="T97"/>
  <c r="R97"/>
  <c r="Q97"/>
  <c r="P97"/>
  <c r="O97"/>
  <c r="E97"/>
  <c r="L96"/>
  <c r="M96"/>
  <c r="D96"/>
  <c r="C96"/>
  <c r="AH96"/>
  <c r="N96"/>
  <c r="D84"/>
  <c r="C84"/>
  <c r="X96"/>
  <c r="S96"/>
  <c r="S84"/>
  <c r="P96"/>
  <c r="O96"/>
  <c r="L95"/>
  <c r="M95"/>
  <c r="D95"/>
  <c r="C95"/>
  <c r="AH95"/>
  <c r="N95"/>
  <c r="D83"/>
  <c r="C83"/>
  <c r="X95"/>
  <c r="S95"/>
  <c r="S83"/>
  <c r="T95"/>
  <c r="R95"/>
  <c r="Q95"/>
  <c r="P95"/>
  <c r="O95"/>
  <c r="L94"/>
  <c r="M94"/>
  <c r="D94"/>
  <c r="C94"/>
  <c r="AH94"/>
  <c r="N94"/>
  <c r="D82"/>
  <c r="C82"/>
  <c r="X94"/>
  <c r="S94"/>
  <c r="S82"/>
  <c r="R94"/>
  <c r="Q94"/>
  <c r="P94"/>
  <c r="O94"/>
  <c r="E94"/>
  <c r="L93"/>
  <c r="M93"/>
  <c r="D93"/>
  <c r="C93"/>
  <c r="AH93"/>
  <c r="N93"/>
  <c r="D81"/>
  <c r="C81"/>
  <c r="X93" s="1"/>
  <c r="S93"/>
  <c r="S81"/>
  <c r="Q93"/>
  <c r="P93"/>
  <c r="O93"/>
  <c r="E93"/>
  <c r="L92"/>
  <c r="M92"/>
  <c r="N92"/>
  <c r="K80"/>
  <c r="T92"/>
  <c r="R92"/>
  <c r="Q92"/>
  <c r="P92"/>
  <c r="O92"/>
  <c r="E92"/>
  <c r="L91"/>
  <c r="M91"/>
  <c r="N91"/>
  <c r="D79"/>
  <c r="I79"/>
  <c r="C79"/>
  <c r="Q91"/>
  <c r="P91"/>
  <c r="O91"/>
  <c r="E91"/>
  <c r="L90"/>
  <c r="M90"/>
  <c r="AH90"/>
  <c r="N90"/>
  <c r="D78"/>
  <c r="I78"/>
  <c r="C78" s="1"/>
  <c r="S78"/>
  <c r="T90"/>
  <c r="R90"/>
  <c r="Q90"/>
  <c r="P90"/>
  <c r="O90"/>
  <c r="E90"/>
  <c r="L89"/>
  <c r="M89"/>
  <c r="AH89"/>
  <c r="N89"/>
  <c r="D77"/>
  <c r="J77"/>
  <c r="I77" s="1"/>
  <c r="C77" s="1"/>
  <c r="T89"/>
  <c r="R89"/>
  <c r="Q89"/>
  <c r="P89"/>
  <c r="O89"/>
  <c r="E89"/>
  <c r="L88"/>
  <c r="M88"/>
  <c r="AH88"/>
  <c r="N88"/>
  <c r="D76"/>
  <c r="J76"/>
  <c r="K76"/>
  <c r="T88"/>
  <c r="R88"/>
  <c r="Q88"/>
  <c r="P88"/>
  <c r="O88"/>
  <c r="L87"/>
  <c r="L74"/>
  <c r="M87"/>
  <c r="AH87"/>
  <c r="N87"/>
  <c r="N74"/>
  <c r="J75"/>
  <c r="I75" s="1"/>
  <c r="C75" s="1"/>
  <c r="S75"/>
  <c r="T87"/>
  <c r="R87"/>
  <c r="P87"/>
  <c r="O87"/>
  <c r="E87"/>
  <c r="AH86"/>
  <c r="D74"/>
  <c r="C74"/>
  <c r="X86"/>
  <c r="S74"/>
  <c r="T86"/>
  <c r="R86"/>
  <c r="Q86"/>
  <c r="P86"/>
  <c r="O86"/>
  <c r="E86"/>
  <c r="L85"/>
  <c r="M85"/>
  <c r="AH85"/>
  <c r="N85"/>
  <c r="X85"/>
  <c r="S73"/>
  <c r="R85"/>
  <c r="P85"/>
  <c r="O85"/>
  <c r="E85"/>
  <c r="L84"/>
  <c r="M84"/>
  <c r="AH84"/>
  <c r="N84"/>
  <c r="X84"/>
  <c r="T84"/>
  <c r="R84"/>
  <c r="Q84"/>
  <c r="P84"/>
  <c r="O84"/>
  <c r="E84"/>
  <c r="L83"/>
  <c r="M83"/>
  <c r="AH83"/>
  <c r="N83"/>
  <c r="X83"/>
  <c r="T83"/>
  <c r="R83"/>
  <c r="Q83"/>
  <c r="P83"/>
  <c r="O83"/>
  <c r="E83"/>
  <c r="L82"/>
  <c r="M82"/>
  <c r="AH82"/>
  <c r="N82"/>
  <c r="X82"/>
  <c r="S70"/>
  <c r="T82"/>
  <c r="R82"/>
  <c r="Q82"/>
  <c r="P82"/>
  <c r="O82"/>
  <c r="L81"/>
  <c r="M81"/>
  <c r="AH81"/>
  <c r="N81"/>
  <c r="X81"/>
  <c r="T81"/>
  <c r="R81"/>
  <c r="Q81"/>
  <c r="P81"/>
  <c r="O81"/>
  <c r="L80"/>
  <c r="M80"/>
  <c r="N80"/>
  <c r="D68"/>
  <c r="T80"/>
  <c r="Q80"/>
  <c r="P80"/>
  <c r="O80"/>
  <c r="L79"/>
  <c r="M79"/>
  <c r="AH79"/>
  <c r="N79"/>
  <c r="D67"/>
  <c r="I67"/>
  <c r="C67" s="1"/>
  <c r="T79"/>
  <c r="R79"/>
  <c r="P79"/>
  <c r="O79"/>
  <c r="L78"/>
  <c r="N78"/>
  <c r="D66"/>
  <c r="I66"/>
  <c r="C66" s="1"/>
  <c r="AH66" s="1"/>
  <c r="S66"/>
  <c r="T78"/>
  <c r="P78"/>
  <c r="O78"/>
  <c r="L77"/>
  <c r="M77"/>
  <c r="N77"/>
  <c r="D65"/>
  <c r="I65"/>
  <c r="C65"/>
  <c r="T77"/>
  <c r="Q77"/>
  <c r="P77"/>
  <c r="O77"/>
  <c r="L76"/>
  <c r="M76"/>
  <c r="N76"/>
  <c r="D64"/>
  <c r="C64"/>
  <c r="T76"/>
  <c r="P76"/>
  <c r="O76"/>
  <c r="L75"/>
  <c r="L62"/>
  <c r="N75"/>
  <c r="N62"/>
  <c r="C63"/>
  <c r="P75"/>
  <c r="O75"/>
  <c r="AH74"/>
  <c r="D62"/>
  <c r="I62"/>
  <c r="C62" s="1"/>
  <c r="S62"/>
  <c r="T74"/>
  <c r="R74"/>
  <c r="Q74"/>
  <c r="P74"/>
  <c r="O74"/>
  <c r="F74"/>
  <c r="L73"/>
  <c r="N73"/>
  <c r="C61"/>
  <c r="X73"/>
  <c r="S61"/>
  <c r="T73"/>
  <c r="O73"/>
  <c r="L72"/>
  <c r="N72"/>
  <c r="X72"/>
  <c r="P72"/>
  <c r="O72"/>
  <c r="L71"/>
  <c r="AH71"/>
  <c r="N71"/>
  <c r="X71"/>
  <c r="O71"/>
  <c r="L70"/>
  <c r="AH70"/>
  <c r="N70"/>
  <c r="X70"/>
  <c r="T70"/>
  <c r="O70"/>
  <c r="L69"/>
  <c r="N69"/>
  <c r="L57"/>
  <c r="O69"/>
  <c r="L68"/>
  <c r="M68"/>
  <c r="N68"/>
  <c r="L56"/>
  <c r="S56"/>
  <c r="T68"/>
  <c r="R68"/>
  <c r="P68"/>
  <c r="O68"/>
  <c r="E68"/>
  <c r="L67"/>
  <c r="N67"/>
  <c r="L55"/>
  <c r="R67"/>
  <c r="P67"/>
  <c r="O67"/>
  <c r="E67"/>
  <c r="L66"/>
  <c r="M66"/>
  <c r="N66"/>
  <c r="L54"/>
  <c r="X66" s="1"/>
  <c r="Q66"/>
  <c r="P66"/>
  <c r="O66"/>
  <c r="E66"/>
  <c r="L65"/>
  <c r="M65"/>
  <c r="AH65"/>
  <c r="N65"/>
  <c r="L53"/>
  <c r="S53"/>
  <c r="Q65"/>
  <c r="P65"/>
  <c r="O65"/>
  <c r="E65"/>
  <c r="L64"/>
  <c r="M64"/>
  <c r="AH64"/>
  <c r="N64"/>
  <c r="L52"/>
  <c r="T64"/>
  <c r="R64"/>
  <c r="Q64"/>
  <c r="P64"/>
  <c r="O64"/>
  <c r="E64"/>
  <c r="L63"/>
  <c r="AH63"/>
  <c r="N63"/>
  <c r="L51"/>
  <c r="S51"/>
  <c r="P63"/>
  <c r="O63"/>
  <c r="E63"/>
  <c r="L50"/>
  <c r="S50"/>
  <c r="T62"/>
  <c r="R62"/>
  <c r="Q62"/>
  <c r="P62"/>
  <c r="O62"/>
  <c r="F62"/>
  <c r="E62"/>
  <c r="AH61"/>
  <c r="L61"/>
  <c r="L49"/>
  <c r="O61"/>
  <c r="N61"/>
  <c r="L60"/>
  <c r="L48"/>
  <c r="P60"/>
  <c r="O60"/>
  <c r="N60"/>
  <c r="L59"/>
  <c r="L47"/>
  <c r="P59"/>
  <c r="O59"/>
  <c r="N59"/>
  <c r="L58"/>
  <c r="L46"/>
  <c r="S46"/>
  <c r="P58"/>
  <c r="O58"/>
  <c r="N58"/>
  <c r="L45"/>
  <c r="S45"/>
  <c r="P57"/>
  <c r="O57"/>
  <c r="N57"/>
  <c r="L44"/>
  <c r="S44"/>
  <c r="O56"/>
  <c r="N56"/>
  <c r="L43"/>
  <c r="P55"/>
  <c r="O55"/>
  <c r="N55"/>
  <c r="L42"/>
  <c r="T54"/>
  <c r="O54"/>
  <c r="N54"/>
  <c r="L41"/>
  <c r="S41"/>
  <c r="P53"/>
  <c r="O53"/>
  <c r="N53"/>
  <c r="L40"/>
  <c r="S40"/>
  <c r="P52"/>
  <c r="O52"/>
  <c r="N52"/>
  <c r="L26"/>
  <c r="L38"/>
  <c r="L39"/>
  <c r="T51"/>
  <c r="P51"/>
  <c r="O51"/>
  <c r="N51"/>
  <c r="T50"/>
  <c r="O50"/>
  <c r="N50"/>
  <c r="L37"/>
  <c r="S37"/>
  <c r="P49"/>
  <c r="O49"/>
  <c r="N49"/>
  <c r="L36"/>
  <c r="S36"/>
  <c r="T48"/>
  <c r="O48"/>
  <c r="N48"/>
  <c r="L35"/>
  <c r="Y35" s="1"/>
  <c r="P47"/>
  <c r="O47"/>
  <c r="N47"/>
  <c r="L34"/>
  <c r="S34"/>
  <c r="T46"/>
  <c r="O46"/>
  <c r="N46"/>
  <c r="L33"/>
  <c r="S33"/>
  <c r="P45"/>
  <c r="O45"/>
  <c r="N45"/>
  <c r="L32"/>
  <c r="X44" s="1"/>
  <c r="T44"/>
  <c r="P44"/>
  <c r="O44"/>
  <c r="N44"/>
  <c r="L31"/>
  <c r="P43"/>
  <c r="O43"/>
  <c r="N43"/>
  <c r="L30"/>
  <c r="T42"/>
  <c r="O42"/>
  <c r="N42"/>
  <c r="L29"/>
  <c r="P41"/>
  <c r="O41"/>
  <c r="N41"/>
  <c r="L28"/>
  <c r="O40"/>
  <c r="N40"/>
  <c r="L27"/>
  <c r="T39"/>
  <c r="P39"/>
  <c r="O39"/>
  <c r="N39"/>
  <c r="T38"/>
  <c r="O38"/>
  <c r="N38"/>
  <c r="L25"/>
  <c r="P37"/>
  <c r="O37"/>
  <c r="N37"/>
  <c r="L24"/>
  <c r="S24"/>
  <c r="O36"/>
  <c r="N36"/>
  <c r="L23"/>
  <c r="P35"/>
  <c r="O35"/>
  <c r="N35"/>
  <c r="L22"/>
  <c r="T34"/>
  <c r="O34"/>
  <c r="N34"/>
  <c r="L21"/>
  <c r="S21"/>
  <c r="P33"/>
  <c r="O33"/>
  <c r="N33"/>
  <c r="L20"/>
  <c r="S20"/>
  <c r="P32"/>
  <c r="O32"/>
  <c r="N32"/>
  <c r="L19"/>
  <c r="P31"/>
  <c r="O31"/>
  <c r="N31"/>
  <c r="L18"/>
  <c r="T30"/>
  <c r="O30"/>
  <c r="N30"/>
  <c r="L17"/>
  <c r="S17"/>
  <c r="T29"/>
  <c r="P29"/>
  <c r="O29"/>
  <c r="N29"/>
  <c r="L16"/>
  <c r="O28"/>
  <c r="N28"/>
  <c r="L14"/>
  <c r="L15"/>
  <c r="P27"/>
  <c r="O27"/>
  <c r="N27"/>
  <c r="S14"/>
  <c r="T26"/>
  <c r="P26"/>
  <c r="O26"/>
  <c r="N26"/>
  <c r="L13"/>
  <c r="T25"/>
  <c r="P25"/>
  <c r="O25"/>
  <c r="N25"/>
  <c r="L12"/>
  <c r="S12"/>
  <c r="O24"/>
  <c r="N24"/>
  <c r="L11"/>
  <c r="P23"/>
  <c r="N23"/>
  <c r="L10"/>
  <c r="O22"/>
  <c r="N22"/>
  <c r="L9"/>
  <c r="T21"/>
  <c r="P21"/>
  <c r="O21"/>
  <c r="N21"/>
  <c r="T20"/>
  <c r="P20"/>
  <c r="O20"/>
  <c r="N20"/>
  <c r="P19"/>
  <c r="O19"/>
  <c r="N19"/>
  <c r="T18"/>
  <c r="P18"/>
  <c r="O18"/>
  <c r="N18"/>
  <c r="P17"/>
  <c r="O17"/>
  <c r="N17"/>
  <c r="P16"/>
  <c r="O16"/>
  <c r="N16"/>
  <c r="P15"/>
  <c r="N15"/>
  <c r="O14"/>
  <c r="N14"/>
  <c r="P13"/>
  <c r="O13"/>
  <c r="N13"/>
  <c r="T12"/>
  <c r="P12"/>
  <c r="O12"/>
  <c r="N12"/>
  <c r="P11"/>
  <c r="O11"/>
  <c r="N11"/>
  <c r="O10"/>
  <c r="N10"/>
  <c r="T9"/>
  <c r="P9"/>
  <c r="O9"/>
  <c r="N9"/>
  <c r="J116" i="19"/>
  <c r="I116"/>
  <c r="H116"/>
  <c r="G116"/>
  <c r="F116"/>
  <c r="E116"/>
  <c r="D116"/>
  <c r="C116"/>
  <c r="B116"/>
  <c r="J115"/>
  <c r="I115"/>
  <c r="H115"/>
  <c r="G115"/>
  <c r="F115"/>
  <c r="E115"/>
  <c r="D115"/>
  <c r="C115"/>
  <c r="B115"/>
  <c r="J114"/>
  <c r="I114"/>
  <c r="H114"/>
  <c r="G114"/>
  <c r="F114"/>
  <c r="E114"/>
  <c r="D114"/>
  <c r="C114"/>
  <c r="B114"/>
  <c r="J113"/>
  <c r="I113"/>
  <c r="H113"/>
  <c r="G113"/>
  <c r="F113"/>
  <c r="E113"/>
  <c r="D113"/>
  <c r="C113"/>
  <c r="B113"/>
  <c r="J112"/>
  <c r="I112"/>
  <c r="H112"/>
  <c r="G112"/>
  <c r="F112"/>
  <c r="E112"/>
  <c r="D112"/>
  <c r="C112"/>
  <c r="B112"/>
  <c r="J111"/>
  <c r="I111"/>
  <c r="H111"/>
  <c r="G111"/>
  <c r="F111"/>
  <c r="E111"/>
  <c r="D111"/>
  <c r="C111"/>
  <c r="B111"/>
  <c r="J110"/>
  <c r="I110"/>
  <c r="H110"/>
  <c r="G110"/>
  <c r="F110"/>
  <c r="E110"/>
  <c r="D110"/>
  <c r="C110"/>
  <c r="B110"/>
  <c r="J109"/>
  <c r="I109"/>
  <c r="H109"/>
  <c r="G109"/>
  <c r="F109"/>
  <c r="E109"/>
  <c r="D109"/>
  <c r="C109"/>
  <c r="B109"/>
  <c r="J108"/>
  <c r="I108"/>
  <c r="H108"/>
  <c r="G108"/>
  <c r="F108"/>
  <c r="E108"/>
  <c r="D108"/>
  <c r="C108"/>
  <c r="B108"/>
  <c r="J107"/>
  <c r="I107"/>
  <c r="H107"/>
  <c r="G107"/>
  <c r="F107"/>
  <c r="E107"/>
  <c r="D107"/>
  <c r="C107"/>
  <c r="B107"/>
  <c r="J106"/>
  <c r="I106"/>
  <c r="H106"/>
  <c r="G106"/>
  <c r="F106"/>
  <c r="E106"/>
  <c r="D106"/>
  <c r="C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J94"/>
  <c r="I94"/>
  <c r="H94"/>
  <c r="G94"/>
  <c r="F94"/>
  <c r="E94"/>
  <c r="D94"/>
  <c r="C94"/>
  <c r="B94"/>
  <c r="J93"/>
  <c r="J29" i="15" s="1"/>
  <c r="I93" i="19"/>
  <c r="I29" i="15" s="1"/>
  <c r="H93" i="19"/>
  <c r="H29" i="15" s="1"/>
  <c r="G93" i="19"/>
  <c r="G29" i="15" s="1"/>
  <c r="F29" s="1"/>
  <c r="F93" i="19"/>
  <c r="E93"/>
  <c r="D93"/>
  <c r="C93"/>
  <c r="C29" i="15" s="1"/>
  <c r="B93" i="19"/>
  <c r="J92"/>
  <c r="I92"/>
  <c r="H92"/>
  <c r="G92"/>
  <c r="F92"/>
  <c r="E92"/>
  <c r="D92"/>
  <c r="C92"/>
  <c r="B92"/>
  <c r="J91"/>
  <c r="I91"/>
  <c r="H91"/>
  <c r="G91"/>
  <c r="F91"/>
  <c r="E91"/>
  <c r="D91"/>
  <c r="C91"/>
  <c r="B91"/>
  <c r="J90"/>
  <c r="I90"/>
  <c r="H90"/>
  <c r="G90"/>
  <c r="F90"/>
  <c r="E90"/>
  <c r="D90"/>
  <c r="C90"/>
  <c r="B90"/>
  <c r="J89"/>
  <c r="I89"/>
  <c r="H89"/>
  <c r="G89"/>
  <c r="F89"/>
  <c r="E89"/>
  <c r="D89"/>
  <c r="C89"/>
  <c r="B89"/>
  <c r="J88"/>
  <c r="I88"/>
  <c r="H88"/>
  <c r="G88"/>
  <c r="F88"/>
  <c r="E88"/>
  <c r="D88"/>
  <c r="C88"/>
  <c r="B88"/>
  <c r="J87"/>
  <c r="I87"/>
  <c r="H87"/>
  <c r="G87"/>
  <c r="F87"/>
  <c r="E87"/>
  <c r="D87"/>
  <c r="C87"/>
  <c r="B87"/>
  <c r="J86"/>
  <c r="I86"/>
  <c r="H86"/>
  <c r="G86"/>
  <c r="F86"/>
  <c r="E86"/>
  <c r="D86"/>
  <c r="C86"/>
  <c r="B86"/>
  <c r="J85"/>
  <c r="I85"/>
  <c r="H85"/>
  <c r="G85"/>
  <c r="F85"/>
  <c r="E85"/>
  <c r="D85"/>
  <c r="C85"/>
  <c r="B85"/>
  <c r="J84"/>
  <c r="I84"/>
  <c r="H84"/>
  <c r="G84"/>
  <c r="F84"/>
  <c r="E84"/>
  <c r="D84"/>
  <c r="C84"/>
  <c r="B84"/>
  <c r="J83"/>
  <c r="I83"/>
  <c r="H83"/>
  <c r="G83"/>
  <c r="F83"/>
  <c r="E83"/>
  <c r="D83"/>
  <c r="C83"/>
  <c r="B83"/>
  <c r="J82"/>
  <c r="I82"/>
  <c r="H82"/>
  <c r="G82"/>
  <c r="F82"/>
  <c r="E82"/>
  <c r="D82"/>
  <c r="C82"/>
  <c r="B82"/>
  <c r="J81"/>
  <c r="J28" i="15" s="1"/>
  <c r="I81" i="19"/>
  <c r="I28" i="15" s="1"/>
  <c r="H81" i="19"/>
  <c r="H28" i="15" s="1"/>
  <c r="G81" i="19"/>
  <c r="G28" i="15" s="1"/>
  <c r="F28" s="1"/>
  <c r="E28" s="1"/>
  <c r="F81" i="19"/>
  <c r="E81"/>
  <c r="D81"/>
  <c r="C81"/>
  <c r="C28" i="15" s="1"/>
  <c r="B28" s="1"/>
  <c r="B81" i="19"/>
  <c r="J80"/>
  <c r="I80"/>
  <c r="H80"/>
  <c r="G80"/>
  <c r="F80"/>
  <c r="E80"/>
  <c r="D80"/>
  <c r="C80"/>
  <c r="B80"/>
  <c r="I79"/>
  <c r="H79"/>
  <c r="G79"/>
  <c r="F79"/>
  <c r="E79"/>
  <c r="D79"/>
  <c r="C79"/>
  <c r="B79"/>
  <c r="J78"/>
  <c r="I78"/>
  <c r="H78"/>
  <c r="G78"/>
  <c r="F78"/>
  <c r="E78"/>
  <c r="D78"/>
  <c r="C78"/>
  <c r="B78"/>
  <c r="J77"/>
  <c r="I77"/>
  <c r="H77"/>
  <c r="G77"/>
  <c r="F77"/>
  <c r="E77"/>
  <c r="D77"/>
  <c r="C77"/>
  <c r="B77"/>
  <c r="J76"/>
  <c r="I76"/>
  <c r="H76"/>
  <c r="G76"/>
  <c r="F76"/>
  <c r="E76"/>
  <c r="D76"/>
  <c r="C76"/>
  <c r="B76"/>
  <c r="J75"/>
  <c r="I75"/>
  <c r="H75"/>
  <c r="G75"/>
  <c r="F75"/>
  <c r="E75"/>
  <c r="D75"/>
  <c r="B75"/>
  <c r="J74"/>
  <c r="H74"/>
  <c r="F74"/>
  <c r="E74"/>
  <c r="D74"/>
  <c r="B74"/>
  <c r="J73"/>
  <c r="I73"/>
  <c r="F73"/>
  <c r="E73"/>
  <c r="D73"/>
  <c r="B73"/>
  <c r="J72"/>
  <c r="F72"/>
  <c r="E72"/>
  <c r="D72"/>
  <c r="B72"/>
  <c r="J71"/>
  <c r="I71"/>
  <c r="F71"/>
  <c r="E71"/>
  <c r="D71"/>
  <c r="B71"/>
  <c r="J70"/>
  <c r="I70"/>
  <c r="F70"/>
  <c r="E70"/>
  <c r="D70"/>
  <c r="B70"/>
  <c r="J69"/>
  <c r="J27" i="15" s="1"/>
  <c r="I69" i="19"/>
  <c r="I27" i="15" s="1"/>
  <c r="H69" i="19"/>
  <c r="H27" i="15" s="1"/>
  <c r="G69" i="19"/>
  <c r="G27" i="15" s="1"/>
  <c r="F27" s="1"/>
  <c r="E27" s="1"/>
  <c r="F69" i="19"/>
  <c r="E69"/>
  <c r="D69"/>
  <c r="C69"/>
  <c r="C27" i="15" s="1"/>
  <c r="B27" s="1"/>
  <c r="B69" i="19"/>
  <c r="J68"/>
  <c r="I68"/>
  <c r="H68"/>
  <c r="G68"/>
  <c r="F68"/>
  <c r="E68"/>
  <c r="D68"/>
  <c r="C68"/>
  <c r="B68"/>
  <c r="J67"/>
  <c r="I67"/>
  <c r="H67"/>
  <c r="F67"/>
  <c r="E67"/>
  <c r="D67"/>
  <c r="C67"/>
  <c r="B67"/>
  <c r="J66"/>
  <c r="I66"/>
  <c r="H66"/>
  <c r="G66"/>
  <c r="F66"/>
  <c r="E66"/>
  <c r="D66"/>
  <c r="C66"/>
  <c r="B66"/>
  <c r="J65"/>
  <c r="I65"/>
  <c r="H65"/>
  <c r="G65"/>
  <c r="F65"/>
  <c r="E65"/>
  <c r="D65"/>
  <c r="C65"/>
  <c r="B65"/>
  <c r="J64"/>
  <c r="I64"/>
  <c r="H64"/>
  <c r="G64"/>
  <c r="F64"/>
  <c r="E64"/>
  <c r="D64"/>
  <c r="C64"/>
  <c r="B64"/>
  <c r="J63"/>
  <c r="I63"/>
  <c r="H63"/>
  <c r="G63"/>
  <c r="F63"/>
  <c r="E63"/>
  <c r="D63"/>
  <c r="B63"/>
  <c r="J62"/>
  <c r="H62"/>
  <c r="G62"/>
  <c r="F62"/>
  <c r="E62"/>
  <c r="D62"/>
  <c r="B62"/>
  <c r="J61"/>
  <c r="I61"/>
  <c r="E61"/>
  <c r="D61"/>
  <c r="B61"/>
  <c r="I60"/>
  <c r="F60"/>
  <c r="E60"/>
  <c r="D60"/>
  <c r="B60"/>
  <c r="I59"/>
  <c r="F59"/>
  <c r="E59"/>
  <c r="D59"/>
  <c r="B59"/>
  <c r="J58"/>
  <c r="F58"/>
  <c r="E58"/>
  <c r="D58"/>
  <c r="B58"/>
  <c r="J57"/>
  <c r="J26" i="15" s="1"/>
  <c r="F57" i="19"/>
  <c r="E57"/>
  <c r="D57"/>
  <c r="B57"/>
  <c r="J56"/>
  <c r="I56"/>
  <c r="F56"/>
  <c r="E56"/>
  <c r="D56"/>
  <c r="B56"/>
  <c r="J55"/>
  <c r="I55"/>
  <c r="F55"/>
  <c r="E55"/>
  <c r="D55"/>
  <c r="B55"/>
  <c r="J54"/>
  <c r="F54"/>
  <c r="E54"/>
  <c r="D54"/>
  <c r="B54"/>
  <c r="J53"/>
  <c r="I53"/>
  <c r="E53"/>
  <c r="D53"/>
  <c r="B53"/>
  <c r="J52"/>
  <c r="I52"/>
  <c r="F52"/>
  <c r="E52"/>
  <c r="D52"/>
  <c r="B52"/>
  <c r="J51"/>
  <c r="I51"/>
  <c r="F51"/>
  <c r="E51"/>
  <c r="D51"/>
  <c r="B51"/>
  <c r="J50"/>
  <c r="I50"/>
  <c r="F50"/>
  <c r="E50"/>
  <c r="D50"/>
  <c r="B50"/>
  <c r="J49"/>
  <c r="I49"/>
  <c r="F49"/>
  <c r="E49"/>
  <c r="D49"/>
  <c r="B49"/>
  <c r="J48"/>
  <c r="I48"/>
  <c r="F48"/>
  <c r="E48"/>
  <c r="D48"/>
  <c r="B48"/>
  <c r="J47"/>
  <c r="I47"/>
  <c r="F47"/>
  <c r="E47"/>
  <c r="D47"/>
  <c r="B47"/>
  <c r="J46"/>
  <c r="F46"/>
  <c r="E46"/>
  <c r="D46"/>
  <c r="B46"/>
  <c r="J45"/>
  <c r="J25" i="15" s="1"/>
  <c r="I45" i="19"/>
  <c r="I25" i="15" s="1"/>
  <c r="F45" i="19"/>
  <c r="E45"/>
  <c r="D45"/>
  <c r="B45"/>
  <c r="J44"/>
  <c r="F44"/>
  <c r="E44"/>
  <c r="D44"/>
  <c r="B44"/>
  <c r="J43"/>
  <c r="I43"/>
  <c r="E43"/>
  <c r="D43"/>
  <c r="B43"/>
  <c r="J42"/>
  <c r="I42"/>
  <c r="F42"/>
  <c r="E42"/>
  <c r="D42"/>
  <c r="B42"/>
  <c r="J41"/>
  <c r="I41"/>
  <c r="F41"/>
  <c r="E41"/>
  <c r="D41"/>
  <c r="B41"/>
  <c r="J40"/>
  <c r="I40"/>
  <c r="F40"/>
  <c r="E40"/>
  <c r="D40"/>
  <c r="B40"/>
  <c r="J39"/>
  <c r="I39"/>
  <c r="F39"/>
  <c r="E39"/>
  <c r="D39"/>
  <c r="B39"/>
  <c r="J38"/>
  <c r="I38"/>
  <c r="F38"/>
  <c r="E38"/>
  <c r="D38"/>
  <c r="B38"/>
  <c r="J37"/>
  <c r="I37"/>
  <c r="F37"/>
  <c r="E37"/>
  <c r="D37"/>
  <c r="B37"/>
  <c r="J36"/>
  <c r="F36"/>
  <c r="E36"/>
  <c r="D36"/>
  <c r="B36"/>
  <c r="J35"/>
  <c r="I35"/>
  <c r="F35"/>
  <c r="E35"/>
  <c r="D35"/>
  <c r="B35"/>
  <c r="J34"/>
  <c r="F34"/>
  <c r="E34"/>
  <c r="D34"/>
  <c r="B34"/>
  <c r="J33"/>
  <c r="J24" i="15" s="1"/>
  <c r="F33" i="19"/>
  <c r="E33"/>
  <c r="D33"/>
  <c r="B33"/>
  <c r="I32"/>
  <c r="F32"/>
  <c r="E32"/>
  <c r="D32"/>
  <c r="B32"/>
  <c r="J31"/>
  <c r="F31"/>
  <c r="E31"/>
  <c r="D31"/>
  <c r="B31"/>
  <c r="J30"/>
  <c r="I30"/>
  <c r="F30"/>
  <c r="E30"/>
  <c r="D30"/>
  <c r="B30"/>
  <c r="J29"/>
  <c r="I29"/>
  <c r="E29"/>
  <c r="D29"/>
  <c r="B29"/>
  <c r="I28"/>
  <c r="F28"/>
  <c r="E28"/>
  <c r="D28"/>
  <c r="B28"/>
  <c r="F27"/>
  <c r="E27"/>
  <c r="D27"/>
  <c r="B27"/>
  <c r="J26"/>
  <c r="I26"/>
  <c r="F26"/>
  <c r="E26"/>
  <c r="D26"/>
  <c r="B26"/>
  <c r="I25"/>
  <c r="F25"/>
  <c r="E25"/>
  <c r="D25"/>
  <c r="B25"/>
  <c r="J24"/>
  <c r="I24"/>
  <c r="F24"/>
  <c r="E24"/>
  <c r="D24"/>
  <c r="B24"/>
  <c r="J23"/>
  <c r="F23"/>
  <c r="E23"/>
  <c r="D23"/>
  <c r="B23"/>
  <c r="J22"/>
  <c r="I22"/>
  <c r="F22"/>
  <c r="E22"/>
  <c r="D22"/>
  <c r="B22"/>
  <c r="J21"/>
  <c r="J23" i="15" s="1"/>
  <c r="I21" i="19"/>
  <c r="I23" i="15" s="1"/>
  <c r="F21" i="19"/>
  <c r="E21"/>
  <c r="D21"/>
  <c r="B21"/>
  <c r="J20"/>
  <c r="F20"/>
  <c r="E20"/>
  <c r="D20"/>
  <c r="B20"/>
  <c r="J19"/>
  <c r="I19"/>
  <c r="F19"/>
  <c r="E19"/>
  <c r="D19"/>
  <c r="B19"/>
  <c r="J18"/>
  <c r="F18"/>
  <c r="E18"/>
  <c r="D18"/>
  <c r="B18"/>
  <c r="J17"/>
  <c r="I17"/>
  <c r="F17"/>
  <c r="E17"/>
  <c r="D17"/>
  <c r="B17"/>
  <c r="J16"/>
  <c r="I16"/>
  <c r="F16"/>
  <c r="E16"/>
  <c r="D16"/>
  <c r="B16"/>
  <c r="J15"/>
  <c r="I15"/>
  <c r="F15"/>
  <c r="E15"/>
  <c r="D15"/>
  <c r="B15"/>
  <c r="J14"/>
  <c r="I14"/>
  <c r="F14"/>
  <c r="E14"/>
  <c r="D14"/>
  <c r="B14"/>
  <c r="J13"/>
  <c r="I13"/>
  <c r="E13"/>
  <c r="D13"/>
  <c r="B13"/>
  <c r="J12"/>
  <c r="I12"/>
  <c r="F12"/>
  <c r="E12"/>
  <c r="D12"/>
  <c r="B12"/>
  <c r="J11"/>
  <c r="I11"/>
  <c r="E11"/>
  <c r="D11"/>
  <c r="B11"/>
  <c r="J10"/>
  <c r="I10"/>
  <c r="F10"/>
  <c r="E10"/>
  <c r="D10"/>
  <c r="B10"/>
  <c r="J106" i="5"/>
  <c r="J15" i="23" s="1"/>
  <c r="J94" i="5"/>
  <c r="J14" i="23" s="1"/>
  <c r="I106" i="5"/>
  <c r="I15" i="23" s="1"/>
  <c r="I94" i="5"/>
  <c r="I14" i="23" s="1"/>
  <c r="G106" i="5"/>
  <c r="G15" i="23" s="1"/>
  <c r="G94" i="5"/>
  <c r="G14" i="23" s="1"/>
  <c r="F106" i="5"/>
  <c r="F15" i="23" s="1"/>
  <c r="F94" i="5"/>
  <c r="F14" i="23" s="1"/>
  <c r="E14" s="1"/>
  <c r="D106" i="5"/>
  <c r="D15" i="23" s="1"/>
  <c r="D94" i="5"/>
  <c r="D14" i="23" s="1"/>
  <c r="C106" i="5"/>
  <c r="C15" i="23" s="1"/>
  <c r="C94" i="5"/>
  <c r="C14" i="23" s="1"/>
  <c r="J82" i="5"/>
  <c r="J13" i="23" s="1"/>
  <c r="I82" i="5"/>
  <c r="I13" i="23" s="1"/>
  <c r="G82" i="5"/>
  <c r="G13" i="23" s="1"/>
  <c r="F82" i="5"/>
  <c r="F13" i="23" s="1"/>
  <c r="D82" i="5"/>
  <c r="D13" i="23" s="1"/>
  <c r="C82" i="5"/>
  <c r="C13" i="23" s="1"/>
  <c r="J70" i="5"/>
  <c r="J12" i="23" s="1"/>
  <c r="I70" i="5"/>
  <c r="I12" i="23" s="1"/>
  <c r="D70" i="5"/>
  <c r="D12" i="23" s="1"/>
  <c r="C70" i="5"/>
  <c r="C12" i="23" s="1"/>
  <c r="B12" s="1"/>
  <c r="L40" i="43"/>
  <c r="Q40"/>
  <c r="P40"/>
  <c r="O40"/>
  <c r="M40"/>
  <c r="J117" i="5"/>
  <c r="I117"/>
  <c r="H117"/>
  <c r="G117"/>
  <c r="F117"/>
  <c r="E117"/>
  <c r="D117"/>
  <c r="C117"/>
  <c r="B117"/>
  <c r="J116"/>
  <c r="I116"/>
  <c r="H116"/>
  <c r="G116"/>
  <c r="F116"/>
  <c r="E116"/>
  <c r="D116"/>
  <c r="C116"/>
  <c r="J115"/>
  <c r="I115"/>
  <c r="H115"/>
  <c r="G115"/>
  <c r="F115"/>
  <c r="E115"/>
  <c r="D115"/>
  <c r="C115"/>
  <c r="J114"/>
  <c r="I114"/>
  <c r="H114"/>
  <c r="G114"/>
  <c r="F114"/>
  <c r="E114"/>
  <c r="D114"/>
  <c r="C114"/>
  <c r="J113"/>
  <c r="I113"/>
  <c r="H113"/>
  <c r="G113"/>
  <c r="F113"/>
  <c r="E113"/>
  <c r="D113"/>
  <c r="C113"/>
  <c r="J112"/>
  <c r="I112"/>
  <c r="H112"/>
  <c r="G112"/>
  <c r="F112"/>
  <c r="E112"/>
  <c r="D112"/>
  <c r="C112"/>
  <c r="J111"/>
  <c r="I111"/>
  <c r="H111"/>
  <c r="G111"/>
  <c r="F111"/>
  <c r="E111"/>
  <c r="D111"/>
  <c r="C111"/>
  <c r="J110"/>
  <c r="I110"/>
  <c r="H110"/>
  <c r="G110"/>
  <c r="F110"/>
  <c r="E110"/>
  <c r="D110"/>
  <c r="C110"/>
  <c r="J109"/>
  <c r="I109"/>
  <c r="H109"/>
  <c r="G109"/>
  <c r="F109"/>
  <c r="E109"/>
  <c r="D109"/>
  <c r="C109"/>
  <c r="J108"/>
  <c r="I108"/>
  <c r="H108"/>
  <c r="G108"/>
  <c r="F108"/>
  <c r="E108"/>
  <c r="D108"/>
  <c r="C108"/>
  <c r="J107"/>
  <c r="I107"/>
  <c r="H107"/>
  <c r="G107"/>
  <c r="F107"/>
  <c r="E107"/>
  <c r="D107"/>
  <c r="C107"/>
  <c r="H106"/>
  <c r="E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H94"/>
  <c r="E94"/>
  <c r="B94"/>
  <c r="J93"/>
  <c r="I93"/>
  <c r="H93"/>
  <c r="G93"/>
  <c r="F93"/>
  <c r="E93"/>
  <c r="D93"/>
  <c r="C93"/>
  <c r="B93"/>
  <c r="J92"/>
  <c r="I92"/>
  <c r="H92"/>
  <c r="G92"/>
  <c r="F92"/>
  <c r="E92"/>
  <c r="D92"/>
  <c r="C92"/>
  <c r="B92"/>
  <c r="I91"/>
  <c r="H91"/>
  <c r="G91"/>
  <c r="F91"/>
  <c r="E91"/>
  <c r="D91"/>
  <c r="C91"/>
  <c r="B91"/>
  <c r="I90"/>
  <c r="H90"/>
  <c r="G90"/>
  <c r="F90"/>
  <c r="E90"/>
  <c r="D90"/>
  <c r="C90"/>
  <c r="B90"/>
  <c r="I89"/>
  <c r="H89"/>
  <c r="G89"/>
  <c r="F89"/>
  <c r="E89"/>
  <c r="D89"/>
  <c r="C89"/>
  <c r="B89"/>
  <c r="I88"/>
  <c r="H88"/>
  <c r="G88"/>
  <c r="F88"/>
  <c r="E88"/>
  <c r="D88"/>
  <c r="C88"/>
  <c r="B88"/>
  <c r="I87"/>
  <c r="H87"/>
  <c r="G87"/>
  <c r="F87"/>
  <c r="E87"/>
  <c r="D87"/>
  <c r="C87"/>
  <c r="B87"/>
  <c r="I86"/>
  <c r="H86"/>
  <c r="G86"/>
  <c r="F86"/>
  <c r="E86"/>
  <c r="D86"/>
  <c r="C86"/>
  <c r="B86"/>
  <c r="I85"/>
  <c r="H85"/>
  <c r="G85"/>
  <c r="F85"/>
  <c r="E85"/>
  <c r="D85"/>
  <c r="C85"/>
  <c r="B85"/>
  <c r="I84"/>
  <c r="H84"/>
  <c r="G84"/>
  <c r="F84"/>
  <c r="E84"/>
  <c r="D84"/>
  <c r="C84"/>
  <c r="B84"/>
  <c r="J83"/>
  <c r="I83"/>
  <c r="H83"/>
  <c r="G83"/>
  <c r="F83"/>
  <c r="E83"/>
  <c r="D83"/>
  <c r="C83"/>
  <c r="B83"/>
  <c r="H82"/>
  <c r="E82"/>
  <c r="B82"/>
  <c r="J81"/>
  <c r="I81"/>
  <c r="H81"/>
  <c r="D81"/>
  <c r="C81"/>
  <c r="B81"/>
  <c r="J80"/>
  <c r="H80"/>
  <c r="D80"/>
  <c r="C80"/>
  <c r="B80"/>
  <c r="J79"/>
  <c r="I79"/>
  <c r="H79"/>
  <c r="E79"/>
  <c r="D79"/>
  <c r="C79"/>
  <c r="B79"/>
  <c r="J78"/>
  <c r="I78"/>
  <c r="H78"/>
  <c r="E78"/>
  <c r="C78"/>
  <c r="B78"/>
  <c r="J77"/>
  <c r="I77"/>
  <c r="H77"/>
  <c r="E77"/>
  <c r="D77"/>
  <c r="C77"/>
  <c r="B77"/>
  <c r="J76"/>
  <c r="I76"/>
  <c r="H76"/>
  <c r="G76"/>
  <c r="E76"/>
  <c r="D76"/>
  <c r="C76"/>
  <c r="B76"/>
  <c r="I75"/>
  <c r="H75"/>
  <c r="G75"/>
  <c r="F75"/>
  <c r="E75"/>
  <c r="C75"/>
  <c r="B75"/>
  <c r="I74"/>
  <c r="H74"/>
  <c r="E74"/>
  <c r="B74"/>
  <c r="I73"/>
  <c r="H73"/>
  <c r="E73"/>
  <c r="B73"/>
  <c r="I72"/>
  <c r="H72"/>
  <c r="B72"/>
  <c r="I71"/>
  <c r="H71"/>
  <c r="E71"/>
  <c r="B71"/>
  <c r="H70"/>
  <c r="E70"/>
  <c r="B70"/>
  <c r="J69"/>
  <c r="I69"/>
  <c r="H69"/>
  <c r="E69"/>
  <c r="D69"/>
  <c r="C69"/>
  <c r="B69"/>
  <c r="J68"/>
  <c r="I68"/>
  <c r="H68"/>
  <c r="E68"/>
  <c r="D68"/>
  <c r="C68"/>
  <c r="B68"/>
  <c r="J67"/>
  <c r="I67"/>
  <c r="H67"/>
  <c r="E67"/>
  <c r="D67"/>
  <c r="C67"/>
  <c r="B67"/>
  <c r="H66"/>
  <c r="E66"/>
  <c r="D66"/>
  <c r="C66"/>
  <c r="B66"/>
  <c r="H65"/>
  <c r="E65"/>
  <c r="D65"/>
  <c r="C65"/>
  <c r="B65"/>
  <c r="I64"/>
  <c r="H64"/>
  <c r="E64"/>
  <c r="D64"/>
  <c r="C64"/>
  <c r="B64"/>
  <c r="J63"/>
  <c r="H63"/>
  <c r="E63"/>
  <c r="D63"/>
  <c r="C63"/>
  <c r="B63"/>
  <c r="E62"/>
  <c r="C62"/>
  <c r="B62"/>
  <c r="H61"/>
  <c r="E61"/>
  <c r="B61"/>
  <c r="H60"/>
  <c r="B60"/>
  <c r="H59"/>
  <c r="E59"/>
  <c r="B59"/>
  <c r="H58"/>
  <c r="E58"/>
  <c r="B58"/>
  <c r="H57"/>
  <c r="E57"/>
  <c r="B57"/>
  <c r="H56"/>
  <c r="B56"/>
  <c r="H55"/>
  <c r="E55"/>
  <c r="B55"/>
  <c r="H54"/>
  <c r="B54"/>
  <c r="H53"/>
  <c r="E53"/>
  <c r="B53"/>
  <c r="H52"/>
  <c r="B52"/>
  <c r="H51"/>
  <c r="E51"/>
  <c r="H50"/>
  <c r="E50"/>
  <c r="B50"/>
  <c r="H49"/>
  <c r="E49"/>
  <c r="B49"/>
  <c r="H48"/>
  <c r="B48"/>
  <c r="H47"/>
  <c r="E47"/>
  <c r="B47"/>
  <c r="E46"/>
  <c r="H45"/>
  <c r="E45"/>
  <c r="B45"/>
  <c r="H44"/>
  <c r="B44"/>
  <c r="H43"/>
  <c r="E43"/>
  <c r="B43"/>
  <c r="H42"/>
  <c r="E42"/>
  <c r="B42"/>
  <c r="E41"/>
  <c r="B41"/>
  <c r="H40"/>
  <c r="B40"/>
  <c r="H39"/>
  <c r="E39"/>
  <c r="B39"/>
  <c r="H38"/>
  <c r="E38"/>
  <c r="B38"/>
  <c r="H37"/>
  <c r="E37"/>
  <c r="B37"/>
  <c r="H36"/>
  <c r="E36"/>
  <c r="B36"/>
  <c r="H35"/>
  <c r="E35"/>
  <c r="B35"/>
  <c r="E34"/>
  <c r="B34"/>
  <c r="H33"/>
  <c r="E33"/>
  <c r="B33"/>
  <c r="H32"/>
  <c r="E32"/>
  <c r="B32"/>
  <c r="H31"/>
  <c r="E31"/>
  <c r="B31"/>
  <c r="H30"/>
  <c r="E30"/>
  <c r="B30"/>
  <c r="H29"/>
  <c r="E29"/>
  <c r="B29"/>
  <c r="H28"/>
  <c r="B28"/>
  <c r="H27"/>
  <c r="B27"/>
  <c r="H26"/>
  <c r="E26"/>
  <c r="B26"/>
  <c r="H25"/>
  <c r="E25"/>
  <c r="B25"/>
  <c r="H24"/>
  <c r="E24"/>
  <c r="B24"/>
  <c r="H23"/>
  <c r="E23"/>
  <c r="B23"/>
  <c r="H22"/>
  <c r="E22"/>
  <c r="B22"/>
  <c r="H21"/>
  <c r="E21"/>
  <c r="B21"/>
  <c r="H20"/>
  <c r="E20"/>
  <c r="B20"/>
  <c r="H19"/>
  <c r="E19"/>
  <c r="B19"/>
  <c r="H18"/>
  <c r="E18"/>
  <c r="B18"/>
  <c r="H17"/>
  <c r="E17"/>
  <c r="B17"/>
  <c r="H16"/>
  <c r="B16"/>
  <c r="E15"/>
  <c r="B15"/>
  <c r="H14"/>
  <c r="E14"/>
  <c r="B14"/>
  <c r="H13"/>
  <c r="E13"/>
  <c r="B13"/>
  <c r="H12"/>
  <c r="E12"/>
  <c r="B12"/>
  <c r="H11"/>
  <c r="E11"/>
  <c r="B11"/>
  <c r="R61" i="42"/>
  <c r="Q61"/>
  <c r="R62"/>
  <c r="P61"/>
  <c r="Q62"/>
  <c r="O61"/>
  <c r="P62"/>
  <c r="N61"/>
  <c r="O62"/>
  <c r="M61"/>
  <c r="N62"/>
  <c r="L61"/>
  <c r="M62"/>
  <c r="R58"/>
  <c r="Q58"/>
  <c r="O58"/>
  <c r="N58"/>
  <c r="M58"/>
  <c r="U14"/>
  <c r="R56"/>
  <c r="P56"/>
  <c r="O56"/>
  <c r="N56"/>
  <c r="M56"/>
  <c r="H39"/>
  <c r="G39"/>
  <c r="H47"/>
  <c r="I39"/>
  <c r="I47"/>
  <c r="J39"/>
  <c r="J47"/>
  <c r="K39"/>
  <c r="K47"/>
  <c r="L39"/>
  <c r="L47"/>
  <c r="M43"/>
  <c r="M47"/>
  <c r="N39"/>
  <c r="N47"/>
  <c r="H49"/>
  <c r="H51"/>
  <c r="P39"/>
  <c r="O39"/>
  <c r="P50"/>
  <c r="Q39"/>
  <c r="Q50"/>
  <c r="R39"/>
  <c r="R50"/>
  <c r="S39"/>
  <c r="S50"/>
  <c r="U50"/>
  <c r="O50"/>
  <c r="N50"/>
  <c r="M50"/>
  <c r="L50"/>
  <c r="K50"/>
  <c r="J50"/>
  <c r="I50"/>
  <c r="H50"/>
  <c r="H46"/>
  <c r="I46"/>
  <c r="J46"/>
  <c r="K46"/>
  <c r="L46"/>
  <c r="M46"/>
  <c r="N46"/>
  <c r="H48"/>
  <c r="M39"/>
  <c r="C48"/>
  <c r="P43"/>
  <c r="P47"/>
  <c r="O47"/>
  <c r="S46"/>
  <c r="R46"/>
  <c r="Q46"/>
  <c r="P46"/>
  <c r="O46"/>
  <c r="W44"/>
  <c r="Q43"/>
  <c r="S40"/>
  <c r="R40"/>
  <c r="Q40"/>
  <c r="P40"/>
  <c r="O40"/>
  <c r="N40"/>
  <c r="M40"/>
  <c r="L40"/>
  <c r="K40"/>
  <c r="J40"/>
  <c r="I40"/>
  <c r="H40"/>
  <c r="F39"/>
  <c r="G40"/>
  <c r="E39"/>
  <c r="F40"/>
  <c r="D39"/>
  <c r="E40"/>
  <c r="W39"/>
  <c r="V39"/>
  <c r="U39"/>
  <c r="W32"/>
  <c r="V32"/>
  <c r="U32"/>
  <c r="W28"/>
  <c r="V28"/>
  <c r="U28"/>
  <c r="Z20"/>
  <c r="W14"/>
  <c r="V14"/>
  <c r="R65" i="43"/>
  <c r="R64"/>
  <c r="Q64"/>
  <c r="R63"/>
  <c r="Q63"/>
  <c r="L55"/>
  <c r="N44"/>
  <c r="K40"/>
  <c r="R41"/>
  <c r="Q41"/>
  <c r="P41"/>
  <c r="O41"/>
  <c r="N41"/>
  <c r="M41"/>
  <c r="L41"/>
  <c r="K41"/>
  <c r="I40"/>
  <c r="J41"/>
  <c r="H40"/>
  <c r="I41"/>
  <c r="G40"/>
  <c r="H41"/>
  <c r="G41"/>
  <c r="E40"/>
  <c r="F41"/>
  <c r="D40"/>
  <c r="E41"/>
  <c r="F39"/>
  <c r="I11" i="14"/>
  <c r="I10"/>
  <c r="L11"/>
  <c r="C22" i="15"/>
  <c r="B22"/>
  <c r="C21"/>
  <c r="B21"/>
  <c r="V22"/>
  <c r="K22"/>
  <c r="F22"/>
  <c r="E22"/>
  <c r="D22"/>
  <c r="B20"/>
  <c r="V21"/>
  <c r="T21"/>
  <c r="S21"/>
  <c r="R21"/>
  <c r="Q21"/>
  <c r="F21"/>
  <c r="F11"/>
  <c r="P21"/>
  <c r="E21"/>
  <c r="E11"/>
  <c r="O21"/>
  <c r="D21"/>
  <c r="D11"/>
  <c r="N21"/>
  <c r="M21"/>
  <c r="B11"/>
  <c r="L21"/>
  <c r="K21"/>
  <c r="C19"/>
  <c r="B19"/>
  <c r="V20"/>
  <c r="K20"/>
  <c r="F20"/>
  <c r="E20"/>
  <c r="D20"/>
  <c r="C18"/>
  <c r="B18"/>
  <c r="V19"/>
  <c r="K19"/>
  <c r="F19"/>
  <c r="E19"/>
  <c r="D19"/>
  <c r="C17"/>
  <c r="B17"/>
  <c r="V18"/>
  <c r="K18"/>
  <c r="F18"/>
  <c r="E18"/>
  <c r="D18"/>
  <c r="B16"/>
  <c r="V17"/>
  <c r="K17"/>
  <c r="F17"/>
  <c r="E17"/>
  <c r="D17"/>
  <c r="C15"/>
  <c r="B15"/>
  <c r="V16"/>
  <c r="K16"/>
  <c r="F16"/>
  <c r="E16"/>
  <c r="D16"/>
  <c r="C14"/>
  <c r="B14"/>
  <c r="V15"/>
  <c r="K15"/>
  <c r="F15"/>
  <c r="E15"/>
  <c r="D15"/>
  <c r="C13"/>
  <c r="K14"/>
  <c r="F14"/>
  <c r="E14"/>
  <c r="D14"/>
  <c r="K13"/>
  <c r="F13"/>
  <c r="E13"/>
  <c r="D13"/>
  <c r="B13"/>
  <c r="K12"/>
  <c r="F12"/>
  <c r="E12"/>
  <c r="D12"/>
  <c r="B12"/>
  <c r="K11"/>
  <c r="K10"/>
  <c r="F10"/>
  <c r="E10"/>
  <c r="D10"/>
  <c r="B10"/>
  <c r="K9"/>
  <c r="F9"/>
  <c r="E9"/>
  <c r="D9"/>
  <c r="B9"/>
  <c r="F8"/>
  <c r="E8"/>
  <c r="D8"/>
  <c r="B8"/>
  <c r="L66" i="14"/>
  <c r="I66"/>
  <c r="H7"/>
  <c r="H65"/>
  <c r="G7"/>
  <c r="G65"/>
  <c r="F7"/>
  <c r="F65"/>
  <c r="K49"/>
  <c r="K51"/>
  <c r="I51"/>
  <c r="K45"/>
  <c r="K47"/>
  <c r="J47"/>
  <c r="I47"/>
  <c r="K42"/>
  <c r="J42"/>
  <c r="K43"/>
  <c r="I42"/>
  <c r="J43"/>
  <c r="I43"/>
  <c r="K39"/>
  <c r="J39"/>
  <c r="K40"/>
  <c r="I39"/>
  <c r="J40"/>
  <c r="I40"/>
  <c r="H27"/>
  <c r="I13"/>
  <c r="J55" i="12"/>
  <c r="K55"/>
  <c r="K57"/>
  <c r="J57"/>
  <c r="J51"/>
  <c r="K51"/>
  <c r="K53"/>
  <c r="J53"/>
  <c r="I53"/>
  <c r="K48"/>
  <c r="J48"/>
  <c r="K49"/>
  <c r="I48"/>
  <c r="J49"/>
  <c r="I49"/>
  <c r="K45"/>
  <c r="J45"/>
  <c r="K46"/>
  <c r="I45"/>
  <c r="J46"/>
  <c r="I46"/>
  <c r="I29"/>
  <c r="I27"/>
  <c r="J27"/>
  <c r="K27"/>
  <c r="I35"/>
  <c r="J35"/>
  <c r="K35"/>
  <c r="K41"/>
  <c r="J41"/>
  <c r="K42"/>
  <c r="I41"/>
  <c r="J42"/>
  <c r="I42"/>
  <c r="K37"/>
  <c r="J37"/>
  <c r="I37"/>
  <c r="L35"/>
  <c r="I31"/>
  <c r="I32"/>
  <c r="K31"/>
  <c r="J31"/>
  <c r="M30"/>
  <c r="L29"/>
  <c r="L27"/>
  <c r="L16"/>
  <c r="I18"/>
  <c r="J18"/>
  <c r="K18"/>
  <c r="L18"/>
  <c r="L20"/>
  <c r="L22"/>
  <c r="L23"/>
  <c r="L9"/>
  <c r="L30"/>
  <c r="K16"/>
  <c r="K20"/>
  <c r="K22"/>
  <c r="K23"/>
  <c r="K9"/>
  <c r="K30"/>
  <c r="J16"/>
  <c r="J20"/>
  <c r="J22"/>
  <c r="J23"/>
  <c r="J9"/>
  <c r="J30"/>
  <c r="I23"/>
  <c r="I9"/>
  <c r="I30"/>
  <c r="K24"/>
  <c r="J24"/>
  <c r="L17"/>
  <c r="I17"/>
  <c r="C17"/>
  <c r="I16"/>
  <c r="K13"/>
  <c r="L10"/>
  <c r="K10"/>
  <c r="J10"/>
  <c r="I10"/>
  <c r="H10"/>
  <c r="K6"/>
  <c r="J6"/>
  <c r="K7"/>
  <c r="I6"/>
  <c r="J7"/>
  <c r="I7"/>
  <c r="D88" i="11"/>
  <c r="C87"/>
  <c r="C88"/>
  <c r="F32" i="10"/>
  <c r="E32"/>
  <c r="F33"/>
  <c r="F53"/>
  <c r="G10"/>
  <c r="G12"/>
  <c r="G32"/>
  <c r="G33"/>
  <c r="G53"/>
  <c r="G57"/>
  <c r="H12"/>
  <c r="H32"/>
  <c r="H33"/>
  <c r="H57"/>
  <c r="H59"/>
  <c r="F57"/>
  <c r="G59"/>
  <c r="H53"/>
  <c r="H55"/>
  <c r="G55"/>
  <c r="H45"/>
  <c r="H46"/>
  <c r="H44"/>
  <c r="H38"/>
  <c r="H40"/>
  <c r="H49"/>
  <c r="H50"/>
  <c r="H48"/>
  <c r="H51"/>
  <c r="G45"/>
  <c r="G46"/>
  <c r="G44"/>
  <c r="G38"/>
  <c r="G40"/>
  <c r="G49"/>
  <c r="G50"/>
  <c r="G48"/>
  <c r="G51"/>
  <c r="E50"/>
  <c r="C50"/>
  <c r="F49"/>
  <c r="E49"/>
  <c r="D49"/>
  <c r="B49"/>
  <c r="F48"/>
  <c r="E48"/>
  <c r="D48"/>
  <c r="C48"/>
  <c r="B48"/>
  <c r="F46"/>
  <c r="D46"/>
  <c r="B46"/>
  <c r="E45"/>
  <c r="D45"/>
  <c r="C45"/>
  <c r="F44"/>
  <c r="E44"/>
  <c r="D44"/>
  <c r="C44"/>
  <c r="B44"/>
  <c r="H37"/>
  <c r="H42"/>
  <c r="G37"/>
  <c r="G42"/>
  <c r="H41"/>
  <c r="G41"/>
  <c r="I39"/>
  <c r="H34"/>
  <c r="G34"/>
  <c r="F34"/>
  <c r="D32"/>
  <c r="E33"/>
  <c r="E34"/>
  <c r="C32"/>
  <c r="D33"/>
  <c r="D34"/>
  <c r="B32"/>
  <c r="C33"/>
  <c r="C34"/>
  <c r="F104" i="24" l="1"/>
  <c r="F108"/>
  <c r="F121"/>
  <c r="F125"/>
  <c r="T220" i="86"/>
  <c r="I76" i="6"/>
  <c r="C76" s="1"/>
  <c r="AH76" s="1"/>
  <c r="I80"/>
  <c r="C80" s="1"/>
  <c r="X90"/>
  <c r="AH78"/>
  <c r="X78"/>
  <c r="X74"/>
  <c r="AH62"/>
  <c r="X79"/>
  <c r="AH67"/>
  <c r="W57"/>
  <c r="Y63"/>
  <c r="Y71"/>
  <c r="Y73"/>
  <c r="D26" i="15"/>
  <c r="C139" i="18"/>
  <c r="F134" i="24"/>
  <c r="B108" i="5"/>
  <c r="B112"/>
  <c r="B115"/>
  <c r="B111"/>
  <c r="I67" i="24"/>
  <c r="L86" i="18" s="1"/>
  <c r="F99" i="24"/>
  <c r="F112"/>
  <c r="F117"/>
  <c r="I70"/>
  <c r="L89" i="18" s="1"/>
  <c r="I71" i="24"/>
  <c r="L90" i="18" s="1"/>
  <c r="I72" i="24"/>
  <c r="L91" i="18" s="1"/>
  <c r="I85" i="24"/>
  <c r="C85" s="1"/>
  <c r="F130"/>
  <c r="X92" i="6"/>
  <c r="AH92"/>
  <c r="X76"/>
  <c r="AH77"/>
  <c r="X89"/>
  <c r="X77"/>
  <c r="AH80"/>
  <c r="X80"/>
  <c r="X91"/>
  <c r="AH91"/>
  <c r="AH75"/>
  <c r="X75"/>
  <c r="X87"/>
  <c r="X104"/>
  <c r="F182" i="18"/>
  <c r="E197"/>
  <c r="BJ9" i="13"/>
  <c r="AW7" i="53" s="1"/>
  <c r="B107" i="5"/>
  <c r="F67" i="24"/>
  <c r="K86" i="18" s="1"/>
  <c r="F101" i="24"/>
  <c r="F118"/>
  <c r="F105"/>
  <c r="E149" i="18"/>
  <c r="B113" i="5"/>
  <c r="B114"/>
  <c r="B109"/>
  <c r="B110"/>
  <c r="I75" i="24"/>
  <c r="I76"/>
  <c r="I77"/>
  <c r="I78"/>
  <c r="F89"/>
  <c r="F90"/>
  <c r="F91"/>
  <c r="F92"/>
  <c r="F93"/>
  <c r="F94"/>
  <c r="F95"/>
  <c r="F96"/>
  <c r="F97"/>
  <c r="F98"/>
  <c r="F103"/>
  <c r="F107"/>
  <c r="F111"/>
  <c r="F116"/>
  <c r="F120"/>
  <c r="F124"/>
  <c r="F129"/>
  <c r="F133"/>
  <c r="F137"/>
  <c r="I73"/>
  <c r="I84"/>
  <c r="C84" s="1"/>
  <c r="F88"/>
  <c r="F102"/>
  <c r="F106"/>
  <c r="F110"/>
  <c r="F115"/>
  <c r="F119"/>
  <c r="F123"/>
  <c r="F128"/>
  <c r="F132"/>
  <c r="F136"/>
  <c r="D58" i="13"/>
  <c r="G77"/>
  <c r="G24"/>
  <c r="G60" s="1"/>
  <c r="K74"/>
  <c r="F79"/>
  <c r="G39" i="4"/>
  <c r="D77" i="13"/>
  <c r="B39" i="4"/>
  <c r="F39"/>
  <c r="C45"/>
  <c r="B26"/>
  <c r="F26"/>
  <c r="H12"/>
  <c r="H39" s="1"/>
  <c r="E39"/>
  <c r="C26"/>
  <c r="C27" s="1"/>
  <c r="T39" i="42"/>
  <c r="T46" s="1"/>
  <c r="E26" i="4"/>
  <c r="BX9" i="13"/>
  <c r="BK7" i="53" s="1"/>
  <c r="N24" i="13"/>
  <c r="N39" s="1"/>
  <c r="J74"/>
  <c r="O24"/>
  <c r="O39" s="1"/>
  <c r="CC67" s="1"/>
  <c r="N8" i="102"/>
  <c r="N51"/>
  <c r="Q5"/>
  <c r="P57"/>
  <c r="C69"/>
  <c r="N69"/>
  <c r="AY9" i="13"/>
  <c r="AY67" s="1"/>
  <c r="CP9"/>
  <c r="CC7" i="53" s="1"/>
  <c r="CC12" s="1"/>
  <c r="J10" i="14"/>
  <c r="F26" s="1"/>
  <c r="AZ24" i="13"/>
  <c r="AM8" i="53" s="1"/>
  <c r="AM21" s="1"/>
  <c r="G58" i="13"/>
  <c r="BC9"/>
  <c r="AP7" i="53" s="1"/>
  <c r="AP12" s="1"/>
  <c r="BR9" i="13"/>
  <c r="BE7" i="53" s="1"/>
  <c r="BE6" s="1"/>
  <c r="CX9" i="13"/>
  <c r="CK7" i="53" s="1"/>
  <c r="CK12" s="1"/>
  <c r="J66" i="14"/>
  <c r="H58" i="13"/>
  <c r="D39" i="4"/>
  <c r="E45"/>
  <c r="BT9" i="13"/>
  <c r="BG7" i="53" s="1"/>
  <c r="BG12" s="1"/>
  <c r="R57" i="102"/>
  <c r="N13"/>
  <c r="C50"/>
  <c r="C44" s="1"/>
  <c r="Q18"/>
  <c r="C61"/>
  <c r="R5"/>
  <c r="N12"/>
  <c r="Q31"/>
  <c r="R44"/>
  <c r="M44"/>
  <c r="I69"/>
  <c r="I57" s="1"/>
  <c r="I53"/>
  <c r="C8"/>
  <c r="C5" s="1"/>
  <c r="I18"/>
  <c r="N31"/>
  <c r="N18"/>
  <c r="G44"/>
  <c r="M57"/>
  <c r="O5"/>
  <c r="I11"/>
  <c r="I5" s="1"/>
  <c r="N53"/>
  <c r="I56"/>
  <c r="N49"/>
  <c r="C58"/>
  <c r="N66"/>
  <c r="N57" s="1"/>
  <c r="DH9" i="13"/>
  <c r="CV7" i="53" s="1"/>
  <c r="AU25"/>
  <c r="Z26"/>
  <c r="BN9" i="13"/>
  <c r="BA7" i="53" s="1"/>
  <c r="BA12" s="1"/>
  <c r="AT27"/>
  <c r="CB9" i="13"/>
  <c r="CB39" s="1"/>
  <c r="DD9"/>
  <c r="DD39" s="1"/>
  <c r="BK9"/>
  <c r="AX7" i="53" s="1"/>
  <c r="AX12" s="1"/>
  <c r="CH9" i="13"/>
  <c r="BU7" i="53" s="1"/>
  <c r="CT9" i="13"/>
  <c r="CG7" i="53" s="1"/>
  <c r="DN9" i="13"/>
  <c r="DB7" i="53" s="1"/>
  <c r="B703" i="18"/>
  <c r="Q44" i="102"/>
  <c r="O44"/>
  <c r="Z33" i="6"/>
  <c r="Z80"/>
  <c r="C184" i="18"/>
  <c r="C129"/>
  <c r="F183"/>
  <c r="E129"/>
  <c r="C135"/>
  <c r="S6"/>
  <c r="F119"/>
  <c r="C153"/>
  <c r="F118"/>
  <c r="J24" i="23"/>
  <c r="E705" i="18"/>
  <c r="X24" i="6"/>
  <c r="Z32"/>
  <c r="E180" i="18"/>
  <c r="E201"/>
  <c r="F190"/>
  <c r="F207"/>
  <c r="W79" i="6"/>
  <c r="AA97"/>
  <c r="W86"/>
  <c r="F158" i="18"/>
  <c r="E206"/>
  <c r="Y24" i="6"/>
  <c r="Y61"/>
  <c r="Y53"/>
  <c r="Y56"/>
  <c r="Y68"/>
  <c r="Y69"/>
  <c r="AA75"/>
  <c r="W104"/>
  <c r="D91" i="18"/>
  <c r="C140"/>
  <c r="F138"/>
  <c r="E706"/>
  <c r="G24" i="23"/>
  <c r="X101" i="6"/>
  <c r="B704" i="18"/>
  <c r="E704"/>
  <c r="D725"/>
  <c r="N8"/>
  <c r="X60" i="6"/>
  <c r="W63"/>
  <c r="W65"/>
  <c r="W91"/>
  <c r="E124" i="18"/>
  <c r="E173"/>
  <c r="D63"/>
  <c r="B63" s="1"/>
  <c r="C126"/>
  <c r="B6"/>
  <c r="Z44" i="6"/>
  <c r="Z35"/>
  <c r="Z38"/>
  <c r="Z39"/>
  <c r="Z42"/>
  <c r="Z69"/>
  <c r="E189" i="18"/>
  <c r="E185"/>
  <c r="F167"/>
  <c r="F185"/>
  <c r="F177"/>
  <c r="F196"/>
  <c r="W30" i="6"/>
  <c r="W43"/>
  <c r="W59"/>
  <c r="D27" i="15"/>
  <c r="W56" i="6"/>
  <c r="Y70"/>
  <c r="W83"/>
  <c r="E196" i="18"/>
  <c r="F189"/>
  <c r="F193"/>
  <c r="E195"/>
  <c r="F165"/>
  <c r="W22" i="6"/>
  <c r="W21"/>
  <c r="Y66"/>
  <c r="Y67"/>
  <c r="E146" i="18"/>
  <c r="F195"/>
  <c r="F126"/>
  <c r="B17"/>
  <c r="C118"/>
  <c r="W23" i="6"/>
  <c r="W55"/>
  <c r="E133" i="18"/>
  <c r="F151"/>
  <c r="F171"/>
  <c r="F170"/>
  <c r="C710"/>
  <c r="C704"/>
  <c r="D20" i="23"/>
  <c r="C722" i="18"/>
  <c r="E723"/>
  <c r="D695"/>
  <c r="H695" s="1"/>
  <c r="H35" i="14"/>
  <c r="I15"/>
  <c r="BC64" i="13"/>
  <c r="BB44"/>
  <c r="AN8" i="53"/>
  <c r="AN13" s="1"/>
  <c r="BA68" i="13"/>
  <c r="BA60"/>
  <c r="N58"/>
  <c r="E77"/>
  <c r="AW9"/>
  <c r="AW63" s="1"/>
  <c r="BE9"/>
  <c r="BE59" s="1"/>
  <c r="DM9"/>
  <c r="DA7" i="53" s="1"/>
  <c r="E64" i="13"/>
  <c r="AS27" i="53"/>
  <c r="CL9" i="13"/>
  <c r="BY7" i="53" s="1"/>
  <c r="BY6" s="1"/>
  <c r="DF9" i="13"/>
  <c r="DF39" s="1"/>
  <c r="DJ9"/>
  <c r="CX7" i="53" s="1"/>
  <c r="G26" i="4"/>
  <c r="G40"/>
  <c r="F77" i="13"/>
  <c r="U40" i="43"/>
  <c r="K52" s="1"/>
  <c r="BB9" i="13"/>
  <c r="R54"/>
  <c r="AY64"/>
  <c r="AR24" i="53"/>
  <c r="BV21"/>
  <c r="H24" i="13"/>
  <c r="H88" s="1"/>
  <c r="D74" i="18"/>
  <c r="B74" s="1"/>
  <c r="Z28" i="6"/>
  <c r="X32"/>
  <c r="Y32"/>
  <c r="Z66"/>
  <c r="X68"/>
  <c r="Z68"/>
  <c r="AA69"/>
  <c r="Z84"/>
  <c r="AA85"/>
  <c r="Y89"/>
  <c r="AA90"/>
  <c r="E134" i="18"/>
  <c r="F154"/>
  <c r="C156"/>
  <c r="C148"/>
  <c r="E157"/>
  <c r="D90"/>
  <c r="D93"/>
  <c r="D98"/>
  <c r="C134"/>
  <c r="W27" i="6"/>
  <c r="I30" i="15"/>
  <c r="I31" s="1"/>
  <c r="I36" s="1"/>
  <c r="Y76" i="6"/>
  <c r="Y85"/>
  <c r="C157" i="18"/>
  <c r="C200"/>
  <c r="Z19" i="6"/>
  <c r="Z34"/>
  <c r="F129" i="18"/>
  <c r="X29" i="6"/>
  <c r="W33"/>
  <c r="X49"/>
  <c r="Y39"/>
  <c r="X54"/>
  <c r="X56"/>
  <c r="AA66"/>
  <c r="AA68"/>
  <c r="Y80"/>
  <c r="C158" i="18"/>
  <c r="E150"/>
  <c r="F203"/>
  <c r="R6"/>
  <c r="B30"/>
  <c r="B127" s="1"/>
  <c r="F137"/>
  <c r="F141"/>
  <c r="F116"/>
  <c r="J116" s="1"/>
  <c r="C706"/>
  <c r="C713"/>
  <c r="E718"/>
  <c r="J20" i="23"/>
  <c r="C697" i="18"/>
  <c r="D702"/>
  <c r="B696"/>
  <c r="E713"/>
  <c r="B716"/>
  <c r="C700"/>
  <c r="C717"/>
  <c r="B717"/>
  <c r="E717"/>
  <c r="D718"/>
  <c r="C719"/>
  <c r="D724"/>
  <c r="C695"/>
  <c r="G695" s="1"/>
  <c r="D701"/>
  <c r="P8"/>
  <c r="D704"/>
  <c r="D711"/>
  <c r="E712"/>
  <c r="E716"/>
  <c r="D717"/>
  <c r="C718"/>
  <c r="D719"/>
  <c r="E719"/>
  <c r="B707"/>
  <c r="E724"/>
  <c r="G18" i="23"/>
  <c r="Y26" i="6"/>
  <c r="Y15"/>
  <c r="Y21"/>
  <c r="Y28"/>
  <c r="X42"/>
  <c r="X48"/>
  <c r="W49"/>
  <c r="W41"/>
  <c r="Y60"/>
  <c r="AA64"/>
  <c r="Z65"/>
  <c r="W94"/>
  <c r="W98"/>
  <c r="Y100"/>
  <c r="F132" i="18"/>
  <c r="E135"/>
  <c r="C145"/>
  <c r="D42"/>
  <c r="D144" s="1"/>
  <c r="E158"/>
  <c r="E163"/>
  <c r="D71"/>
  <c r="B71" s="1"/>
  <c r="D78"/>
  <c r="B78" s="1"/>
  <c r="D89"/>
  <c r="F153"/>
  <c r="F124"/>
  <c r="F127"/>
  <c r="J127" s="1"/>
  <c r="F139"/>
  <c r="F128"/>
  <c r="E136"/>
  <c r="Z16" i="6"/>
  <c r="Z21"/>
  <c r="Z23"/>
  <c r="Z24"/>
  <c r="Z30"/>
  <c r="W35"/>
  <c r="Z36"/>
  <c r="W39"/>
  <c r="Z40"/>
  <c r="Z45"/>
  <c r="Z47"/>
  <c r="Z49"/>
  <c r="Z51"/>
  <c r="Z53"/>
  <c r="Z55"/>
  <c r="D47" i="18"/>
  <c r="B47" s="1"/>
  <c r="D49"/>
  <c r="B49" s="1"/>
  <c r="E176"/>
  <c r="E167"/>
  <c r="E181"/>
  <c r="E184"/>
  <c r="E205"/>
  <c r="F164"/>
  <c r="F168"/>
  <c r="F163"/>
  <c r="F172"/>
  <c r="F176"/>
  <c r="F191"/>
  <c r="F202"/>
  <c r="W28" i="6"/>
  <c r="W38"/>
  <c r="W42"/>
  <c r="W60"/>
  <c r="W52"/>
  <c r="W67"/>
  <c r="X37"/>
  <c r="Y55"/>
  <c r="Y103"/>
  <c r="E120" i="18"/>
  <c r="C144"/>
  <c r="C180"/>
  <c r="C199"/>
  <c r="E193"/>
  <c r="F144"/>
  <c r="F160"/>
  <c r="W69" i="6"/>
  <c r="X25"/>
  <c r="Y23"/>
  <c r="W24"/>
  <c r="Y31"/>
  <c r="Y48"/>
  <c r="W58"/>
  <c r="X59"/>
  <c r="W50"/>
  <c r="AA72"/>
  <c r="W61"/>
  <c r="Z71"/>
  <c r="AI71" s="1"/>
  <c r="AA74"/>
  <c r="Y74"/>
  <c r="Z96"/>
  <c r="W97"/>
  <c r="W88"/>
  <c r="E119" i="18"/>
  <c r="C122"/>
  <c r="E127"/>
  <c r="C166"/>
  <c r="C177"/>
  <c r="D65"/>
  <c r="B65" s="1"/>
  <c r="C181"/>
  <c r="D87"/>
  <c r="B87" s="1"/>
  <c r="C202"/>
  <c r="B29"/>
  <c r="E132"/>
  <c r="W31" i="6"/>
  <c r="Z20"/>
  <c r="W71"/>
  <c r="N6" i="18"/>
  <c r="E177"/>
  <c r="E188"/>
  <c r="D76"/>
  <c r="B76" s="1"/>
  <c r="E192"/>
  <c r="F150"/>
  <c r="F155"/>
  <c r="F173"/>
  <c r="F180"/>
  <c r="F197"/>
  <c r="F201"/>
  <c r="W34" i="6"/>
  <c r="W25"/>
  <c r="W44"/>
  <c r="W75"/>
  <c r="W77"/>
  <c r="D28" i="15"/>
  <c r="C30"/>
  <c r="C31" s="1"/>
  <c r="C32" s="1"/>
  <c r="J30"/>
  <c r="J31" s="1"/>
  <c r="X31" i="6"/>
  <c r="X34"/>
  <c r="X40"/>
  <c r="AA77"/>
  <c r="Y79"/>
  <c r="W82"/>
  <c r="Z103"/>
  <c r="C165" i="18"/>
  <c r="C175"/>
  <c r="C171"/>
  <c r="B32"/>
  <c r="C133"/>
  <c r="T29" i="15"/>
  <c r="X21" i="6"/>
  <c r="X22"/>
  <c r="X23"/>
  <c r="X30"/>
  <c r="X36"/>
  <c r="X33"/>
  <c r="W46"/>
  <c r="Y37"/>
  <c r="W40"/>
  <c r="Y46"/>
  <c r="X61"/>
  <c r="W70"/>
  <c r="AA71"/>
  <c r="AA76"/>
  <c r="Z77"/>
  <c r="AA81"/>
  <c r="AA91"/>
  <c r="AA94"/>
  <c r="E122" i="18"/>
  <c r="E144"/>
  <c r="C146"/>
  <c r="D48"/>
  <c r="B48" s="1"/>
  <c r="E165"/>
  <c r="D59"/>
  <c r="E166"/>
  <c r="D66"/>
  <c r="B66" s="1"/>
  <c r="C189"/>
  <c r="D102"/>
  <c r="D92"/>
  <c r="D95"/>
  <c r="D97"/>
  <c r="C116"/>
  <c r="B12"/>
  <c r="B18"/>
  <c r="C137"/>
  <c r="F131"/>
  <c r="D36"/>
  <c r="D138" s="1"/>
  <c r="D39"/>
  <c r="D141" s="1"/>
  <c r="X28" i="6"/>
  <c r="C186" i="18"/>
  <c r="C120"/>
  <c r="F122"/>
  <c r="E141"/>
  <c r="Z78" i="6"/>
  <c r="E131" i="18"/>
  <c r="Q6"/>
  <c r="D83"/>
  <c r="B83" s="1"/>
  <c r="E190"/>
  <c r="F120"/>
  <c r="F140"/>
  <c r="W66" i="6"/>
  <c r="W64"/>
  <c r="E116" i="18"/>
  <c r="I116" s="1"/>
  <c r="W92" i="6"/>
  <c r="H30" i="15"/>
  <c r="R34" s="1"/>
  <c r="H35" s="1"/>
  <c r="G30"/>
  <c r="Q34" s="1"/>
  <c r="G35" s="1"/>
  <c r="F35" s="1"/>
  <c r="E35" s="1"/>
  <c r="W32" i="6"/>
  <c r="X35"/>
  <c r="X39"/>
  <c r="Y47"/>
  <c r="W36"/>
  <c r="Y51"/>
  <c r="X47"/>
  <c r="X57"/>
  <c r="AA70"/>
  <c r="AA73"/>
  <c r="Z76"/>
  <c r="AA78"/>
  <c r="W78"/>
  <c r="AA92"/>
  <c r="W103"/>
  <c r="D57" i="18"/>
  <c r="B57" s="1"/>
  <c r="C187"/>
  <c r="D86"/>
  <c r="B86" s="1"/>
  <c r="D99"/>
  <c r="B99" s="1"/>
  <c r="E153"/>
  <c r="E123"/>
  <c r="B10"/>
  <c r="D25" i="15"/>
  <c r="Z22" i="6"/>
  <c r="Z25"/>
  <c r="Z37"/>
  <c r="Z41"/>
  <c r="Z43"/>
  <c r="Z58"/>
  <c r="Z63"/>
  <c r="AI63" s="1"/>
  <c r="E145" i="18"/>
  <c r="E138"/>
  <c r="P6"/>
  <c r="D53"/>
  <c r="B53" s="1"/>
  <c r="E194"/>
  <c r="E204"/>
  <c r="F142"/>
  <c r="F147"/>
  <c r="F159"/>
  <c r="F174"/>
  <c r="W29" i="6"/>
  <c r="W72"/>
  <c r="W68"/>
  <c r="W76"/>
  <c r="M54" i="13"/>
  <c r="M43"/>
  <c r="M50" s="1"/>
  <c r="BC59"/>
  <c r="CP13" i="53"/>
  <c r="CP21"/>
  <c r="N54" i="13"/>
  <c r="N43"/>
  <c r="N50" s="1"/>
  <c r="CH21" i="53"/>
  <c r="CH13"/>
  <c r="R24" i="13"/>
  <c r="R39" s="1"/>
  <c r="BM9"/>
  <c r="AZ7" i="53" s="1"/>
  <c r="CF9" i="13"/>
  <c r="BS7" i="53" s="1"/>
  <c r="BS12" s="1"/>
  <c r="AR25"/>
  <c r="D26" i="4"/>
  <c r="E16" i="14"/>
  <c r="E67" s="1"/>
  <c r="CL21" i="53"/>
  <c r="F64" i="13"/>
  <c r="E78"/>
  <c r="G79"/>
  <c r="BH24"/>
  <c r="BH64" s="1"/>
  <c r="AT24" i="53"/>
  <c r="Y26"/>
  <c r="AZ9" i="13"/>
  <c r="AZ67" s="1"/>
  <c r="DL9"/>
  <c r="CZ7" i="53" s="1"/>
  <c r="BV9" i="13"/>
  <c r="BI7" i="53" s="1"/>
  <c r="BI12" s="1"/>
  <c r="BZ9" i="13"/>
  <c r="BM7" i="53" s="1"/>
  <c r="CD9" i="13"/>
  <c r="BQ7" i="53" s="1"/>
  <c r="BQ12" s="1"/>
  <c r="BA9" i="13"/>
  <c r="BA59" s="1"/>
  <c r="BQ9"/>
  <c r="BD7" i="53" s="1"/>
  <c r="G73" i="13"/>
  <c r="D79"/>
  <c r="M24"/>
  <c r="H93" s="1"/>
  <c r="BG9"/>
  <c r="BG39" s="1"/>
  <c r="AT25" i="53"/>
  <c r="BI9" i="13"/>
  <c r="BI39" s="1"/>
  <c r="BP9"/>
  <c r="BC7" i="53" s="1"/>
  <c r="BU9" i="13"/>
  <c r="BH7" i="53" s="1"/>
  <c r="BH6" s="1"/>
  <c r="BY9" i="13"/>
  <c r="BL7" i="53" s="1"/>
  <c r="BL12" s="1"/>
  <c r="BO9" i="13"/>
  <c r="BO39" s="1"/>
  <c r="CE9"/>
  <c r="BR7" i="53" s="1"/>
  <c r="CI9" i="13"/>
  <c r="BV7" i="53" s="1"/>
  <c r="BV6" s="1"/>
  <c r="CM9" i="13"/>
  <c r="BZ7" i="53" s="1"/>
  <c r="BZ6" s="1"/>
  <c r="CQ9" i="13"/>
  <c r="CD7" i="53" s="1"/>
  <c r="CD12" s="1"/>
  <c r="CU9" i="13"/>
  <c r="CH7" i="53" s="1"/>
  <c r="CH12" s="1"/>
  <c r="CY9" i="13"/>
  <c r="DC9"/>
  <c r="CP7" i="53" s="1"/>
  <c r="CP12" s="1"/>
  <c r="DG9" i="13"/>
  <c r="CU7" i="53" s="1"/>
  <c r="CU12" s="1"/>
  <c r="DK9" i="13"/>
  <c r="CY7" i="53" s="1"/>
  <c r="CY6" s="1"/>
  <c r="DO9" i="13"/>
  <c r="DC7" i="53" s="1"/>
  <c r="DC12" s="1"/>
  <c r="CR8"/>
  <c r="CR13" s="1"/>
  <c r="DH39" i="13"/>
  <c r="CV8" i="53"/>
  <c r="CV21" s="1"/>
  <c r="T41" i="43"/>
  <c r="J52"/>
  <c r="AV60" i="13"/>
  <c r="AU47"/>
  <c r="AV39"/>
  <c r="AI8" i="53"/>
  <c r="BX8"/>
  <c r="CJ21" s="1"/>
  <c r="CN8"/>
  <c r="DN8" s="1"/>
  <c r="DE8"/>
  <c r="G16" i="14"/>
  <c r="G67" s="1"/>
  <c r="H16"/>
  <c r="H67" s="1"/>
  <c r="BG60" i="13"/>
  <c r="AU64"/>
  <c r="AU60"/>
  <c r="BC8" i="53"/>
  <c r="BP60" i="13"/>
  <c r="BT8" i="53"/>
  <c r="CF21" s="1"/>
  <c r="BW8"/>
  <c r="BW13" s="1"/>
  <c r="L52" i="43"/>
  <c r="O54" i="13"/>
  <c r="O43"/>
  <c r="O50" s="1"/>
  <c r="BS8" i="53"/>
  <c r="BS13" s="1"/>
  <c r="BZ13"/>
  <c r="BZ21"/>
  <c r="CW8"/>
  <c r="F16" i="14"/>
  <c r="F67" s="1"/>
  <c r="F58" i="13"/>
  <c r="H79"/>
  <c r="CJ9"/>
  <c r="BW7" i="53" s="1"/>
  <c r="BW20" s="1"/>
  <c r="CN9" i="13"/>
  <c r="CR9"/>
  <c r="CV9"/>
  <c r="CZ9"/>
  <c r="DP9"/>
  <c r="DD7" i="53" s="1"/>
  <c r="DD6" s="1"/>
  <c r="AX9" i="13"/>
  <c r="AX67" s="1"/>
  <c r="K66" i="14"/>
  <c r="J15"/>
  <c r="J55" i="43"/>
  <c r="E58" i="13"/>
  <c r="I58"/>
  <c r="BJ39"/>
  <c r="D73"/>
  <c r="F73"/>
  <c r="H73"/>
  <c r="G78"/>
  <c r="E79"/>
  <c r="AU24" i="53"/>
  <c r="CC9" i="13"/>
  <c r="BP7" i="53" s="1"/>
  <c r="BP6" s="1"/>
  <c r="BP10" s="1"/>
  <c r="CG9" i="13"/>
  <c r="BT7" i="53" s="1"/>
  <c r="CK9" i="13"/>
  <c r="BX7" i="53" s="1"/>
  <c r="CO9" i="13"/>
  <c r="CS9"/>
  <c r="CW9"/>
  <c r="CJ7" i="53" s="1"/>
  <c r="CJ12" s="1"/>
  <c r="DA9" i="13"/>
  <c r="CN7" i="53" s="1"/>
  <c r="CN12" s="1"/>
  <c r="DE9" i="13"/>
  <c r="CR7" i="53" s="1"/>
  <c r="DI9" i="13"/>
  <c r="CW7" i="53" s="1"/>
  <c r="CW12" s="1"/>
  <c r="DQ9" i="13"/>
  <c r="DE7" i="53" s="1"/>
  <c r="DE12" s="1"/>
  <c r="BH9" i="13"/>
  <c r="BL9"/>
  <c r="R43"/>
  <c r="BW9"/>
  <c r="BJ7" i="53" s="1"/>
  <c r="BV12" s="1"/>
  <c r="CA9" i="13"/>
  <c r="BN7" i="53" s="1"/>
  <c r="BN12" s="1"/>
  <c r="DB9" i="13"/>
  <c r="CO7" i="53" s="1"/>
  <c r="CO12" s="1"/>
  <c r="D64" i="13"/>
  <c r="H64"/>
  <c r="E73"/>
  <c r="I73"/>
  <c r="D78"/>
  <c r="CB13" i="53"/>
  <c r="BM39" i="13"/>
  <c r="E696" i="18"/>
  <c r="D698"/>
  <c r="H698" s="1"/>
  <c r="B699"/>
  <c r="E699"/>
  <c r="D712"/>
  <c r="D713"/>
  <c r="C716"/>
  <c r="E707"/>
  <c r="E721"/>
  <c r="D722"/>
  <c r="E722"/>
  <c r="D723"/>
  <c r="C724"/>
  <c r="B725"/>
  <c r="E725"/>
  <c r="D714"/>
  <c r="D694"/>
  <c r="H694" s="1"/>
  <c r="E694"/>
  <c r="B706"/>
  <c r="C701"/>
  <c r="D696"/>
  <c r="B711"/>
  <c r="C702"/>
  <c r="B715"/>
  <c r="E715"/>
  <c r="D703"/>
  <c r="C709"/>
  <c r="B709"/>
  <c r="B724"/>
  <c r="C725"/>
  <c r="C714"/>
  <c r="C694"/>
  <c r="G694" s="1"/>
  <c r="E701"/>
  <c r="B11"/>
  <c r="D121"/>
  <c r="B9"/>
  <c r="D119"/>
  <c r="B14"/>
  <c r="D124"/>
  <c r="R29" i="15"/>
  <c r="B29"/>
  <c r="V29" s="1"/>
  <c r="U29" s="1"/>
  <c r="M29"/>
  <c r="D117" i="18"/>
  <c r="B8"/>
  <c r="AI80" i="6"/>
  <c r="Y86"/>
  <c r="Z70"/>
  <c r="Z73"/>
  <c r="AI73" s="1"/>
  <c r="E154" i="18"/>
  <c r="D58"/>
  <c r="B58" s="1"/>
  <c r="F198"/>
  <c r="S29" i="15"/>
  <c r="Y18" i="6"/>
  <c r="X27"/>
  <c r="Y33"/>
  <c r="Y34"/>
  <c r="X46"/>
  <c r="X55"/>
  <c r="X52"/>
  <c r="Z75"/>
  <c r="Y81"/>
  <c r="Y82"/>
  <c r="Y90"/>
  <c r="Y92"/>
  <c r="Z95"/>
  <c r="E121" i="18"/>
  <c r="C131"/>
  <c r="F136"/>
  <c r="E140"/>
  <c r="F175"/>
  <c r="D64"/>
  <c r="F179"/>
  <c r="C117"/>
  <c r="D55"/>
  <c r="B55" s="1"/>
  <c r="D24" i="15"/>
  <c r="D23"/>
  <c r="Y17" i="6"/>
  <c r="Z27"/>
  <c r="Z29"/>
  <c r="Y36"/>
  <c r="W37"/>
  <c r="X38"/>
  <c r="Y44"/>
  <c r="Z46"/>
  <c r="Z48"/>
  <c r="Y49"/>
  <c r="Z50"/>
  <c r="Y54"/>
  <c r="AA63"/>
  <c r="Z64"/>
  <c r="AA65"/>
  <c r="Y72"/>
  <c r="W62"/>
  <c r="Z82"/>
  <c r="Y83"/>
  <c r="W85"/>
  <c r="AA88"/>
  <c r="Y93"/>
  <c r="Z98"/>
  <c r="AA100"/>
  <c r="AA104"/>
  <c r="Z104"/>
  <c r="F121" i="18"/>
  <c r="D126"/>
  <c r="D128"/>
  <c r="F134"/>
  <c r="E137"/>
  <c r="D43"/>
  <c r="B43" s="1"/>
  <c r="E161"/>
  <c r="C168"/>
  <c r="E178"/>
  <c r="D79"/>
  <c r="C196"/>
  <c r="C198"/>
  <c r="D101"/>
  <c r="D103"/>
  <c r="C127"/>
  <c r="AA80" i="6"/>
  <c r="B21" i="18"/>
  <c r="Z72" i="6"/>
  <c r="Z87"/>
  <c r="D44" i="18"/>
  <c r="D56"/>
  <c r="F123"/>
  <c r="F135"/>
  <c r="V27" i="15"/>
  <c r="U27" s="1"/>
  <c r="X58" i="6"/>
  <c r="X62"/>
  <c r="Y64"/>
  <c r="Z67"/>
  <c r="X69"/>
  <c r="Y78"/>
  <c r="Z99"/>
  <c r="Y104"/>
  <c r="AI104" s="1"/>
  <c r="I127" i="18"/>
  <c r="C132"/>
  <c r="F117"/>
  <c r="K24" i="15"/>
  <c r="Y27" i="6"/>
  <c r="Y29"/>
  <c r="Y30"/>
  <c r="Z31"/>
  <c r="X41"/>
  <c r="X43"/>
  <c r="Z52"/>
  <c r="W53"/>
  <c r="Y45"/>
  <c r="X51"/>
  <c r="X53"/>
  <c r="Y65"/>
  <c r="AA67"/>
  <c r="W74"/>
  <c r="Y75"/>
  <c r="Y77"/>
  <c r="Z83"/>
  <c r="Y84"/>
  <c r="Y87"/>
  <c r="AI87" s="1"/>
  <c r="Y88"/>
  <c r="AA89"/>
  <c r="AA93"/>
  <c r="Y98"/>
  <c r="W99"/>
  <c r="W100"/>
  <c r="AA101"/>
  <c r="W90"/>
  <c r="E126" i="18"/>
  <c r="E128"/>
  <c r="F156"/>
  <c r="F162"/>
  <c r="D52"/>
  <c r="B52" s="1"/>
  <c r="C169"/>
  <c r="D80"/>
  <c r="B80" s="1"/>
  <c r="D82"/>
  <c r="B82" s="1"/>
  <c r="D84"/>
  <c r="B84" s="1"/>
  <c r="D105"/>
  <c r="B15"/>
  <c r="F146"/>
  <c r="D35"/>
  <c r="B35" s="1"/>
  <c r="C18" i="23"/>
  <c r="D21"/>
  <c r="C698" i="18"/>
  <c r="E709"/>
  <c r="B697"/>
  <c r="E697"/>
  <c r="I697" s="1"/>
  <c r="B700"/>
  <c r="D715"/>
  <c r="C705"/>
  <c r="B705"/>
  <c r="B719"/>
  <c r="D720"/>
  <c r="E720"/>
  <c r="D721"/>
  <c r="B722"/>
  <c r="B712"/>
  <c r="D726"/>
  <c r="E726"/>
  <c r="E695"/>
  <c r="J18" i="23"/>
  <c r="G20"/>
  <c r="C696" i="18"/>
  <c r="G696" s="1"/>
  <c r="H18" i="23"/>
  <c r="J21"/>
  <c r="X103" i="6"/>
  <c r="B702" i="18"/>
  <c r="D697"/>
  <c r="D707"/>
  <c r="D709"/>
  <c r="C711"/>
  <c r="B726"/>
  <c r="I18" i="23"/>
  <c r="G19"/>
  <c r="D24"/>
  <c r="M8" i="18"/>
  <c r="B698"/>
  <c r="D699"/>
  <c r="E702"/>
  <c r="D706"/>
  <c r="C699"/>
  <c r="C715"/>
  <c r="E703"/>
  <c r="I703" s="1"/>
  <c r="D705"/>
  <c r="H705" s="1"/>
  <c r="C720"/>
  <c r="B720"/>
  <c r="C721"/>
  <c r="B723"/>
  <c r="B701"/>
  <c r="B694"/>
  <c r="P29" i="15"/>
  <c r="E29"/>
  <c r="V28"/>
  <c r="U28" s="1"/>
  <c r="V24"/>
  <c r="U24" s="1"/>
  <c r="V26"/>
  <c r="U26" s="1"/>
  <c r="V25"/>
  <c r="U25" s="1"/>
  <c r="C159" i="18"/>
  <c r="C147"/>
  <c r="D50"/>
  <c r="B50" s="1"/>
  <c r="E152"/>
  <c r="C155"/>
  <c r="C182"/>
  <c r="C170"/>
  <c r="E183"/>
  <c r="E171"/>
  <c r="D69"/>
  <c r="B69" s="1"/>
  <c r="C201"/>
  <c r="B23"/>
  <c r="D120"/>
  <c r="B25"/>
  <c r="I135" s="1"/>
  <c r="D122"/>
  <c r="F143"/>
  <c r="F125"/>
  <c r="B26"/>
  <c r="C141"/>
  <c r="C123"/>
  <c r="E125"/>
  <c r="D125"/>
  <c r="E162"/>
  <c r="E174"/>
  <c r="E191"/>
  <c r="E179"/>
  <c r="E199"/>
  <c r="D85"/>
  <c r="E187"/>
  <c r="E198"/>
  <c r="E200"/>
  <c r="F157"/>
  <c r="F145"/>
  <c r="F161"/>
  <c r="F149"/>
  <c r="F178"/>
  <c r="F166"/>
  <c r="F188"/>
  <c r="F200"/>
  <c r="F192"/>
  <c r="F204"/>
  <c r="W93" i="6"/>
  <c r="W81"/>
  <c r="W101"/>
  <c r="W89"/>
  <c r="C154" i="18"/>
  <c r="C142"/>
  <c r="E160"/>
  <c r="E148"/>
  <c r="E168"/>
  <c r="E156"/>
  <c r="F187"/>
  <c r="F199"/>
  <c r="B95"/>
  <c r="C197"/>
  <c r="E151"/>
  <c r="E139"/>
  <c r="D38"/>
  <c r="B38" s="1"/>
  <c r="E164"/>
  <c r="E175"/>
  <c r="D94"/>
  <c r="E202"/>
  <c r="F152"/>
  <c r="Q29" i="15"/>
  <c r="Z17" i="6"/>
  <c r="Y20"/>
  <c r="Y22"/>
  <c r="Y25"/>
  <c r="X26"/>
  <c r="Y38"/>
  <c r="Y40"/>
  <c r="Y41"/>
  <c r="Y42"/>
  <c r="Y43"/>
  <c r="X45"/>
  <c r="W47"/>
  <c r="W48"/>
  <c r="Y50"/>
  <c r="Y52"/>
  <c r="Y59"/>
  <c r="Z62"/>
  <c r="X63"/>
  <c r="X64"/>
  <c r="X65"/>
  <c r="AA79"/>
  <c r="Z79"/>
  <c r="AI79" s="1"/>
  <c r="W80"/>
  <c r="Z81"/>
  <c r="Z85"/>
  <c r="AI85" s="1"/>
  <c r="Z86"/>
  <c r="AA87"/>
  <c r="Z91"/>
  <c r="Z94"/>
  <c r="Y95"/>
  <c r="AA96"/>
  <c r="Y97"/>
  <c r="Y99"/>
  <c r="Z101"/>
  <c r="W102"/>
  <c r="Y102"/>
  <c r="C125" i="18"/>
  <c r="C136"/>
  <c r="E142"/>
  <c r="E169"/>
  <c r="E172"/>
  <c r="F184"/>
  <c r="B19"/>
  <c r="B13"/>
  <c r="W96" i="6"/>
  <c r="W84"/>
  <c r="AA99"/>
  <c r="AA86"/>
  <c r="E155" i="18"/>
  <c r="E143"/>
  <c r="D41"/>
  <c r="D143" s="1"/>
  <c r="E147"/>
  <c r="E159"/>
  <c r="D45"/>
  <c r="B45" s="1"/>
  <c r="C152"/>
  <c r="C179"/>
  <c r="C167"/>
  <c r="E182"/>
  <c r="E170"/>
  <c r="D68"/>
  <c r="C183"/>
  <c r="B27"/>
  <c r="C124"/>
  <c r="D116"/>
  <c r="B7"/>
  <c r="D118"/>
  <c r="E118"/>
  <c r="C143"/>
  <c r="C151"/>
  <c r="C163"/>
  <c r="C162"/>
  <c r="C174"/>
  <c r="C178"/>
  <c r="F186"/>
  <c r="B22"/>
  <c r="C119"/>
  <c r="C121"/>
  <c r="B24"/>
  <c r="B31"/>
  <c r="C128"/>
  <c r="C138"/>
  <c r="C150"/>
  <c r="X50" i="6"/>
  <c r="Z57"/>
  <c r="Y58"/>
  <c r="Z60"/>
  <c r="Z61"/>
  <c r="Y62"/>
  <c r="AA102"/>
  <c r="D127" i="18"/>
  <c r="K23" i="15"/>
  <c r="Z15" i="6"/>
  <c r="Y16"/>
  <c r="Z18"/>
  <c r="Y19"/>
  <c r="W26"/>
  <c r="Z26"/>
  <c r="W45"/>
  <c r="W51"/>
  <c r="W54"/>
  <c r="Z54"/>
  <c r="Z56"/>
  <c r="Y57"/>
  <c r="Z59"/>
  <c r="X67"/>
  <c r="W73"/>
  <c r="Z74"/>
  <c r="AA82"/>
  <c r="AA83"/>
  <c r="AA84"/>
  <c r="Z88"/>
  <c r="Z89"/>
  <c r="AI89" s="1"/>
  <c r="Z90"/>
  <c r="AI90" s="1"/>
  <c r="Y91"/>
  <c r="Z92"/>
  <c r="Z93"/>
  <c r="Y94"/>
  <c r="W95"/>
  <c r="AA95"/>
  <c r="Y96"/>
  <c r="Z97"/>
  <c r="AA98"/>
  <c r="W87"/>
  <c r="Z100"/>
  <c r="Y101"/>
  <c r="Z102"/>
  <c r="AA103"/>
  <c r="F133" i="18"/>
  <c r="E203"/>
  <c r="D96"/>
  <c r="D129"/>
  <c r="C173"/>
  <c r="C185"/>
  <c r="F206"/>
  <c r="F194"/>
  <c r="D54"/>
  <c r="D61"/>
  <c r="C164"/>
  <c r="D73"/>
  <c r="D104"/>
  <c r="E117"/>
  <c r="B16"/>
  <c r="G126" s="1"/>
  <c r="B28"/>
  <c r="D81"/>
  <c r="D34"/>
  <c r="D40"/>
  <c r="D51"/>
  <c r="D60"/>
  <c r="D62"/>
  <c r="D67"/>
  <c r="D70"/>
  <c r="D72"/>
  <c r="D75"/>
  <c r="B75" s="1"/>
  <c r="D77"/>
  <c r="E186"/>
  <c r="D88"/>
  <c r="D100"/>
  <c r="E207"/>
  <c r="F148"/>
  <c r="F205"/>
  <c r="C161"/>
  <c r="C149"/>
  <c r="C160"/>
  <c r="C172"/>
  <c r="F181"/>
  <c r="F169"/>
  <c r="C188"/>
  <c r="D46"/>
  <c r="B46" s="1"/>
  <c r="C176"/>
  <c r="C190"/>
  <c r="D37"/>
  <c r="D123"/>
  <c r="I23" i="23"/>
  <c r="H14"/>
  <c r="I19"/>
  <c r="H10"/>
  <c r="H19" s="1"/>
  <c r="B15"/>
  <c r="C24"/>
  <c r="F20"/>
  <c r="E11"/>
  <c r="E21" s="1"/>
  <c r="F21"/>
  <c r="B7" i="17"/>
  <c r="I21" i="23"/>
  <c r="H12"/>
  <c r="F22"/>
  <c r="E13"/>
  <c r="E22" s="1"/>
  <c r="C23"/>
  <c r="B14"/>
  <c r="G21"/>
  <c r="G22"/>
  <c r="G23"/>
  <c r="J23"/>
  <c r="C22"/>
  <c r="B13"/>
  <c r="I22"/>
  <c r="H13"/>
  <c r="D18"/>
  <c r="D19"/>
  <c r="B4" i="17"/>
  <c r="B18" i="23"/>
  <c r="B19"/>
  <c r="D22"/>
  <c r="D23"/>
  <c r="E15"/>
  <c r="E24" s="1"/>
  <c r="F24"/>
  <c r="H15"/>
  <c r="I24"/>
  <c r="F18"/>
  <c r="E9"/>
  <c r="E18" s="1"/>
  <c r="E10"/>
  <c r="F19"/>
  <c r="B11"/>
  <c r="C20"/>
  <c r="H11"/>
  <c r="I20"/>
  <c r="J22"/>
  <c r="J19"/>
  <c r="AH104" i="6"/>
  <c r="B710" i="18"/>
  <c r="B713"/>
  <c r="D716"/>
  <c r="B718"/>
  <c r="B721"/>
  <c r="C723"/>
  <c r="C19" i="23"/>
  <c r="C21"/>
  <c r="AH102" i="6"/>
  <c r="O8" i="18"/>
  <c r="E698"/>
  <c r="D700"/>
  <c r="E700"/>
  <c r="C703"/>
  <c r="C707"/>
  <c r="E710"/>
  <c r="C712"/>
  <c r="D710"/>
  <c r="C726"/>
  <c r="F23" i="23"/>
  <c r="BR13" i="53"/>
  <c r="CI13"/>
  <c r="AJ21"/>
  <c r="AJ13"/>
  <c r="CT21"/>
  <c r="CT13"/>
  <c r="DG8"/>
  <c r="CM21"/>
  <c r="CM13"/>
  <c r="DM8"/>
  <c r="CA21"/>
  <c r="CA13"/>
  <c r="AS13"/>
  <c r="AS21"/>
  <c r="BF60" i="13"/>
  <c r="BE13" i="53"/>
  <c r="BE21"/>
  <c r="BI13"/>
  <c r="BI6"/>
  <c r="BI21"/>
  <c r="AV64" i="13"/>
  <c r="AH8" i="53"/>
  <c r="AU39" i="13"/>
  <c r="AO8" i="53"/>
  <c r="BB64" i="13"/>
  <c r="BB60"/>
  <c r="BE24"/>
  <c r="AR27" i="53"/>
  <c r="AY13"/>
  <c r="BK6"/>
  <c r="BK13"/>
  <c r="BK21"/>
  <c r="BO13"/>
  <c r="CC13"/>
  <c r="CC6"/>
  <c r="CC21"/>
  <c r="CG21"/>
  <c r="CG13"/>
  <c r="CO21"/>
  <c r="CO6"/>
  <c r="CO13"/>
  <c r="CQ13"/>
  <c r="DV13" s="1"/>
  <c r="CQ21"/>
  <c r="CZ21"/>
  <c r="CZ13"/>
  <c r="DG39" i="13"/>
  <c r="BG64"/>
  <c r="CV12" i="53"/>
  <c r="BM8"/>
  <c r="BY21" s="1"/>
  <c r="CK8"/>
  <c r="BT12"/>
  <c r="BS9" i="13"/>
  <c r="BS46"/>
  <c r="DH7" i="53"/>
  <c r="BI60" i="13"/>
  <c r="AV8" i="53"/>
  <c r="BH21" s="1"/>
  <c r="BG13"/>
  <c r="DO8"/>
  <c r="AW6"/>
  <c r="AW13"/>
  <c r="AY68" i="13"/>
  <c r="AL8" i="53"/>
  <c r="BD64" i="13"/>
  <c r="BD60"/>
  <c r="AQ8" i="53"/>
  <c r="AX8"/>
  <c r="BJ21" s="1"/>
  <c r="BK60" i="13"/>
  <c r="BB8" i="53"/>
  <c r="BN21" s="1"/>
  <c r="BO60" i="13"/>
  <c r="BS60"/>
  <c r="BF8" i="53"/>
  <c r="BR21" s="1"/>
  <c r="BH13"/>
  <c r="BJ13"/>
  <c r="CF13"/>
  <c r="DA13"/>
  <c r="DD13"/>
  <c r="DQ8"/>
  <c r="DB39" i="13"/>
  <c r="BD9"/>
  <c r="BD8" i="53"/>
  <c r="BP21" s="1"/>
  <c r="BY13"/>
  <c r="BW12"/>
  <c r="BK12"/>
  <c r="AS25"/>
  <c r="AS24"/>
  <c r="AS26"/>
  <c r="AW64" i="13"/>
  <c r="AW60"/>
  <c r="BM60"/>
  <c r="AZ8" i="53"/>
  <c r="BP13"/>
  <c r="CD6"/>
  <c r="CD13"/>
  <c r="CU21"/>
  <c r="CU13"/>
  <c r="DH8"/>
  <c r="CJ20"/>
  <c r="AK8"/>
  <c r="AW21" s="1"/>
  <c r="AX68" i="13"/>
  <c r="AX81"/>
  <c r="AX64"/>
  <c r="AX60"/>
  <c r="AP8" i="53"/>
  <c r="AT8"/>
  <c r="BA8"/>
  <c r="BN60" i="13"/>
  <c r="BQ13" i="53"/>
  <c r="BQ21"/>
  <c r="BU13"/>
  <c r="BU6"/>
  <c r="BU21"/>
  <c r="BW6"/>
  <c r="CE13"/>
  <c r="DU13" s="1"/>
  <c r="CJ13"/>
  <c r="CY21"/>
  <c r="CL13"/>
  <c r="DL8"/>
  <c r="DC13"/>
  <c r="DP8"/>
  <c r="BX39" i="13"/>
  <c r="AW12" i="53"/>
  <c r="BF9" i="13"/>
  <c r="BR59" s="1"/>
  <c r="CD21" i="53"/>
  <c r="X26"/>
  <c r="BJ60" i="13"/>
  <c r="BR60"/>
  <c r="CB21" i="53"/>
  <c r="CH39" i="13" l="1"/>
  <c r="AY59"/>
  <c r="H87"/>
  <c r="X88" i="6"/>
  <c r="L103" i="18"/>
  <c r="BM59" i="13"/>
  <c r="J163" i="18"/>
  <c r="BA67" i="13"/>
  <c r="DA20" i="53"/>
  <c r="CG20"/>
  <c r="BQ39" i="13"/>
  <c r="F27" i="4"/>
  <c r="L102" i="18"/>
  <c r="L95"/>
  <c r="C77" i="24"/>
  <c r="L92" i="18"/>
  <c r="K110"/>
  <c r="K108"/>
  <c r="K106"/>
  <c r="L96"/>
  <c r="C78" i="24"/>
  <c r="C75"/>
  <c r="K109" i="18"/>
  <c r="K107"/>
  <c r="L94"/>
  <c r="C76" i="24"/>
  <c r="P60" i="13"/>
  <c r="H26" i="4"/>
  <c r="C57" s="1"/>
  <c r="J6" i="14"/>
  <c r="J12" s="1"/>
  <c r="K10"/>
  <c r="G26" s="1"/>
  <c r="E30" i="4"/>
  <c r="F46"/>
  <c r="F45" s="1"/>
  <c r="I60" i="13"/>
  <c r="H78"/>
  <c r="T40" i="42"/>
  <c r="AM13" i="53"/>
  <c r="BH60" i="13"/>
  <c r="AZ59"/>
  <c r="CG6" i="53"/>
  <c r="AU8"/>
  <c r="BG21" s="1"/>
  <c r="CG12"/>
  <c r="AK7"/>
  <c r="AW20" s="1"/>
  <c r="BG6"/>
  <c r="BZ12"/>
  <c r="AN7"/>
  <c r="AN20" s="1"/>
  <c r="O60" i="13"/>
  <c r="H60"/>
  <c r="AY21" i="53"/>
  <c r="BB45" i="13"/>
  <c r="F49" i="4"/>
  <c r="G49" s="1"/>
  <c r="N60" i="13"/>
  <c r="G27" i="4"/>
  <c r="CX39" i="13"/>
  <c r="DO7" i="53"/>
  <c r="DM39" i="13"/>
  <c r="AN21" i="53"/>
  <c r="BZ20"/>
  <c r="DA6"/>
  <c r="DA11" s="1"/>
  <c r="AY39" i="13"/>
  <c r="CA39"/>
  <c r="BA63"/>
  <c r="BA64"/>
  <c r="BT39"/>
  <c r="AZ60"/>
  <c r="T50" i="42"/>
  <c r="CT7" i="53"/>
  <c r="DF7" s="1"/>
  <c r="H27" i="4"/>
  <c r="BX20" i="53"/>
  <c r="T44" i="42"/>
  <c r="D27" i="4"/>
  <c r="BO7" i="53"/>
  <c r="BO12" s="1"/>
  <c r="AZ68" i="13"/>
  <c r="BB59"/>
  <c r="BN59"/>
  <c r="DC6" i="53"/>
  <c r="CT39" i="13"/>
  <c r="AZ64"/>
  <c r="BX13" i="53"/>
  <c r="BB39" i="13"/>
  <c r="AZ39"/>
  <c r="AZ66" s="1"/>
  <c r="BK59"/>
  <c r="AL7" i="53"/>
  <c r="AL20" s="1"/>
  <c r="BL60" i="13"/>
  <c r="CD39"/>
  <c r="N5" i="102"/>
  <c r="N44"/>
  <c r="BC39" i="13"/>
  <c r="BO58" s="1"/>
  <c r="DO39"/>
  <c r="AM7" i="53"/>
  <c r="AM6" s="1"/>
  <c r="AM19" s="1"/>
  <c r="L10" i="14"/>
  <c r="L13" s="1"/>
  <c r="BR39" i="13"/>
  <c r="BQ20" i="53"/>
  <c r="DP7"/>
  <c r="CL39" i="13"/>
  <c r="CV6" i="53"/>
  <c r="CV11" s="1"/>
  <c r="DA12"/>
  <c r="DC39" i="13"/>
  <c r="BC63"/>
  <c r="BX12" i="53"/>
  <c r="BN6"/>
  <c r="BN11" s="1"/>
  <c r="CC20"/>
  <c r="BA39" i="13"/>
  <c r="BA66" s="1"/>
  <c r="J13" i="14"/>
  <c r="E27" i="4"/>
  <c r="DL39" i="13"/>
  <c r="U41" i="43"/>
  <c r="U42" s="1"/>
  <c r="K54" s="1"/>
  <c r="BY20" i="53"/>
  <c r="BK39" i="13"/>
  <c r="BU39"/>
  <c r="BH12" i="53"/>
  <c r="CI39" i="13"/>
  <c r="CP39"/>
  <c r="AZ63"/>
  <c r="BE12" i="53"/>
  <c r="BN39" i="13"/>
  <c r="CP6" i="53"/>
  <c r="CP11" s="1"/>
  <c r="CN6"/>
  <c r="DN6" s="1"/>
  <c r="BQ6"/>
  <c r="BQ19" s="1"/>
  <c r="BG29"/>
  <c r="DB12"/>
  <c r="BL6"/>
  <c r="BL10" s="1"/>
  <c r="BY39" i="13"/>
  <c r="CK20" i="53"/>
  <c r="CM39" i="13"/>
  <c r="DI8" i="53"/>
  <c r="BT20"/>
  <c r="B57" i="4"/>
  <c r="I44" i="102"/>
  <c r="C57"/>
  <c r="CX20" i="53"/>
  <c r="DK7"/>
  <c r="CX12"/>
  <c r="CX6"/>
  <c r="CX10" s="1"/>
  <c r="CN13"/>
  <c r="DN39" i="13"/>
  <c r="DB6" i="53"/>
  <c r="DB10" s="1"/>
  <c r="DJ39" i="13"/>
  <c r="AP20" i="53"/>
  <c r="CQ7"/>
  <c r="DQ7" s="1"/>
  <c r="AJ7"/>
  <c r="DN7"/>
  <c r="AW39" i="13"/>
  <c r="BI58" s="1"/>
  <c r="DA21" i="53"/>
  <c r="BV20"/>
  <c r="BI59" i="13"/>
  <c r="BL20" i="53"/>
  <c r="AW59" i="13"/>
  <c r="CN21" i="53"/>
  <c r="CH20"/>
  <c r="F703" i="18"/>
  <c r="J703" s="1"/>
  <c r="H144"/>
  <c r="G122"/>
  <c r="AI69" i="6"/>
  <c r="D205" i="18"/>
  <c r="I696"/>
  <c r="D193"/>
  <c r="H116"/>
  <c r="D192"/>
  <c r="H192" s="1"/>
  <c r="I118"/>
  <c r="B188"/>
  <c r="G116"/>
  <c r="AI66" i="6"/>
  <c r="F696" i="18"/>
  <c r="B79"/>
  <c r="D181"/>
  <c r="B116"/>
  <c r="I192"/>
  <c r="AI68" i="6"/>
  <c r="I705" i="18"/>
  <c r="F707"/>
  <c r="F698"/>
  <c r="D180"/>
  <c r="H180" s="1"/>
  <c r="D191"/>
  <c r="AI100" i="6"/>
  <c r="AI96"/>
  <c r="J137" i="18"/>
  <c r="D203"/>
  <c r="J145"/>
  <c r="G133"/>
  <c r="G705"/>
  <c r="B42"/>
  <c r="B144" s="1"/>
  <c r="H128"/>
  <c r="I138"/>
  <c r="J120"/>
  <c r="B36"/>
  <c r="B138" s="1"/>
  <c r="G127"/>
  <c r="AI101" i="6"/>
  <c r="H127" i="18"/>
  <c r="B124"/>
  <c r="H120"/>
  <c r="F705"/>
  <c r="J196"/>
  <c r="AI77" i="6"/>
  <c r="AI65"/>
  <c r="AI67"/>
  <c r="G157" i="18"/>
  <c r="G118"/>
  <c r="D204"/>
  <c r="AI103" i="6"/>
  <c r="J144" i="18"/>
  <c r="G145"/>
  <c r="H717"/>
  <c r="F717"/>
  <c r="I188"/>
  <c r="J185"/>
  <c r="D200"/>
  <c r="H200" s="1"/>
  <c r="F695"/>
  <c r="J177"/>
  <c r="I32" i="15"/>
  <c r="I33" s="1"/>
  <c r="D207" i="18"/>
  <c r="S34" i="15"/>
  <c r="I694" i="18"/>
  <c r="I120"/>
  <c r="AI74" i="6"/>
  <c r="F694" i="18"/>
  <c r="AI70" i="6"/>
  <c r="D201" i="18"/>
  <c r="H201" s="1"/>
  <c r="J171"/>
  <c r="H20" i="23"/>
  <c r="I718" i="18"/>
  <c r="BD12" i="53"/>
  <c r="I35" i="14"/>
  <c r="I36" s="1"/>
  <c r="I14"/>
  <c r="I4" s="1"/>
  <c r="I5" s="1"/>
  <c r="AY63" i="13"/>
  <c r="BI20" i="53"/>
  <c r="BU20"/>
  <c r="BB7"/>
  <c r="BN20" s="1"/>
  <c r="BU12"/>
  <c r="BC6"/>
  <c r="BC10" s="1"/>
  <c r="CT12"/>
  <c r="BP11"/>
  <c r="CQ39" i="13"/>
  <c r="BV39"/>
  <c r="BB63"/>
  <c r="CI21" i="53"/>
  <c r="BO59" i="13"/>
  <c r="BQ59"/>
  <c r="AV7" i="53"/>
  <c r="BH20" s="1"/>
  <c r="CP20"/>
  <c r="V41" i="43"/>
  <c r="V42" s="1"/>
  <c r="L54" s="1"/>
  <c r="CD20" i="53"/>
  <c r="BW21"/>
  <c r="CU6"/>
  <c r="CU10" s="1"/>
  <c r="AZ12"/>
  <c r="AO7"/>
  <c r="BA20" s="1"/>
  <c r="BS20"/>
  <c r="BJ20"/>
  <c r="AR7"/>
  <c r="I6" i="14"/>
  <c r="I12" s="1"/>
  <c r="DA39" i="13"/>
  <c r="AV62"/>
  <c r="AZ20" i="53"/>
  <c r="I702" i="18"/>
  <c r="F702"/>
  <c r="I126"/>
  <c r="G702"/>
  <c r="D188"/>
  <c r="H188" s="1"/>
  <c r="AI76" i="6"/>
  <c r="G718" i="18"/>
  <c r="H711"/>
  <c r="I717"/>
  <c r="I710"/>
  <c r="H700"/>
  <c r="F718"/>
  <c r="F704"/>
  <c r="D163"/>
  <c r="H163" s="1"/>
  <c r="I133"/>
  <c r="B98"/>
  <c r="B200" s="1"/>
  <c r="D133"/>
  <c r="H133" s="1"/>
  <c r="F700"/>
  <c r="I185"/>
  <c r="T34" i="15"/>
  <c r="J35" s="1"/>
  <c r="G701" i="18"/>
  <c r="J128"/>
  <c r="I122"/>
  <c r="H718"/>
  <c r="G188"/>
  <c r="J188"/>
  <c r="I166"/>
  <c r="J131"/>
  <c r="I709"/>
  <c r="G166"/>
  <c r="B147"/>
  <c r="J192"/>
  <c r="H122"/>
  <c r="D173"/>
  <c r="G147"/>
  <c r="F712"/>
  <c r="H715"/>
  <c r="AI84" i="6"/>
  <c r="I145" i="18"/>
  <c r="D161"/>
  <c r="H161" s="1"/>
  <c r="I144"/>
  <c r="G144"/>
  <c r="I719"/>
  <c r="G717"/>
  <c r="H24" i="23"/>
  <c r="E23"/>
  <c r="H697" i="18"/>
  <c r="F722"/>
  <c r="I712"/>
  <c r="F699"/>
  <c r="H719"/>
  <c r="H720"/>
  <c r="F709"/>
  <c r="F706"/>
  <c r="G128"/>
  <c r="G146"/>
  <c r="H706"/>
  <c r="I128"/>
  <c r="J136"/>
  <c r="B39"/>
  <c r="G153" s="1"/>
  <c r="G171"/>
  <c r="H710"/>
  <c r="G703"/>
  <c r="G706"/>
  <c r="B61"/>
  <c r="B163" s="1"/>
  <c r="I706"/>
  <c r="G719"/>
  <c r="B59"/>
  <c r="J173" s="1"/>
  <c r="D145"/>
  <c r="H145" s="1"/>
  <c r="G185"/>
  <c r="I146"/>
  <c r="AI92" i="6"/>
  <c r="G135" i="18"/>
  <c r="B171"/>
  <c r="D171"/>
  <c r="H171" s="1"/>
  <c r="H31" i="15"/>
  <c r="D149" i="18"/>
  <c r="H149" s="1"/>
  <c r="AI78" i="6"/>
  <c r="I161" i="18"/>
  <c r="D136"/>
  <c r="J124"/>
  <c r="F710"/>
  <c r="G161"/>
  <c r="I171"/>
  <c r="D158"/>
  <c r="G169"/>
  <c r="G714"/>
  <c r="G710"/>
  <c r="G709"/>
  <c r="I149"/>
  <c r="I132"/>
  <c r="I137"/>
  <c r="B185"/>
  <c r="J161"/>
  <c r="I125"/>
  <c r="J125"/>
  <c r="B97"/>
  <c r="H709"/>
  <c r="AI75" i="6"/>
  <c r="J172" i="18"/>
  <c r="G31" i="15"/>
  <c r="J142" i="18"/>
  <c r="I167"/>
  <c r="D185"/>
  <c r="H185" s="1"/>
  <c r="H138"/>
  <c r="I180"/>
  <c r="B180"/>
  <c r="J36" i="15"/>
  <c r="J32"/>
  <c r="J33" s="1"/>
  <c r="G120" i="18"/>
  <c r="G712"/>
  <c r="I700"/>
  <c r="G720"/>
  <c r="G704"/>
  <c r="G697"/>
  <c r="H707"/>
  <c r="I196"/>
  <c r="I197"/>
  <c r="G124"/>
  <c r="D167"/>
  <c r="H167" s="1"/>
  <c r="J132"/>
  <c r="I179"/>
  <c r="H125"/>
  <c r="F30" i="15"/>
  <c r="E30" s="1"/>
  <c r="G698" i="18"/>
  <c r="G132"/>
  <c r="J123"/>
  <c r="H702"/>
  <c r="J118"/>
  <c r="J122"/>
  <c r="G167"/>
  <c r="D166"/>
  <c r="H166" s="1"/>
  <c r="AI81" i="6"/>
  <c r="D150" i="18"/>
  <c r="I698"/>
  <c r="H712"/>
  <c r="G700"/>
  <c r="I707"/>
  <c r="F715"/>
  <c r="I699"/>
  <c r="G172"/>
  <c r="D162"/>
  <c r="H162" s="1"/>
  <c r="B125"/>
  <c r="D206"/>
  <c r="G134"/>
  <c r="AI91" i="6"/>
  <c r="G121" i="18"/>
  <c r="I147"/>
  <c r="I142"/>
  <c r="G125"/>
  <c r="AI99" i="6"/>
  <c r="I704" i="18"/>
  <c r="J166"/>
  <c r="B120"/>
  <c r="F720"/>
  <c r="H699"/>
  <c r="I720"/>
  <c r="F697"/>
  <c r="J697" s="1"/>
  <c r="G198"/>
  <c r="J119"/>
  <c r="J179"/>
  <c r="I119"/>
  <c r="AI86" i="6"/>
  <c r="I124" i="18"/>
  <c r="H124"/>
  <c r="I715"/>
  <c r="J147"/>
  <c r="D197"/>
  <c r="H197" s="1"/>
  <c r="BH10" i="53"/>
  <c r="BH11"/>
  <c r="G75" i="13"/>
  <c r="G74"/>
  <c r="R60"/>
  <c r="S60"/>
  <c r="CJ6" i="53"/>
  <c r="CW20"/>
  <c r="BC12"/>
  <c r="BM20"/>
  <c r="CU20"/>
  <c r="DK39" i="13"/>
  <c r="BT13" i="53"/>
  <c r="CY12"/>
  <c r="BJ12"/>
  <c r="CR6"/>
  <c r="CR10" s="1"/>
  <c r="CW6"/>
  <c r="CW10" s="1"/>
  <c r="CJ39" i="13"/>
  <c r="BY12" i="53"/>
  <c r="CH6"/>
  <c r="CH19" s="1"/>
  <c r="BP39" i="13"/>
  <c r="BR12" i="53"/>
  <c r="CU39" i="13"/>
  <c r="CE39"/>
  <c r="DF8" i="53"/>
  <c r="BR6"/>
  <c r="CD19" s="1"/>
  <c r="BJ6"/>
  <c r="BJ11" s="1"/>
  <c r="BW39" i="13"/>
  <c r="DJ7" i="53"/>
  <c r="M60" i="13"/>
  <c r="CF39"/>
  <c r="BM12" i="53"/>
  <c r="M48" i="13"/>
  <c r="CY39"/>
  <c r="CL7" i="53"/>
  <c r="CY20" s="1"/>
  <c r="AT7"/>
  <c r="AT6" s="1"/>
  <c r="BG59" i="13"/>
  <c r="CW39"/>
  <c r="CR21" i="53"/>
  <c r="AL12"/>
  <c r="BZ39" i="13"/>
  <c r="N48"/>
  <c r="O48"/>
  <c r="CB7" i="53"/>
  <c r="CO39" i="13"/>
  <c r="CE7" i="53"/>
  <c r="CR39" i="13"/>
  <c r="AI21" i="53"/>
  <c r="AI6"/>
  <c r="AI13"/>
  <c r="T42" i="43"/>
  <c r="J54" s="1"/>
  <c r="J53"/>
  <c r="CF7" i="53"/>
  <c r="CR20" s="1"/>
  <c r="CS39" i="13"/>
  <c r="H74"/>
  <c r="H75"/>
  <c r="CI7" i="53"/>
  <c r="CV39" i="13"/>
  <c r="O64"/>
  <c r="O58"/>
  <c r="P58"/>
  <c r="DE13" i="53"/>
  <c r="DE6"/>
  <c r="BX21"/>
  <c r="BX6"/>
  <c r="CZ12"/>
  <c r="E74" i="13"/>
  <c r="E75"/>
  <c r="R48"/>
  <c r="R50"/>
  <c r="CM7" i="53"/>
  <c r="DM7" s="1"/>
  <c r="CZ39" i="13"/>
  <c r="CE21" i="53"/>
  <c r="AX80" i="13"/>
  <c r="AX39"/>
  <c r="BJ58" s="1"/>
  <c r="DI39"/>
  <c r="CC39"/>
  <c r="CW21" i="53"/>
  <c r="BS21"/>
  <c r="BP20"/>
  <c r="AX20"/>
  <c r="BT6"/>
  <c r="BT19" s="1"/>
  <c r="CV13"/>
  <c r="CO20"/>
  <c r="CZ6"/>
  <c r="CZ10" s="1"/>
  <c r="BT21"/>
  <c r="CR12"/>
  <c r="DP39" i="13"/>
  <c r="CG39"/>
  <c r="DQ39"/>
  <c r="CK39"/>
  <c r="AY7" i="53"/>
  <c r="BL59" i="13"/>
  <c r="BL39"/>
  <c r="F75"/>
  <c r="F74"/>
  <c r="AX59"/>
  <c r="BJ59"/>
  <c r="I74"/>
  <c r="I75"/>
  <c r="AU7" i="53"/>
  <c r="BH63" i="13"/>
  <c r="BH59"/>
  <c r="BH39"/>
  <c r="BH58" s="1"/>
  <c r="D74"/>
  <c r="D75"/>
  <c r="R64"/>
  <c r="R58"/>
  <c r="S58"/>
  <c r="K15" i="14"/>
  <c r="J14"/>
  <c r="F28"/>
  <c r="DD12" i="53"/>
  <c r="CA7"/>
  <c r="CN39" i="13"/>
  <c r="BO21" i="53"/>
  <c r="BC13"/>
  <c r="AU45" i="13"/>
  <c r="AV58"/>
  <c r="AN12" i="53"/>
  <c r="DJ8"/>
  <c r="CW13"/>
  <c r="BS6"/>
  <c r="DT6" s="1"/>
  <c r="BP12"/>
  <c r="AX63" i="13"/>
  <c r="J35" i="14"/>
  <c r="DE39" i="13"/>
  <c r="E19" i="23"/>
  <c r="I701" i="18"/>
  <c r="G725"/>
  <c r="F725"/>
  <c r="H725"/>
  <c r="I725"/>
  <c r="I194"/>
  <c r="I134"/>
  <c r="AI83" i="6"/>
  <c r="AI82"/>
  <c r="G707" i="18"/>
  <c r="H716"/>
  <c r="F701"/>
  <c r="J169"/>
  <c r="G149"/>
  <c r="J194"/>
  <c r="H129"/>
  <c r="J197"/>
  <c r="J183"/>
  <c r="AI93" i="6"/>
  <c r="H701" i="18"/>
  <c r="G200"/>
  <c r="G129"/>
  <c r="B119"/>
  <c r="G179"/>
  <c r="I172"/>
  <c r="H126"/>
  <c r="AI95" i="6"/>
  <c r="B126" i="18"/>
  <c r="G142"/>
  <c r="J157"/>
  <c r="I198"/>
  <c r="G201"/>
  <c r="D152"/>
  <c r="H152" s="1"/>
  <c r="L29" i="15"/>
  <c r="F719" i="18"/>
  <c r="J180"/>
  <c r="AI64" i="6"/>
  <c r="H696" i="18"/>
  <c r="J121"/>
  <c r="AI72" i="6"/>
  <c r="I121" i="18"/>
  <c r="I131"/>
  <c r="H119"/>
  <c r="H121"/>
  <c r="D137"/>
  <c r="H137" s="1"/>
  <c r="D132"/>
  <c r="H132" s="1"/>
  <c r="B44"/>
  <c r="D146"/>
  <c r="H146" s="1"/>
  <c r="B152"/>
  <c r="AI88" i="6"/>
  <c r="B64" i="18"/>
  <c r="B166" s="1"/>
  <c r="I169"/>
  <c r="G196"/>
  <c r="G180"/>
  <c r="H703"/>
  <c r="H123"/>
  <c r="G190"/>
  <c r="B56"/>
  <c r="J170" s="1"/>
  <c r="D157"/>
  <c r="H157" s="1"/>
  <c r="I123"/>
  <c r="H704"/>
  <c r="J140"/>
  <c r="G119"/>
  <c r="B60"/>
  <c r="I174" s="1"/>
  <c r="G163"/>
  <c r="H118"/>
  <c r="D178"/>
  <c r="G137"/>
  <c r="D187"/>
  <c r="G123"/>
  <c r="D194"/>
  <c r="H194" s="1"/>
  <c r="J126"/>
  <c r="G699"/>
  <c r="AI98" i="6"/>
  <c r="B118" i="18"/>
  <c r="G131"/>
  <c r="H21" i="23"/>
  <c r="D139" i="18"/>
  <c r="H139" s="1"/>
  <c r="B37"/>
  <c r="I151" s="1"/>
  <c r="D134"/>
  <c r="H134" s="1"/>
  <c r="B70"/>
  <c r="D172"/>
  <c r="H172" s="1"/>
  <c r="D184"/>
  <c r="B81"/>
  <c r="D183"/>
  <c r="H183" s="1"/>
  <c r="B177"/>
  <c r="I189"/>
  <c r="B100"/>
  <c r="D202"/>
  <c r="D189"/>
  <c r="H189" s="1"/>
  <c r="D177"/>
  <c r="H177" s="1"/>
  <c r="B62"/>
  <c r="G176" s="1"/>
  <c r="D164"/>
  <c r="H164" s="1"/>
  <c r="B40"/>
  <c r="G154" s="1"/>
  <c r="D142"/>
  <c r="H142" s="1"/>
  <c r="D168"/>
  <c r="D156"/>
  <c r="B137"/>
  <c r="B132"/>
  <c r="B121"/>
  <c r="J139"/>
  <c r="B197"/>
  <c r="J190"/>
  <c r="I173"/>
  <c r="D148"/>
  <c r="D160"/>
  <c r="H160" s="1"/>
  <c r="B77"/>
  <c r="D179"/>
  <c r="H179" s="1"/>
  <c r="D169"/>
  <c r="H169" s="1"/>
  <c r="B67"/>
  <c r="J181" s="1"/>
  <c r="D153"/>
  <c r="B51"/>
  <c r="B165" s="1"/>
  <c r="O6"/>
  <c r="B128"/>
  <c r="J146"/>
  <c r="D170"/>
  <c r="D182"/>
  <c r="D159"/>
  <c r="H159" s="1"/>
  <c r="D147"/>
  <c r="H147" s="1"/>
  <c r="J129"/>
  <c r="B129"/>
  <c r="I201"/>
  <c r="B189"/>
  <c r="J201"/>
  <c r="B145"/>
  <c r="B157"/>
  <c r="I157"/>
  <c r="H36" i="15"/>
  <c r="D29"/>
  <c r="N29" s="1"/>
  <c r="O29"/>
  <c r="F714" i="18"/>
  <c r="G716"/>
  <c r="D176"/>
  <c r="G164"/>
  <c r="AI94" i="6"/>
  <c r="G175" i="18"/>
  <c r="J164"/>
  <c r="G162"/>
  <c r="G143"/>
  <c r="I159"/>
  <c r="D151"/>
  <c r="J159"/>
  <c r="J200"/>
  <c r="J149"/>
  <c r="J143"/>
  <c r="H117"/>
  <c r="F713"/>
  <c r="F711"/>
  <c r="I695"/>
  <c r="H722"/>
  <c r="G117"/>
  <c r="H714"/>
  <c r="F716"/>
  <c r="I711"/>
  <c r="I117"/>
  <c r="J189"/>
  <c r="B159"/>
  <c r="H713"/>
  <c r="K116"/>
  <c r="J133"/>
  <c r="G711"/>
  <c r="J117"/>
  <c r="J138"/>
  <c r="J134"/>
  <c r="B167"/>
  <c r="I143"/>
  <c r="G189"/>
  <c r="I140"/>
  <c r="AI102" i="6"/>
  <c r="AI97"/>
  <c r="J152" i="18"/>
  <c r="I190"/>
  <c r="I164"/>
  <c r="G715"/>
  <c r="B149"/>
  <c r="G139"/>
  <c r="G197"/>
  <c r="I160"/>
  <c r="I200"/>
  <c r="D199"/>
  <c r="B68"/>
  <c r="G182" s="1"/>
  <c r="I152"/>
  <c r="G159"/>
  <c r="I129"/>
  <c r="J198"/>
  <c r="I193"/>
  <c r="B94"/>
  <c r="D196"/>
  <c r="H196" s="1"/>
  <c r="B123"/>
  <c r="G140"/>
  <c r="B122"/>
  <c r="B201"/>
  <c r="J213"/>
  <c r="G177"/>
  <c r="I177"/>
  <c r="J167"/>
  <c r="C33" i="15"/>
  <c r="B140" i="18"/>
  <c r="B135"/>
  <c r="D190"/>
  <c r="H190" s="1"/>
  <c r="B88"/>
  <c r="I202" s="1"/>
  <c r="B72"/>
  <c r="B186" s="1"/>
  <c r="D174"/>
  <c r="D186"/>
  <c r="D131"/>
  <c r="H131" s="1"/>
  <c r="B34"/>
  <c r="B148" s="1"/>
  <c r="B73"/>
  <c r="D175"/>
  <c r="D198"/>
  <c r="H198" s="1"/>
  <c r="B96"/>
  <c r="I163"/>
  <c r="D135"/>
  <c r="H135" s="1"/>
  <c r="D140"/>
  <c r="H140" s="1"/>
  <c r="H143"/>
  <c r="D155"/>
  <c r="I714"/>
  <c r="I722"/>
  <c r="G713"/>
  <c r="B54"/>
  <c r="I713"/>
  <c r="D154"/>
  <c r="G160"/>
  <c r="I141"/>
  <c r="G722"/>
  <c r="I716"/>
  <c r="B85"/>
  <c r="J199" s="1"/>
  <c r="J162"/>
  <c r="J160"/>
  <c r="I136"/>
  <c r="H136"/>
  <c r="G138"/>
  <c r="B41"/>
  <c r="B155" s="1"/>
  <c r="G183"/>
  <c r="G152"/>
  <c r="B117"/>
  <c r="J141"/>
  <c r="D195"/>
  <c r="G136"/>
  <c r="H141"/>
  <c r="B160"/>
  <c r="I139"/>
  <c r="I162"/>
  <c r="G141"/>
  <c r="I183"/>
  <c r="D165"/>
  <c r="J135"/>
  <c r="B9" i="17"/>
  <c r="B23" i="23"/>
  <c r="B20"/>
  <c r="B6" i="17"/>
  <c r="B24" i="23"/>
  <c r="H22"/>
  <c r="H23"/>
  <c r="B21"/>
  <c r="B22"/>
  <c r="B8" i="17"/>
  <c r="E20" i="23"/>
  <c r="BW19" i="53"/>
  <c r="BW11"/>
  <c r="BW10"/>
  <c r="BC21"/>
  <c r="AQ21"/>
  <c r="AQ13"/>
  <c r="AK12"/>
  <c r="CO19"/>
  <c r="CO10"/>
  <c r="CO11"/>
  <c r="AR8"/>
  <c r="BE64" i="13"/>
  <c r="BE60"/>
  <c r="BE39"/>
  <c r="BI19" i="53"/>
  <c r="BI10"/>
  <c r="BI11"/>
  <c r="BF63" i="13"/>
  <c r="AS7" i="53"/>
  <c r="BG63" i="13"/>
  <c r="BF59"/>
  <c r="CP19" i="53"/>
  <c r="DC10"/>
  <c r="DC11"/>
  <c r="CJ11"/>
  <c r="CJ10"/>
  <c r="BU19"/>
  <c r="BU10"/>
  <c r="BU11"/>
  <c r="BA6"/>
  <c r="BA13"/>
  <c r="BA21"/>
  <c r="AP21"/>
  <c r="AP13"/>
  <c r="AP6"/>
  <c r="CD11"/>
  <c r="CD10"/>
  <c r="AQ7"/>
  <c r="BE63" i="13"/>
  <c r="BD63"/>
  <c r="BD59"/>
  <c r="AX21" i="53"/>
  <c r="AX13"/>
  <c r="AX6"/>
  <c r="AY66" i="13"/>
  <c r="AY58"/>
  <c r="CK6" i="53"/>
  <c r="CK13"/>
  <c r="CK21"/>
  <c r="CX21"/>
  <c r="BB62" i="13"/>
  <c r="BB43"/>
  <c r="CY10" i="53"/>
  <c r="CY11"/>
  <c r="DK8"/>
  <c r="BF39" i="13"/>
  <c r="CU11" i="53"/>
  <c r="BC11"/>
  <c r="CG19"/>
  <c r="CG10"/>
  <c r="CG11"/>
  <c r="BK11"/>
  <c r="BK10"/>
  <c r="AO21"/>
  <c r="AO13"/>
  <c r="BE10"/>
  <c r="BE11"/>
  <c r="AK21"/>
  <c r="AK13"/>
  <c r="AZ13"/>
  <c r="AZ21"/>
  <c r="AZ6"/>
  <c r="BL21"/>
  <c r="DB37"/>
  <c r="DD11"/>
  <c r="DD10"/>
  <c r="DA19"/>
  <c r="DA10"/>
  <c r="BF21"/>
  <c r="BF13"/>
  <c r="BG11"/>
  <c r="BG10"/>
  <c r="CC10"/>
  <c r="CC11"/>
  <c r="AH6"/>
  <c r="AH21"/>
  <c r="AH13"/>
  <c r="BD39" i="13"/>
  <c r="BQ60"/>
  <c r="BP59"/>
  <c r="BF64"/>
  <c r="BG58"/>
  <c r="AL21" i="53"/>
  <c r="AL13"/>
  <c r="AW10"/>
  <c r="AW11"/>
  <c r="BZ11"/>
  <c r="BZ10"/>
  <c r="BZ19"/>
  <c r="BQ10"/>
  <c r="AT13"/>
  <c r="AT21"/>
  <c r="AU21"/>
  <c r="BD13"/>
  <c r="BD6"/>
  <c r="BB21"/>
  <c r="BB13"/>
  <c r="AV13"/>
  <c r="AV21"/>
  <c r="BF7"/>
  <c r="BF6" s="1"/>
  <c r="BS59" i="13"/>
  <c r="BS39"/>
  <c r="BS58" s="1"/>
  <c r="BM21" i="53"/>
  <c r="BM6"/>
  <c r="BM13"/>
  <c r="BV11"/>
  <c r="BV10"/>
  <c r="BY10"/>
  <c r="BY11"/>
  <c r="AU58" i="13"/>
  <c r="AU62"/>
  <c r="BR10" i="53"/>
  <c r="K53" i="43" l="1"/>
  <c r="AM20" i="53"/>
  <c r="AM11"/>
  <c r="CX11"/>
  <c r="CW11"/>
  <c r="AN6"/>
  <c r="AN19" s="1"/>
  <c r="DG7"/>
  <c r="BS11"/>
  <c r="AL6"/>
  <c r="AL19" s="1"/>
  <c r="CC19"/>
  <c r="BA58" i="13"/>
  <c r="F24" i="14"/>
  <c r="DP6" i="53"/>
  <c r="AV20"/>
  <c r="BK58" i="13"/>
  <c r="BO20" i="53"/>
  <c r="BN58" i="13"/>
  <c r="K13" i="14"/>
  <c r="J707" i="18"/>
  <c r="G46" i="4"/>
  <c r="B59" s="1"/>
  <c r="E29"/>
  <c r="E31" s="1"/>
  <c r="BJ10" i="53"/>
  <c r="BV19"/>
  <c r="AM10"/>
  <c r="CP10"/>
  <c r="DB11"/>
  <c r="AK20"/>
  <c r="AM12"/>
  <c r="AU13"/>
  <c r="BQ11"/>
  <c r="AW58" i="13"/>
  <c r="AK6" i="53"/>
  <c r="AW19" s="1"/>
  <c r="BB58" i="13"/>
  <c r="BJ19" i="53"/>
  <c r="DO6"/>
  <c r="H26" i="14"/>
  <c r="CH11" i="53"/>
  <c r="I7" i="14"/>
  <c r="I65" s="1"/>
  <c r="BO6" i="53"/>
  <c r="BO11" s="1"/>
  <c r="H49" i="4"/>
  <c r="H50" s="1"/>
  <c r="G50"/>
  <c r="L53" i="43"/>
  <c r="J36" i="14"/>
  <c r="J7"/>
  <c r="J65" s="1"/>
  <c r="CT6" i="53"/>
  <c r="DF6" s="1"/>
  <c r="CT20"/>
  <c r="BL19"/>
  <c r="BC62" i="13"/>
  <c r="BR58"/>
  <c r="BA62"/>
  <c r="BX19" i="53"/>
  <c r="CZ11"/>
  <c r="BB6"/>
  <c r="BN19" s="1"/>
  <c r="CV10"/>
  <c r="BC58" i="13"/>
  <c r="CW19" i="53"/>
  <c r="CX19"/>
  <c r="J4" i="14"/>
  <c r="J5" s="1"/>
  <c r="CN10" i="53"/>
  <c r="BL58" i="13"/>
  <c r="BN10" i="53"/>
  <c r="AO20"/>
  <c r="AW62" i="13"/>
  <c r="BG62"/>
  <c r="DJ6" i="53"/>
  <c r="BP58" i="13"/>
  <c r="BL11" i="53"/>
  <c r="AZ62" i="13"/>
  <c r="BB20" i="53"/>
  <c r="AZ58" i="13"/>
  <c r="BT11" i="53"/>
  <c r="CN11"/>
  <c r="AV12"/>
  <c r="DH6"/>
  <c r="CH10"/>
  <c r="CJ19"/>
  <c r="BM58" i="13"/>
  <c r="CZ20" i="53"/>
  <c r="AO12"/>
  <c r="AV6"/>
  <c r="AV11" s="1"/>
  <c r="AO6"/>
  <c r="AO19" s="1"/>
  <c r="BB12"/>
  <c r="CQ12"/>
  <c r="DV12" s="1"/>
  <c r="CQ6"/>
  <c r="DL7"/>
  <c r="AJ20"/>
  <c r="AJ6"/>
  <c r="AJ12"/>
  <c r="F723" i="18"/>
  <c r="I723"/>
  <c r="H191"/>
  <c r="I150"/>
  <c r="J709"/>
  <c r="J712"/>
  <c r="K145"/>
  <c r="H193"/>
  <c r="G156"/>
  <c r="J150"/>
  <c r="H153"/>
  <c r="H173"/>
  <c r="K127"/>
  <c r="J696"/>
  <c r="J705"/>
  <c r="B150"/>
  <c r="I199"/>
  <c r="B141"/>
  <c r="B133"/>
  <c r="H150"/>
  <c r="F31" i="15"/>
  <c r="E31" s="1"/>
  <c r="J193" i="18"/>
  <c r="J704"/>
  <c r="H723"/>
  <c r="G723"/>
  <c r="I37" i="15"/>
  <c r="G150" i="18"/>
  <c r="J698"/>
  <c r="K120"/>
  <c r="J699"/>
  <c r="J706"/>
  <c r="J694"/>
  <c r="M128" s="1"/>
  <c r="J720"/>
  <c r="J175"/>
  <c r="H175"/>
  <c r="I175"/>
  <c r="J153"/>
  <c r="I156"/>
  <c r="J715"/>
  <c r="H726"/>
  <c r="H728" s="1"/>
  <c r="K185"/>
  <c r="K128"/>
  <c r="K144"/>
  <c r="J717"/>
  <c r="P34" i="15"/>
  <c r="G174" i="18"/>
  <c r="H32" i="15"/>
  <c r="H37" s="1"/>
  <c r="H156" i="18"/>
  <c r="J156"/>
  <c r="K161"/>
  <c r="K171"/>
  <c r="K188"/>
  <c r="J718"/>
  <c r="K198"/>
  <c r="K131"/>
  <c r="G173"/>
  <c r="K173" s="1"/>
  <c r="P55" i="15"/>
  <c r="I35"/>
  <c r="H174" i="18"/>
  <c r="J710"/>
  <c r="J722"/>
  <c r="J700"/>
  <c r="J702"/>
  <c r="AR20" i="53"/>
  <c r="AR12"/>
  <c r="BR11"/>
  <c r="BT10"/>
  <c r="CR11"/>
  <c r="BD20"/>
  <c r="BH62" i="13"/>
  <c r="CU19" i="53"/>
  <c r="K196" i="18"/>
  <c r="K147"/>
  <c r="K172"/>
  <c r="K146"/>
  <c r="K126"/>
  <c r="B161"/>
  <c r="K169"/>
  <c r="K125"/>
  <c r="K122"/>
  <c r="K132"/>
  <c r="K149"/>
  <c r="I191"/>
  <c r="B173"/>
  <c r="K118"/>
  <c r="J719"/>
  <c r="B136"/>
  <c r="J701"/>
  <c r="K163"/>
  <c r="J37" i="15"/>
  <c r="I170" i="18"/>
  <c r="K179"/>
  <c r="I726"/>
  <c r="I728" s="1"/>
  <c r="H178"/>
  <c r="K152"/>
  <c r="J178"/>
  <c r="B158"/>
  <c r="K134"/>
  <c r="K119"/>
  <c r="K157"/>
  <c r="I153"/>
  <c r="G32" i="15"/>
  <c r="G36"/>
  <c r="F36" s="1"/>
  <c r="E36" s="1"/>
  <c r="H170" i="18"/>
  <c r="B151"/>
  <c r="K200"/>
  <c r="B178"/>
  <c r="H158"/>
  <c r="F726"/>
  <c r="G726"/>
  <c r="G728" s="1"/>
  <c r="K166"/>
  <c r="G155"/>
  <c r="G178"/>
  <c r="G170"/>
  <c r="K135"/>
  <c r="I178"/>
  <c r="K137"/>
  <c r="K121"/>
  <c r="K142"/>
  <c r="J725"/>
  <c r="I148"/>
  <c r="K190"/>
  <c r="K133"/>
  <c r="F721"/>
  <c r="K123"/>
  <c r="K129"/>
  <c r="K124"/>
  <c r="AN11" i="53"/>
  <c r="BS10"/>
  <c r="CL20"/>
  <c r="CL12"/>
  <c r="CL6"/>
  <c r="BS19"/>
  <c r="AT12"/>
  <c r="AT20"/>
  <c r="BQ50" i="13"/>
  <c r="BZ47"/>
  <c r="DE11" i="53"/>
  <c r="DE10"/>
  <c r="CI12"/>
  <c r="CI20"/>
  <c r="CI6"/>
  <c r="CV20"/>
  <c r="DI7"/>
  <c r="M34" i="15"/>
  <c r="BG20" i="53"/>
  <c r="AU12"/>
  <c r="AU20"/>
  <c r="G47" i="4"/>
  <c r="B60" s="1"/>
  <c r="L15" i="14"/>
  <c r="G28"/>
  <c r="K14"/>
  <c r="K6"/>
  <c r="K35"/>
  <c r="K36" s="1"/>
  <c r="CM12" i="53"/>
  <c r="CM20"/>
  <c r="CM6"/>
  <c r="BX11"/>
  <c r="BX10"/>
  <c r="CF6"/>
  <c r="CF20"/>
  <c r="CF12"/>
  <c r="AI11"/>
  <c r="AI19"/>
  <c r="AI10"/>
  <c r="AX62" i="13"/>
  <c r="DK6" i="53"/>
  <c r="AY6"/>
  <c r="AY20"/>
  <c r="BK20"/>
  <c r="AY12"/>
  <c r="AX58" i="13"/>
  <c r="AX66"/>
  <c r="AX79"/>
  <c r="CA12" i="53"/>
  <c r="CA20"/>
  <c r="CA6"/>
  <c r="CE12"/>
  <c r="DU12" s="1"/>
  <c r="CE20"/>
  <c r="CE6"/>
  <c r="CQ20"/>
  <c r="CN20"/>
  <c r="CB20"/>
  <c r="CB6"/>
  <c r="CB12"/>
  <c r="AU6"/>
  <c r="BG19" s="1"/>
  <c r="AY62" i="13"/>
  <c r="K141" i="18"/>
  <c r="K201"/>
  <c r="H195"/>
  <c r="I182"/>
  <c r="J716"/>
  <c r="J174"/>
  <c r="H154"/>
  <c r="J148"/>
  <c r="H186"/>
  <c r="K167"/>
  <c r="H176"/>
  <c r="H148"/>
  <c r="H202"/>
  <c r="H184"/>
  <c r="G158"/>
  <c r="J158"/>
  <c r="I158"/>
  <c r="B146"/>
  <c r="J713"/>
  <c r="B162"/>
  <c r="K180"/>
  <c r="J714"/>
  <c r="B156"/>
  <c r="B168"/>
  <c r="G168"/>
  <c r="J168"/>
  <c r="B175"/>
  <c r="G187"/>
  <c r="B169"/>
  <c r="G181"/>
  <c r="I181"/>
  <c r="D30" i="15"/>
  <c r="O34"/>
  <c r="P53" s="1"/>
  <c r="B190" i="18"/>
  <c r="J202"/>
  <c r="G202"/>
  <c r="B153"/>
  <c r="I165"/>
  <c r="M6"/>
  <c r="G165"/>
  <c r="J165"/>
  <c r="B172"/>
  <c r="I184"/>
  <c r="G184"/>
  <c r="B184"/>
  <c r="B198"/>
  <c r="G148"/>
  <c r="B131"/>
  <c r="H721"/>
  <c r="I721"/>
  <c r="G721"/>
  <c r="G186"/>
  <c r="B174"/>
  <c r="B196"/>
  <c r="B170"/>
  <c r="J182"/>
  <c r="B182"/>
  <c r="B164"/>
  <c r="I176"/>
  <c r="J176"/>
  <c r="B176"/>
  <c r="I187"/>
  <c r="K136"/>
  <c r="K159"/>
  <c r="H199"/>
  <c r="K139"/>
  <c r="G151"/>
  <c r="H151"/>
  <c r="K164"/>
  <c r="H165"/>
  <c r="I168"/>
  <c r="K183"/>
  <c r="K160"/>
  <c r="K177"/>
  <c r="K140"/>
  <c r="B181"/>
  <c r="K197"/>
  <c r="K189"/>
  <c r="J711"/>
  <c r="K117"/>
  <c r="J184"/>
  <c r="K162"/>
  <c r="J186"/>
  <c r="I186"/>
  <c r="H182"/>
  <c r="H168"/>
  <c r="B202"/>
  <c r="B143"/>
  <c r="J155"/>
  <c r="B134"/>
  <c r="B139"/>
  <c r="J151"/>
  <c r="I724"/>
  <c r="G724"/>
  <c r="F724"/>
  <c r="H724"/>
  <c r="B187"/>
  <c r="G199"/>
  <c r="J695"/>
  <c r="B179"/>
  <c r="J191"/>
  <c r="B142"/>
  <c r="J154"/>
  <c r="B154"/>
  <c r="I154"/>
  <c r="B183"/>
  <c r="I195"/>
  <c r="J195"/>
  <c r="J187"/>
  <c r="K143"/>
  <c r="K138"/>
  <c r="H155"/>
  <c r="B199"/>
  <c r="H187"/>
  <c r="I155"/>
  <c r="H181"/>
  <c r="BF11" i="53"/>
  <c r="BF10"/>
  <c r="BF19"/>
  <c r="BR19"/>
  <c r="BM19"/>
  <c r="BM10"/>
  <c r="BM11"/>
  <c r="AL11"/>
  <c r="AQ20"/>
  <c r="AQ12"/>
  <c r="BC20"/>
  <c r="BD11"/>
  <c r="BD10"/>
  <c r="BP19"/>
  <c r="AT11"/>
  <c r="AT10"/>
  <c r="AT19"/>
  <c r="AH19"/>
  <c r="AH11"/>
  <c r="AH10"/>
  <c r="BF62" i="13"/>
  <c r="BF58"/>
  <c r="AX11" i="53"/>
  <c r="AX10"/>
  <c r="AX19"/>
  <c r="BY19"/>
  <c r="AQ6"/>
  <c r="BF20"/>
  <c r="BF12"/>
  <c r="BR20"/>
  <c r="AP11"/>
  <c r="AP10"/>
  <c r="AP19"/>
  <c r="AS20"/>
  <c r="AS12"/>
  <c r="AS6"/>
  <c r="BE20"/>
  <c r="AR21"/>
  <c r="AR13"/>
  <c r="AR6"/>
  <c r="BD62" i="13"/>
  <c r="BD58"/>
  <c r="AO15" i="53"/>
  <c r="CK19"/>
  <c r="CK10"/>
  <c r="CK11"/>
  <c r="BD21"/>
  <c r="AZ11"/>
  <c r="AZ10"/>
  <c r="AK10"/>
  <c r="BA10"/>
  <c r="BA11"/>
  <c r="BE62" i="13"/>
  <c r="BQ58"/>
  <c r="BE58"/>
  <c r="AL10" i="53" l="1"/>
  <c r="BO19"/>
  <c r="AO10"/>
  <c r="AN10"/>
  <c r="BA19"/>
  <c r="AZ19"/>
  <c r="AO28"/>
  <c r="BO10"/>
  <c r="AO11"/>
  <c r="J723" i="18"/>
  <c r="AV10" i="53"/>
  <c r="K153" i="18"/>
  <c r="O215" s="1"/>
  <c r="K4" i="14"/>
  <c r="K5" s="1"/>
  <c r="G45" i="4"/>
  <c r="H46"/>
  <c r="C59" s="1"/>
  <c r="AK19" i="53"/>
  <c r="AK11"/>
  <c r="F25" i="14"/>
  <c r="BB10" i="53"/>
  <c r="AV19"/>
  <c r="DG6"/>
  <c r="CT11"/>
  <c r="CT10"/>
  <c r="CT19"/>
  <c r="BB11"/>
  <c r="BB19"/>
  <c r="BH19"/>
  <c r="AJ19"/>
  <c r="AJ10"/>
  <c r="AJ11"/>
  <c r="DV6"/>
  <c r="DQ6"/>
  <c r="CQ11"/>
  <c r="DV11" s="1"/>
  <c r="CQ10"/>
  <c r="K150" i="18"/>
  <c r="H33" i="15"/>
  <c r="F32"/>
  <c r="E32" s="1"/>
  <c r="K175" i="18"/>
  <c r="K174"/>
  <c r="K156"/>
  <c r="K170"/>
  <c r="J726"/>
  <c r="J728" s="1"/>
  <c r="J724"/>
  <c r="K182"/>
  <c r="K158"/>
  <c r="G37" i="15"/>
  <c r="F37" s="1"/>
  <c r="E37" s="1"/>
  <c r="G33"/>
  <c r="K176" i="18"/>
  <c r="K178"/>
  <c r="F728"/>
  <c r="J721"/>
  <c r="K154"/>
  <c r="CL19" i="53"/>
  <c r="CL10"/>
  <c r="DG18"/>
  <c r="DL6"/>
  <c r="CY19"/>
  <c r="CL11"/>
  <c r="CM19"/>
  <c r="CM10"/>
  <c r="CM11"/>
  <c r="K7" i="14"/>
  <c r="G24"/>
  <c r="K12"/>
  <c r="CV19" i="53"/>
  <c r="CI11"/>
  <c r="DI6"/>
  <c r="CI10"/>
  <c r="CI19"/>
  <c r="CB10"/>
  <c r="CB11"/>
  <c r="CB19"/>
  <c r="CN19"/>
  <c r="DU6"/>
  <c r="CE11"/>
  <c r="DU11" s="1"/>
  <c r="CE10"/>
  <c r="CE19"/>
  <c r="CQ19"/>
  <c r="BK19"/>
  <c r="AY19"/>
  <c r="AY10"/>
  <c r="AY11"/>
  <c r="L14" i="14"/>
  <c r="L4" s="1"/>
  <c r="H28"/>
  <c r="L6"/>
  <c r="CA10" i="53"/>
  <c r="CA19"/>
  <c r="CA11"/>
  <c r="CF19"/>
  <c r="CF11"/>
  <c r="CR19"/>
  <c r="CF10"/>
  <c r="P51" i="15"/>
  <c r="C35"/>
  <c r="AU19" i="53"/>
  <c r="AU11"/>
  <c r="AU10"/>
  <c r="DM6"/>
  <c r="CZ19"/>
  <c r="K155" i="18"/>
  <c r="K148"/>
  <c r="K165"/>
  <c r="K181"/>
  <c r="M129"/>
  <c r="D31" i="15"/>
  <c r="N34"/>
  <c r="D35" s="1"/>
  <c r="B30"/>
  <c r="K168" i="18"/>
  <c r="K199"/>
  <c r="K184"/>
  <c r="K151"/>
  <c r="K186"/>
  <c r="K202"/>
  <c r="K187"/>
  <c r="AR11" i="53"/>
  <c r="AR10"/>
  <c r="AR19"/>
  <c r="AS10"/>
  <c r="AS19"/>
  <c r="AS11"/>
  <c r="BE19"/>
  <c r="AQ19"/>
  <c r="AQ11"/>
  <c r="AQ10"/>
  <c r="BC19"/>
  <c r="BD19"/>
  <c r="H45" i="4" l="1"/>
  <c r="F33" i="15"/>
  <c r="E33" s="1"/>
  <c r="L5" i="14"/>
  <c r="H47" i="4"/>
  <c r="C60" s="1"/>
  <c r="L7" i="14"/>
  <c r="H24"/>
  <c r="L12"/>
  <c r="M35" i="15"/>
  <c r="K65" i="14"/>
  <c r="G25"/>
  <c r="B35" i="15"/>
  <c r="U31" s="1"/>
  <c r="D32"/>
  <c r="D36"/>
  <c r="B31"/>
  <c r="V31" s="1"/>
  <c r="L34"/>
  <c r="V30"/>
  <c r="U30" s="1"/>
  <c r="U34" l="1"/>
  <c r="Z34" s="1"/>
  <c r="M36"/>
  <c r="H25" i="14"/>
  <c r="L65"/>
  <c r="Q51" i="15"/>
  <c r="C36"/>
  <c r="B36" s="1"/>
  <c r="D37"/>
  <c r="D33"/>
  <c r="B33" s="1"/>
  <c r="B32"/>
  <c r="V32" s="1"/>
  <c r="P49" l="1"/>
  <c r="U32"/>
  <c r="U35"/>
  <c r="Q49" s="1"/>
  <c r="R51"/>
  <c r="C37"/>
  <c r="B37" s="1"/>
  <c r="V33"/>
  <c r="Z35" l="1"/>
  <c r="U36"/>
  <c r="R49" s="1"/>
  <c r="U33"/>
  <c r="Z36" l="1"/>
  <c r="E72" i="24" l="1"/>
  <c r="J91" i="18" s="1"/>
  <c r="E70" i="24"/>
  <c r="J89" i="18" s="1"/>
  <c r="E68" i="24"/>
  <c r="J87" i="18" s="1"/>
  <c r="D66" i="24"/>
  <c r="C66" l="1"/>
  <c r="I85" i="18"/>
  <c r="E67" i="24"/>
  <c r="J86" i="18" s="1"/>
  <c r="E69" i="24"/>
  <c r="J88" i="18" s="1"/>
  <c r="E71" i="24"/>
  <c r="J90" i="18" s="1"/>
  <c r="E73" i="24"/>
  <c r="J92" i="18" s="1"/>
  <c r="D70" i="24"/>
  <c r="D68"/>
  <c r="D72"/>
  <c r="D69"/>
  <c r="D71"/>
  <c r="I89" i="18" l="1"/>
  <c r="C70" i="24"/>
  <c r="I87" i="18"/>
  <c r="C68" i="24"/>
  <c r="D67"/>
  <c r="C69"/>
  <c r="I88" i="18"/>
  <c r="I90"/>
  <c r="C71" i="24"/>
  <c r="I91" i="18"/>
  <c r="C72" i="24"/>
  <c r="D73"/>
  <c r="I86" i="18" l="1"/>
  <c r="C67" i="24"/>
  <c r="I92" i="18"/>
  <c r="C73" i="24"/>
  <c r="K137" l="1"/>
  <c r="J137"/>
  <c r="K136"/>
  <c r="J136"/>
  <c r="K135"/>
  <c r="J135"/>
  <c r="K134"/>
  <c r="J134"/>
  <c r="K133"/>
  <c r="J133"/>
  <c r="K132"/>
  <c r="J132"/>
  <c r="K131"/>
  <c r="J131"/>
  <c r="K130"/>
  <c r="J130"/>
  <c r="K129"/>
  <c r="J129"/>
  <c r="K128"/>
  <c r="J128"/>
  <c r="K127"/>
  <c r="J127"/>
  <c r="K125"/>
  <c r="J125"/>
  <c r="K124"/>
  <c r="J124"/>
  <c r="K123"/>
  <c r="J123"/>
  <c r="K122"/>
  <c r="J122"/>
  <c r="K121"/>
  <c r="J121"/>
  <c r="K120"/>
  <c r="J120"/>
  <c r="K119"/>
  <c r="J119"/>
  <c r="I119" s="1"/>
  <c r="K118"/>
  <c r="J118"/>
  <c r="K117"/>
  <c r="J117"/>
  <c r="K116"/>
  <c r="J116"/>
  <c r="K115"/>
  <c r="J115"/>
  <c r="I115" s="1"/>
  <c r="K114"/>
  <c r="J114"/>
  <c r="K112"/>
  <c r="J112"/>
  <c r="I112" s="1"/>
  <c r="K111"/>
  <c r="J111"/>
  <c r="K110"/>
  <c r="J110"/>
  <c r="K109"/>
  <c r="J109"/>
  <c r="K108"/>
  <c r="J108"/>
  <c r="K107"/>
  <c r="J107"/>
  <c r="K106"/>
  <c r="J106"/>
  <c r="K105"/>
  <c r="J105"/>
  <c r="K104"/>
  <c r="J104"/>
  <c r="K103"/>
  <c r="J103"/>
  <c r="K102"/>
  <c r="J102"/>
  <c r="K101"/>
  <c r="J101"/>
  <c r="K99"/>
  <c r="J99"/>
  <c r="K98"/>
  <c r="J98"/>
  <c r="J97"/>
  <c r="I97" s="1"/>
  <c r="J96"/>
  <c r="I96" s="1"/>
  <c r="J95"/>
  <c r="I95" s="1"/>
  <c r="J94"/>
  <c r="I94" s="1"/>
  <c r="J93"/>
  <c r="I93" s="1"/>
  <c r="L110" i="18" s="1"/>
  <c r="J92" i="24"/>
  <c r="I92" s="1"/>
  <c r="L109" i="18" s="1"/>
  <c r="J91" i="24"/>
  <c r="I91" s="1"/>
  <c r="L108" i="18" s="1"/>
  <c r="J90" i="24"/>
  <c r="I90" s="1"/>
  <c r="L107" i="18" s="1"/>
  <c r="J89" i="24"/>
  <c r="I89" s="1"/>
  <c r="L106" i="18" s="1"/>
  <c r="K88" i="24"/>
  <c r="J88"/>
  <c r="K86"/>
  <c r="J86"/>
  <c r="K83"/>
  <c r="J83"/>
  <c r="K82"/>
  <c r="J82"/>
  <c r="K81"/>
  <c r="J81"/>
  <c r="J80"/>
  <c r="I80" s="1"/>
  <c r="J79"/>
  <c r="I79" s="1"/>
  <c r="K137" i="9"/>
  <c r="E137" i="24"/>
  <c r="K136" i="9"/>
  <c r="E136" i="24"/>
  <c r="K135" i="9"/>
  <c r="E135" i="24"/>
  <c r="K134" i="9"/>
  <c r="E134" i="24"/>
  <c r="K133" i="9"/>
  <c r="E133" i="24"/>
  <c r="K132" i="9"/>
  <c r="E132" i="24"/>
  <c r="K131" i="9"/>
  <c r="E131" i="24"/>
  <c r="K130" i="9"/>
  <c r="E130" i="24"/>
  <c r="K129" i="9"/>
  <c r="E129" i="24"/>
  <c r="K128" i="9"/>
  <c r="E128" i="24"/>
  <c r="K127" i="9"/>
  <c r="E127" i="24"/>
  <c r="K125" i="9"/>
  <c r="E125" i="24"/>
  <c r="K124" i="9"/>
  <c r="E124" i="24"/>
  <c r="K123" i="9"/>
  <c r="E123" i="24"/>
  <c r="K122" i="9"/>
  <c r="E122" i="24"/>
  <c r="K121" i="9"/>
  <c r="E121" i="24"/>
  <c r="K120" i="9"/>
  <c r="E120" i="24"/>
  <c r="K119" i="9"/>
  <c r="E119" i="24"/>
  <c r="K118" i="9"/>
  <c r="E118" i="24"/>
  <c r="K117" i="9"/>
  <c r="E117" i="24"/>
  <c r="K116" i="9"/>
  <c r="E116" i="24"/>
  <c r="K115" i="9"/>
  <c r="E115" i="24"/>
  <c r="K114" i="9"/>
  <c r="E114" i="24"/>
  <c r="K112" i="9"/>
  <c r="E112" i="24"/>
  <c r="K111" i="9"/>
  <c r="E111" i="24"/>
  <c r="K110" i="9"/>
  <c r="E110" i="24"/>
  <c r="K109" i="9"/>
  <c r="E109" i="24"/>
  <c r="K108" i="9"/>
  <c r="E108" i="24"/>
  <c r="K107" i="9"/>
  <c r="E107" i="24"/>
  <c r="K106" i="9"/>
  <c r="E106" i="24"/>
  <c r="K105" i="9"/>
  <c r="E105" i="24"/>
  <c r="K104" i="9"/>
  <c r="E104" i="24"/>
  <c r="K103" i="9"/>
  <c r="E103" i="24"/>
  <c r="K102" i="9"/>
  <c r="E102" i="24"/>
  <c r="K101" i="9"/>
  <c r="E101" i="24"/>
  <c r="K99" i="9"/>
  <c r="E99" i="24"/>
  <c r="K98" i="9"/>
  <c r="E98" i="24"/>
  <c r="K97" i="9"/>
  <c r="E97" i="24"/>
  <c r="K96" i="9"/>
  <c r="E96" i="24"/>
  <c r="K95" i="9"/>
  <c r="E95" i="24"/>
  <c r="K94" i="9"/>
  <c r="E94" i="24"/>
  <c r="K93" i="9"/>
  <c r="E93" i="24"/>
  <c r="J110" i="18" s="1"/>
  <c r="K92" i="9"/>
  <c r="H110" i="18" s="1"/>
  <c r="F212" s="1"/>
  <c r="J212" s="1"/>
  <c r="E92" i="24"/>
  <c r="J109" i="18" s="1"/>
  <c r="K91" i="9"/>
  <c r="H109" i="18" s="1"/>
  <c r="F211" s="1"/>
  <c r="J211" s="1"/>
  <c r="E91" i="24"/>
  <c r="J108" i="18" s="1"/>
  <c r="K90" i="9"/>
  <c r="H108" i="18" s="1"/>
  <c r="F210" s="1"/>
  <c r="J210" s="1"/>
  <c r="E90" i="24"/>
  <c r="J107" i="18" s="1"/>
  <c r="K89" i="9"/>
  <c r="H107" i="18" s="1"/>
  <c r="F209" s="1"/>
  <c r="J209" s="1"/>
  <c r="E89" i="24"/>
  <c r="J106" i="18" s="1"/>
  <c r="K88" i="9"/>
  <c r="H106" i="18" s="1"/>
  <c r="F208" s="1"/>
  <c r="J208" s="1"/>
  <c r="E88" i="24"/>
  <c r="J137" i="9"/>
  <c r="I137"/>
  <c r="H137"/>
  <c r="J136"/>
  <c r="I136"/>
  <c r="H136"/>
  <c r="J135"/>
  <c r="I135"/>
  <c r="H135"/>
  <c r="G135" s="1"/>
  <c r="J134"/>
  <c r="I134"/>
  <c r="H134"/>
  <c r="J133"/>
  <c r="I133"/>
  <c r="H133"/>
  <c r="J132"/>
  <c r="I132"/>
  <c r="H132"/>
  <c r="J131"/>
  <c r="I131"/>
  <c r="H131"/>
  <c r="G131" s="1"/>
  <c r="J130"/>
  <c r="I130"/>
  <c r="H130"/>
  <c r="J129"/>
  <c r="I129"/>
  <c r="H129"/>
  <c r="J128"/>
  <c r="I128"/>
  <c r="H128"/>
  <c r="J127"/>
  <c r="I127"/>
  <c r="H127"/>
  <c r="G127" s="1"/>
  <c r="J125"/>
  <c r="I125"/>
  <c r="H125"/>
  <c r="J124"/>
  <c r="I124"/>
  <c r="H124"/>
  <c r="J123"/>
  <c r="I123"/>
  <c r="H123"/>
  <c r="J122"/>
  <c r="I122"/>
  <c r="H122"/>
  <c r="G122" s="1"/>
  <c r="J121"/>
  <c r="I121"/>
  <c r="H121"/>
  <c r="J120"/>
  <c r="I120"/>
  <c r="H120"/>
  <c r="J119"/>
  <c r="I119"/>
  <c r="H119"/>
  <c r="J118"/>
  <c r="I118"/>
  <c r="H118"/>
  <c r="G118" s="1"/>
  <c r="J117"/>
  <c r="I117"/>
  <c r="H117"/>
  <c r="J116"/>
  <c r="I116"/>
  <c r="H116"/>
  <c r="J115"/>
  <c r="I115"/>
  <c r="H115"/>
  <c r="D115"/>
  <c r="J114"/>
  <c r="I114"/>
  <c r="H114"/>
  <c r="J112"/>
  <c r="I112"/>
  <c r="H112"/>
  <c r="J111"/>
  <c r="I111"/>
  <c r="H111"/>
  <c r="J110"/>
  <c r="I110"/>
  <c r="H110"/>
  <c r="J109"/>
  <c r="I109"/>
  <c r="H109"/>
  <c r="J108"/>
  <c r="I108"/>
  <c r="H108"/>
  <c r="J107"/>
  <c r="I107"/>
  <c r="H107"/>
  <c r="J106"/>
  <c r="I106"/>
  <c r="H106"/>
  <c r="J105"/>
  <c r="I105"/>
  <c r="H105"/>
  <c r="J104"/>
  <c r="I104"/>
  <c r="H104"/>
  <c r="J103"/>
  <c r="I103"/>
  <c r="H103"/>
  <c r="J102"/>
  <c r="I102"/>
  <c r="H102"/>
  <c r="J101"/>
  <c r="I101"/>
  <c r="H101"/>
  <c r="J99"/>
  <c r="I99"/>
  <c r="H99"/>
  <c r="J98"/>
  <c r="I98"/>
  <c r="H98"/>
  <c r="J97"/>
  <c r="I97"/>
  <c r="H97"/>
  <c r="J96"/>
  <c r="I96"/>
  <c r="H96"/>
  <c r="J95"/>
  <c r="I95"/>
  <c r="H95"/>
  <c r="J94"/>
  <c r="I94"/>
  <c r="H94"/>
  <c r="J93"/>
  <c r="I93"/>
  <c r="H93"/>
  <c r="J92"/>
  <c r="G110" i="18" s="1"/>
  <c r="E212" s="1"/>
  <c r="I212" s="1"/>
  <c r="I92" i="9"/>
  <c r="F110" i="18" s="1"/>
  <c r="H92" i="9"/>
  <c r="J91"/>
  <c r="G109" i="18" s="1"/>
  <c r="E211" s="1"/>
  <c r="I211" s="1"/>
  <c r="I91" i="9"/>
  <c r="F109" i="18" s="1"/>
  <c r="H91" i="9"/>
  <c r="J90"/>
  <c r="G108" i="18" s="1"/>
  <c r="E210" s="1"/>
  <c r="I210" s="1"/>
  <c r="I90" i="9"/>
  <c r="F108" i="18" s="1"/>
  <c r="H90" i="9"/>
  <c r="J89"/>
  <c r="G107" i="18" s="1"/>
  <c r="E209" s="1"/>
  <c r="I209" s="1"/>
  <c r="I89" i="9"/>
  <c r="F107" i="18" s="1"/>
  <c r="H89" i="9"/>
  <c r="J88"/>
  <c r="G106" i="18" s="1"/>
  <c r="E208" s="1"/>
  <c r="I208" s="1"/>
  <c r="I88" i="9"/>
  <c r="F106" i="18" s="1"/>
  <c r="H88" i="9"/>
  <c r="D86"/>
  <c r="D85"/>
  <c r="D84"/>
  <c r="D83"/>
  <c r="D82"/>
  <c r="D73"/>
  <c r="D72"/>
  <c r="D71"/>
  <c r="D70"/>
  <c r="D69"/>
  <c r="F118" l="1"/>
  <c r="E118" s="1"/>
  <c r="F122"/>
  <c r="E122" s="1"/>
  <c r="F127"/>
  <c r="E127" s="1"/>
  <c r="F131"/>
  <c r="E131" s="1"/>
  <c r="F135"/>
  <c r="E135" s="1"/>
  <c r="G129"/>
  <c r="G133"/>
  <c r="F133" s="1"/>
  <c r="E133" s="1"/>
  <c r="G137"/>
  <c r="F137" s="1"/>
  <c r="E137" s="1"/>
  <c r="F129"/>
  <c r="E129" s="1"/>
  <c r="G96"/>
  <c r="F96" s="1"/>
  <c r="E96" s="1"/>
  <c r="G101"/>
  <c r="F101" s="1"/>
  <c r="E101" s="1"/>
  <c r="G105"/>
  <c r="F105" s="1"/>
  <c r="E105" s="1"/>
  <c r="G109"/>
  <c r="F109" s="1"/>
  <c r="E109" s="1"/>
  <c r="G114"/>
  <c r="F114" s="1"/>
  <c r="E114" s="1"/>
  <c r="G120"/>
  <c r="F120" s="1"/>
  <c r="E120" s="1"/>
  <c r="G124"/>
  <c r="F124" s="1"/>
  <c r="E124" s="1"/>
  <c r="I82" i="24"/>
  <c r="I86"/>
  <c r="C86" s="1"/>
  <c r="I123"/>
  <c r="I130"/>
  <c r="I134"/>
  <c r="C89" i="18"/>
  <c r="C69" i="9"/>
  <c r="C93" i="18"/>
  <c r="C73" i="9"/>
  <c r="C83"/>
  <c r="C102" i="18"/>
  <c r="G88" i="9"/>
  <c r="F88" s="1"/>
  <c r="E88" s="1"/>
  <c r="E106" i="18"/>
  <c r="D106" s="1"/>
  <c r="D208" s="1"/>
  <c r="H208" s="1"/>
  <c r="E110"/>
  <c r="D110" s="1"/>
  <c r="D212" s="1"/>
  <c r="H212" s="1"/>
  <c r="G92" i="9"/>
  <c r="F92" s="1"/>
  <c r="E92" s="1"/>
  <c r="C80" i="24"/>
  <c r="L98" i="18"/>
  <c r="C82" i="24"/>
  <c r="L100" i="18"/>
  <c r="C92"/>
  <c r="C72" i="9"/>
  <c r="C101" i="18"/>
  <c r="C82" i="9"/>
  <c r="G89"/>
  <c r="F89" s="1"/>
  <c r="E89" s="1"/>
  <c r="E107" i="18"/>
  <c r="D107" s="1"/>
  <c r="D209" s="1"/>
  <c r="H209" s="1"/>
  <c r="C79" i="24"/>
  <c r="L97" i="18"/>
  <c r="G93" i="9"/>
  <c r="F93" s="1"/>
  <c r="E93" s="1"/>
  <c r="G97"/>
  <c r="F97" s="1"/>
  <c r="E97" s="1"/>
  <c r="G102"/>
  <c r="F102" s="1"/>
  <c r="E102" s="1"/>
  <c r="G106"/>
  <c r="F106" s="1"/>
  <c r="E106" s="1"/>
  <c r="G110"/>
  <c r="F110" s="1"/>
  <c r="E110" s="1"/>
  <c r="G115"/>
  <c r="F115" s="1"/>
  <c r="E115" s="1"/>
  <c r="C115" s="1"/>
  <c r="G119"/>
  <c r="F119" s="1"/>
  <c r="E119" s="1"/>
  <c r="G123"/>
  <c r="F123" s="1"/>
  <c r="E123" s="1"/>
  <c r="G128"/>
  <c r="F128" s="1"/>
  <c r="E128" s="1"/>
  <c r="G132"/>
  <c r="F132" s="1"/>
  <c r="E132" s="1"/>
  <c r="G136"/>
  <c r="F136" s="1"/>
  <c r="E136" s="1"/>
  <c r="I88" i="24"/>
  <c r="I103"/>
  <c r="I107"/>
  <c r="I111"/>
  <c r="I114"/>
  <c r="I118"/>
  <c r="I122"/>
  <c r="I129"/>
  <c r="I133"/>
  <c r="I137"/>
  <c r="C71" i="9"/>
  <c r="C91" i="18"/>
  <c r="E108"/>
  <c r="D108" s="1"/>
  <c r="D210" s="1"/>
  <c r="H210" s="1"/>
  <c r="G90" i="9"/>
  <c r="F90" s="1"/>
  <c r="E90" s="1"/>
  <c r="G94"/>
  <c r="F94" s="1"/>
  <c r="E94" s="1"/>
  <c r="G98"/>
  <c r="F98" s="1"/>
  <c r="E98" s="1"/>
  <c r="G103"/>
  <c r="F103" s="1"/>
  <c r="E103" s="1"/>
  <c r="G107"/>
  <c r="F107" s="1"/>
  <c r="E107" s="1"/>
  <c r="G111"/>
  <c r="F111" s="1"/>
  <c r="E111" s="1"/>
  <c r="G116"/>
  <c r="F116" s="1"/>
  <c r="E116" s="1"/>
  <c r="I81" i="24"/>
  <c r="I83"/>
  <c r="I99"/>
  <c r="I102"/>
  <c r="I106"/>
  <c r="I110"/>
  <c r="I117"/>
  <c r="I121"/>
  <c r="I125"/>
  <c r="I128"/>
  <c r="I132"/>
  <c r="I136"/>
  <c r="C90" i="18"/>
  <c r="C70" i="9"/>
  <c r="C84"/>
  <c r="C103" i="18"/>
  <c r="C85" i="9"/>
  <c r="C104" i="18"/>
  <c r="C86" i="9"/>
  <c r="C105" i="18"/>
  <c r="G91" i="9"/>
  <c r="F91" s="1"/>
  <c r="E91" s="1"/>
  <c r="E109" i="18"/>
  <c r="D109" s="1"/>
  <c r="D211" s="1"/>
  <c r="H211" s="1"/>
  <c r="G95" i="9"/>
  <c r="F95" s="1"/>
  <c r="E95" s="1"/>
  <c r="G99"/>
  <c r="F99" s="1"/>
  <c r="E99" s="1"/>
  <c r="G104"/>
  <c r="F104" s="1"/>
  <c r="E104" s="1"/>
  <c r="G108"/>
  <c r="F108" s="1"/>
  <c r="E108" s="1"/>
  <c r="G112"/>
  <c r="F112" s="1"/>
  <c r="E112" s="1"/>
  <c r="G117"/>
  <c r="F117" s="1"/>
  <c r="E117" s="1"/>
  <c r="G121"/>
  <c r="F121" s="1"/>
  <c r="E121" s="1"/>
  <c r="G125"/>
  <c r="F125" s="1"/>
  <c r="E125" s="1"/>
  <c r="G130"/>
  <c r="F130" s="1"/>
  <c r="E130" s="1"/>
  <c r="G134"/>
  <c r="F134" s="1"/>
  <c r="E134" s="1"/>
  <c r="I98" i="24"/>
  <c r="I101"/>
  <c r="I104"/>
  <c r="I105"/>
  <c r="I108"/>
  <c r="I109"/>
  <c r="I116"/>
  <c r="I120"/>
  <c r="I124"/>
  <c r="I127"/>
  <c r="I131"/>
  <c r="I135"/>
  <c r="D137" i="9"/>
  <c r="D103"/>
  <c r="C103" s="1"/>
  <c r="D121"/>
  <c r="C121" s="1"/>
  <c r="D125"/>
  <c r="D101"/>
  <c r="C101" s="1"/>
  <c r="D124"/>
  <c r="C124" s="1"/>
  <c r="D123" i="24"/>
  <c r="C123" s="1"/>
  <c r="D118"/>
  <c r="C118" s="1"/>
  <c r="D117" i="9"/>
  <c r="D135"/>
  <c r="C135" s="1"/>
  <c r="D130"/>
  <c r="C130" s="1"/>
  <c r="D88" i="24"/>
  <c r="C88" s="1"/>
  <c r="D92"/>
  <c r="D128"/>
  <c r="C128" s="1"/>
  <c r="D109" i="9"/>
  <c r="D118"/>
  <c r="C118" s="1"/>
  <c r="D98" i="24"/>
  <c r="C98" s="1"/>
  <c r="D108"/>
  <c r="D136"/>
  <c r="D123" i="9"/>
  <c r="C123" s="1"/>
  <c r="D129"/>
  <c r="C129" s="1"/>
  <c r="D133"/>
  <c r="D111"/>
  <c r="C111" s="1"/>
  <c r="D120" i="24"/>
  <c r="C120" s="1"/>
  <c r="D124"/>
  <c r="C124" s="1"/>
  <c r="D119" i="9"/>
  <c r="C119" s="1"/>
  <c r="D120"/>
  <c r="C120" s="1"/>
  <c r="D110" i="24"/>
  <c r="C110" s="1"/>
  <c r="D105" i="9"/>
  <c r="C105" s="1"/>
  <c r="D107"/>
  <c r="C107" s="1"/>
  <c r="D102" i="24"/>
  <c r="D130"/>
  <c r="C130" s="1"/>
  <c r="D94"/>
  <c r="C94" s="1"/>
  <c r="D96"/>
  <c r="C96" s="1"/>
  <c r="D104"/>
  <c r="C104" s="1"/>
  <c r="D106"/>
  <c r="C106" s="1"/>
  <c r="D114"/>
  <c r="C114" s="1"/>
  <c r="D115"/>
  <c r="C115" s="1"/>
  <c r="D116"/>
  <c r="C116" s="1"/>
  <c r="D122"/>
  <c r="C122" s="1"/>
  <c r="D132"/>
  <c r="D134"/>
  <c r="C134" s="1"/>
  <c r="D90"/>
  <c r="D112"/>
  <c r="C112" s="1"/>
  <c r="D119"/>
  <c r="C119" s="1"/>
  <c r="D106" i="9"/>
  <c r="C106" s="1"/>
  <c r="D127"/>
  <c r="C127" s="1"/>
  <c r="D136"/>
  <c r="C136" s="1"/>
  <c r="D102"/>
  <c r="C102" s="1"/>
  <c r="D110"/>
  <c r="C110" s="1"/>
  <c r="D116"/>
  <c r="C116" s="1"/>
  <c r="D128"/>
  <c r="D131"/>
  <c r="C131" s="1"/>
  <c r="D132"/>
  <c r="C132" s="1"/>
  <c r="D88"/>
  <c r="D89"/>
  <c r="D90"/>
  <c r="D91"/>
  <c r="D92"/>
  <c r="D93"/>
  <c r="D94"/>
  <c r="C94" s="1"/>
  <c r="D95"/>
  <c r="C95" s="1"/>
  <c r="D96"/>
  <c r="C96" s="1"/>
  <c r="D97"/>
  <c r="C97" s="1"/>
  <c r="D98"/>
  <c r="C98" s="1"/>
  <c r="D99"/>
  <c r="C99" s="1"/>
  <c r="D104"/>
  <c r="C104" s="1"/>
  <c r="D108"/>
  <c r="D112"/>
  <c r="C112" s="1"/>
  <c r="D114"/>
  <c r="C114" s="1"/>
  <c r="D122"/>
  <c r="C122" s="1"/>
  <c r="D134"/>
  <c r="C134" s="1"/>
  <c r="D103" i="24"/>
  <c r="C103" s="1"/>
  <c r="D111"/>
  <c r="D121"/>
  <c r="D97"/>
  <c r="C97" s="1"/>
  <c r="D131"/>
  <c r="D107"/>
  <c r="D117"/>
  <c r="C117" s="1"/>
  <c r="D125"/>
  <c r="C125" s="1"/>
  <c r="D89"/>
  <c r="D93"/>
  <c r="D127"/>
  <c r="C127" s="1"/>
  <c r="D135"/>
  <c r="C135" s="1"/>
  <c r="D91"/>
  <c r="D95"/>
  <c r="C95" s="1"/>
  <c r="D99"/>
  <c r="C99" s="1"/>
  <c r="D101"/>
  <c r="C101" s="1"/>
  <c r="D105"/>
  <c r="D109"/>
  <c r="C109" s="1"/>
  <c r="D129"/>
  <c r="C129" s="1"/>
  <c r="D133"/>
  <c r="C133" s="1"/>
  <c r="D137"/>
  <c r="C137" s="1"/>
  <c r="C133" i="9" l="1"/>
  <c r="C108"/>
  <c r="C93"/>
  <c r="C128"/>
  <c r="C117"/>
  <c r="C137"/>
  <c r="C109"/>
  <c r="C125"/>
  <c r="L104" i="18"/>
  <c r="C121" i="24"/>
  <c r="C102"/>
  <c r="C136"/>
  <c r="C105"/>
  <c r="C131"/>
  <c r="C132"/>
  <c r="C107"/>
  <c r="C111"/>
  <c r="C108"/>
  <c r="C108" i="18"/>
  <c r="C90" i="9"/>
  <c r="C90" i="24"/>
  <c r="I107" i="18"/>
  <c r="B104"/>
  <c r="C206"/>
  <c r="C193"/>
  <c r="G193" s="1"/>
  <c r="K193" s="1"/>
  <c r="B91"/>
  <c r="B92"/>
  <c r="C194"/>
  <c r="G194" s="1"/>
  <c r="K194" s="1"/>
  <c r="B89"/>
  <c r="C191"/>
  <c r="G191" s="1"/>
  <c r="K191" s="1"/>
  <c r="C91" i="24"/>
  <c r="I108" i="18"/>
  <c r="C91" i="9"/>
  <c r="C109" i="18"/>
  <c r="C204"/>
  <c r="B102"/>
  <c r="C110"/>
  <c r="C92" i="9"/>
  <c r="C106" i="18"/>
  <c r="C88" i="9"/>
  <c r="C207" i="18"/>
  <c r="B105"/>
  <c r="C205"/>
  <c r="B103"/>
  <c r="C81" i="24"/>
  <c r="L99" i="18"/>
  <c r="C203"/>
  <c r="B101"/>
  <c r="B93"/>
  <c r="C195"/>
  <c r="G195" s="1"/>
  <c r="K195" s="1"/>
  <c r="C93" i="24"/>
  <c r="I110" i="18"/>
  <c r="C89" i="24"/>
  <c r="I106" i="18"/>
  <c r="C107"/>
  <c r="C89" i="9"/>
  <c r="I109" i="18"/>
  <c r="C92" i="24"/>
  <c r="B90" i="18"/>
  <c r="C192"/>
  <c r="G192" s="1"/>
  <c r="K192" s="1"/>
  <c r="C83" i="24"/>
  <c r="L101" i="18"/>
  <c r="B207" l="1"/>
  <c r="I204"/>
  <c r="H204"/>
  <c r="J204"/>
  <c r="B192"/>
  <c r="C209"/>
  <c r="G209" s="1"/>
  <c r="K209" s="1"/>
  <c r="B107"/>
  <c r="B209" s="1"/>
  <c r="B106"/>
  <c r="B208" s="1"/>
  <c r="C208"/>
  <c r="G208" s="1"/>
  <c r="K208" s="1"/>
  <c r="H206"/>
  <c r="B194"/>
  <c r="J206"/>
  <c r="I206"/>
  <c r="B108"/>
  <c r="B210" s="1"/>
  <c r="C210"/>
  <c r="G210" s="1"/>
  <c r="K210" s="1"/>
  <c r="G203"/>
  <c r="G205"/>
  <c r="G204"/>
  <c r="B206"/>
  <c r="B203"/>
  <c r="B205"/>
  <c r="B204"/>
  <c r="G206"/>
  <c r="I207"/>
  <c r="J207"/>
  <c r="H207"/>
  <c r="B195"/>
  <c r="B110"/>
  <c r="B212" s="1"/>
  <c r="C212"/>
  <c r="G212" s="1"/>
  <c r="K212" s="1"/>
  <c r="I203"/>
  <c r="H203"/>
  <c r="J203"/>
  <c r="B191"/>
  <c r="G207"/>
  <c r="C211"/>
  <c r="G211" s="1"/>
  <c r="K211" s="1"/>
  <c r="B109"/>
  <c r="B211" s="1"/>
  <c r="I205"/>
  <c r="J205"/>
  <c r="B193"/>
  <c r="H205"/>
  <c r="K203" l="1"/>
  <c r="K207"/>
  <c r="K205"/>
  <c r="K206"/>
  <c r="K204"/>
</calcChain>
</file>

<file path=xl/comments1.xml><?xml version="1.0" encoding="utf-8"?>
<comments xmlns="http://schemas.openxmlformats.org/spreadsheetml/2006/main">
  <authors>
    <author>rinzi</author>
  </authors>
  <commentList>
    <comment ref="G46" authorId="0">
      <text>
        <r>
          <rPr>
            <b/>
            <sz val="8"/>
            <color indexed="81"/>
            <rFont val="Tahoma"/>
            <family val="2"/>
          </rPr>
          <t>rinzi:</t>
        </r>
        <r>
          <rPr>
            <sz val="8"/>
            <color indexed="81"/>
            <rFont val="Tahoma"/>
            <family val="2"/>
          </rPr>
          <t xml:space="preserve">
3%- 3 year average of contribution of net inflow 
 to the reserves</t>
        </r>
      </text>
    </comment>
    <comment ref="H46" authorId="0">
      <text>
        <r>
          <rPr>
            <b/>
            <sz val="8"/>
            <color indexed="81"/>
            <rFont val="Tahoma"/>
            <family val="2"/>
          </rPr>
          <t>rinzi:</t>
        </r>
        <r>
          <rPr>
            <sz val="8"/>
            <color indexed="81"/>
            <rFont val="Tahoma"/>
            <family val="2"/>
          </rPr>
          <t xml:space="preserve">
20% of the netflow added to the 2006 reserves, 2007 being thefull year of tala contribution
</t>
        </r>
      </text>
    </comment>
  </commentList>
</comments>
</file>

<file path=xl/comments2.xml><?xml version="1.0" encoding="utf-8"?>
<comments xmlns="http://schemas.openxmlformats.org/spreadsheetml/2006/main">
  <authors>
    <author>rinzi</author>
  </authors>
  <commentList>
    <comment ref="C86" authorId="0">
      <text>
        <r>
          <rPr>
            <b/>
            <sz val="8"/>
            <color indexed="81"/>
            <rFont val="Tahoma"/>
            <family val="2"/>
          </rPr>
          <t>rinzi:</t>
        </r>
        <r>
          <rPr>
            <sz val="8"/>
            <color indexed="81"/>
            <rFont val="Tahoma"/>
            <family val="2"/>
          </rPr>
          <t xml:space="preserve">
20 percent of 4238.4 MU</t>
        </r>
      </text>
    </comment>
  </commentList>
</comments>
</file>

<file path=xl/comments3.xml><?xml version="1.0" encoding="utf-8"?>
<comments xmlns="http://schemas.openxmlformats.org/spreadsheetml/2006/main">
  <authors>
    <author>Rinzin Lhamu</author>
  </authors>
  <commentList>
    <comment ref="U6" authorId="0">
      <text>
        <r>
          <rPr>
            <b/>
            <sz val="8"/>
            <color indexed="81"/>
            <rFont val="Tahoma"/>
            <family val="2"/>
          </rPr>
          <t>Rinzin Lhamu:</t>
        </r>
        <r>
          <rPr>
            <sz val="8"/>
            <color indexed="81"/>
            <rFont val="Tahoma"/>
            <family val="2"/>
          </rPr>
          <t xml:space="preserve">
As per NSB's report</t>
        </r>
      </text>
    </comment>
  </commentList>
</comments>
</file>

<file path=xl/comments4.xml><?xml version="1.0" encoding="utf-8"?>
<comments xmlns="http://schemas.openxmlformats.org/spreadsheetml/2006/main">
  <authors>
    <author>kinleypem</author>
    <author>chenchod</author>
  </authors>
  <commentList>
    <comment ref="BU6" authorId="0">
      <text>
        <r>
          <rPr>
            <b/>
            <sz val="8"/>
            <color indexed="81"/>
            <rFont val="Tahoma"/>
            <family val="2"/>
          </rPr>
          <t>kinleypem:</t>
        </r>
        <r>
          <rPr>
            <sz val="8"/>
            <color indexed="81"/>
            <rFont val="Tahoma"/>
            <family val="2"/>
          </rPr>
          <t xml:space="preserve">
adjustment for both rupee and CC reserves are made w.e.f July 2007</t>
        </r>
      </text>
    </comment>
    <comment ref="BA11" authorId="1">
      <text>
        <r>
          <rPr>
            <b/>
            <sz val="8"/>
            <color indexed="81"/>
            <rFont val="Tahoma"/>
            <family val="2"/>
          </rPr>
          <t>chenchod:</t>
        </r>
        <r>
          <rPr>
            <sz val="8"/>
            <color indexed="81"/>
            <rFont val="Tahoma"/>
            <family val="2"/>
          </rPr>
          <t xml:space="preserve">
RMA has receive nu. 2 billion from BOB , which is their excess over their working balance.</t>
        </r>
      </text>
    </comment>
    <comment ref="B26" authorId="0">
      <text>
        <r>
          <rPr>
            <b/>
            <sz val="8"/>
            <color indexed="81"/>
            <rFont val="Tahoma"/>
            <family val="2"/>
          </rPr>
          <t>kinleypem:</t>
        </r>
        <r>
          <rPr>
            <sz val="8"/>
            <color indexed="81"/>
            <rFont val="Tahoma"/>
            <family val="2"/>
          </rPr>
          <t xml:space="preserve">
Kuwait Fund to be deducted from RMA Reserves</t>
        </r>
      </text>
    </comment>
    <comment ref="BU26" authorId="0">
      <text>
        <r>
          <rPr>
            <b/>
            <sz val="8"/>
            <color indexed="81"/>
            <rFont val="Tahoma"/>
            <family val="2"/>
          </rPr>
          <t>kinleypem:</t>
        </r>
        <r>
          <rPr>
            <sz val="8"/>
            <color indexed="81"/>
            <rFont val="Tahoma"/>
            <family val="2"/>
          </rPr>
          <t xml:space="preserve">
Deducted Kuwait Fund, Source Banking Dept, RMA Balancesheet</t>
        </r>
      </text>
    </comment>
  </commentList>
</comments>
</file>

<file path=xl/comments5.xml><?xml version="1.0" encoding="utf-8"?>
<comments xmlns="http://schemas.openxmlformats.org/spreadsheetml/2006/main">
  <authors>
    <author>rinzin lhamu</author>
    <author>pdechen</author>
  </authors>
  <commentList>
    <comment ref="X10" authorId="0">
      <text>
        <r>
          <rPr>
            <b/>
            <sz val="8"/>
            <color indexed="81"/>
            <rFont val="Tahoma"/>
            <family val="2"/>
          </rPr>
          <t>rinzin lhamu:</t>
        </r>
        <r>
          <rPr>
            <sz val="8"/>
            <color indexed="81"/>
            <rFont val="Tahoma"/>
            <family val="2"/>
          </rPr>
          <t xml:space="preserve">
Change exchange rate and BOP when it becomes available</t>
        </r>
      </text>
    </comment>
    <comment ref="AH13" authorId="1">
      <text>
        <r>
          <rPr>
            <b/>
            <sz val="10"/>
            <color indexed="81"/>
            <rFont val="Tahoma"/>
            <family val="2"/>
          </rPr>
          <t>pdechen:</t>
        </r>
        <r>
          <rPr>
            <sz val="10"/>
            <color indexed="81"/>
            <rFont val="Tahoma"/>
            <family val="2"/>
          </rPr>
          <t xml:space="preserve">
Chencho has revised reserves from May 2005 onwards to delete Issue Division's forex deposits held abroad (double counting).</t>
        </r>
      </text>
    </comment>
  </commentList>
</comments>
</file>

<file path=xl/sharedStrings.xml><?xml version="1.0" encoding="utf-8"?>
<sst xmlns="http://schemas.openxmlformats.org/spreadsheetml/2006/main" count="10233" uniqueCount="2106">
  <si>
    <t>Annual change</t>
  </si>
  <si>
    <t>Forecast</t>
  </si>
  <si>
    <t>Baseline</t>
  </si>
  <si>
    <t>Oct-04</t>
  </si>
  <si>
    <t>Mar-11</t>
  </si>
  <si>
    <t>Mar-18</t>
  </si>
  <si>
    <t>Mar-25</t>
  </si>
  <si>
    <t xml:space="preserve">   Rupee reserves (in millions of Rupees)</t>
  </si>
  <si>
    <t xml:space="preserve">   Convertible currency reserves (in millions of USD)</t>
  </si>
  <si>
    <t>RMA RESERVES (Total in USD millions)</t>
  </si>
  <si>
    <t>MONTHS OF IMPORT</t>
  </si>
  <si>
    <t xml:space="preserve">   RUPEE</t>
  </si>
  <si>
    <t xml:space="preserve">   CONVERTIBLE CURRENCY</t>
  </si>
  <si>
    <t>Money Supply</t>
  </si>
  <si>
    <t>Net Foreign Assets</t>
  </si>
  <si>
    <t>Other Determinants (OIN)</t>
  </si>
  <si>
    <t>Pvt. Sector</t>
  </si>
  <si>
    <t>3=4+5+6</t>
  </si>
  <si>
    <t>Percent</t>
  </si>
  <si>
    <t>Annual Growth in M2 (%)</t>
  </si>
  <si>
    <t>RM (from RMA table 5 in SEI)</t>
  </si>
  <si>
    <t xml:space="preserve">  CC Financing of Total Imports (in months)</t>
  </si>
  <si>
    <t>Contribution to BM:</t>
  </si>
  <si>
    <t>Pvt. Cr</t>
  </si>
  <si>
    <t>RM</t>
  </si>
  <si>
    <t>Corp</t>
  </si>
  <si>
    <t>17=17+18+19+20</t>
  </si>
  <si>
    <t>1=2+3+7</t>
  </si>
  <si>
    <t>Apr-01</t>
  </si>
  <si>
    <t>Apr-08</t>
  </si>
  <si>
    <t>Apr-15</t>
  </si>
  <si>
    <t>Apr-22</t>
  </si>
  <si>
    <t>Apr-29</t>
  </si>
  <si>
    <t>May-06</t>
  </si>
  <si>
    <t>May-13</t>
  </si>
  <si>
    <t>May-20</t>
  </si>
  <si>
    <t>May-27</t>
  </si>
  <si>
    <t>Jun-10</t>
  </si>
  <si>
    <t>Jun-17</t>
  </si>
  <si>
    <t>Jun-24</t>
  </si>
  <si>
    <t>2006(f)</t>
  </si>
  <si>
    <t>Jul-01</t>
  </si>
  <si>
    <t>Jul-08</t>
  </si>
  <si>
    <t>Sep-06</t>
  </si>
  <si>
    <t>Jul-15</t>
  </si>
  <si>
    <t>Jul-22</t>
  </si>
  <si>
    <t>Jul-29</t>
  </si>
  <si>
    <t>Aug-05</t>
  </si>
  <si>
    <t>Two month moving average Components</t>
  </si>
  <si>
    <t>2005Jan</t>
  </si>
  <si>
    <t>Real Sector</t>
  </si>
  <si>
    <t>Agriculture will grow by</t>
  </si>
  <si>
    <t>Mining, Manufacturing and the rest except electricity and construction will grow at 5 year average</t>
  </si>
  <si>
    <t>Monetary Sector</t>
  </si>
  <si>
    <t>Construction</t>
  </si>
  <si>
    <t>We assume 0% growth when tala is commissioned</t>
  </si>
  <si>
    <t>Yearl average of M2 and its components</t>
  </si>
  <si>
    <t>1997Jan</t>
  </si>
  <si>
    <t xml:space="preserve">2004 Jan </t>
  </si>
  <si>
    <t>Yearl average of M2 and its counterparts</t>
  </si>
  <si>
    <t>Change</t>
  </si>
  <si>
    <t>Changes from the previous year (Nu. millions)</t>
  </si>
  <si>
    <t>C (Pvt)</t>
  </si>
  <si>
    <t>Contribution to M2</t>
  </si>
  <si>
    <t>C in C</t>
  </si>
  <si>
    <t>DD</t>
  </si>
  <si>
    <t>17=13/Mt-1*100</t>
  </si>
  <si>
    <t>18=14/Mt-1*100</t>
  </si>
  <si>
    <t>19=15/Mt-1*101</t>
  </si>
  <si>
    <t>20=16/Mt-1*100</t>
  </si>
  <si>
    <t>25=21/Mt-1*100</t>
  </si>
  <si>
    <t>26=22/Mt-1*100</t>
  </si>
  <si>
    <t>27=23/Mt-1*101</t>
  </si>
  <si>
    <t>28=24/Mt-1*100</t>
  </si>
  <si>
    <t>29=25+28</t>
  </si>
  <si>
    <t>2005 Jan</t>
  </si>
  <si>
    <t>C (rest)</t>
  </si>
  <si>
    <t>Income</t>
  </si>
  <si>
    <t>Current Transfers</t>
  </si>
  <si>
    <t>IMF average projected CPI</t>
  </si>
  <si>
    <t>2001/02 (p)</t>
  </si>
  <si>
    <t>Net Current Transfers</t>
  </si>
  <si>
    <t>Feb-06</t>
  </si>
  <si>
    <t>Mar-06</t>
  </si>
  <si>
    <t>Total (including service imports)</t>
  </si>
  <si>
    <t>Total (excluding service imports)</t>
  </si>
  <si>
    <r>
      <t>1</t>
    </r>
    <r>
      <rPr>
        <sz val="10"/>
        <rFont val="Arial"/>
        <family val="2"/>
      </rPr>
      <t xml:space="preserve">In all prior BOP publications (data till 2000/2001), Services, Income and Transfer Receipts and Payments (also known as 'Invisibles') were grouped as Service Transfer Receipts and Service Transfer Payments. This format has now been altered to match IMF BOP Standards. Therefore, from 1995/1996, Invisibles are thereafter classified under Net Services, Income and Current Transfers. Kindly refer to the BOP Guide included in the text. </t>
    </r>
  </si>
  <si>
    <t xml:space="preserve">     Capital Transfers </t>
  </si>
  <si>
    <t xml:space="preserve">     Other Investment</t>
  </si>
  <si>
    <t xml:space="preserve">     Capital Transfers</t>
  </si>
  <si>
    <t>Feb-23</t>
  </si>
  <si>
    <t>Mar-02</t>
  </si>
  <si>
    <t>Mar-09</t>
  </si>
  <si>
    <t>Mar-16</t>
  </si>
  <si>
    <t>Mar-23</t>
  </si>
  <si>
    <t>12.25-12.50</t>
  </si>
  <si>
    <t>Jan-08</t>
  </si>
  <si>
    <r>
      <t>2</t>
    </r>
    <r>
      <rPr>
        <sz val="10"/>
        <rFont val="Arial"/>
        <family val="2"/>
      </rPr>
      <t>As above, in all prior BOP publications (data till 2000/2001), the Grant component was included in the Capital and Financial Account under Net Foreign Aid. From 1995/1996 onwards, as per IMF standards, Grants are treated as a Current Transfer receipt.</t>
    </r>
  </si>
  <si>
    <t>Current a/c to GDP</t>
  </si>
  <si>
    <t>Exports</t>
  </si>
  <si>
    <t>Imports</t>
  </si>
  <si>
    <t>Total Grants in USD</t>
  </si>
  <si>
    <t>for mof report</t>
  </si>
  <si>
    <t>FDI</t>
  </si>
  <si>
    <t>Foreign Aid (Loans)</t>
  </si>
  <si>
    <t>Net Errors and Ommissions</t>
  </si>
  <si>
    <t>1990/00</t>
  </si>
  <si>
    <t>BOP With India</t>
  </si>
  <si>
    <t>for powerpoint</t>
  </si>
  <si>
    <t>Nu. Millions</t>
  </si>
  <si>
    <t xml:space="preserve">Rupee Reserves </t>
  </si>
  <si>
    <t>Calculated based on M2 and velocity of money</t>
  </si>
  <si>
    <t>Percentage change over the previous year</t>
  </si>
  <si>
    <t>Calculated by deflating it with the inflation rate</t>
  </si>
  <si>
    <t>Projected Money suppy based on the reserves projection</t>
  </si>
  <si>
    <t xml:space="preserve">  as per IMF Projection</t>
  </si>
  <si>
    <t>Note:</t>
  </si>
  <si>
    <t>Gross Domestic Product and Broad Money Projections</t>
  </si>
  <si>
    <t>Velocity is kept as per the 2004 (2004 being the most recent actual data)</t>
  </si>
  <si>
    <t>Nominal Gross Domestic Product</t>
  </si>
  <si>
    <t>Nominal GDP Growth rate (%)</t>
  </si>
  <si>
    <t>Real GDP Growth rate (%)</t>
  </si>
  <si>
    <t>Velocity of Money</t>
  </si>
  <si>
    <t>Inflation Rate</t>
  </si>
  <si>
    <t>Nu.millions</t>
  </si>
  <si>
    <t>For Power point</t>
  </si>
  <si>
    <t>2007</t>
  </si>
  <si>
    <t xml:space="preserve">Total Reserves </t>
  </si>
  <si>
    <t xml:space="preserve">Convertible Currency reserves </t>
  </si>
  <si>
    <t>Nominal GDp</t>
  </si>
  <si>
    <t xml:space="preserve">TABLE 19. OVERALL BALANCE OF PAYMENTS ESTIMATES </t>
  </si>
  <si>
    <t>US$</t>
  </si>
  <si>
    <t xml:space="preserve">2003/04 </t>
  </si>
  <si>
    <t xml:space="preserve">2004/05 </t>
  </si>
  <si>
    <t>Consumer Prices   (c)</t>
  </si>
  <si>
    <t>Wholesale Prices (India) (d)</t>
  </si>
  <si>
    <t>Foreign Aid (Concessional Loans net)</t>
  </si>
  <si>
    <t xml:space="preserve">  (In months of merchandise imports) </t>
  </si>
  <si>
    <t>Debt-Service Ratio (f)</t>
  </si>
  <si>
    <t xml:space="preserve">Nominal GDP (in millions of Nu.) </t>
  </si>
  <si>
    <t>Period</t>
  </si>
  <si>
    <t>Rupee</t>
  </si>
  <si>
    <t/>
  </si>
  <si>
    <t xml:space="preserve"> </t>
  </si>
  <si>
    <t>1995</t>
  </si>
  <si>
    <t xml:space="preserve"> 1999</t>
  </si>
  <si>
    <t>Item</t>
  </si>
  <si>
    <t>June</t>
  </si>
  <si>
    <t>Dec</t>
  </si>
  <si>
    <t>Index</t>
  </si>
  <si>
    <t>Food</t>
  </si>
  <si>
    <t>Non-food</t>
  </si>
  <si>
    <t>Total</t>
  </si>
  <si>
    <t>Millions of Ngultrum</t>
  </si>
  <si>
    <t>1996</t>
  </si>
  <si>
    <t>1993</t>
  </si>
  <si>
    <t>1994</t>
  </si>
  <si>
    <t xml:space="preserve"> Feb</t>
  </si>
  <si>
    <t>2004 Aug</t>
  </si>
  <si>
    <t xml:space="preserve"> 1993/94</t>
  </si>
  <si>
    <t xml:space="preserve"> 1994/95</t>
  </si>
  <si>
    <t>Jan</t>
  </si>
  <si>
    <t>Feb</t>
  </si>
  <si>
    <t>Mar</t>
  </si>
  <si>
    <t>Apr</t>
  </si>
  <si>
    <t>May</t>
  </si>
  <si>
    <t>Jun</t>
  </si>
  <si>
    <t>Jul</t>
  </si>
  <si>
    <t>Aug</t>
  </si>
  <si>
    <t>Sep</t>
  </si>
  <si>
    <t>Oct</t>
  </si>
  <si>
    <t>Nov</t>
  </si>
  <si>
    <t>Assets</t>
  </si>
  <si>
    <t>Claims</t>
  </si>
  <si>
    <t>on</t>
  </si>
  <si>
    <t>End of</t>
  </si>
  <si>
    <t>Foreign</t>
  </si>
  <si>
    <t>Govt.</t>
  </si>
  <si>
    <t>Private</t>
  </si>
  <si>
    <t>Currency</t>
  </si>
  <si>
    <t>(Net)</t>
  </si>
  <si>
    <t>Corps.</t>
  </si>
  <si>
    <t>Sector</t>
  </si>
  <si>
    <t>Sept</t>
  </si>
  <si>
    <t>July</t>
  </si>
  <si>
    <t>August</t>
  </si>
  <si>
    <t>December</t>
  </si>
  <si>
    <t>Banks</t>
  </si>
  <si>
    <t>Liabilities</t>
  </si>
  <si>
    <t>Other</t>
  </si>
  <si>
    <t>Outside</t>
  </si>
  <si>
    <t>Items</t>
  </si>
  <si>
    <t>Deposits</t>
  </si>
  <si>
    <t>Demand</t>
  </si>
  <si>
    <t>Percentage change on the previous year</t>
  </si>
  <si>
    <t>2000/01</t>
  </si>
  <si>
    <t>2009</t>
  </si>
  <si>
    <t xml:space="preserve">2006/07 </t>
  </si>
  <si>
    <t>2007/08 (p)</t>
  </si>
  <si>
    <t>Domestic Credit</t>
  </si>
  <si>
    <t xml:space="preserve">on </t>
  </si>
  <si>
    <t>Jun-02</t>
  </si>
  <si>
    <t>Jun-09</t>
  </si>
  <si>
    <t>Jun-16</t>
  </si>
  <si>
    <t>Jun-23</t>
  </si>
  <si>
    <t>Jun-30</t>
  </si>
  <si>
    <t>Jul-07</t>
  </si>
  <si>
    <t>Jul-14</t>
  </si>
  <si>
    <t>Jul-21</t>
  </si>
  <si>
    <t>Jul-28</t>
  </si>
  <si>
    <t>Jun-04</t>
  </si>
  <si>
    <t>Jul-05</t>
  </si>
  <si>
    <t>Annual % Change</t>
  </si>
  <si>
    <t>6.25-8.00</t>
  </si>
  <si>
    <t xml:space="preserve">Jan </t>
  </si>
  <si>
    <t>Mar-31</t>
  </si>
  <si>
    <t>6.00-7.00</t>
  </si>
  <si>
    <t>End of period</t>
  </si>
  <si>
    <t>Savings</t>
  </si>
  <si>
    <t>Time deposits</t>
  </si>
  <si>
    <t>M2</t>
  </si>
  <si>
    <t>M1</t>
  </si>
  <si>
    <t>Domestic assets (net)</t>
  </si>
  <si>
    <t>Foreign assets (net)</t>
  </si>
  <si>
    <t>Domestic credit</t>
  </si>
  <si>
    <t>Public sector</t>
  </si>
  <si>
    <t>TABLE 14. SUMMARY OF THE CONSUMER PRICE INDEX (*)</t>
  </si>
  <si>
    <t>End of Period</t>
  </si>
  <si>
    <t>Of which:1)</t>
  </si>
  <si>
    <t>Demand deposits</t>
  </si>
  <si>
    <t>Current account</t>
  </si>
  <si>
    <t>Savings deposits</t>
  </si>
  <si>
    <t>Quasi-Money</t>
  </si>
  <si>
    <t>Foreign currency deposits</t>
  </si>
  <si>
    <t>1992/93</t>
  </si>
  <si>
    <t>1993/94</t>
  </si>
  <si>
    <t>1994/95</t>
  </si>
  <si>
    <t>1995/96</t>
  </si>
  <si>
    <t xml:space="preserve">   1996/97</t>
  </si>
  <si>
    <t xml:space="preserve">   1997/98</t>
  </si>
  <si>
    <t>1998/99</t>
  </si>
  <si>
    <t>1999/00</t>
  </si>
  <si>
    <t>Millions of Indian Rupees</t>
  </si>
  <si>
    <t>1.Rupee reserves</t>
  </si>
  <si>
    <t>-</t>
  </si>
  <si>
    <t>2.Convertible currency reserves</t>
  </si>
  <si>
    <t xml:space="preserve">    Royal Government </t>
  </si>
  <si>
    <t>3.Total reserves (1+2)</t>
  </si>
  <si>
    <t>Difference between taking 2 and 1.75</t>
  </si>
  <si>
    <t>Inflow on account of tala</t>
  </si>
  <si>
    <t>Outflow on account of tala</t>
  </si>
  <si>
    <t>Change in reserves(US$)</t>
  </si>
  <si>
    <t>Change in reserves (Nu.)</t>
  </si>
  <si>
    <t>Rupee Reserves in US$</t>
  </si>
  <si>
    <t>RR % of total</t>
  </si>
  <si>
    <t>annual change in reserves  %</t>
  </si>
  <si>
    <t>Government (net)</t>
  </si>
  <si>
    <t>Fixed deposits</t>
  </si>
  <si>
    <t xml:space="preserve">    a) 3 months to less than 1 year</t>
  </si>
  <si>
    <t xml:space="preserve">    b) 1 year to less than 3 years</t>
  </si>
  <si>
    <t xml:space="preserve">    c) More than 3 years</t>
  </si>
  <si>
    <t>Lending Rates</t>
  </si>
  <si>
    <t>1. General Trade</t>
  </si>
  <si>
    <t>3. Manufacturing Industry</t>
  </si>
  <si>
    <t>5. Transport</t>
  </si>
  <si>
    <t>6. Agriculture &amp; Livestock</t>
  </si>
  <si>
    <t>7. Housing</t>
  </si>
  <si>
    <t>2004/05 (r)</t>
  </si>
  <si>
    <t>2005/06 (r)</t>
  </si>
  <si>
    <t>actual</t>
  </si>
  <si>
    <t>Jun (revised)</t>
  </si>
  <si>
    <t>Mar (revised)</t>
  </si>
  <si>
    <t>Pvt</t>
  </si>
  <si>
    <t>8. Equity Finance</t>
  </si>
  <si>
    <t>9. Personal Loan</t>
  </si>
  <si>
    <t xml:space="preserve">     </t>
  </si>
  <si>
    <t>BOB</t>
  </si>
  <si>
    <t>BNB</t>
  </si>
  <si>
    <t>RICB</t>
  </si>
  <si>
    <t>BDFC</t>
  </si>
  <si>
    <t>13</t>
  </si>
  <si>
    <t>12</t>
  </si>
  <si>
    <t>Apr-07</t>
  </si>
  <si>
    <t>Apr-14</t>
  </si>
  <si>
    <t>Apr-21</t>
  </si>
  <si>
    <t>Apr-28</t>
  </si>
  <si>
    <t>May-12</t>
  </si>
  <si>
    <t>May-19</t>
  </si>
  <si>
    <t>May-26</t>
  </si>
  <si>
    <t>10.75-11.25</t>
  </si>
  <si>
    <t>12-15</t>
  </si>
  <si>
    <t xml:space="preserve">Period </t>
  </si>
  <si>
    <t xml:space="preserve">  Item</t>
  </si>
  <si>
    <t>1996/97</t>
  </si>
  <si>
    <t>1997/98</t>
  </si>
  <si>
    <t xml:space="preserve"> Revenue</t>
  </si>
  <si>
    <t>note: other receipts have been calculated as residual from the total revenue of 5097.58 from the budget speech 2001-2002 and the tax and non-tax revenue from revenue report for the 9th plan</t>
  </si>
  <si>
    <t xml:space="preserve"> Tax</t>
  </si>
  <si>
    <t xml:space="preserve">  Non-tax</t>
  </si>
  <si>
    <t xml:space="preserve"> Others</t>
  </si>
  <si>
    <t xml:space="preserve"> Grants</t>
  </si>
  <si>
    <t>From India</t>
  </si>
  <si>
    <t xml:space="preserve"> Total Revenue</t>
  </si>
  <si>
    <t xml:space="preserve"> and Grants</t>
  </si>
  <si>
    <t xml:space="preserve"> Expenditure (1)</t>
  </si>
  <si>
    <t xml:space="preserve"> Capital (1)</t>
  </si>
  <si>
    <t xml:space="preserve"> Budget surplus or</t>
  </si>
  <si>
    <t xml:space="preserve"> Deficit (-)</t>
  </si>
  <si>
    <t>TABLE 27 CONTINUED,</t>
  </si>
  <si>
    <t>Months of imports (just RMA reserves)</t>
  </si>
  <si>
    <t>SUMMARY OF BUDGETARY OPERATIONS</t>
  </si>
  <si>
    <t xml:space="preserve"> Financing </t>
  </si>
  <si>
    <t xml:space="preserve"> Transactions (2)</t>
  </si>
  <si>
    <t xml:space="preserve"> External borrowings</t>
  </si>
  <si>
    <t xml:space="preserve"> (Net of Principal</t>
  </si>
  <si>
    <t xml:space="preserve"> repayments)</t>
  </si>
  <si>
    <t xml:space="preserve"> Internal </t>
  </si>
  <si>
    <t xml:space="preserve"> Resource gap (3)</t>
  </si>
  <si>
    <t>Rupee Reserves (Nu. Millions) with baseline projection</t>
  </si>
  <si>
    <t>Rupee Reserves (Nu. Millions) adjusted for lower net inflow due to 1.75 tala tariff</t>
  </si>
  <si>
    <t>Other imports</t>
  </si>
  <si>
    <t>Tala imports</t>
  </si>
  <si>
    <t>Other exports</t>
  </si>
  <si>
    <t>Other grants</t>
  </si>
  <si>
    <t>Others (principal)</t>
  </si>
  <si>
    <t>India others (interest)</t>
  </si>
  <si>
    <t>Tala (principal)</t>
  </si>
  <si>
    <t>Tala (interest)</t>
  </si>
  <si>
    <t xml:space="preserve"> Internal borrowings</t>
  </si>
  <si>
    <t xml:space="preserve"> (Net of principal</t>
  </si>
  <si>
    <t xml:space="preserve"> repayments</t>
  </si>
  <si>
    <t xml:space="preserve">            -</t>
  </si>
  <si>
    <t xml:space="preserve"> Cash and bank</t>
  </si>
  <si>
    <t xml:space="preserve"> balances (4)</t>
  </si>
  <si>
    <t xml:space="preserve">           -</t>
  </si>
  <si>
    <t>Velocity :nominal GDP/M2</t>
  </si>
  <si>
    <t>Total Reserves (Nu. millions)</t>
  </si>
  <si>
    <t xml:space="preserve">    % change</t>
  </si>
  <si>
    <t xml:space="preserve">   % change</t>
  </si>
  <si>
    <t>Convertible Currency reserves (Nu. millions)</t>
  </si>
  <si>
    <t>Rupee Reserves (Nu. millions)</t>
  </si>
  <si>
    <t xml:space="preserve">NET Inflow (+)/Outflow (-) </t>
  </si>
  <si>
    <t>with Nu. 1.75</t>
  </si>
  <si>
    <t xml:space="preserve">Inflow </t>
  </si>
  <si>
    <t xml:space="preserve">Outflow </t>
  </si>
  <si>
    <t xml:space="preserve">Net inflow (+)/outflow (-) on account of Tala </t>
  </si>
  <si>
    <t>GDP Nominal (from Dec 05 SEI)</t>
  </si>
  <si>
    <t>Months (exclu. Dacl) but incl. services</t>
  </si>
  <si>
    <t xml:space="preserve"> Source- Dept of National Budget and Accounts (Figures may not add due to rounding). (1) Includes lending to public and joint sector corpns,net of principal repayment (2)Financing transactions by definition must equal the budget deficit or surplus on revenue/grant/expenditure which they finance. Negative financing transactions depicts net repayment of borrowings or increase in cash or bank balances (3) The Internal Resource Gap is that part of the budget deficit/surplus that has to be met from internal resources(Govt Cash and Bank balances or borrowings). A negative resource gap means net repayments of internal borrowings or an increase in Cash or Bank balance (4) Includes use + or repayment - of overdraft.</t>
  </si>
  <si>
    <t>others: other receipts</t>
  </si>
  <si>
    <t>% of GDP</t>
  </si>
  <si>
    <t>Deficit</t>
  </si>
  <si>
    <t>Domestic Revenue - Current expenditure</t>
  </si>
  <si>
    <t>Table 2.  Monetary Survey-M2 and its Counterparts (*)</t>
  </si>
  <si>
    <t>Total reserves (millions USD)</t>
  </si>
  <si>
    <t xml:space="preserve">     % change </t>
  </si>
  <si>
    <t xml:space="preserve">    RR as a % of total reserves</t>
  </si>
  <si>
    <t>projected to grow at past 4 years</t>
  </si>
  <si>
    <t>Assumptions</t>
  </si>
  <si>
    <t>MTEF Projection-Vasker's</t>
  </si>
  <si>
    <t>Recently Revised GDP till 2005</t>
  </si>
  <si>
    <t>In 2008, it is projected to grow at past six years average, same rate as in 2005</t>
  </si>
  <si>
    <t>example-2004/05 is taken as 2004</t>
  </si>
  <si>
    <t>Note</t>
  </si>
  <si>
    <t>5 years average growth from 2000-01 to 2004-05</t>
  </si>
  <si>
    <t>DOE projections</t>
  </si>
  <si>
    <t>Jul 06</t>
  </si>
  <si>
    <t>Jan 05</t>
  </si>
  <si>
    <t>Jul 04</t>
  </si>
  <si>
    <t>Jan 06</t>
  </si>
  <si>
    <t xml:space="preserve">Given that tala will be commissioned only in the last quarter of 2006,for 2006 tala exports is assumed to be 20% of full year's production 4238 MU as per DOE </t>
  </si>
  <si>
    <t>Calculated at Nu. 1.75 per unit</t>
  </si>
  <si>
    <t>DADM's Projection</t>
  </si>
  <si>
    <t>Overall Net with India</t>
  </si>
  <si>
    <t xml:space="preserve">Rupee Reserves with baseline projection (Nu. Millions) </t>
  </si>
  <si>
    <t xml:space="preserve">     % change</t>
  </si>
  <si>
    <t>For 2005 &amp; 2006, 3 years average of the contribution of net inflow to the reserves is added to the previous years RR. For 2007, 20 % of the net inflow is added to the 2006 RR.</t>
  </si>
  <si>
    <t>TABLE 1. GROSS DOMESTIC PRODUCT AT FACTOR COST BY KIND OF ACTIVITY*</t>
  </si>
  <si>
    <t>4. Electricity and water</t>
  </si>
  <si>
    <t>6. Wholesale and retail trade</t>
  </si>
  <si>
    <t>7. Hotel and restaurant</t>
  </si>
  <si>
    <t>8. Transport, storage, and communication</t>
  </si>
  <si>
    <t>9. Financing, insurance &amp; real estate</t>
  </si>
  <si>
    <t xml:space="preserve">     9.1.  Finance</t>
  </si>
  <si>
    <t xml:space="preserve">     9.2.  Real estate</t>
  </si>
  <si>
    <t xml:space="preserve">10. Community social &amp; personal services </t>
  </si>
  <si>
    <t xml:space="preserve">     10.1.  Public Administration</t>
  </si>
  <si>
    <t xml:space="preserve">     10.2.  Education and health</t>
  </si>
  <si>
    <t>11. Private social, personal &amp; recreational services</t>
  </si>
  <si>
    <t>12. Plus: taxs net of subsidies</t>
  </si>
  <si>
    <t xml:space="preserve">    Less : Imputed bank service    charges</t>
  </si>
  <si>
    <t xml:space="preserve">   GDP Growth rate (%)</t>
  </si>
  <si>
    <t>Last updated February 4 2005 by sonam based on the revised information provided by Jamyang Gaylay</t>
  </si>
  <si>
    <t>The figures have been revised from 1991 onwards as per information made available to us by NSB</t>
  </si>
  <si>
    <t>% of total contribution of Agri Sector</t>
  </si>
  <si>
    <t>Sources: Bank of Bhutan Limited and Bhutan National Bank Limited.</t>
  </si>
  <si>
    <t xml:space="preserve">Source: National Statistical Bureau. *) The base year has been changed from 1980 to 2000, while the figures have been calculated on the basis of the 1993 System of National Accounts. (Pre) = Preliminary. (Pro) = Projection.**) Community, social &amp; personal services includes contribution from private social, personal &amp; recreational services since the breakdown is not available. </t>
  </si>
  <si>
    <t>2005   (pro)**</t>
  </si>
  <si>
    <t xml:space="preserve">   Less : Imputed bank service                  charges</t>
  </si>
  <si>
    <t>Growth from 2003 to 2004 (%)</t>
  </si>
  <si>
    <t>TABLE 4. SUMMARY OF BUDGETARY OPERATIONS</t>
  </si>
  <si>
    <t>Dec-08</t>
  </si>
  <si>
    <t>September-08</t>
  </si>
  <si>
    <t>TABLE 23. GROSS INTERNATIONAL RESERVES (*)</t>
  </si>
  <si>
    <t>Revenue</t>
  </si>
  <si>
    <t>QM</t>
  </si>
  <si>
    <t>NFA</t>
  </si>
  <si>
    <t>DC</t>
  </si>
  <si>
    <t>OIN</t>
  </si>
  <si>
    <t>Private sector (2)</t>
  </si>
  <si>
    <t>Other items (net)(3)</t>
  </si>
  <si>
    <t>Indian Rupee</t>
  </si>
  <si>
    <t>Convertible Currency</t>
  </si>
  <si>
    <t>Mar-14</t>
  </si>
  <si>
    <t>Mar-28</t>
  </si>
  <si>
    <t>8.25.900</t>
  </si>
  <si>
    <t>Apr-4</t>
  </si>
  <si>
    <t>Apr-11</t>
  </si>
  <si>
    <t>Apr-18</t>
  </si>
  <si>
    <t>Apr-25</t>
  </si>
  <si>
    <t>Week ended</t>
  </si>
  <si>
    <t>Foreign Assets</t>
  </si>
  <si>
    <t>May-18</t>
  </si>
  <si>
    <t>May-25</t>
  </si>
  <si>
    <t>Jun-01</t>
  </si>
  <si>
    <t>Jun-08</t>
  </si>
  <si>
    <t>Jun-15</t>
  </si>
  <si>
    <t>Jun-22</t>
  </si>
  <si>
    <t xml:space="preserve">Claims </t>
  </si>
  <si>
    <t>Reserves</t>
  </si>
  <si>
    <t>with RMA</t>
  </si>
  <si>
    <t>Others</t>
  </si>
  <si>
    <t>Foreign Liabilities</t>
  </si>
  <si>
    <t>Credit</t>
  </si>
  <si>
    <t>Time</t>
  </si>
  <si>
    <t>Capital</t>
  </si>
  <si>
    <t>Accounts</t>
  </si>
  <si>
    <t xml:space="preserve">May </t>
  </si>
  <si>
    <t>% Change year-on-year</t>
  </si>
  <si>
    <t>Rupee reserves</t>
  </si>
  <si>
    <t>Convertible currency reserves</t>
  </si>
  <si>
    <t>note: to change CC reserves</t>
  </si>
  <si>
    <t>Sep-23</t>
  </si>
  <si>
    <t>Sep-30</t>
  </si>
  <si>
    <t>Oct-07</t>
  </si>
  <si>
    <t>Oct-14</t>
  </si>
  <si>
    <t>Oct-21</t>
  </si>
  <si>
    <t>Oct-28</t>
  </si>
  <si>
    <t>At 2000 Prices in Millions of Ngultrum</t>
  </si>
  <si>
    <t xml:space="preserve"> Total Expenditure </t>
  </si>
  <si>
    <t xml:space="preserve"> Current Expenditure</t>
  </si>
  <si>
    <t>Capital Expenditure</t>
  </si>
  <si>
    <t>2001/02</t>
  </si>
  <si>
    <t>Current (1)</t>
  </si>
  <si>
    <t>General Public</t>
  </si>
  <si>
    <t>Economic Services</t>
  </si>
  <si>
    <t>Social Services</t>
  </si>
  <si>
    <t>Grants</t>
  </si>
  <si>
    <t>Total Resources</t>
  </si>
  <si>
    <t>Exp as % of GDP</t>
  </si>
  <si>
    <t>Resources % of GDP</t>
  </si>
  <si>
    <t>Aug-03</t>
  </si>
  <si>
    <t>Currency in circulation outside banks</t>
  </si>
  <si>
    <t>Other public sector (1)</t>
  </si>
  <si>
    <t>End of Period, fiscal year</t>
  </si>
  <si>
    <t>External Borrowings</t>
  </si>
  <si>
    <t>Internal borrowings</t>
  </si>
  <si>
    <t>Summary of 2001/02 Budget</t>
  </si>
  <si>
    <t>Domestic Revenue</t>
  </si>
  <si>
    <t>Approved</t>
  </si>
  <si>
    <t>Revised</t>
  </si>
  <si>
    <t>Current Expenditure</t>
  </si>
  <si>
    <t>Nov-08</t>
  </si>
  <si>
    <t>July-08</t>
  </si>
  <si>
    <t xml:space="preserve"> -</t>
  </si>
  <si>
    <t>Jul-20</t>
  </si>
  <si>
    <t>Dec-1</t>
  </si>
  <si>
    <t>Dec-8</t>
  </si>
  <si>
    <t>Dec-15</t>
  </si>
  <si>
    <t>Dec-29</t>
  </si>
  <si>
    <t>2008</t>
  </si>
  <si>
    <t>Feb-1</t>
  </si>
  <si>
    <t>Feb-8</t>
  </si>
  <si>
    <t>May-2</t>
  </si>
  <si>
    <t>May-9</t>
  </si>
  <si>
    <t>May-23</t>
  </si>
  <si>
    <t>8.25-8.75</t>
  </si>
  <si>
    <t>Jun-6</t>
  </si>
  <si>
    <t>Jun-13</t>
  </si>
  <si>
    <t>Jun-27</t>
  </si>
  <si>
    <t>8.75-9.50</t>
  </si>
  <si>
    <t>Jul-4</t>
  </si>
  <si>
    <t>8.25-9.50</t>
  </si>
  <si>
    <t>Jul-11</t>
  </si>
  <si>
    <t>Jul-18</t>
  </si>
  <si>
    <t>Jul-25</t>
  </si>
  <si>
    <t>8.75-9.50.</t>
  </si>
  <si>
    <t>Aug-1</t>
  </si>
  <si>
    <t>9.25-9.50</t>
  </si>
  <si>
    <t>Aug-8</t>
  </si>
  <si>
    <t>Aug-15</t>
  </si>
  <si>
    <t>13.25-14.00</t>
  </si>
  <si>
    <t>8.75-9.75</t>
  </si>
  <si>
    <t>Aug-22</t>
  </si>
  <si>
    <t>8.75-10.00</t>
  </si>
  <si>
    <t>Sep-5</t>
  </si>
  <si>
    <t>Sep-12</t>
  </si>
  <si>
    <t>Sep-19</t>
  </si>
  <si>
    <t>Sep-26</t>
  </si>
  <si>
    <t>13.75-14.00</t>
  </si>
  <si>
    <t>Oct-3</t>
  </si>
  <si>
    <t>8.75-10.50</t>
  </si>
  <si>
    <t>Feb-15</t>
  </si>
  <si>
    <t>Feb-22</t>
  </si>
  <si>
    <t>Feb-29</t>
  </si>
  <si>
    <t>Mar-7</t>
  </si>
  <si>
    <t>12.25-13.00</t>
  </si>
  <si>
    <t>12.25-12.75</t>
  </si>
  <si>
    <t>8.25-9.00</t>
  </si>
  <si>
    <t>jan-4</t>
  </si>
  <si>
    <t>jan-11</t>
  </si>
  <si>
    <t>jan-18</t>
  </si>
  <si>
    <t>jan-25</t>
  </si>
  <si>
    <t>Dec-7</t>
  </si>
  <si>
    <t>Dec-14</t>
  </si>
  <si>
    <t>Dec-21</t>
  </si>
  <si>
    <t>Dec-28</t>
  </si>
  <si>
    <t>Year</t>
  </si>
  <si>
    <t>1980</t>
  </si>
  <si>
    <t xml:space="preserve">  1997</t>
  </si>
  <si>
    <t>1. Agriculture, livestock,</t>
  </si>
  <si>
    <t xml:space="preserve">   and forestry </t>
  </si>
  <si>
    <t xml:space="preserve">   1.1 Agriculture proper</t>
  </si>
  <si>
    <t xml:space="preserve">   1.2 Livestock production</t>
  </si>
  <si>
    <t>Claims on Government Corporations</t>
  </si>
  <si>
    <r>
      <t>3. Other Items (Net)</t>
    </r>
    <r>
      <rPr>
        <vertAlign val="superscript"/>
        <sz val="12"/>
        <rFont val="Times New Roman"/>
        <family val="1"/>
      </rPr>
      <t>2)</t>
    </r>
  </si>
  <si>
    <r>
      <t>5. Demand Deposits</t>
    </r>
    <r>
      <rPr>
        <vertAlign val="superscript"/>
        <sz val="12"/>
        <rFont val="Times New Roman"/>
        <family val="1"/>
      </rPr>
      <t>3)</t>
    </r>
  </si>
  <si>
    <r>
      <t>6. Quasi-Money</t>
    </r>
    <r>
      <rPr>
        <vertAlign val="superscript"/>
        <sz val="12"/>
        <rFont val="Times New Roman"/>
        <family val="1"/>
      </rPr>
      <t>4)</t>
    </r>
  </si>
  <si>
    <t>*) M2=1 plus 2 minus 3.- +) M2=4 plus 5 plus 6, and M1=4 plus 5.- 1) Including Joint Corporations.-2) Including Money Market Instruments (RMA Bills).- 3) Including Savings Deposits.- 4) Time Deposits and Foreign Currency Deposits.</t>
  </si>
  <si>
    <t xml:space="preserve">   1.3 Forestry and logging</t>
  </si>
  <si>
    <t>2. Mining and quarrying</t>
  </si>
  <si>
    <t>3. Manufacturing</t>
  </si>
  <si>
    <t>5. Construction</t>
  </si>
  <si>
    <t xml:space="preserve">   Gross Domestic Product</t>
  </si>
  <si>
    <t>FY GDP</t>
  </si>
  <si>
    <t>Growth</t>
  </si>
  <si>
    <t xml:space="preserve">Millions of Ngultrum </t>
  </si>
  <si>
    <t xml:space="preserve">    1990/91 </t>
  </si>
  <si>
    <t xml:space="preserve">1991/92 </t>
  </si>
  <si>
    <t xml:space="preserve">1993/94 </t>
  </si>
  <si>
    <t xml:space="preserve">1995/96 </t>
  </si>
  <si>
    <t xml:space="preserve"> 1998/99</t>
  </si>
  <si>
    <t xml:space="preserve"> 1999/00</t>
  </si>
  <si>
    <t xml:space="preserve">2000/01 </t>
  </si>
  <si>
    <t>A. Current Account</t>
  </si>
  <si>
    <t xml:space="preserve">     Exports, f.o.b.</t>
  </si>
  <si>
    <t xml:space="preserve">      Imports, c.i.f.</t>
  </si>
  <si>
    <t>13.00-14.00</t>
  </si>
  <si>
    <t xml:space="preserve">     Tala</t>
  </si>
  <si>
    <t xml:space="preserve">     Other</t>
  </si>
  <si>
    <t xml:space="preserve">     Trade Balance</t>
  </si>
  <si>
    <t xml:space="preserve">     Income</t>
  </si>
  <si>
    <t xml:space="preserve">     Current Transfers</t>
  </si>
  <si>
    <t>B. Capital and Financial Account</t>
  </si>
  <si>
    <t xml:space="preserve">     Other Loans</t>
  </si>
  <si>
    <t>Services Credit</t>
  </si>
  <si>
    <t>Services Debit</t>
  </si>
  <si>
    <t>Income Credit</t>
  </si>
  <si>
    <t>Income Debit</t>
  </si>
  <si>
    <t>Current Transfers Credit</t>
  </si>
  <si>
    <t>Current Transfers Debit</t>
  </si>
  <si>
    <t>Total Revenue &amp; Grants</t>
  </si>
  <si>
    <t>Mar-07</t>
  </si>
  <si>
    <t>Apr-13</t>
  </si>
  <si>
    <t>Apr-20</t>
  </si>
  <si>
    <t>Apr-27</t>
  </si>
  <si>
    <t>12.25-13.25</t>
  </si>
  <si>
    <t>12.50-13.25</t>
  </si>
  <si>
    <t>12.75-13.25</t>
  </si>
  <si>
    <t>Total Expenditure and Net Lending</t>
  </si>
  <si>
    <t>Current Balance</t>
  </si>
  <si>
    <t>Overall Balance</t>
  </si>
  <si>
    <t>One Year Deposits</t>
  </si>
  <si>
    <t xml:space="preserve"> 9-10</t>
  </si>
  <si>
    <t>Lending Rate</t>
  </si>
  <si>
    <t xml:space="preserve"> 13-16</t>
  </si>
  <si>
    <t xml:space="preserve"> 12-16</t>
  </si>
  <si>
    <t>Trade Balance</t>
  </si>
  <si>
    <t>Current Account Balance</t>
  </si>
  <si>
    <t>Errors and Omissions</t>
  </si>
  <si>
    <t>Broad Money (M2)</t>
  </si>
  <si>
    <t>Apr-06</t>
  </si>
  <si>
    <t xml:space="preserve">Credit to Private Sector </t>
  </si>
  <si>
    <t>Dec-07</t>
  </si>
  <si>
    <t>Services</t>
  </si>
  <si>
    <t>(In percent of GDP)</t>
  </si>
  <si>
    <t>Memorandum Items:</t>
  </si>
  <si>
    <t>check  nominal rate= real rate* price change</t>
  </si>
  <si>
    <t>Counterparts</t>
  </si>
  <si>
    <t>Aug-04</t>
  </si>
  <si>
    <t xml:space="preserve"> 12.0-16.0</t>
  </si>
  <si>
    <t>10.0-16.0</t>
  </si>
  <si>
    <t>Claims on Private Sector</t>
  </si>
  <si>
    <t>Components</t>
  </si>
  <si>
    <t>7.50-8.50</t>
  </si>
  <si>
    <t>September</t>
  </si>
  <si>
    <t>October</t>
  </si>
  <si>
    <t>November</t>
  </si>
  <si>
    <t>Jan-25</t>
  </si>
  <si>
    <t>2002/03</t>
  </si>
  <si>
    <t>Indicator</t>
  </si>
  <si>
    <t>Jan 2003</t>
  </si>
  <si>
    <t>Months of Imports</t>
  </si>
  <si>
    <t>Rupee (Re)</t>
  </si>
  <si>
    <t>Convertible Currency (USD)</t>
  </si>
  <si>
    <t>Total (USD)</t>
  </si>
  <si>
    <t>Gross International Reserves - January 2003 (p)</t>
  </si>
  <si>
    <t xml:space="preserve">        Credit</t>
  </si>
  <si>
    <t xml:space="preserve">        Debit</t>
  </si>
  <si>
    <t xml:space="preserve">     Foreign Direct Investment</t>
  </si>
  <si>
    <t>C. Net Errors and Omissions</t>
  </si>
  <si>
    <t xml:space="preserve">     Aid-related</t>
  </si>
  <si>
    <t xml:space="preserve">     Imports, c.i.f.</t>
  </si>
  <si>
    <t>Cash</t>
  </si>
  <si>
    <t>CRR</t>
  </si>
  <si>
    <t>Other deposits</t>
  </si>
  <si>
    <t>Convertible currency</t>
  </si>
  <si>
    <t>Total Deposits</t>
  </si>
  <si>
    <t>Individuals</t>
  </si>
  <si>
    <t>Govt. Corps.</t>
  </si>
  <si>
    <t xml:space="preserve">Total </t>
  </si>
  <si>
    <t>Time Deposits</t>
  </si>
  <si>
    <t>% of total</t>
  </si>
  <si>
    <t xml:space="preserve">Gross International Reserves </t>
  </si>
  <si>
    <t xml:space="preserve">2001/02 </t>
  </si>
  <si>
    <t>Total (millions of USD)</t>
  </si>
  <si>
    <t>Rupee (millions of INR)</t>
  </si>
  <si>
    <t>Difference from the prevoius year</t>
  </si>
  <si>
    <t>Notes</t>
  </si>
  <si>
    <t>2006Jan</t>
  </si>
  <si>
    <t>2004Jun</t>
  </si>
  <si>
    <t>2005Jun</t>
  </si>
  <si>
    <t>Gov</t>
  </si>
  <si>
    <t>Qm</t>
  </si>
  <si>
    <t>Compound Average Growth (2001-2006)</t>
  </si>
  <si>
    <t>2002-Jun</t>
  </si>
  <si>
    <t>2003-Jun</t>
  </si>
  <si>
    <t>2006-Jun</t>
  </si>
  <si>
    <t>Projections for COTI imports should keep in mind that 2 Airplanes were imported in 2004/05, which should be excluded while making future projections</t>
  </si>
  <si>
    <t>Inflow on account of Tala revenue should be compared against outflow on account of debt servicing for Tala and reduction in aid inflow</t>
  </si>
  <si>
    <t>Jun-29</t>
  </si>
  <si>
    <t>Jul-13</t>
  </si>
  <si>
    <t>7.50-9.60</t>
  </si>
  <si>
    <t>Aug-25</t>
  </si>
  <si>
    <t>Aug -11</t>
  </si>
  <si>
    <t>Aug-18</t>
  </si>
  <si>
    <t>Sep-01</t>
  </si>
  <si>
    <t>Sep-08</t>
  </si>
  <si>
    <t>Sep-15</t>
  </si>
  <si>
    <t>Sep-22</t>
  </si>
  <si>
    <t>Sep-29</t>
  </si>
  <si>
    <t>11.00-11.50</t>
  </si>
  <si>
    <t>Oct-06</t>
  </si>
  <si>
    <t>6.75-8.00</t>
  </si>
  <si>
    <t>6.50-8.00</t>
  </si>
  <si>
    <t>To get 2006</t>
  </si>
  <si>
    <t>To get 2007</t>
  </si>
  <si>
    <t>To get 2008</t>
  </si>
  <si>
    <t>To forecast 2006</t>
  </si>
  <si>
    <t>To forecast 2007</t>
  </si>
  <si>
    <t>To forecast 2008</t>
  </si>
  <si>
    <t>2007(f)</t>
  </si>
  <si>
    <t>2008(f)</t>
  </si>
  <si>
    <t xml:space="preserve">Oct </t>
  </si>
  <si>
    <t>Feb 2003</t>
  </si>
  <si>
    <t>5.25-6.25</t>
  </si>
  <si>
    <t>Net Inflow/Outflow from/to India*</t>
  </si>
  <si>
    <t>* excluding services</t>
  </si>
  <si>
    <t>net inflow goes down by 20%</t>
  </si>
  <si>
    <t>Net Inflow/Outflow with tala tariff at Nu. 2</t>
  </si>
  <si>
    <t>NET Inflow/Outflow with Nu. 1.75</t>
  </si>
  <si>
    <t>Mar-08</t>
  </si>
  <si>
    <t>Feb-08</t>
  </si>
  <si>
    <t>Total Reserves (Nu. Millions) adjusted for lower net inflow due to 1.75 tala tariff</t>
  </si>
  <si>
    <t>derived by adding the net inflow/outflow with 1.75 on the previous year's reserves</t>
  </si>
  <si>
    <t>2006 Jan</t>
  </si>
  <si>
    <t>Assuming debt servicing will start in 2007</t>
  </si>
  <si>
    <t>May-11</t>
  </si>
  <si>
    <t>Jun-07</t>
  </si>
  <si>
    <t>New Assumptions for India with revised Tala tariff at 1.75/U</t>
  </si>
  <si>
    <t>New Assumptions for COTI</t>
  </si>
  <si>
    <t>Loan</t>
  </si>
  <si>
    <t>Tala exports with 1.75</t>
  </si>
  <si>
    <t>Tala exports with 2</t>
  </si>
  <si>
    <t>Tala exports in MU</t>
  </si>
  <si>
    <t>Difference between 2 and 1.75 (12.5%)</t>
  </si>
  <si>
    <t>Re reserves taking tala tariff as Nu. 2</t>
  </si>
  <si>
    <t>Re reserves taking tala tariff as Nu. 1.75</t>
  </si>
  <si>
    <t>without tala, reserves are assumed to grow at 6 year average of 7.5%.</t>
  </si>
  <si>
    <t>a. Rs reserves</t>
  </si>
  <si>
    <t>b. % change</t>
  </si>
  <si>
    <t>c. Reserves without tala, assuming 7.5 % growth</t>
  </si>
  <si>
    <t>d. Assumed reserves growth without tala</t>
  </si>
  <si>
    <t>e. Get reserves level assuming only tala</t>
  </si>
  <si>
    <t>f. Taking 12.5 % of tala effect</t>
  </si>
  <si>
    <t>g. Reserves taking into account 12.5% less due to tala</t>
  </si>
  <si>
    <t>h. % change</t>
  </si>
  <si>
    <t>reserves calculated assuming tala tariff of Nu. 2</t>
  </si>
  <si>
    <t>(a - c) Separating the effect of tala on initial projected reserves by taking the difference of reserves with previous projection of Nu. 2 and reserves without tala growing at 7.5%</t>
  </si>
  <si>
    <t>(12.5% of e) 12.5% (Nu. 0.25 reduction in tala tariff) of reserves due to tala</t>
  </si>
  <si>
    <t>(a - f)reserves calculated deducting the 12.5% tala effect on the original reserves with Nu. 2 to get tala effect on reserves with 1.75 tariff</t>
  </si>
  <si>
    <r>
      <t>Claims on Private Sector</t>
    </r>
    <r>
      <rPr>
        <vertAlign val="superscript"/>
        <sz val="12"/>
        <rFont val="Times New Roman"/>
        <family val="1"/>
      </rPr>
      <t>1)</t>
    </r>
  </si>
  <si>
    <t>Convertible currency (millions of USD)</t>
  </si>
  <si>
    <t>Assumptions for BOP Projections</t>
  </si>
  <si>
    <t>1. Using DADM's 2% annual ex rate depreciation in the Nu.</t>
  </si>
  <si>
    <t>2. Exports of Tala and Chukha are based on  Dept of Energy's projected exports.</t>
  </si>
  <si>
    <t>3. Budgetary grants' projections are those of the DADM.</t>
  </si>
  <si>
    <t>4. In many other cases, either the 3-year or 5-year average growth is being used.</t>
  </si>
  <si>
    <t>5. Tala's grant is projected based on the total cost of the project and the total grants used this far.</t>
  </si>
  <si>
    <t>Jul 05</t>
  </si>
  <si>
    <t>Nov-04</t>
  </si>
  <si>
    <t>Nov-18</t>
  </si>
  <si>
    <t>Nov-25</t>
  </si>
  <si>
    <t>Nov-11</t>
  </si>
  <si>
    <t>Dec-09</t>
  </si>
  <si>
    <t>Dec-16</t>
  </si>
  <si>
    <t>Dec-23</t>
  </si>
  <si>
    <t>Dec-30</t>
  </si>
  <si>
    <t>Jan-06</t>
  </si>
  <si>
    <t>Jan-13</t>
  </si>
  <si>
    <t>Jan-20</t>
  </si>
  <si>
    <t>Jan-27</t>
  </si>
  <si>
    <t>2006</t>
  </si>
  <si>
    <t>6. For COTI comm debt (loans net) for 04/05, took the USD 2 million residual disb and no principal repayment. We have their repay. schedule starting from 05/06 of USD 1.17648 million a year (in Dec and June) up till 2013/14 when a final repay is made in Dec of USD.588235 million.</t>
  </si>
  <si>
    <t>7. Bhutan ecoventures limited is taking a USD 12 million loan from BNP paribas singapore. Agreement not finalized. Details to be followed up in June 2005. For now, kept out of projections.</t>
  </si>
  <si>
    <t>BOBL</t>
  </si>
  <si>
    <t>BNBL</t>
  </si>
  <si>
    <t>8. Loan Disb. projections are from DADM. These include pipeline loans ($263 mill. Over 9th FYP and 10th FYP)</t>
  </si>
  <si>
    <t>2004 Sep</t>
  </si>
  <si>
    <t>9. Euro exchange rate projection based on the average growth of the euro vs USD for the past 5 years (USD depreciated by 2.24% against the Euro on average)</t>
  </si>
  <si>
    <t>total expenditure</t>
  </si>
  <si>
    <t>Total resources</t>
  </si>
  <si>
    <t>Payment for DACL planes</t>
  </si>
  <si>
    <t>Imports less Planes</t>
  </si>
  <si>
    <t>Resource gap</t>
  </si>
  <si>
    <t>Note: from 2004/05 onwards, repayments is subtracted from the external borrowings, and it is not included in the capital expenditure as it was done in the past.</t>
  </si>
  <si>
    <t>10. Projections of the SDR exchange rate vis-à-vis USD is based on previous 6 year average (USD depreciated by 1.29% against the SDR on average)</t>
  </si>
  <si>
    <t>(*) Discrepancies in the results are due to rounding. 1)Government Corporations. 2)Including Joint Corporations. 3) Taking into consideration RMA Bills and the Reserve Repurchase (plus) and claims on NMFIs (minus).</t>
  </si>
  <si>
    <t>% of total deposits</t>
  </si>
  <si>
    <t>PPN</t>
  </si>
  <si>
    <t>June-08</t>
  </si>
  <si>
    <t>Q1</t>
  </si>
  <si>
    <t>Q2</t>
  </si>
  <si>
    <t>Q3</t>
  </si>
  <si>
    <t>Q4</t>
  </si>
  <si>
    <t>1999/2000</t>
  </si>
  <si>
    <t>2001/2002</t>
  </si>
  <si>
    <t>USD</t>
  </si>
  <si>
    <t>BOB - USD:-</t>
  </si>
  <si>
    <t>Nov-10</t>
  </si>
  <si>
    <t>Nov-17</t>
  </si>
  <si>
    <t>Nov-24</t>
  </si>
  <si>
    <t>Dec-01</t>
  </si>
  <si>
    <t>Currency in Circulation Outside Banks</t>
  </si>
  <si>
    <t>Note: be careful to note which exchange rates are used</t>
  </si>
  <si>
    <t>May-17</t>
  </si>
  <si>
    <t>11.00-12.00</t>
  </si>
  <si>
    <t>7.00-8.50</t>
  </si>
  <si>
    <t>Aug-23</t>
  </si>
  <si>
    <t>7.00-8.00</t>
  </si>
  <si>
    <t>6.25-7.00</t>
  </si>
  <si>
    <t>Nov-15</t>
  </si>
  <si>
    <t>Nov-22</t>
  </si>
  <si>
    <t>Jan-03</t>
  </si>
  <si>
    <t>5.50-6.50</t>
  </si>
  <si>
    <t>Jan-17</t>
  </si>
  <si>
    <t>Feb - 08</t>
  </si>
  <si>
    <t>Millions of US Dollar</t>
  </si>
  <si>
    <t>Jun-20</t>
  </si>
  <si>
    <t>5.00-6.00</t>
  </si>
  <si>
    <t>Jun-03</t>
  </si>
  <si>
    <t>Selected Interest Rates in Bhutan</t>
  </si>
  <si>
    <t>MONEY SUPPLY, M2</t>
  </si>
  <si>
    <t>MONEY SUPPLY, M1</t>
  </si>
  <si>
    <t>1. Foreign Assets (Net)</t>
  </si>
  <si>
    <t>2. Domestic Credit</t>
  </si>
  <si>
    <t>Claims on Govt. (Net)</t>
  </si>
  <si>
    <r>
      <t>Components</t>
    </r>
    <r>
      <rPr>
        <vertAlign val="superscript"/>
        <sz val="12"/>
        <rFont val="Times New Roman"/>
        <family val="1"/>
      </rPr>
      <t>+)</t>
    </r>
  </si>
  <si>
    <t>4. Currency Outside Banks</t>
  </si>
  <si>
    <t>BNB - USD:-</t>
  </si>
  <si>
    <t>inNu</t>
  </si>
  <si>
    <t>Memorandum Item:</t>
  </si>
  <si>
    <t>Reserve Money</t>
  </si>
  <si>
    <t>of which:</t>
  </si>
  <si>
    <t>Currency Issued</t>
  </si>
  <si>
    <t>Banks’ Deposits</t>
  </si>
  <si>
    <t xml:space="preserve">Annual change in %                                                                               </t>
  </si>
  <si>
    <t>Loans by Purpose</t>
  </si>
  <si>
    <t>General Trade</t>
  </si>
  <si>
    <t xml:space="preserve">Export Finance </t>
  </si>
  <si>
    <t>Transport (heavy)</t>
  </si>
  <si>
    <t>Agriculture &amp; Livestock</t>
  </si>
  <si>
    <t>Personal Loan</t>
  </si>
  <si>
    <t>Transport (light-commercial)</t>
  </si>
  <si>
    <t>2006/07 is taken as 2006</t>
  </si>
  <si>
    <t>2006/07</t>
  </si>
  <si>
    <t>2007/08</t>
  </si>
  <si>
    <t>2008/09</t>
  </si>
  <si>
    <t>Total Reserves (millions usd) (actuals)</t>
  </si>
  <si>
    <t>change %</t>
  </si>
  <si>
    <t>1. Total reserves (millions USD)</t>
  </si>
  <si>
    <t>Change in reserves (%)</t>
  </si>
  <si>
    <t>1. Total reserves (millions Ngultrum)</t>
  </si>
  <si>
    <t>Total reserves (with 20 % increase in INR res in 06/07)</t>
  </si>
  <si>
    <t>Rs reserves</t>
  </si>
  <si>
    <t>% change</t>
  </si>
  <si>
    <t>Rs reserves in USD millions</t>
  </si>
  <si>
    <t>assuming increased imports will lag by about 6 mths reseves growth is assumed to be double the 6 yr average for 2006 and 20% in 2007</t>
  </si>
  <si>
    <t xml:space="preserve">to stabilise the huge fluctuation in reserves, 6 year average of Re reserves is taken to project </t>
  </si>
  <si>
    <t>CC reserves</t>
  </si>
  <si>
    <t>..</t>
  </si>
  <si>
    <t>CC reserves in USD millions</t>
  </si>
  <si>
    <t>Ex rate</t>
  </si>
  <si>
    <t>Total in NU</t>
  </si>
  <si>
    <t>2. Total reserves (millions USD)</t>
  </si>
  <si>
    <t>Change in total reserves (%)</t>
  </si>
  <si>
    <t>2. Total reserves (millions Ngultrum)</t>
  </si>
  <si>
    <t xml:space="preserve">Nominal GDP growth </t>
  </si>
  <si>
    <t>Real GDP growth</t>
  </si>
  <si>
    <t>Inflation (%)</t>
  </si>
  <si>
    <t>Broad Money Growth</t>
  </si>
  <si>
    <t>May-08</t>
  </si>
  <si>
    <t>Jul-03</t>
  </si>
  <si>
    <t>COTI imports</t>
  </si>
  <si>
    <t>negative growth of 9 percent 2005 because of Airplane import in the previous year and 5% growth thereafter</t>
  </si>
  <si>
    <t>will grow at 13.6%, 5 year average growth from 2000/01 to 2004/05</t>
  </si>
  <si>
    <t>Tala imports from India</t>
  </si>
  <si>
    <t>Loan disbursements</t>
  </si>
  <si>
    <t>Tala</t>
  </si>
  <si>
    <t>Debt servicing</t>
  </si>
  <si>
    <t>Project tied</t>
  </si>
  <si>
    <t>untied grants</t>
  </si>
  <si>
    <t>Mar-03</t>
  </si>
  <si>
    <t>Mar-10</t>
  </si>
  <si>
    <t>Mar-17</t>
  </si>
  <si>
    <t>Mar-24</t>
  </si>
  <si>
    <t>6.00-6.50</t>
  </si>
  <si>
    <t>Y-on-Y growth (Dec end)</t>
  </si>
  <si>
    <t xml:space="preserve">Oct-13 </t>
  </si>
  <si>
    <t>Oct-20</t>
  </si>
  <si>
    <t>Oct-27</t>
  </si>
  <si>
    <t>New Assumptions with revised Tala tariff at 1.75/U</t>
  </si>
  <si>
    <t>COTI disbursements</t>
  </si>
  <si>
    <t>from MTEF work, debt projections</t>
  </si>
  <si>
    <t>COTI (i), including private debt</t>
  </si>
  <si>
    <t>India others (p)</t>
  </si>
  <si>
    <t>COTI (p), including private debt</t>
  </si>
  <si>
    <t>India others (i)</t>
  </si>
  <si>
    <t>Tala (p)</t>
  </si>
  <si>
    <t>Tala (i)</t>
  </si>
  <si>
    <t>Tala grants</t>
  </si>
  <si>
    <t>COTI grants</t>
  </si>
  <si>
    <t>From BOP COTI  assumptions. (including private debt)</t>
  </si>
  <si>
    <t>from MTEF work, debt projections, deducting Tala from GOI</t>
  </si>
  <si>
    <t>from MTEF work, debt projections, excludes private debt which should be included when data becomes available</t>
  </si>
  <si>
    <t>from MTEF table number A4a - Grants</t>
  </si>
  <si>
    <t>From BOP India assumptions. It is not included in Grants from India</t>
  </si>
  <si>
    <t>Grants from India excluding Tala Grants</t>
  </si>
  <si>
    <t>COTI exports</t>
  </si>
  <si>
    <t>Imports from India excluding Tala</t>
  </si>
  <si>
    <t>Exports to India excluding Tala</t>
  </si>
  <si>
    <t xml:space="preserve">Imports </t>
  </si>
  <si>
    <t>7.9% 5 year average growth from 1999-00 to 2003-04</t>
  </si>
  <si>
    <t xml:space="preserve">19.7% 5 year average growth from 2000-01 to 2004-05 </t>
  </si>
  <si>
    <r>
      <t xml:space="preserve">Counterparts </t>
    </r>
    <r>
      <rPr>
        <u/>
        <vertAlign val="superscript"/>
        <sz val="12"/>
        <rFont val="Times New Roman"/>
        <family val="1"/>
      </rPr>
      <t>*)</t>
    </r>
  </si>
  <si>
    <t>Months of imports *)</t>
  </si>
  <si>
    <t>2002/2003</t>
  </si>
  <si>
    <t>2003/04</t>
  </si>
  <si>
    <t>May-09</t>
  </si>
  <si>
    <t>Oct-03</t>
  </si>
  <si>
    <t>12-16</t>
  </si>
  <si>
    <t>Financial Institutions' Deposit and Lending Rates</t>
  </si>
  <si>
    <t>10-16</t>
  </si>
  <si>
    <t>2003/2004</t>
  </si>
  <si>
    <t>Jul 01 - Jun 02</t>
  </si>
  <si>
    <t>Jul 02 - Jun 03</t>
  </si>
  <si>
    <t>Jul 03 - Jun 04</t>
  </si>
  <si>
    <t>Revised w.e.f.</t>
  </si>
  <si>
    <t>Jan. '03</t>
  </si>
  <si>
    <t>Types of Deposits</t>
  </si>
  <si>
    <t>Apr. 1 '02</t>
  </si>
  <si>
    <t>May 1 '02</t>
  </si>
  <si>
    <t>14-16</t>
  </si>
  <si>
    <t>Vehicle Loans to Government employees</t>
  </si>
  <si>
    <t>Small Loan to Government employees</t>
  </si>
  <si>
    <t xml:space="preserve">Transport (light-non commercial) </t>
  </si>
  <si>
    <t xml:space="preserve">Equity Finance </t>
  </si>
  <si>
    <t>May '02</t>
  </si>
  <si>
    <t>Apr. '02</t>
  </si>
  <si>
    <t>Jul./Oct.'03</t>
  </si>
  <si>
    <t>Jul. '03</t>
  </si>
  <si>
    <t>5.5-6</t>
  </si>
  <si>
    <t>December 1979 = 100</t>
  </si>
  <si>
    <t xml:space="preserve"> Average</t>
  </si>
  <si>
    <t>Weight</t>
  </si>
  <si>
    <t xml:space="preserve"> 1996</t>
  </si>
  <si>
    <t xml:space="preserve"> 1997</t>
  </si>
  <si>
    <t xml:space="preserve"> 1998</t>
  </si>
  <si>
    <t xml:space="preserve"> Growth</t>
  </si>
  <si>
    <t>in % (1)</t>
  </si>
  <si>
    <t xml:space="preserve"> Rate</t>
  </si>
  <si>
    <t xml:space="preserve"> in %</t>
  </si>
  <si>
    <t>72.31</t>
  </si>
  <si>
    <t>27.69</t>
  </si>
  <si>
    <t>100.00</t>
  </si>
  <si>
    <t xml:space="preserve">  79-02</t>
  </si>
  <si>
    <t>Net inflow(+)/outflow (-) on account of tala with Nu. 2</t>
  </si>
  <si>
    <t>Net inflow (+)/outflow (-) on account of tala with Nu. 1.75</t>
  </si>
  <si>
    <t>% difference</t>
  </si>
  <si>
    <t>Percentage change on the previous period</t>
  </si>
  <si>
    <t>omit change on previous period as per Mr. Donseif's advice. August 2002</t>
  </si>
  <si>
    <t>Last updated on November 18 2003 from NSB prices</t>
  </si>
  <si>
    <t>Dec-05</t>
  </si>
  <si>
    <t>Nov-03</t>
  </si>
  <si>
    <t>as per NSB report</t>
  </si>
  <si>
    <t>As per our calculation</t>
  </si>
  <si>
    <t>May-05</t>
  </si>
  <si>
    <t>Claims on Govt</t>
  </si>
  <si>
    <t>Claims on Govt.</t>
  </si>
  <si>
    <t>Corps</t>
  </si>
  <si>
    <t>Claims on Jt</t>
  </si>
  <si>
    <t>Claims on Private</t>
  </si>
  <si>
    <t xml:space="preserve">Claims on DMBs </t>
  </si>
  <si>
    <t>other than DDs</t>
  </si>
  <si>
    <t xml:space="preserve">Claims on other </t>
  </si>
  <si>
    <t>NBFIs</t>
  </si>
  <si>
    <t>Absolute Change</t>
  </si>
  <si>
    <t>% Change</t>
  </si>
  <si>
    <t>Jan-02</t>
  </si>
  <si>
    <t>Jan-09</t>
  </si>
  <si>
    <t>Jan-16</t>
  </si>
  <si>
    <t xml:space="preserve"> Jan</t>
  </si>
  <si>
    <t>Table 1. Monetary Survey (*)</t>
  </si>
  <si>
    <t>M=NFA+NDA</t>
  </si>
  <si>
    <t>Mar-30</t>
  </si>
  <si>
    <t>Feb-07</t>
  </si>
  <si>
    <t>^M=^NFA+^NDA</t>
  </si>
  <si>
    <t>NFA=FA-FL</t>
  </si>
  <si>
    <t>NDA=DC+OIN</t>
  </si>
  <si>
    <t>DC=DCg+DCp=OIN</t>
  </si>
  <si>
    <t>MV=Py</t>
  </si>
  <si>
    <t>V=Py/M=Nominal GDP/M</t>
  </si>
  <si>
    <t>Md=1/v*P*y=kPy</t>
  </si>
  <si>
    <t>^Md=^Ms</t>
  </si>
  <si>
    <t>^M/M=^k/k+^p/p+^y/y=velocity+deflator+realy GDP growth</t>
  </si>
  <si>
    <t>RM=CIC+… =C+R (RR+ER)</t>
  </si>
  <si>
    <t>M=M1+QM</t>
  </si>
  <si>
    <t>M=C+D</t>
  </si>
  <si>
    <t>M/RM=C+D/C+RR+ER=(C/D+1)/(C/D+RR/D+ER/D)=(C+1)/(c+r+e)</t>
  </si>
  <si>
    <t>(c+r+e)=a</t>
  </si>
  <si>
    <t>RM=a/c+1</t>
  </si>
  <si>
    <t>^MR/RM=^A/a+^M/M</t>
  </si>
  <si>
    <t>^RM=^NFA+^NDA</t>
  </si>
  <si>
    <t>for the Graph</t>
  </si>
  <si>
    <t>Rupee Reserves</t>
  </si>
  <si>
    <t>Convertible Currency Reserves</t>
  </si>
  <si>
    <t>Feb-27</t>
  </si>
  <si>
    <t>Jan-04</t>
  </si>
  <si>
    <t>include power imports from India!</t>
  </si>
  <si>
    <t>Origin</t>
  </si>
  <si>
    <t>Japan</t>
  </si>
  <si>
    <t>Europe</t>
  </si>
  <si>
    <t xml:space="preserve">  of which: Euro Area</t>
  </si>
  <si>
    <t>United States</t>
  </si>
  <si>
    <t>United Kingdom</t>
  </si>
  <si>
    <t>Annual % change</t>
  </si>
  <si>
    <t>monthly % change</t>
  </si>
  <si>
    <t xml:space="preserve">% change from end of last FY </t>
  </si>
  <si>
    <t>CC</t>
  </si>
  <si>
    <t xml:space="preserve">Millions of US Dollars 1/ </t>
  </si>
  <si>
    <t>Millions of Nu. 2/</t>
  </si>
  <si>
    <t>1/ Converted from original currencies using the respective monthly average exchange rates.</t>
  </si>
  <si>
    <t>2/ Converted from USD using monthly average exchange rate.</t>
  </si>
  <si>
    <t>Sources: Bank of Bhutan and Bhutan National Bank.</t>
  </si>
  <si>
    <t>Mar-26</t>
  </si>
  <si>
    <t>of which, Euro Area</t>
  </si>
  <si>
    <t>TOTAL</t>
  </si>
  <si>
    <t>BTN</t>
  </si>
  <si>
    <t>In millions of respective currency</t>
  </si>
  <si>
    <t>Apr-30</t>
  </si>
  <si>
    <t>Jul. '04</t>
  </si>
  <si>
    <t>6-6.5</t>
  </si>
  <si>
    <t>to be verified</t>
  </si>
  <si>
    <t xml:space="preserve">                IMF and respective central bank websites for exchange rates.</t>
  </si>
  <si>
    <t>Dec-03</t>
  </si>
  <si>
    <t>May-28</t>
  </si>
  <si>
    <t>IMF and respective central bank websites for exchange rates.</t>
  </si>
  <si>
    <t>2004 Jul</t>
  </si>
  <si>
    <t>2005/06</t>
  </si>
  <si>
    <t>Aug-26</t>
  </si>
  <si>
    <t>Sep-02</t>
  </si>
  <si>
    <t>Sep-09</t>
  </si>
  <si>
    <t>Sep-16</t>
  </si>
  <si>
    <t>Value in</t>
  </si>
  <si>
    <t>12.50-12.75</t>
  </si>
  <si>
    <t>May-30</t>
  </si>
  <si>
    <t>May-10</t>
  </si>
  <si>
    <t>12.25-12.76</t>
  </si>
  <si>
    <t>8.25-9.01</t>
  </si>
  <si>
    <t>Oct-10</t>
  </si>
  <si>
    <t>Oct-17</t>
  </si>
  <si>
    <t>Oct-24</t>
  </si>
  <si>
    <t>Oct-31</t>
  </si>
  <si>
    <t>Nov-7</t>
  </si>
  <si>
    <t>Nov-14</t>
  </si>
  <si>
    <t>13.00-13.50</t>
  </si>
  <si>
    <t>Nov-21</t>
  </si>
  <si>
    <t>Nov-28</t>
  </si>
  <si>
    <t>Dec-5</t>
  </si>
  <si>
    <t>Dec-12</t>
  </si>
  <si>
    <t>Dec-19</t>
  </si>
  <si>
    <t>Dec-26</t>
  </si>
  <si>
    <t>8.50-10.00</t>
  </si>
  <si>
    <t>Jan-2</t>
  </si>
  <si>
    <t>12.00-12.50</t>
  </si>
  <si>
    <t>8.25-10.00</t>
  </si>
  <si>
    <t>Jan-9</t>
  </si>
  <si>
    <t>Jan. '04</t>
  </si>
  <si>
    <t xml:space="preserve">    d) More than 3 years</t>
  </si>
  <si>
    <t xml:space="preserve">    c) 2 years to less than 3 years</t>
  </si>
  <si>
    <t xml:space="preserve">    For Institutions &amp; Corporate Bodies</t>
  </si>
  <si>
    <t>10-15</t>
  </si>
  <si>
    <t>Apr. 1 2002</t>
  </si>
  <si>
    <t>SBACS</t>
  </si>
  <si>
    <t xml:space="preserve">2005/06 </t>
  </si>
  <si>
    <t>Business</t>
  </si>
  <si>
    <t>As On</t>
  </si>
  <si>
    <t>Jan '04</t>
  </si>
  <si>
    <t>Jul/Oct '03</t>
  </si>
  <si>
    <t>Jan ' 04</t>
  </si>
  <si>
    <t xml:space="preserve">    Institutes &amp; Corporate Bodies</t>
  </si>
  <si>
    <t>Jan 04</t>
  </si>
  <si>
    <t>(*) Excludes cash in hand of commercial banks;(1) Includes reserve tranche position in the Fund.</t>
  </si>
  <si>
    <t>Overdraft/contractors revolving credit</t>
  </si>
  <si>
    <t>Mar. 31 2004</t>
  </si>
  <si>
    <t>May 13 2002</t>
  </si>
  <si>
    <t>Old Rate</t>
  </si>
  <si>
    <t>5.5-7</t>
  </si>
  <si>
    <t>Jan. 16 2003</t>
  </si>
  <si>
    <t>revised/existing w.e.f.</t>
  </si>
  <si>
    <t>Jan '03</t>
  </si>
  <si>
    <t>2002</t>
  </si>
  <si>
    <t>Dec-06</t>
  </si>
  <si>
    <t>Jan-12</t>
  </si>
  <si>
    <t>Jan-19</t>
  </si>
  <si>
    <t>Jan-26</t>
  </si>
  <si>
    <t>Feb-02</t>
  </si>
  <si>
    <t>Feb-09</t>
  </si>
  <si>
    <t>Feb-16</t>
  </si>
  <si>
    <t>Jan-23</t>
  </si>
  <si>
    <t>Jan-30</t>
  </si>
  <si>
    <t>Feb-6</t>
  </si>
  <si>
    <t>7.75-9.00</t>
  </si>
  <si>
    <t>Feb-13</t>
  </si>
  <si>
    <t>Feb-20</t>
  </si>
  <si>
    <t>Mar-6</t>
  </si>
  <si>
    <t>Mar-13</t>
  </si>
  <si>
    <t>7.75-8.75</t>
  </si>
  <si>
    <t>Mar-20</t>
  </si>
  <si>
    <t>Mar-27</t>
  </si>
  <si>
    <t>11.50-12.00</t>
  </si>
  <si>
    <t>11.50-12.50</t>
  </si>
  <si>
    <t>7.25-8.50</t>
  </si>
  <si>
    <t>7.50-9.00</t>
  </si>
  <si>
    <t>Manufacturing / Industry</t>
  </si>
  <si>
    <t>Feb-03</t>
  </si>
  <si>
    <t>Feb-10</t>
  </si>
  <si>
    <t>Feb-17</t>
  </si>
  <si>
    <t>Feb-24</t>
  </si>
  <si>
    <t>5.75-6.50</t>
  </si>
  <si>
    <t>a) Term Loan</t>
  </si>
  <si>
    <t>b) Working Capital</t>
  </si>
  <si>
    <t>SI</t>
  </si>
  <si>
    <t>Lending/Deposit Rates</t>
  </si>
  <si>
    <t>A</t>
  </si>
  <si>
    <t>A.1</t>
  </si>
  <si>
    <t>A.2</t>
  </si>
  <si>
    <t>A.3.1</t>
  </si>
  <si>
    <t>A.3.2</t>
  </si>
  <si>
    <t>a) From 1st disbursement to 60 days</t>
  </si>
  <si>
    <t>b) More than 60 days</t>
  </si>
  <si>
    <t>A.4.1</t>
  </si>
  <si>
    <t>A.4.2</t>
  </si>
  <si>
    <t>Service/ Tourism</t>
  </si>
  <si>
    <t>A.5.1</t>
  </si>
  <si>
    <t>A.5.2</t>
  </si>
  <si>
    <t>A.6.1</t>
  </si>
  <si>
    <t>A.6.2</t>
  </si>
  <si>
    <t>A.7</t>
  </si>
  <si>
    <t>A.8</t>
  </si>
  <si>
    <t>A.9</t>
  </si>
  <si>
    <t>A.10</t>
  </si>
  <si>
    <t>A.11</t>
  </si>
  <si>
    <t>A.12</t>
  </si>
  <si>
    <t>A.13</t>
  </si>
  <si>
    <t>A.14</t>
  </si>
  <si>
    <t>A.17</t>
  </si>
  <si>
    <t>A.20</t>
  </si>
  <si>
    <t>Deposit Rates</t>
  </si>
  <si>
    <t>B</t>
  </si>
  <si>
    <t>B.1</t>
  </si>
  <si>
    <t>B.2</t>
  </si>
  <si>
    <t>B.3.1</t>
  </si>
  <si>
    <t>B.3</t>
  </si>
  <si>
    <t>B.3.2</t>
  </si>
  <si>
    <t>B.4</t>
  </si>
  <si>
    <t>13 *)</t>
  </si>
  <si>
    <t>12 *)</t>
  </si>
  <si>
    <t>15 *)</t>
  </si>
  <si>
    <t>*) Revisions in April 2002 or July 2003?</t>
  </si>
  <si>
    <t>?</t>
  </si>
  <si>
    <t xml:space="preserve">    b) 1 year to less than 2 years</t>
  </si>
  <si>
    <t xml:space="preserve">Housing </t>
  </si>
  <si>
    <t xml:space="preserve"> 80-04</t>
  </si>
  <si>
    <t>79-03</t>
  </si>
  <si>
    <t xml:space="preserve">as per automatic calculation June CPI </t>
  </si>
  <si>
    <t>Jun-25</t>
  </si>
  <si>
    <t>Gold and cash in hand not included</t>
  </si>
  <si>
    <t>Aug-10</t>
  </si>
  <si>
    <t>Aug -17</t>
  </si>
  <si>
    <t>Aug-24</t>
  </si>
  <si>
    <t>Aug-31</t>
  </si>
  <si>
    <t>Sep-07</t>
  </si>
  <si>
    <t>Sep-14</t>
  </si>
  <si>
    <t>Sep-21</t>
  </si>
  <si>
    <t>Sep-28</t>
  </si>
  <si>
    <t>8.00-9.50</t>
  </si>
  <si>
    <t>Oct-19</t>
  </si>
  <si>
    <t>Oct-26</t>
  </si>
  <si>
    <t>Nov-2</t>
  </si>
  <si>
    <t>Nov-9</t>
  </si>
  <si>
    <t>Nov-16</t>
  </si>
  <si>
    <t>Nov-23</t>
  </si>
  <si>
    <t>8.00-9.00</t>
  </si>
  <si>
    <t>Jul-30</t>
  </si>
  <si>
    <t xml:space="preserve">     Services1</t>
  </si>
  <si>
    <t xml:space="preserve">     Foreign Aid (Loans net)2</t>
  </si>
  <si>
    <t>D. Overall Balance3</t>
  </si>
  <si>
    <t>Aug-12</t>
  </si>
  <si>
    <t>Electricity contribution is derived assuming Tala will produce 4238.4 MU in a year</t>
  </si>
  <si>
    <t>Of this we took less than a quarter (20%) since Tala is expected to be commissioned only in September and that the initial production will be much less than capacity</t>
  </si>
  <si>
    <t>We assumed Tala tariff will be Nu. 1.75/u</t>
  </si>
  <si>
    <t xml:space="preserve">External Debt (percent of GDP) </t>
  </si>
  <si>
    <t>DAC 1st payment</t>
  </si>
  <si>
    <t>Balance</t>
  </si>
  <si>
    <t>Fall in RMA CC Reserves</t>
  </si>
  <si>
    <t>Payments for Druk Air Plane</t>
  </si>
  <si>
    <t>Period (2)</t>
  </si>
  <si>
    <t>1st Half</t>
  </si>
  <si>
    <t>2nd Half</t>
  </si>
  <si>
    <t>Source : National Statistical Bureau. -(*) Excluding rent.  -(1) 1979 Expenditure Survey. -(2) Period average.</t>
  </si>
  <si>
    <t>Budgetary grants</t>
  </si>
  <si>
    <t xml:space="preserve">                 Budgetary &amp; Project tied Grants</t>
  </si>
  <si>
    <t>Mar-04</t>
  </si>
  <si>
    <t>2004/05</t>
  </si>
  <si>
    <t>August-08</t>
  </si>
  <si>
    <t>Aug-27</t>
  </si>
  <si>
    <t>Sept. 2004</t>
  </si>
  <si>
    <t>13-15 (?)</t>
  </si>
  <si>
    <t>10-13  ?</t>
  </si>
  <si>
    <t>15-16 ?</t>
  </si>
  <si>
    <t>12-13?</t>
  </si>
  <si>
    <t>Apr-04</t>
  </si>
  <si>
    <t xml:space="preserve">Jul </t>
  </si>
  <si>
    <t>Rs Reserves</t>
  </si>
  <si>
    <t>CC Reserves</t>
  </si>
  <si>
    <t>Tala exports (MU)</t>
  </si>
  <si>
    <t>Tala tariff</t>
  </si>
  <si>
    <t>Tala exports (Nu.)</t>
  </si>
  <si>
    <t>Actual</t>
  </si>
  <si>
    <t>Prov.</t>
  </si>
  <si>
    <t>Projections</t>
  </si>
  <si>
    <t xml:space="preserve">          Chukha Exports</t>
  </si>
  <si>
    <t xml:space="preserve">          Tala Exports</t>
  </si>
  <si>
    <t xml:space="preserve">          Other Exports</t>
  </si>
  <si>
    <t xml:space="preserve">           Tala</t>
  </si>
  <si>
    <t xml:space="preserve">           Other</t>
  </si>
  <si>
    <t xml:space="preserve">     Services</t>
  </si>
  <si>
    <t xml:space="preserve">            Grants</t>
  </si>
  <si>
    <t xml:space="preserve">                 Other (Excise refund+Treaty Subsidy)</t>
  </si>
  <si>
    <t xml:space="preserve">            Non life insurance related</t>
  </si>
  <si>
    <t xml:space="preserve">              of which Workers' remittances</t>
  </si>
  <si>
    <t xml:space="preserve">              of which Non life insurance related</t>
  </si>
  <si>
    <t xml:space="preserve">              of which Other (tsunam relief)</t>
  </si>
  <si>
    <t xml:space="preserve">     Capital Transfers (Tala grant)</t>
  </si>
  <si>
    <t xml:space="preserve">     Foreign Aid (Loans net) </t>
  </si>
  <si>
    <t xml:space="preserve">             Disb</t>
  </si>
  <si>
    <t xml:space="preserve">             Principal Repayment</t>
  </si>
  <si>
    <t xml:space="preserve">      Other Investment</t>
  </si>
  <si>
    <t>D. Overall Balance (change in reserves)</t>
  </si>
  <si>
    <t>Overall Balance (change in reserves)</t>
  </si>
  <si>
    <t>Total Reserves</t>
  </si>
  <si>
    <t>Budgetary Grants and Net Loans inflow</t>
  </si>
  <si>
    <t>II. BALANCE OF PAYMENTS ESTIMATES WITH INDIA  from MTEF file</t>
  </si>
  <si>
    <t xml:space="preserve">            Of Which Budgetary Grants</t>
  </si>
  <si>
    <t xml:space="preserve">           Of which Tsunami relief</t>
  </si>
  <si>
    <t xml:space="preserve">                   Of which DISB</t>
  </si>
  <si>
    <t xml:space="preserve">                   Principal Repayment</t>
  </si>
  <si>
    <t xml:space="preserve">            DISB</t>
  </si>
  <si>
    <t>D. Overall Balance</t>
  </si>
  <si>
    <t>Total CC reserves</t>
  </si>
  <si>
    <t>Change in CC reserves</t>
  </si>
  <si>
    <t>III. BALANCE OF PAYMENTS ESTIMATES WITH COUNTRIES OTHER THAN INDIA, from MTEF file</t>
  </si>
  <si>
    <t>COTI imports (goods)</t>
  </si>
  <si>
    <t>COTI exports (goods)</t>
  </si>
  <si>
    <t>Change in Reserves (in Nu millions)</t>
  </si>
  <si>
    <t>10.25-10.75</t>
  </si>
  <si>
    <t xml:space="preserve">Note: Monthly average exchange rates of respective original currencies vis-à-vis US dollar were used to convert into USD values. USD values were converted into BTN values using monthly average exchange rate of the BTN vis-à-vis the USD. </t>
  </si>
  <si>
    <t>This way we get real GDP growth forecast of 25%</t>
  </si>
  <si>
    <t>Witht the above we get GVA of electricity Nu. 2222 which we deflated using implicit deflator (nominal/real for 2005) - Real GDP worksheet line 90 from File BOP</t>
  </si>
  <si>
    <t>2006 (b)</t>
  </si>
  <si>
    <t>2007 (b)</t>
  </si>
  <si>
    <t>2008 (b)</t>
  </si>
  <si>
    <t>WPI</t>
  </si>
  <si>
    <t>Nom GDP growth as per NSB</t>
  </si>
  <si>
    <t>Jun-06</t>
  </si>
  <si>
    <t>Jul-06</t>
  </si>
  <si>
    <t>May-04</t>
  </si>
  <si>
    <t>Oct-29</t>
  </si>
  <si>
    <t>NDA</t>
  </si>
  <si>
    <t>Check</t>
  </si>
  <si>
    <t>BM/RM</t>
  </si>
  <si>
    <t>12 Month % change BM</t>
  </si>
  <si>
    <t>12 Month % change RM</t>
  </si>
  <si>
    <t>12 Month % change Pvt C</t>
  </si>
  <si>
    <t>BM % change cumulative</t>
  </si>
  <si>
    <t>Multiplier</t>
  </si>
  <si>
    <t>2001 Jan</t>
  </si>
  <si>
    <t>2002 Jan</t>
  </si>
  <si>
    <t>2003 Jan</t>
  </si>
  <si>
    <t>2004 Jan</t>
  </si>
  <si>
    <t>Reserves - Used for Chencho and Rinzi's worksheet</t>
  </si>
  <si>
    <t xml:space="preserve">Rupee </t>
  </si>
  <si>
    <t xml:space="preserve">Convertible currency </t>
  </si>
  <si>
    <t>Exchange rate</t>
  </si>
  <si>
    <t>Total (millions of Re)</t>
  </si>
  <si>
    <t>2000 Jan</t>
  </si>
  <si>
    <t>1999 Jan</t>
  </si>
  <si>
    <t>1998 Jan</t>
  </si>
  <si>
    <t>1997 Jan</t>
  </si>
  <si>
    <t>Nov-19</t>
  </si>
  <si>
    <t>Jul-04</t>
  </si>
  <si>
    <t xml:space="preserve">TABLE 20. BALANCE OF PAYMENTS ESTIMATES WITH INDIA </t>
  </si>
  <si>
    <t>what about goods procured at port</t>
  </si>
  <si>
    <t xml:space="preserve">        Of which Grants</t>
  </si>
  <si>
    <t>GDP (n)</t>
  </si>
  <si>
    <t>percentage change on the previous year</t>
  </si>
  <si>
    <t xml:space="preserve">          Of Which Budgetary Grants</t>
  </si>
  <si>
    <r>
      <t>1 and 2</t>
    </r>
    <r>
      <rPr>
        <sz val="10"/>
        <rFont val="Arial"/>
        <family val="2"/>
      </rPr>
      <t>Kindly refer to Overall Balance of Payments Estimates.</t>
    </r>
  </si>
  <si>
    <r>
      <t>3</t>
    </r>
    <r>
      <rPr>
        <sz val="10"/>
        <rFont val="Arial"/>
        <family val="2"/>
      </rPr>
      <t>Overall Balance is the Change in Reserves.</t>
    </r>
  </si>
  <si>
    <t xml:space="preserve">TABLE 21. BALANCE OF PAYMENTS ESTIMATES WITH COUNTRIES OTHER THAN INDIA </t>
  </si>
  <si>
    <t>Forecast 153% growth in electricity as done by NSB</t>
  </si>
  <si>
    <t>Assuming Electricity grow by 153% as done by NSB (for 2007) we get real GDP growth of 23 %</t>
  </si>
  <si>
    <t xml:space="preserve">        Of Which Grants</t>
  </si>
  <si>
    <t>Total for FY 2005/2006</t>
  </si>
  <si>
    <t>Total for FY 2006/2007</t>
  </si>
  <si>
    <t>Jul-27</t>
  </si>
  <si>
    <t xml:space="preserve">     Portfolio Investment</t>
  </si>
  <si>
    <t>total grants in USD</t>
  </si>
  <si>
    <t>Growth in services exports</t>
  </si>
  <si>
    <t>03/04</t>
  </si>
  <si>
    <t>Dec-02</t>
  </si>
  <si>
    <t>Jan-05</t>
  </si>
  <si>
    <t>Dec-24</t>
  </si>
  <si>
    <t>Sept-13</t>
  </si>
  <si>
    <t>Sept-12</t>
  </si>
  <si>
    <t>Domestic</t>
  </si>
  <si>
    <t>Nov-06</t>
  </si>
  <si>
    <t>Nov-30</t>
  </si>
  <si>
    <t>12.75-13.26</t>
  </si>
  <si>
    <t>12.75-13.27</t>
  </si>
  <si>
    <t>12.75-13.28</t>
  </si>
  <si>
    <t>12.75-13.29</t>
  </si>
  <si>
    <t>8.00-9.51</t>
  </si>
  <si>
    <t>8.00-9.52</t>
  </si>
  <si>
    <t>8.00-9.53</t>
  </si>
  <si>
    <t>8.00-9.54</t>
  </si>
  <si>
    <t>Budgetary</t>
  </si>
  <si>
    <t xml:space="preserve">Real GDP </t>
  </si>
  <si>
    <t>Real GDP (percent change)</t>
  </si>
  <si>
    <t>Real GDP &amp; Gross International Reserves</t>
  </si>
  <si>
    <t xml:space="preserve">We forecast indian rupee reserves to grow by 13% in 2006 assuming Tala comes on stream in the 2nd half of the year and 15% the following year </t>
  </si>
  <si>
    <t>Jan-07</t>
  </si>
  <si>
    <t>Jan-14</t>
  </si>
  <si>
    <t>Jan-21</t>
  </si>
  <si>
    <t>M2 = NFA+DA</t>
  </si>
  <si>
    <t>DA = DC-OIN</t>
  </si>
  <si>
    <t>Forecast 177% growth in electricity</t>
  </si>
  <si>
    <t>From Projections/GDP August 2005</t>
  </si>
  <si>
    <t>DA</t>
  </si>
  <si>
    <t>Six year geomatric mean for 2005 for the subcomponents</t>
  </si>
  <si>
    <t>Same rate as 2005 to the components of 2006 to get the baseline</t>
  </si>
  <si>
    <t>To get M2, we added the subcomponents</t>
  </si>
  <si>
    <t>Jan-28</t>
  </si>
  <si>
    <t>Feb-04</t>
  </si>
  <si>
    <t>Feb-11</t>
  </si>
  <si>
    <t xml:space="preserve">  Nominal Gross Domestic Product</t>
  </si>
  <si>
    <t xml:space="preserve">  Money Supply</t>
  </si>
  <si>
    <t xml:space="preserve"> Velocity of Money</t>
  </si>
  <si>
    <t xml:space="preserve"> Inflation Rate</t>
  </si>
  <si>
    <t xml:space="preserve">  Nominal GDP Growth rate (%)</t>
  </si>
  <si>
    <t xml:space="preserve">  Real GDP Growth rate (%)</t>
  </si>
  <si>
    <t>Work for f</t>
  </si>
  <si>
    <t>Electricity</t>
  </si>
  <si>
    <t>Services sector growth</t>
  </si>
  <si>
    <t>Industry sector</t>
  </si>
  <si>
    <t>growth</t>
  </si>
  <si>
    <t>Implicit deflator</t>
  </si>
  <si>
    <t>Half of 3962 MU * 2Nu/pu - Tala</t>
  </si>
  <si>
    <r>
      <t xml:space="preserve">Source : National Statistical Bureau. </t>
    </r>
    <r>
      <rPr>
        <sz val="11"/>
        <color indexed="10"/>
        <rFont val="Arial"/>
        <family val="2"/>
      </rPr>
      <t>Figures of past years have been revised in 2001 and in 2004.</t>
    </r>
    <r>
      <rPr>
        <sz val="11"/>
        <rFont val="Arial"/>
        <family val="2"/>
      </rPr>
      <t xml:space="preserve"> 1) The average rate of growth of Gross Domestic Product from 1993 to 2003 is 6.6%.</t>
    </r>
  </si>
  <si>
    <t xml:space="preserve">for SEI </t>
  </si>
  <si>
    <t>Industry</t>
  </si>
  <si>
    <t>2004-05</t>
  </si>
  <si>
    <t xml:space="preserve">    10.1. Public Administration</t>
  </si>
  <si>
    <t xml:space="preserve">    10.2. Education and health</t>
  </si>
  <si>
    <t xml:space="preserve">10.Community, social and personal services </t>
  </si>
  <si>
    <t>11. Private social &amp; recreational services</t>
  </si>
  <si>
    <t>12. Plus indirect taxes less subsidies</t>
  </si>
  <si>
    <t>4. Electricity &amp; water</t>
  </si>
  <si>
    <t xml:space="preserve">TABLE 2. GROSS DOMESTIC PRODUCT AT FACTOR COST BY KIND OF ACTIVITY* </t>
  </si>
  <si>
    <t>Avg from 1992-2005</t>
  </si>
  <si>
    <t>2004 (p)</t>
  </si>
  <si>
    <t>02 to 03</t>
  </si>
  <si>
    <t>Agriculture</t>
  </si>
  <si>
    <t>Feb-18</t>
  </si>
  <si>
    <t>Feb-25</t>
  </si>
  <si>
    <t>Aug-19</t>
  </si>
  <si>
    <t xml:space="preserve"> GDP at Constant(2000) Price  (a), (b) </t>
  </si>
  <si>
    <t xml:space="preserve">   Of which: Foreign Grants</t>
  </si>
  <si>
    <t>Board Money, M2</t>
  </si>
  <si>
    <t>Credit to Private Sector</t>
  </si>
  <si>
    <t xml:space="preserve">    With India</t>
  </si>
  <si>
    <t xml:space="preserve">    (In percent of GDP)</t>
  </si>
  <si>
    <t xml:space="preserve">   Of which: India</t>
  </si>
  <si>
    <t>Money Multiplier (M2/MO)</t>
  </si>
  <si>
    <t>Income Velocity (GDP/M2)</t>
  </si>
  <si>
    <t>jk</t>
  </si>
  <si>
    <t>May-1</t>
  </si>
  <si>
    <t>11.00-12.25</t>
  </si>
  <si>
    <t>6.50-8.50</t>
  </si>
  <si>
    <t>May-8</t>
  </si>
  <si>
    <t>6.50-8.25</t>
  </si>
  <si>
    <t>May-22</t>
  </si>
  <si>
    <t>6.50-8.00.</t>
  </si>
  <si>
    <t>June-19</t>
  </si>
  <si>
    <t>June-26</t>
  </si>
  <si>
    <t>July-10</t>
  </si>
  <si>
    <t>July-24</t>
  </si>
  <si>
    <t>6.50-7.75</t>
  </si>
  <si>
    <t>Aug-7</t>
  </si>
  <si>
    <t>Aug-21</t>
  </si>
  <si>
    <t>Aug-28</t>
  </si>
  <si>
    <t xml:space="preserve">    Of which Banks' Deposits</t>
  </si>
  <si>
    <t>Gross Official Reserves (in Millions of USD)</t>
  </si>
  <si>
    <t>Reserve Money, MO (in millions of Nu.)</t>
  </si>
  <si>
    <t>a) On a calendar year basis, e.g., the entry under 2006/07 is for 2006. - b) Source: National Accounts Statistics (2007). NSB - c) Data till 2002/03 are based on the old halr-yearly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 1993-94 base; reference period same as for Bhutan CPI. - e) Data for 2006/07 are revised estimates. - f) Debt service payments in percent of exports of goods and services.</t>
  </si>
  <si>
    <t>Jun-05**)</t>
  </si>
  <si>
    <t>Apr-09</t>
  </si>
  <si>
    <t>Total (including services imports)</t>
  </si>
  <si>
    <t>Total (excluding services imports)</t>
  </si>
  <si>
    <t>Changed as per the latest information available from the monthly bulletin</t>
  </si>
  <si>
    <t>Sep-4</t>
  </si>
  <si>
    <t>Sep-18</t>
  </si>
  <si>
    <t>Sep-25</t>
  </si>
  <si>
    <t>Oct-2</t>
  </si>
  <si>
    <t>Oct-9</t>
  </si>
  <si>
    <t>6.25-7.50</t>
  </si>
  <si>
    <t>Oct-30</t>
  </si>
  <si>
    <t>Nov-6</t>
  </si>
  <si>
    <t>Nov-13</t>
  </si>
  <si>
    <t>6.00-7.50</t>
  </si>
  <si>
    <t>Nov-27</t>
  </si>
  <si>
    <t>Dec-4</t>
  </si>
  <si>
    <t>Dec-11</t>
  </si>
  <si>
    <t>June-09</t>
  </si>
  <si>
    <t>July-09</t>
  </si>
  <si>
    <t>Aug-09</t>
  </si>
  <si>
    <t>Dec-25</t>
  </si>
  <si>
    <t>2010</t>
  </si>
  <si>
    <t>Jan-1</t>
  </si>
  <si>
    <t>2009/10</t>
  </si>
  <si>
    <t>Jan-8</t>
  </si>
  <si>
    <t>Jan-22</t>
  </si>
  <si>
    <t>Jan-29</t>
  </si>
  <si>
    <t>Feb-5</t>
  </si>
  <si>
    <t>Feb-12</t>
  </si>
  <si>
    <t>Feb-19</t>
  </si>
  <si>
    <t>Feb-26</t>
  </si>
  <si>
    <t>Mar-5</t>
  </si>
  <si>
    <t>Mar-12</t>
  </si>
  <si>
    <t>Mar-19</t>
  </si>
  <si>
    <t>Apr-2</t>
  </si>
  <si>
    <t>Apr-9</t>
  </si>
  <si>
    <t>Apr-16</t>
  </si>
  <si>
    <t>May-7</t>
  </si>
  <si>
    <t>2009 Dec</t>
  </si>
  <si>
    <t>91-days RMA Bills/ Treasury Bills</t>
  </si>
  <si>
    <t>Population growth rate (a), (g), (h)</t>
  </si>
  <si>
    <t>n/a</t>
  </si>
  <si>
    <t>Unemployment rate (a), (g), (h)</t>
  </si>
  <si>
    <t>BHUTAN: Key Economic Indicators</t>
  </si>
  <si>
    <t>Projected by NSB</t>
  </si>
  <si>
    <t>Jan-10</t>
  </si>
  <si>
    <t>Oct-09</t>
  </si>
  <si>
    <t>Nov-09</t>
  </si>
  <si>
    <t>Jun-12</t>
  </si>
  <si>
    <t>Jul-3</t>
  </si>
  <si>
    <t>Jul-31</t>
  </si>
  <si>
    <t>Jun-5</t>
  </si>
  <si>
    <t>May-14</t>
  </si>
  <si>
    <t>May-21</t>
  </si>
  <si>
    <t>Jun-4</t>
  </si>
  <si>
    <t>Jun-11</t>
  </si>
  <si>
    <t>Jun-18</t>
  </si>
  <si>
    <t>Jul-2</t>
  </si>
  <si>
    <t>7.50-8.00</t>
  </si>
  <si>
    <t>Jul-9</t>
  </si>
  <si>
    <t>Jul-16</t>
  </si>
  <si>
    <t>Jul-23</t>
  </si>
  <si>
    <t>month</t>
  </si>
  <si>
    <t>yoy</t>
  </si>
  <si>
    <t>DPNBL</t>
  </si>
  <si>
    <t>**)Reserve figures revised from june 2005 till date-IMF's  Reserve position not included in the RMA's CC figures.</t>
  </si>
  <si>
    <t>Bhutan Development Finance Corporation Ltd.</t>
  </si>
  <si>
    <t>Druk PNB Limited</t>
  </si>
  <si>
    <t>TBank Limited</t>
  </si>
  <si>
    <t>Bhutan National Bank Limited</t>
  </si>
  <si>
    <t>Bank of Bhutan Limited</t>
  </si>
  <si>
    <t>Royal Monetary Authority of Bhutan</t>
  </si>
  <si>
    <t>Royal Monetary Authority of Bhutan (1)</t>
  </si>
  <si>
    <t>Bhutan National  Bank Limited</t>
  </si>
  <si>
    <t>change in exrates during 2009 and 2010 lead to change in gross international reserves.</t>
  </si>
  <si>
    <t>Aug '10</t>
  </si>
  <si>
    <t>Aug-6</t>
  </si>
  <si>
    <t>Aug-13</t>
  </si>
  <si>
    <t>Aug-20</t>
  </si>
  <si>
    <t>Sept-10</t>
  </si>
  <si>
    <t>Sept-03</t>
  </si>
  <si>
    <t>6.75-7.75</t>
  </si>
  <si>
    <t>Sept-17</t>
  </si>
  <si>
    <t>Sept-24</t>
  </si>
  <si>
    <t>Oct-1</t>
  </si>
  <si>
    <t>Oct-8</t>
  </si>
  <si>
    <t>Oct-15</t>
  </si>
  <si>
    <t>Oct-22</t>
  </si>
  <si>
    <t>Nov-5</t>
  </si>
  <si>
    <t>Nov-12</t>
  </si>
  <si>
    <t>Nov-26</t>
  </si>
  <si>
    <t>7.60-8.50</t>
  </si>
  <si>
    <t>Dec-10</t>
  </si>
  <si>
    <t>7.00-8.75</t>
  </si>
  <si>
    <t>Dec-17</t>
  </si>
  <si>
    <t>7.60-9.00</t>
  </si>
  <si>
    <t>Note: remember to check the exchange rate used and the IMPORT figures (as soon as AR is finalized - need to change the import for current and previous year's!)</t>
  </si>
  <si>
    <t>CROSSCHECK FOR AR</t>
  </si>
  <si>
    <t>`</t>
  </si>
  <si>
    <t>GDP Growth and Prices (percent change)</t>
  </si>
  <si>
    <t>Government Budget (in millions of Nu.) (e)</t>
  </si>
  <si>
    <t>Money and Credit (percent change, end of period)</t>
  </si>
  <si>
    <t>Interest Rates (end of period)</t>
  </si>
  <si>
    <t xml:space="preserve">Balance of Payments (in millions of Nu.) </t>
  </si>
  <si>
    <t>External Indicators (end of period)</t>
  </si>
  <si>
    <t>.</t>
  </si>
  <si>
    <t>*) Data for 2009/10 and subsequent months are based on provisional import figures for 2009/10 until such time import figures are available for 2010/11. Note: Total reserves are inclusive of the holdings of the five commercial banks - Please refer to Table 5 for breakdown of data.</t>
  </si>
  <si>
    <t>Dec -24</t>
  </si>
  <si>
    <t>Dec -31</t>
  </si>
  <si>
    <t>Jan'11</t>
  </si>
  <si>
    <t>Jan-11</t>
  </si>
  <si>
    <t>BDBL</t>
  </si>
  <si>
    <t>2011</t>
  </si>
  <si>
    <t>Jan -07</t>
  </si>
  <si>
    <t>Jan- 14</t>
  </si>
  <si>
    <t>Jan 21</t>
  </si>
  <si>
    <t>Jan- 28</t>
  </si>
  <si>
    <t>Feb -25</t>
  </si>
  <si>
    <t>7.75-9.50</t>
  </si>
  <si>
    <t>7.75-9.10</t>
  </si>
  <si>
    <t>8.25-9.10</t>
  </si>
  <si>
    <t>(*) Excludes cash in hand of commercial banks</t>
  </si>
  <si>
    <t>9.8-16.0</t>
  </si>
  <si>
    <t xml:space="preserve">2010/11 </t>
  </si>
  <si>
    <t>THIS TABLE IN THE MONTHLY BULLETIN IS NOW LOCATED: \\Mainserver\rsd doc\RSDdoc--new\BackUp\Monthly Bulletin\more data\NRB Remittances.xls</t>
  </si>
  <si>
    <t>(*)RMA's convertible currency Reserve figures revised from July 2007  and excludes the 75% local currency component of Bhutan's  IMF Quota  and  the Kuwait Funds as per BPM5.</t>
  </si>
  <si>
    <t>Jul -01</t>
  </si>
  <si>
    <t>9.25-10.00</t>
  </si>
  <si>
    <t>9.25-10.25</t>
  </si>
  <si>
    <t>9.50-10.25</t>
  </si>
  <si>
    <t>8.50-9.25</t>
  </si>
  <si>
    <t>9.50-10.75</t>
  </si>
  <si>
    <t>4.50-5.50</t>
  </si>
  <si>
    <t>9.75-16.00</t>
  </si>
  <si>
    <t>a) On a calendar year basis, e.g., the entry under 2006/07 is for 2006. - b) Source: National Accounts Statistics (2007). NSB - c) Data till 2002/03 are based on the old half-yearly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commodities,2004-05 base; reference period same as for Bhutan CPI. - e) Data for 2009/10 are actual data and the data for 2010/11 are revised estimates. - f) Debt service payments in percent of exports of goods and services.</t>
  </si>
  <si>
    <t>Oct-11</t>
  </si>
  <si>
    <t>Aug -02</t>
  </si>
  <si>
    <t>Aug -09</t>
  </si>
  <si>
    <t>Aug- 16</t>
  </si>
  <si>
    <t>Aug-30</t>
  </si>
  <si>
    <t>10.00-10.75</t>
  </si>
  <si>
    <t>8.50-9.50</t>
  </si>
  <si>
    <t>Sep- 23</t>
  </si>
  <si>
    <t>Oct'11</t>
  </si>
  <si>
    <t>Of which:</t>
  </si>
  <si>
    <t>In % of Total</t>
  </si>
  <si>
    <t>(in percent of GDP)</t>
  </si>
  <si>
    <r>
      <t xml:space="preserve">GDP Growth and Prices </t>
    </r>
    <r>
      <rPr>
        <sz val="12"/>
        <rFont val="Arial"/>
        <family val="2"/>
      </rPr>
      <t>(percent change)</t>
    </r>
  </si>
  <si>
    <r>
      <t xml:space="preserve">Government Budget </t>
    </r>
    <r>
      <rPr>
        <sz val="12"/>
        <rFont val="Arial"/>
        <family val="2"/>
      </rPr>
      <t xml:space="preserve">(in millions of Nu.) </t>
    </r>
    <r>
      <rPr>
        <b/>
        <sz val="12"/>
        <rFont val="Arial"/>
        <family val="2"/>
      </rPr>
      <t>(e)</t>
    </r>
  </si>
  <si>
    <r>
      <t>Money and Credit</t>
    </r>
    <r>
      <rPr>
        <sz val="12"/>
        <rFont val="Arial"/>
        <family val="2"/>
      </rPr>
      <t xml:space="preserve"> (percent change, end of period)</t>
    </r>
  </si>
  <si>
    <r>
      <t xml:space="preserve">Interest Rates </t>
    </r>
    <r>
      <rPr>
        <sz val="12"/>
        <rFont val="Arial"/>
        <family val="2"/>
      </rPr>
      <t>(end of period)</t>
    </r>
  </si>
  <si>
    <r>
      <t>Balance of Payments</t>
    </r>
    <r>
      <rPr>
        <sz val="12"/>
        <rFont val="Arial"/>
        <family val="2"/>
      </rPr>
      <t xml:space="preserve"> (in millions of Nu.) </t>
    </r>
  </si>
  <si>
    <r>
      <t xml:space="preserve">External Indicators </t>
    </r>
    <r>
      <rPr>
        <sz val="12"/>
        <rFont val="Arial"/>
        <family val="2"/>
      </rPr>
      <t>(end of period)</t>
    </r>
  </si>
  <si>
    <t>Nominal GDP (in millions of Nu.) (a) (b)</t>
  </si>
  <si>
    <t xml:space="preserve">GDP at Constant(2000) Price  (a), (b) </t>
  </si>
  <si>
    <t xml:space="preserve">a) On a calendar year basis, e.g., the entry under 2009/10 is for 2009. - b) Source: National Statistics Bureau - c) The CPI reflected in this table is for the last quarter of the fiscal year. - d) Source: Reserve Bank of India. Wholesale Price Index of All Commodities, Base = 2004-05. Effective August 2010, the RBI revised the base year from 1993-04 to 2004-05, creating a break in the continuity and comparison of data. The newly-recalculated WPI commences from April 2004; reference period same as for Bhutan CPI. - e) Data for 2009/10 are actual data and the data for 2010/11 are revised estimates. - f) Debt service payments in percent of exports of goods and services. </t>
  </si>
  <si>
    <t xml:space="preserve">External Debt in percent of GDP </t>
  </si>
  <si>
    <t>2012</t>
  </si>
  <si>
    <t xml:space="preserve">72478(p) </t>
  </si>
  <si>
    <t>4.5-5.5</t>
  </si>
  <si>
    <t>Jan'12</t>
  </si>
  <si>
    <t>Dec-2</t>
  </si>
  <si>
    <t>Dec-9</t>
  </si>
  <si>
    <t xml:space="preserve">Weight in percent % </t>
  </si>
  <si>
    <t>Mar -16</t>
  </si>
  <si>
    <t xml:space="preserve">Public </t>
  </si>
  <si>
    <t>10.00-10.50</t>
  </si>
  <si>
    <t>8.00-9.25</t>
  </si>
  <si>
    <t>June-01</t>
  </si>
  <si>
    <t>June-15</t>
  </si>
  <si>
    <t>Borrowings</t>
  </si>
  <si>
    <t xml:space="preserve">Other </t>
  </si>
  <si>
    <t>Public Sectors*</t>
  </si>
  <si>
    <t>Currency in circ.outside banks</t>
  </si>
  <si>
    <t>July-06</t>
  </si>
  <si>
    <t>July-13</t>
  </si>
  <si>
    <t>July-20</t>
  </si>
  <si>
    <t>July-27</t>
  </si>
  <si>
    <t>Aug-17</t>
  </si>
  <si>
    <t>Sept-07</t>
  </si>
  <si>
    <t>Sept-14</t>
  </si>
  <si>
    <t>Sept-21</t>
  </si>
  <si>
    <t>Sept-28</t>
  </si>
  <si>
    <t>Private Sector**</t>
  </si>
  <si>
    <t>9.75-10.50</t>
  </si>
  <si>
    <t>Oct-05</t>
  </si>
  <si>
    <t>Oct-12</t>
  </si>
  <si>
    <t>Nov-02</t>
  </si>
  <si>
    <t>8.50-9.00</t>
  </si>
  <si>
    <t>Memorandum Items</t>
  </si>
  <si>
    <t>Ngultrum per USD (fiscal year average)</t>
  </si>
  <si>
    <t>Money Supply, M2 (end of period)</t>
  </si>
  <si>
    <t>Money Supply, M1 (end of period)</t>
  </si>
  <si>
    <t>Foreign Assets (Net)</t>
  </si>
  <si>
    <t>Currency Outside Banks</t>
  </si>
  <si>
    <t>Demand Deposits</t>
  </si>
  <si>
    <t>10-16.0</t>
  </si>
  <si>
    <t>Consumer Prices (b), (c)</t>
  </si>
  <si>
    <t>Jan-18</t>
  </si>
  <si>
    <t>Public</t>
  </si>
  <si>
    <t>Borrow-</t>
  </si>
  <si>
    <t>ings</t>
  </si>
  <si>
    <t>End</t>
  </si>
  <si>
    <t>of</t>
  </si>
  <si>
    <t xml:space="preserve">Private </t>
  </si>
  <si>
    <t>On</t>
  </si>
  <si>
    <t>DMBs</t>
  </si>
  <si>
    <t>NBFIS</t>
  </si>
  <si>
    <t>Note: Major reclassification on claims on government, government corporations, joint corporations, private sector and non-bank financial institutions has been carried out from January 2003 onwards based on the new streamlined system.Data prior to 2003 are in the old format, and, thus, data prior to 2003 cannot be compared with data after 2003, mainly on the account of the considerable  break in continuity for various time series. But, with this exercise,  the most important aggregates, for example, Broad Money, Narrow Money, Foreign Assets (Net), and Domestic Credit did not change.</t>
  </si>
  <si>
    <t>Group</t>
  </si>
  <si>
    <t>Insur-</t>
  </si>
  <si>
    <t>Capital Accounts</t>
  </si>
  <si>
    <t>Life</t>
  </si>
  <si>
    <t>PPF</t>
  </si>
  <si>
    <t>ance</t>
  </si>
  <si>
    <t>from</t>
  </si>
  <si>
    <t>UTB</t>
  </si>
  <si>
    <t>Fund</t>
  </si>
  <si>
    <t>1) Since 2002, Government Employee Provident Fund (GEPF) was transferred to National Pension and Provident Fund and thereafter only Private Provident Fund (PPF) was retained with the RICBL.</t>
  </si>
  <si>
    <t>General Insurance Reserve Fund</t>
  </si>
  <si>
    <t>Group Insurance Fund</t>
  </si>
  <si>
    <t xml:space="preserve">Assets </t>
  </si>
  <si>
    <t>Claims on NBFIs</t>
  </si>
  <si>
    <t>Govt. Securities</t>
  </si>
  <si>
    <t>Claims on DMBs</t>
  </si>
  <si>
    <t>Conver-</t>
  </si>
  <si>
    <t>tible</t>
  </si>
  <si>
    <t xml:space="preserve">Foreign </t>
  </si>
  <si>
    <t>RMA Bills/ Govt.T-Bills</t>
  </si>
  <si>
    <t>Account</t>
  </si>
  <si>
    <t xml:space="preserve"> ( Net )</t>
  </si>
  <si>
    <r>
      <t xml:space="preserve">Claims on Private Sector </t>
    </r>
    <r>
      <rPr>
        <b/>
        <vertAlign val="superscript"/>
        <sz val="13"/>
        <rFont val="Arial"/>
        <family val="2"/>
      </rPr>
      <t>3</t>
    </r>
  </si>
  <si>
    <r>
      <t xml:space="preserve">Claims on Public Sector </t>
    </r>
    <r>
      <rPr>
        <b/>
        <vertAlign val="superscript"/>
        <sz val="13"/>
        <rFont val="Arial"/>
        <family val="2"/>
      </rPr>
      <t>2</t>
    </r>
  </si>
  <si>
    <t>1) BDBL received its licence to operate as a specialized deposit-taking commercial bank on March 1, 2010.</t>
  </si>
  <si>
    <t>Broad Money, M2</t>
  </si>
  <si>
    <t>Feb-01</t>
  </si>
  <si>
    <t>9.70-10.50</t>
  </si>
  <si>
    <t>Mar-01</t>
  </si>
  <si>
    <t>9.70-10.25</t>
  </si>
  <si>
    <t>Mar-15</t>
  </si>
  <si>
    <t>Mar-22</t>
  </si>
  <si>
    <t>Mar-29</t>
  </si>
  <si>
    <t>Sector*</t>
  </si>
  <si>
    <t xml:space="preserve">Claims on Private Sector </t>
  </si>
  <si>
    <t>Claims on Public Sector *</t>
  </si>
  <si>
    <t>Sector**</t>
  </si>
  <si>
    <t>Foreign Currency Deposits</t>
  </si>
  <si>
    <t>Govt. Deposits</t>
  </si>
  <si>
    <t>Domestic Borrowings</t>
  </si>
  <si>
    <t xml:space="preserve">Capital Accounts </t>
  </si>
  <si>
    <t>Other Items (Net)</t>
  </si>
  <si>
    <t>Apr-12</t>
  </si>
  <si>
    <t>Apr-19</t>
  </si>
  <si>
    <t>May-03</t>
  </si>
  <si>
    <t>Apr-26</t>
  </si>
  <si>
    <t>Other items net</t>
  </si>
  <si>
    <r>
      <t xml:space="preserve">(*) Discrepancies in the results are due to rounding. 1) Includes </t>
    </r>
    <r>
      <rPr>
        <i/>
        <sz val="11"/>
        <rFont val="Arial"/>
        <family val="2"/>
      </rPr>
      <t xml:space="preserve">Government Corporations </t>
    </r>
    <r>
      <rPr>
        <sz val="11"/>
        <rFont val="Arial"/>
        <family val="2"/>
      </rPr>
      <t xml:space="preserve">and </t>
    </r>
    <r>
      <rPr>
        <i/>
        <sz val="11"/>
        <rFont val="Arial"/>
        <family val="2"/>
      </rPr>
      <t>Public Sector</t>
    </r>
    <r>
      <rPr>
        <sz val="11"/>
        <rFont val="Arial"/>
        <family val="2"/>
      </rPr>
      <t xml:space="preserve">. 2) Includes </t>
    </r>
    <r>
      <rPr>
        <i/>
        <sz val="11"/>
        <rFont val="Arial"/>
        <family val="2"/>
      </rPr>
      <t xml:space="preserve">Non-Bank Financial Institutions (NBFIs). </t>
    </r>
  </si>
  <si>
    <t>May-24</t>
  </si>
  <si>
    <t>May-31</t>
  </si>
  <si>
    <t>Apr-05</t>
  </si>
  <si>
    <t>Jun-14</t>
  </si>
  <si>
    <t>Jun-21</t>
  </si>
  <si>
    <t>Jun-28</t>
  </si>
  <si>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</si>
  <si>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</si>
  <si>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 xml:space="preserve">Claims on Joint Corporations </t>
    </r>
    <r>
      <rPr>
        <sz val="12"/>
        <rFont val="Arial"/>
        <family val="2"/>
      </rPr>
      <t>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 </t>
    </r>
  </si>
  <si>
    <t>BHUTAN'S KEY ECONOMIC INICATORS</t>
  </si>
  <si>
    <r>
      <t xml:space="preserve"> With revision in classification starting from January 2011, </t>
    </r>
    <r>
      <rPr>
        <i/>
        <sz val="12"/>
        <rFont val="Arial"/>
        <family val="2"/>
      </rPr>
      <t>Private Provident Fund</t>
    </r>
    <r>
      <rPr>
        <sz val="12"/>
        <rFont val="Arial"/>
        <family val="2"/>
      </rPr>
      <t xml:space="preserve">, Group </t>
    </r>
    <r>
      <rPr>
        <i/>
        <sz val="12"/>
        <rFont val="Arial"/>
        <family val="2"/>
      </rPr>
      <t>Insurance Fund</t>
    </r>
    <r>
      <rPr>
        <sz val="12"/>
        <rFont val="Arial"/>
        <family val="2"/>
      </rPr>
      <t xml:space="preserve"> and</t>
    </r>
    <r>
      <rPr>
        <i/>
        <sz val="12"/>
        <rFont val="Arial"/>
        <family val="2"/>
      </rPr>
      <t xml:space="preserve"> Life Insurance Fund</t>
    </r>
    <r>
      <rPr>
        <sz val="12"/>
        <rFont val="Arial"/>
        <family val="2"/>
      </rPr>
      <t xml:space="preserve"> are clubbed with </t>
    </r>
    <r>
      <rPr>
        <i/>
        <sz val="12"/>
        <rFont val="Arial"/>
        <family val="2"/>
      </rPr>
      <t xml:space="preserve">Other Items Net </t>
    </r>
    <r>
      <rPr>
        <sz val="12"/>
        <rFont val="Arial"/>
        <family val="2"/>
      </rPr>
      <t>based on new reporting format introduced by the</t>
    </r>
    <r>
      <rPr>
        <i/>
        <sz val="12"/>
        <rFont val="Arial"/>
        <family val="2"/>
      </rPr>
      <t xml:space="preserve"> </t>
    </r>
    <r>
      <rPr>
        <sz val="12"/>
        <rFont val="Arial"/>
        <family val="2"/>
      </rPr>
      <t>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</si>
  <si>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</si>
  <si>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t>Jul-12</t>
  </si>
  <si>
    <t>Jul-19</t>
  </si>
  <si>
    <t>Jul-26</t>
  </si>
  <si>
    <t>Aug-02</t>
  </si>
  <si>
    <t>RMA Bills</t>
  </si>
  <si>
    <r>
      <t xml:space="preserve">**) </t>
    </r>
    <r>
      <rPr>
        <i/>
        <sz val="12"/>
        <rFont val="Arial"/>
        <family val="2"/>
      </rPr>
      <t xml:space="preserve">Claims on Private Sector </t>
    </r>
    <r>
      <rPr>
        <sz val="12"/>
        <rFont val="Arial"/>
        <family val="2"/>
      </rPr>
      <t xml:space="preserve">includes </t>
    </r>
    <r>
      <rPr>
        <i/>
        <sz val="12"/>
        <rFont val="Arial"/>
        <family val="2"/>
      </rPr>
      <t>Claims on NBFIs</t>
    </r>
    <r>
      <rPr>
        <sz val="12"/>
        <rFont val="Arial"/>
        <family val="2"/>
      </rPr>
      <t xml:space="preserve">. </t>
    </r>
  </si>
  <si>
    <r>
      <t xml:space="preserve">*) Claims on </t>
    </r>
    <r>
      <rPr>
        <i/>
        <sz val="12"/>
        <rFont val="Arial"/>
        <family val="2"/>
      </rPr>
      <t xml:space="preserve">Other Public Sectors </t>
    </r>
    <r>
      <rPr>
        <sz val="12"/>
        <rFont val="Arial"/>
        <family val="2"/>
      </rPr>
      <t xml:space="preserve">includes </t>
    </r>
    <r>
      <rPr>
        <i/>
        <sz val="12"/>
        <rFont val="Arial"/>
        <family val="2"/>
      </rPr>
      <t xml:space="preserve">Claims on Govt. Corporations </t>
    </r>
    <r>
      <rPr>
        <sz val="12"/>
        <rFont val="Arial"/>
        <family val="2"/>
      </rPr>
      <t xml:space="preserve">and </t>
    </r>
    <r>
      <rPr>
        <i/>
        <sz val="12"/>
        <rFont val="Arial"/>
        <family val="2"/>
      </rPr>
      <t xml:space="preserve">Claims on Public Sector.  </t>
    </r>
  </si>
  <si>
    <t xml:space="preserve">Note:With effect from Jan 1, 2011 Claims on Joint Corporations has been reclassified as Claims on Public Sector as per the new reporting format of the Financial Regulation and Supervision Department of the RMA. </t>
  </si>
  <si>
    <t>Aug-16</t>
  </si>
  <si>
    <t>Note: Starting from January 2003 onwards, a major reclassifications has been carried out in the accounts of all the economic sectors. Data prior to 2003 cannot always be directly compared with the subsequent data because of a break in continuity.</t>
  </si>
  <si>
    <t xml:space="preserve">2012/13 </t>
  </si>
  <si>
    <t>Producer Price Index, Industry (b), (d)</t>
  </si>
  <si>
    <t>Wholesale Prices (India) (e)</t>
  </si>
  <si>
    <t>Sept-06</t>
  </si>
  <si>
    <t>Sept-20</t>
  </si>
  <si>
    <t>9.80-10.25</t>
  </si>
  <si>
    <t xml:space="preserve">2011/12 </t>
  </si>
  <si>
    <t>Sept-27</t>
  </si>
  <si>
    <t>Oct-18</t>
  </si>
  <si>
    <t>8.00-9.05</t>
  </si>
  <si>
    <t>Oct-25</t>
  </si>
  <si>
    <t>Nov-01</t>
  </si>
  <si>
    <t>10.00-10.25</t>
  </si>
  <si>
    <t>Nov-29</t>
  </si>
  <si>
    <t>Dec-13</t>
  </si>
  <si>
    <t>Dec-20</t>
  </si>
  <si>
    <t>Dec-27</t>
  </si>
  <si>
    <t>2014</t>
  </si>
  <si>
    <t>8.00-9.10</t>
  </si>
  <si>
    <t>Jan-24</t>
  </si>
  <si>
    <t>8.00.9.10</t>
  </si>
  <si>
    <t>Feb-14</t>
  </si>
  <si>
    <t>Feb-21</t>
  </si>
  <si>
    <t>Mar-21</t>
  </si>
  <si>
    <t>Transferable Deposits*</t>
  </si>
  <si>
    <t>Other Deposits*</t>
  </si>
  <si>
    <t>May-02</t>
  </si>
  <si>
    <t>Nov-07</t>
  </si>
  <si>
    <t>Aug-08</t>
  </si>
  <si>
    <t>May-16</t>
  </si>
  <si>
    <t>Trade Balance (Goods)</t>
  </si>
  <si>
    <t>Money Multiplier (M2/M0)</t>
  </si>
  <si>
    <r>
      <t xml:space="preserve">GDP Growth and Prices </t>
    </r>
    <r>
      <rPr>
        <sz val="14"/>
        <rFont val="Arial"/>
        <family val="2"/>
      </rPr>
      <t>(percent change)</t>
    </r>
  </si>
  <si>
    <r>
      <t>Money and Credit</t>
    </r>
    <r>
      <rPr>
        <sz val="14"/>
        <rFont val="Arial"/>
        <family val="2"/>
      </rPr>
      <t xml:space="preserve"> (percent change, end of period)</t>
    </r>
  </si>
  <si>
    <r>
      <t xml:space="preserve">Interest Rates </t>
    </r>
    <r>
      <rPr>
        <sz val="14"/>
        <rFont val="Arial"/>
        <family val="2"/>
      </rPr>
      <t>(end of period)</t>
    </r>
  </si>
  <si>
    <r>
      <t xml:space="preserve">External Indicators </t>
    </r>
    <r>
      <rPr>
        <sz val="14"/>
        <rFont val="Arial"/>
        <family val="2"/>
      </rPr>
      <t>(end of period)</t>
    </r>
  </si>
  <si>
    <t>Transferable Deposits</t>
  </si>
  <si>
    <t>Other Deposits</t>
  </si>
  <si>
    <t>Producer Price Index, Product (b), (d)</t>
  </si>
  <si>
    <t xml:space="preserve">GDP at Constant (2000) Price (a), (b) </t>
  </si>
  <si>
    <r>
      <t>(in millions of Nu.</t>
    </r>
    <r>
      <rPr>
        <sz val="10"/>
        <rFont val="Arial"/>
        <family val="2"/>
      </rPr>
      <t xml:space="preserve"> </t>
    </r>
    <r>
      <rPr>
        <sz val="14"/>
        <rFont val="Arial"/>
        <family val="2"/>
      </rPr>
      <t>unless otherwise indicated)</t>
    </r>
  </si>
  <si>
    <t>Nominal GDP (a), (b)</t>
  </si>
  <si>
    <t xml:space="preserve">    Of which: Banks' Deposits</t>
  </si>
  <si>
    <t>External Debt in percent of GDP (g)</t>
  </si>
  <si>
    <t>Debt-Service Ratio (h)</t>
  </si>
  <si>
    <t>Income Velocity (GDP/M2) (g)</t>
  </si>
  <si>
    <t>Population growth rate (i)</t>
  </si>
  <si>
    <t>Unemployment rate (a), (j)</t>
  </si>
  <si>
    <t>Aug-01</t>
  </si>
  <si>
    <t>Sept-05</t>
  </si>
  <si>
    <t>Treasury Bills (91-days)</t>
  </si>
  <si>
    <t>Sept-19</t>
  </si>
  <si>
    <t xml:space="preserve">2013/14 </t>
  </si>
  <si>
    <t>Type of Deposits</t>
  </si>
  <si>
    <t>Time Deposit (Individuals):</t>
  </si>
  <si>
    <t xml:space="preserve">   a) Recurring Deposit</t>
  </si>
  <si>
    <t xml:space="preserve">         3 months to less than 1 year </t>
  </si>
  <si>
    <t xml:space="preserve">         1 year to less than 2 years </t>
  </si>
  <si>
    <t xml:space="preserve">         2 years to less than 3 years </t>
  </si>
  <si>
    <t xml:space="preserve">   b) Fixed Deposit</t>
  </si>
  <si>
    <t>Time Deposit (Corporate):</t>
  </si>
  <si>
    <t xml:space="preserve">         15 to 45 days</t>
  </si>
  <si>
    <t xml:space="preserve">         1 month to less than 3 months</t>
  </si>
  <si>
    <t xml:space="preserve">         3 months to less than 6 months</t>
  </si>
  <si>
    <t xml:space="preserve">         6 months to less than 1 year</t>
  </si>
  <si>
    <t xml:space="preserve">         1 year to less than 2 years</t>
  </si>
  <si>
    <t xml:space="preserve">         2 years to less than 3 years</t>
  </si>
  <si>
    <t xml:space="preserve">         3 years to less than 5 years</t>
  </si>
  <si>
    <t xml:space="preserve">         5 years to less than 7 years</t>
  </si>
  <si>
    <t xml:space="preserve">         7 years and above</t>
  </si>
  <si>
    <t>2. Export Finance</t>
  </si>
  <si>
    <t>4. Service Industries</t>
  </si>
  <si>
    <t>10. Govt. Employee Loan</t>
  </si>
  <si>
    <t>11. Business Loan</t>
  </si>
  <si>
    <t>T-Bank Ltd</t>
  </si>
  <si>
    <t xml:space="preserve">         3 years to less than 4 years</t>
  </si>
  <si>
    <t xml:space="preserve">         More than 4 years</t>
  </si>
  <si>
    <t>6.50-7.00</t>
  </si>
  <si>
    <t xml:space="preserve">Bhutan </t>
  </si>
  <si>
    <t>Policy Rate</t>
  </si>
  <si>
    <t>Base Rates</t>
  </si>
  <si>
    <t>Short Term Liquidity Adjustment Facility Rate</t>
  </si>
  <si>
    <t>Cash Reserve Ratio</t>
  </si>
  <si>
    <t>Statutory Liquidity Ratio</t>
  </si>
  <si>
    <t>Savings Deposit Rates</t>
  </si>
  <si>
    <t>Term Deposit Rates</t>
  </si>
  <si>
    <t>Government T-Bills rates (91 days)</t>
  </si>
  <si>
    <t>1) Rates are revised as per latest information available from the RBI website.</t>
  </si>
  <si>
    <r>
      <t>India</t>
    </r>
    <r>
      <rPr>
        <vertAlign val="superscript"/>
        <sz val="11"/>
        <color theme="1"/>
        <rFont val="Arial"/>
        <family val="2"/>
      </rPr>
      <t>1</t>
    </r>
  </si>
  <si>
    <t>Term Deposit Rates**</t>
  </si>
  <si>
    <t>Base Rates*</t>
  </si>
  <si>
    <t>% per annum</t>
  </si>
  <si>
    <t>4.00-5.00</t>
  </si>
  <si>
    <t>8.00-8.25</t>
  </si>
  <si>
    <t>9.00-9.25</t>
  </si>
  <si>
    <t>Savings Deposit</t>
  </si>
  <si>
    <t>RICBL</t>
  </si>
  <si>
    <t>BIL</t>
  </si>
  <si>
    <t>Non-Banks</t>
  </si>
  <si>
    <t>15.00-16.00</t>
  </si>
  <si>
    <t>8.00-8.75</t>
  </si>
  <si>
    <t>*) The term Demand Deposit and Quasi Money have been replaced by Transferable Depositsand Other Deposits as per the Monetary and Financial Statistics Manual 2000 of IMF</t>
  </si>
  <si>
    <t>Selected Interest Rates in India</t>
  </si>
  <si>
    <t>Source: Weekly Statistical Supplement, RBI website</t>
  </si>
  <si>
    <t xml:space="preserve">        Fixed Deposit</t>
  </si>
  <si>
    <t>Policy Indicators</t>
  </si>
  <si>
    <t>Source: Respective Banks</t>
  </si>
  <si>
    <t>Source: Respective Institutions</t>
  </si>
  <si>
    <t xml:space="preserve">Selected Interest Rates in Bhutan, Continued. </t>
  </si>
  <si>
    <t>Reserve Money, M0 (end of period)</t>
  </si>
  <si>
    <t>RGOB Loans</t>
  </si>
  <si>
    <t>Nu. in Million</t>
  </si>
  <si>
    <t>Nu. in Million/End of Period</t>
  </si>
  <si>
    <r>
      <t xml:space="preserve">Government Budget </t>
    </r>
    <r>
      <rPr>
        <sz val="14"/>
        <rFont val="Arial"/>
        <family val="2"/>
      </rPr>
      <t>(Nu.in Million) (f)</t>
    </r>
  </si>
  <si>
    <r>
      <t>Balance of Payments</t>
    </r>
    <r>
      <rPr>
        <sz val="14"/>
        <rFont val="Arial"/>
        <family val="2"/>
      </rPr>
      <t xml:space="preserve"> (Nu. in Million.) </t>
    </r>
  </si>
  <si>
    <t>Gross Official Reserves (USD in Million)</t>
  </si>
  <si>
    <t xml:space="preserve">Note: Reports on the two new deposit-taking commercial banks (Druk PNB Ltd. &amp; T Bank Ltd.) are available from April 2010. </t>
  </si>
  <si>
    <t>11.5-16.0</t>
  </si>
  <si>
    <t>4.5-8.5</t>
  </si>
  <si>
    <t>5.0-9.0</t>
  </si>
  <si>
    <t>5.0-8.7</t>
  </si>
  <si>
    <t>2015</t>
  </si>
  <si>
    <t>Mar. 6</t>
  </si>
  <si>
    <t>Mar. 13</t>
  </si>
  <si>
    <t>Mar. 20</t>
  </si>
  <si>
    <t>Mar. 27</t>
  </si>
  <si>
    <t>Apr. 3</t>
  </si>
  <si>
    <t>Apr. 10</t>
  </si>
  <si>
    <t>9.75-10.25</t>
  </si>
  <si>
    <t>5.00-10.00</t>
  </si>
  <si>
    <t>Apr. 17</t>
  </si>
  <si>
    <t>Apr. 24</t>
  </si>
  <si>
    <t>May. 1</t>
  </si>
  <si>
    <t>8.00-8.50</t>
  </si>
  <si>
    <t>9.75-10.00</t>
  </si>
  <si>
    <t>May. 8</t>
  </si>
  <si>
    <r>
      <t xml:space="preserve">10.49-11.57 </t>
    </r>
    <r>
      <rPr>
        <b/>
        <vertAlign val="superscript"/>
        <sz val="9"/>
        <color theme="1"/>
        <rFont val="Arial"/>
        <family val="2"/>
      </rPr>
      <t>2</t>
    </r>
  </si>
  <si>
    <t>2) The Base Rates of Financial Institutions have been revised w.e.f May 12 2015 and includes the Base Rate of NBFIs, which is now 11.57 percent.</t>
  </si>
  <si>
    <t>Fourth Quarter of 2012 = 100</t>
  </si>
  <si>
    <r>
      <rPr>
        <i/>
        <sz val="7"/>
        <color indexed="8"/>
        <rFont val="Arial"/>
        <family val="2"/>
      </rPr>
      <t>*Base Rates</t>
    </r>
    <r>
      <rPr>
        <sz val="7"/>
        <color indexed="8"/>
        <rFont val="Arial"/>
        <family val="2"/>
      </rPr>
      <t xml:space="preserve"> relates to five major Banks since July 1, 2010</t>
    </r>
  </si>
  <si>
    <r>
      <rPr>
        <i/>
        <sz val="7"/>
        <color indexed="8"/>
        <rFont val="Arial"/>
        <family val="2"/>
      </rPr>
      <t>**Term Deposit Rates</t>
    </r>
    <r>
      <rPr>
        <sz val="7"/>
        <color indexed="8"/>
        <rFont val="Arial"/>
        <family val="2"/>
      </rPr>
      <t xml:space="preserve"> relates to five major banks for deposits with more than one year maturity.</t>
    </r>
  </si>
  <si>
    <t>May. 15</t>
  </si>
  <si>
    <t>May. 22</t>
  </si>
  <si>
    <t>May. 29</t>
  </si>
  <si>
    <t>Jun. 5</t>
  </si>
  <si>
    <t>Jun. 12</t>
  </si>
  <si>
    <t>Jun.19</t>
  </si>
  <si>
    <t>Jul. 3</t>
  </si>
  <si>
    <t>Jun. 26</t>
  </si>
  <si>
    <t>9.70-10.00</t>
  </si>
  <si>
    <t>Jul. 10</t>
  </si>
  <si>
    <t>Jul. 17</t>
  </si>
  <si>
    <t>Jul. 24</t>
  </si>
  <si>
    <t>Jul. 31</t>
  </si>
  <si>
    <t>Aug. 07</t>
  </si>
  <si>
    <t>7.75-8.25</t>
  </si>
  <si>
    <t>2014/15</t>
  </si>
  <si>
    <t>4.0-10.0</t>
  </si>
  <si>
    <t>11.7-17.0</t>
  </si>
  <si>
    <t>Aug.14</t>
  </si>
  <si>
    <t>Aug. 28</t>
  </si>
  <si>
    <t>Aug. 21</t>
  </si>
  <si>
    <t>7.50-8.25</t>
  </si>
  <si>
    <t>7.25-8.25</t>
  </si>
  <si>
    <t>7.25-8.00</t>
  </si>
  <si>
    <t>Sept. 04</t>
  </si>
  <si>
    <t>Sept. 18</t>
  </si>
  <si>
    <t>Sept. 25</t>
  </si>
  <si>
    <t>Oct. 02</t>
  </si>
  <si>
    <t>Sept. 11</t>
  </si>
  <si>
    <t>9.60-9.95</t>
  </si>
  <si>
    <t>a) On a calendar year basis, e.g., the entry under 2014/15 is for 2014.  b) Source: National Accounts Statistics 2015, NSB. c) The CPI reflected in this table is for the last quarter of the fiscal year. d) The NSB released the first PPI bulletin for Bhutan during second quarter of 2012. e) Source: Reserve Bank of India. Wholesale Price Index of All Commodities, Base = 2004-05 (Reference period same as for Bhutan CPI). f) Data for 2014/15 are revised estimates. g) Based on calendar year GDP. h) Debt service payments in percent of exports of goods and services. i) Data on CY basis; sourced from Labour Force Survey Report 2014. j) Updates sourced from Labour Market Information System, MOLHR.</t>
  </si>
  <si>
    <t>8.75-9.00</t>
  </si>
  <si>
    <t>13.90-14.15</t>
  </si>
  <si>
    <t>13.70-13.95</t>
  </si>
  <si>
    <t>13.90-15.15</t>
  </si>
  <si>
    <t>13.85-14.10</t>
  </si>
  <si>
    <t>14.00-15.25</t>
  </si>
  <si>
    <t>13.75-14.25</t>
  </si>
  <si>
    <t>8.00-8.70</t>
  </si>
  <si>
    <t>9.30-9.70</t>
  </si>
  <si>
    <t>7.00-7.90</t>
  </si>
  <si>
    <t>Oct. 09</t>
  </si>
  <si>
    <t>Oct. 16</t>
  </si>
  <si>
    <t>Oct. 23</t>
  </si>
  <si>
    <t>Oct. 30</t>
  </si>
  <si>
    <t>Nov. 06</t>
  </si>
  <si>
    <t>Nov. 13</t>
  </si>
  <si>
    <t>Nov. 20</t>
  </si>
  <si>
    <t>Nov. 27</t>
  </si>
  <si>
    <t>Dec. 04</t>
  </si>
  <si>
    <t>Dec. 11</t>
  </si>
  <si>
    <t>Dec. 18</t>
  </si>
  <si>
    <t>Dec. 25</t>
  </si>
  <si>
    <t>Jan. 01</t>
  </si>
  <si>
    <t>Number of Tourists and Revenues (USD in Million)</t>
  </si>
  <si>
    <t>Annual % change in 2012</t>
  </si>
  <si>
    <t>Number</t>
  </si>
  <si>
    <t xml:space="preserve">Source: Tourism Council of Bhutan -Convertible currency paying tourists. </t>
  </si>
  <si>
    <t>Production (Millions of Units)</t>
  </si>
  <si>
    <r>
      <t xml:space="preserve">Export Sales (Nu. in Million) </t>
    </r>
    <r>
      <rPr>
        <b/>
        <vertAlign val="superscript"/>
        <sz val="12"/>
        <rFont val="Arial"/>
        <family val="2"/>
      </rPr>
      <t>(1)</t>
    </r>
  </si>
  <si>
    <r>
      <t xml:space="preserve">Domestic Sales (Nu. In Million) </t>
    </r>
    <r>
      <rPr>
        <b/>
        <vertAlign val="superscript"/>
        <sz val="12"/>
        <rFont val="Arial"/>
        <family val="2"/>
      </rPr>
      <t>(2)</t>
    </r>
  </si>
  <si>
    <t>BHP</t>
  </si>
  <si>
    <t>CHP</t>
  </si>
  <si>
    <t>DHPCL</t>
  </si>
  <si>
    <t>KHP</t>
  </si>
  <si>
    <t>THP</t>
  </si>
  <si>
    <t>Source: Basochhu Hydropower Plant (BHP), Dagachhu Hydropower Corporation Ltd (DHPCL), Chhukha Hydropower Plant (CHP), Kurichhu Hydropower Plant (KHP), Tala Hydropower Plant (THP) (1) Power tariff for export to India: Nu.2.25 per unit for CHP with retrospective effect from January 1, 2013 (revised in February 2014); Nu.1.8 per unit for KHP (revised from Nu.1.75 per unit from Jan. 2008) &amp; THP; Nu.2.9 per unit for DHPCL (2) Power tariff for domestic sales: Nu.0.13 per unit for royalty energy (15% of total to government; revised from Nu.0.3 per unit from August 2010) and Nu.1.20 for the rest (industrial use mainly from KHP). BHP sales are to CHP at Nu.1.39 per unit (revised from Nu.1.2 from October 2013). Domestic sales are exclusive of demand/wheeling charges.</t>
  </si>
  <si>
    <t xml:space="preserve">Note: Export sales reflected here are net of any payments for the import of power from India in each month. "--" implies that percentage change was not calculated because either the previous month's value was 0 or negative or the current month's value was negative. </t>
  </si>
  <si>
    <t>1. Rupee Reserves (INR in Million)</t>
  </si>
  <si>
    <t>T Bank Limited</t>
  </si>
  <si>
    <t>2. Convertible Currency Reserves (USD in Million)</t>
  </si>
  <si>
    <r>
      <t xml:space="preserve">Royal Monetary Authority of Bhutan </t>
    </r>
    <r>
      <rPr>
        <vertAlign val="superscript"/>
        <sz val="14"/>
        <rFont val="Arial"/>
        <family val="2"/>
      </rPr>
      <t>(1)</t>
    </r>
  </si>
  <si>
    <t>3.Total Reserves (USD in Million) (1+2)</t>
  </si>
  <si>
    <t>4. Exchange rates used</t>
  </si>
  <si>
    <r>
      <t xml:space="preserve">5. Months of Merchandise Imports </t>
    </r>
    <r>
      <rPr>
        <vertAlign val="superscript"/>
        <sz val="14"/>
        <rFont val="Arial"/>
        <family val="2"/>
      </rPr>
      <t>(2)</t>
    </r>
  </si>
  <si>
    <r>
      <t xml:space="preserve">6. Months of Imports (Merchandise + Services) </t>
    </r>
    <r>
      <rPr>
        <vertAlign val="superscript"/>
        <sz val="14"/>
        <rFont val="Arial"/>
        <family val="2"/>
      </rPr>
      <t>(2)</t>
    </r>
  </si>
  <si>
    <t>(*) Excludes cash in hand of commercial banks.</t>
  </si>
  <si>
    <r>
      <rPr>
        <vertAlign val="superscript"/>
        <sz val="11"/>
        <rFont val="Arial"/>
        <family val="2"/>
      </rPr>
      <t>(1)</t>
    </r>
    <r>
      <rPr>
        <sz val="11"/>
        <rFont val="Arial"/>
        <family val="2"/>
      </rPr>
      <t xml:space="preserve"> Convertible currency reserves of RMA have been revised in 2013 to exclude the US dollar pledge on any outstanding overdraft as of each reference period. Reserves also exclude (from July 2007 onwards) the local currency component of Bhutan's IMF Quota and the Kuwait Fund Investment; </t>
    </r>
    <r>
      <rPr>
        <vertAlign val="superscript"/>
        <sz val="11"/>
        <rFont val="Arial"/>
        <family val="2"/>
      </rPr>
      <t>(2)</t>
    </r>
    <r>
      <rPr>
        <sz val="11"/>
        <rFont val="Arial"/>
        <family val="2"/>
      </rPr>
      <t xml:space="preserve">  Imports on fob basis. Figures differ from previous publications due to revision in import figures - data for 2014/15 onwards are based on provisional import figures for 2014/15 and are subject to change. </t>
    </r>
  </si>
  <si>
    <t>*Sectoral Credit excludes credit from National Pension and Provident Fund.</t>
  </si>
  <si>
    <t xml:space="preserve">Credit Card </t>
  </si>
  <si>
    <t>Government (Short term loans)</t>
  </si>
  <si>
    <t>Loan Against Shares</t>
  </si>
  <si>
    <t>Small Business and Artisan Schemes</t>
  </si>
  <si>
    <t>EDP Loans</t>
  </si>
  <si>
    <t>Staff Loan</t>
  </si>
  <si>
    <t>Personal Loans</t>
  </si>
  <si>
    <t>Transport (Light)</t>
  </si>
  <si>
    <t>Transport (Heavy)</t>
  </si>
  <si>
    <t>Transport</t>
  </si>
  <si>
    <t>Trade &amp; Commerce</t>
  </si>
  <si>
    <t>Building &amp; Construction</t>
  </si>
  <si>
    <t>Manufacturing</t>
  </si>
  <si>
    <t>Service and Tourism</t>
  </si>
  <si>
    <t>Sub sector</t>
  </si>
  <si>
    <t>Nu. in Million / End of Period</t>
  </si>
  <si>
    <t>December 2012 = 100</t>
  </si>
  <si>
    <t>Source : National Statistics Bureau, Bhutan</t>
  </si>
  <si>
    <t>December 2012  = 100</t>
  </si>
  <si>
    <t>Source: National Statistics Bureau, Bhutan</t>
  </si>
  <si>
    <t>Key Policy Indicators</t>
  </si>
  <si>
    <t>External Debt Indicators</t>
  </si>
  <si>
    <t>GDP</t>
  </si>
  <si>
    <t>2010/11</t>
  </si>
  <si>
    <t>2011/12</t>
  </si>
  <si>
    <t>2012/13</t>
  </si>
  <si>
    <t>2013/14</t>
  </si>
  <si>
    <t>Total Outstanding (USD millions)</t>
  </si>
  <si>
    <t>Convertible Currency (USD millions)</t>
  </si>
  <si>
    <t>Indian Rupee (in millions)</t>
  </si>
  <si>
    <t>Debt/GDP ratio *</t>
  </si>
  <si>
    <t>Convertible Currency loan</t>
  </si>
  <si>
    <t>Indian Rupee loan</t>
  </si>
  <si>
    <t>Debt service ratio ** (including OD)</t>
  </si>
  <si>
    <t>Debt service ratio (excluding OD)</t>
  </si>
  <si>
    <t>* Based on calendar year GDP figures.  Example, the 2014 GDP figure is used to calculate the ratio for 2014/15.</t>
  </si>
  <si>
    <t>** Debt service payments as a percent of the export of goods and services. The total debt service ratio represents the total debt service payments (i.e. on convertible currency &amp; Rupee loans) as a percentage of the total export earnings (from India &amp; other countries). Convertible currency debt service ratio is the debt servicing on convertible currency loans as a percentage of the export earnings from countries other than India. Similarly, the Indian Rupee debt service ratio is the debt servicing on Indian Rupee loans as a percentage of the export earnings from India. The debt service ratio for the latest period is calculated based on the previous year's export of goods and services.</t>
  </si>
  <si>
    <t>Major Credit to Private Sector</t>
  </si>
  <si>
    <t>Money Growth</t>
  </si>
  <si>
    <t>Growth in M2 &amp; its Counterparts</t>
  </si>
  <si>
    <t>In millions of respective currency unless otherwise indicated</t>
  </si>
  <si>
    <t xml:space="preserve">Currency of Remittance </t>
  </si>
  <si>
    <t>US Dollar</t>
  </si>
  <si>
    <t>Pound Sterling</t>
  </si>
  <si>
    <t>Euro</t>
  </si>
  <si>
    <t>Australian Dollar</t>
  </si>
  <si>
    <t>Other European currencies (valued in BTN)</t>
  </si>
  <si>
    <t>Other currencies (valued in BTN)</t>
  </si>
  <si>
    <t>TOTAL       (valued in BTN)</t>
  </si>
  <si>
    <t>Period Average</t>
  </si>
  <si>
    <t>Calendar year  average</t>
  </si>
  <si>
    <t xml:space="preserve">Fiscal year average </t>
  </si>
  <si>
    <t>Source: International Financial Statistics, IMF</t>
  </si>
  <si>
    <t>USD in Million</t>
  </si>
  <si>
    <t>Start of quarterly series</t>
  </si>
  <si>
    <t>revised</t>
  </si>
  <si>
    <t>provisional</t>
  </si>
  <si>
    <t>Net IIP</t>
  </si>
  <si>
    <t xml:space="preserve"> Assets</t>
  </si>
  <si>
    <t>Currency and deposits</t>
  </si>
  <si>
    <t>Trade credits</t>
  </si>
  <si>
    <t>Reserve assets</t>
  </si>
  <si>
    <t xml:space="preserve"> Liabilities</t>
  </si>
  <si>
    <t>Direct investment in Bhutan</t>
  </si>
  <si>
    <t xml:space="preserve">o.w. Equity </t>
  </si>
  <si>
    <t>o.w. Intercompany debt</t>
  </si>
  <si>
    <t>Loans</t>
  </si>
  <si>
    <t>SDR allocations</t>
  </si>
  <si>
    <t>Exchange rate to USD (end of period)</t>
  </si>
  <si>
    <t>in millions of Ngultrum</t>
  </si>
  <si>
    <t>FY10/11: Q1</t>
  </si>
  <si>
    <t>FY10/11: Q2</t>
  </si>
  <si>
    <t>FY10/11: Q3</t>
  </si>
  <si>
    <t>FY10/11: Q4</t>
  </si>
  <si>
    <t>FY11/12: Q1</t>
  </si>
  <si>
    <t>FY11/12: Q2</t>
  </si>
  <si>
    <t>FY11/12: Q3</t>
  </si>
  <si>
    <t>FY11/12: Q4</t>
  </si>
  <si>
    <t>FY12/13: Q1</t>
  </si>
  <si>
    <t>FY12/13: Q2</t>
  </si>
  <si>
    <t>FY12/13: Q3</t>
  </si>
  <si>
    <t>FY12/13: Q4</t>
  </si>
  <si>
    <t>FY13/14: Q1</t>
  </si>
  <si>
    <t>FY13/14: Q2</t>
  </si>
  <si>
    <t>FY13/14: Q3</t>
  </si>
  <si>
    <t>FY13/14: Q4</t>
  </si>
  <si>
    <t>FY14/15: Q1</t>
  </si>
  <si>
    <t>FY14/15: Q2</t>
  </si>
  <si>
    <t>FY14/15: Q3</t>
  </si>
  <si>
    <t>FY14/15: Q4</t>
  </si>
  <si>
    <t>(revised)</t>
  </si>
  <si>
    <t>(provisional)</t>
  </si>
  <si>
    <t>(revised in December 2014)</t>
  </si>
  <si>
    <t>A. CURRENT ACCOUNT</t>
  </si>
  <si>
    <t>Goods and Services</t>
  </si>
  <si>
    <t>Goods: Net (Trade Balance)</t>
  </si>
  <si>
    <t>Exports (fob)</t>
  </si>
  <si>
    <t>Imports (fob)</t>
  </si>
  <si>
    <t>Debit</t>
  </si>
  <si>
    <t>Primary Income</t>
  </si>
  <si>
    <t>Secondary Income</t>
  </si>
  <si>
    <t>o.w. Budgetary grants</t>
  </si>
  <si>
    <t>B. CAPITAL ACCOUNT</t>
  </si>
  <si>
    <t>o.w. Budgetary grants for investment</t>
  </si>
  <si>
    <t>o.w. Grants for hydropower development</t>
  </si>
  <si>
    <t>C. FINANCIAL ACCOUNT **</t>
  </si>
  <si>
    <t>C. FINANCIAL ACCOUNT *</t>
  </si>
  <si>
    <t>Direct Investment in Bhutan: net incurrence of liabilities</t>
  </si>
  <si>
    <t>Direct Investment in Bhutan</t>
  </si>
  <si>
    <t>o.w. Equity capital</t>
  </si>
  <si>
    <t>Portfolio Investment</t>
  </si>
  <si>
    <t>Other Investment</t>
  </si>
  <si>
    <t>Other Investment: net acquisition of financial assets</t>
  </si>
  <si>
    <t>Other Investment: net incurrence of financial liabilities</t>
  </si>
  <si>
    <t>o.w. RGOB loans **</t>
  </si>
  <si>
    <t>o.w. Other loans</t>
  </si>
  <si>
    <t>D. Net Errors &amp; Omissions</t>
  </si>
  <si>
    <t>E. Overall Balance</t>
  </si>
  <si>
    <t>F. Reserve Assets</t>
  </si>
  <si>
    <t xml:space="preserve">* Net acquisition of financial assets minus net incurrence of financial liabilities; (+) figure denotes net lending and (-) figure denotes net borrowing; excludes reserve assets. Financial Account sign convention: (+) = increase in assets or liabilities; (-) = decrease in assets or liabilities.  ** Includes hydropower loans &amp; accrued interest. </t>
  </si>
  <si>
    <t>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</si>
  <si>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o.w. Interest on hydropower loans *</t>
  </si>
  <si>
    <t>o.w. Hydropower loans (incl. accrued interest)*</t>
  </si>
  <si>
    <t xml:space="preserve">o.w. Other loans </t>
  </si>
  <si>
    <t xml:space="preserve">* Includes accrued interest (from FY 2006/07 onwards), and are therefore not comparable with figures published by the Ministry of Finance.  **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 </t>
  </si>
  <si>
    <t xml:space="preserve">o.w. RGOB loans </t>
  </si>
  <si>
    <t>*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</si>
  <si>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Non-Resident Bhutanese Remittances</t>
  </si>
  <si>
    <t>Export Earnings from Hydropower</t>
  </si>
  <si>
    <t>Exchange Rate: Nu. per USD (Fiscal Year Average)</t>
  </si>
  <si>
    <t>Consumer Price Index</t>
  </si>
  <si>
    <t>Sectors</t>
  </si>
  <si>
    <t>Weights (%)</t>
  </si>
  <si>
    <t>Index level (September 2011=00)</t>
  </si>
  <si>
    <t>Monthly Inflation (%)</t>
  </si>
  <si>
    <t>Annual Inflation (%)</t>
  </si>
  <si>
    <t>All Industry</t>
  </si>
  <si>
    <t xml:space="preserve">Logging </t>
  </si>
  <si>
    <t>Mining and quarrying</t>
  </si>
  <si>
    <t>Electricity, gas, steam and air conditioning supply</t>
  </si>
  <si>
    <t xml:space="preserve">Water supply; sewerage, waste management and remediation activities </t>
  </si>
  <si>
    <t xml:space="preserve">Transport </t>
  </si>
  <si>
    <t>Information and communication</t>
  </si>
  <si>
    <t>Source: National Statistics Bureau.</t>
  </si>
  <si>
    <t xml:space="preserve">Description </t>
  </si>
  <si>
    <t>Share (%)</t>
  </si>
  <si>
    <t>All Products</t>
  </si>
  <si>
    <t>Logging</t>
  </si>
  <si>
    <t>Ores and minerals; electricity, gas and water</t>
  </si>
  <si>
    <t>Food products, beverages and tobacco; textiles, apparel and leather products</t>
  </si>
  <si>
    <t>Other transportable goods, except metal products, machinery and equipment</t>
  </si>
  <si>
    <t>Metal products, machinery and equipment</t>
  </si>
  <si>
    <t>Distributive trade services; accommodation, food and beverage serving services; transport services; and electricity, gas and water distribution services</t>
  </si>
  <si>
    <t>Business and production services</t>
  </si>
  <si>
    <t>BANK OF BHUTAN LIMITED - MONETARY AND FINANCIAL STATISTICS</t>
  </si>
  <si>
    <t xml:space="preserve">BHUTAN NATIONAL BANK LIMITED - MONETARY AND FINANCIAL STATISTICS </t>
  </si>
  <si>
    <t xml:space="preserve">DRUK PNB LIMITED - MONETARY AND FINANCIAL STATISTICS </t>
  </si>
  <si>
    <r>
      <t xml:space="preserve">BHUTAN DEVELOPMENT BANK LIMITED - MONETARY AND FINANCIAL STATISTICS </t>
    </r>
    <r>
      <rPr>
        <b/>
        <vertAlign val="superscript"/>
        <sz val="14"/>
        <rFont val="Arial"/>
        <family val="2"/>
      </rPr>
      <t>1</t>
    </r>
  </si>
  <si>
    <t>ROYAL INSURANCE CORPORATION OF BHUTAN LIMITED - FINANCIAL STATISTICS</t>
  </si>
  <si>
    <r>
      <t>BHUTAN INSURANCE LIMITED - FINANCIAL STATISTICS</t>
    </r>
    <r>
      <rPr>
        <b/>
        <vertAlign val="superscript"/>
        <sz val="14"/>
        <rFont val="Arial"/>
        <family val="2"/>
      </rPr>
      <t>1</t>
    </r>
  </si>
  <si>
    <t>ROYAL MONETARY AUTHORITY OF BHUTAN - MONETARY AND FINANCIAL STATISTICS</t>
  </si>
  <si>
    <t>COMMERCIAL BANKS' RESERVES WITH THE RMA</t>
  </si>
  <si>
    <t>FOREIGN ASSETS OF COMMERCIAL BANKS</t>
  </si>
  <si>
    <t xml:space="preserve">Deposit Liabilities of Commercial Banks </t>
  </si>
  <si>
    <t>GROSS INTERNATIONAL RESERVES (*)</t>
  </si>
  <si>
    <t>Sectoral Credit by the Financial Institutions*</t>
  </si>
  <si>
    <t>Bhutan's International Investment Position</t>
  </si>
  <si>
    <t>QUARTERLY OVERALL BALANCE OF PAYMENTS ESTIMATES</t>
  </si>
  <si>
    <t>QUARTERLY BALANCE OF PAYMENTS ESTIMATES WITH COUNTRIES OTHER THAN INDIA</t>
  </si>
  <si>
    <t xml:space="preserve">QUARTERLY BALANCE OF PAYMENTS ESTIMATES WITH INDIA </t>
  </si>
  <si>
    <t>Tourist Arrivals and Revenue</t>
  </si>
  <si>
    <t>Foreign Exchange Earnings from Tourism</t>
  </si>
  <si>
    <t>Operations of Major Hydropower Projects</t>
  </si>
  <si>
    <t xml:space="preserve">EXCHANGE RATE, NGULTRUM/US DOLLAR </t>
  </si>
  <si>
    <t>Year-on-Year Index and Percentage Change: Domestic</t>
  </si>
  <si>
    <t>Year-on-Year Index and Percentage Change: Imported</t>
  </si>
  <si>
    <t>Percent Change (%)</t>
  </si>
  <si>
    <t>Percent Change(%)</t>
  </si>
  <si>
    <t>Annual and Monthly PPI and Inflation by Industry</t>
  </si>
  <si>
    <t>Annual and Monthly PPI Inflation by Product</t>
  </si>
  <si>
    <t>Source: National Statistics Bureau. -1) 2003 Household Income and Expenditure Survey; includes rent. 2. Base year used for PPN Q2, 2013 is of December 2012 and the figures represented is month-on-month. 3.The CPI reflected in this table is for the last quarter of each fiscal year. As of  Q2, 2013 the NSB has increased the weight of food in the CPI from 31.67% to 39.92%, and correspondingly decreased the weight for non-food from 68.33% to 60.08%.</t>
  </si>
  <si>
    <t xml:space="preserve">Source: Bank of Bhutan Ltd, Bhutan National Bank Ltd,T-bank, Druk Punjab National Bank  and IMF for exchange rates. Note: Data from 2012 onwards for  the two new commercial banks (DPNB and Tbank) have also been included  and therefore  will not be comparable to past publications. (An entry of "0.00" indicates a marginal value compared to "-" which indicates no value for that particular item)                                                                                                                                                                                   </t>
  </si>
  <si>
    <t>Jan. 08</t>
  </si>
  <si>
    <t>Jan. 15</t>
  </si>
  <si>
    <t>Jan. 22</t>
  </si>
  <si>
    <t>ROYAL MONETARY AUTHORITY OF BHUTAN</t>
  </si>
  <si>
    <t xml:space="preserve">MONTHLY STATISTICAL BULLETIN </t>
  </si>
  <si>
    <t>Research and Statistics Department</t>
  </si>
  <si>
    <t>e</t>
  </si>
  <si>
    <t>estimated</t>
  </si>
  <si>
    <t>p</t>
  </si>
  <si>
    <t xml:space="preserve">provisional </t>
  </si>
  <si>
    <t>r</t>
  </si>
  <si>
    <t>revised estimates</t>
  </si>
  <si>
    <t>the figure is zero or less than half the final digit shown or the item does not exist or the figure is not available</t>
  </si>
  <si>
    <t>m-o-m</t>
  </si>
  <si>
    <t>month-on month change</t>
  </si>
  <si>
    <t>y-o-y</t>
  </si>
  <si>
    <t>year-on-year change</t>
  </si>
  <si>
    <t>The balance sheets of the financial institutions are classified within the framework of the Monetary and Financial Statistics Manual 2000 of the IMF. Please note that the data featured in the Bulletin are not directly comparable to those produced by the Financial Regulation and Supervision Department of the Royal Monetary Authority of Bhutan.</t>
  </si>
  <si>
    <t>We thank all those who have contributed to the information contained in this Bulletin.</t>
  </si>
  <si>
    <t>PREFACE</t>
  </si>
  <si>
    <t>DEPOSIT MONEY BANKS - MONETARY AND FINANCIAL STATISTICS</t>
  </si>
  <si>
    <t>Jan. 29</t>
  </si>
  <si>
    <t>Feb. 05</t>
  </si>
  <si>
    <r>
      <t>T</t>
    </r>
    <r>
      <rPr>
        <b/>
        <vertAlign val="superscript"/>
        <sz val="14"/>
        <rFont val="Arial"/>
        <family val="2"/>
      </rPr>
      <t xml:space="preserve"> </t>
    </r>
    <r>
      <rPr>
        <b/>
        <sz val="14"/>
        <rFont val="Arial"/>
        <family val="2"/>
      </rPr>
      <t>BANK LIMITED - MONETARY AND FINANCIAL STATISTICS</t>
    </r>
  </si>
  <si>
    <t>MONETARY SURVEY - COMPONENTS (*)</t>
  </si>
  <si>
    <t>MONETARY SURVEY - COUNTERPARTS (*)</t>
  </si>
  <si>
    <t>DEPOSIT MONEY BANKS CONTINUED</t>
  </si>
  <si>
    <t>BANK OF BHUTAN LIMITED CONTINUED</t>
  </si>
  <si>
    <t>BHUTAN NATIONAL BANK LIMITED CONTINUED</t>
  </si>
  <si>
    <t>T BANK LIMITED CONTINUED</t>
  </si>
  <si>
    <t>DRUK PNB LIMITED CONTINUED</t>
  </si>
  <si>
    <t>BHUTAN DEVELOPMENT BANK LIMITED CONTINUED</t>
  </si>
  <si>
    <t>ROYAL INSURANCE CORPORATION OF BHUTAN LIMITED CONTINUED</t>
  </si>
  <si>
    <t>BHUTAN INSURANCE LIMITED CONTINUED</t>
  </si>
  <si>
    <t>ROYAL MONETARY AUTHORITY OF BHUTAN CONTINUED</t>
  </si>
  <si>
    <t>STATISTICAL ABBREVIATIONS AND SYMBOLS</t>
  </si>
  <si>
    <t>Feb.12</t>
  </si>
  <si>
    <t>Feb.19</t>
  </si>
  <si>
    <t>FY15/16: Q1</t>
  </si>
  <si>
    <t>Feb. 26</t>
  </si>
  <si>
    <t>Mar. 04</t>
  </si>
  <si>
    <t>Mar. 11</t>
  </si>
  <si>
    <t>Mar. 18</t>
  </si>
  <si>
    <t>9.30-9.71</t>
  </si>
  <si>
    <t>7.00-7.91</t>
  </si>
  <si>
    <t>2016</t>
  </si>
  <si>
    <t>(Provisional)</t>
  </si>
  <si>
    <t>Dec '15</t>
  </si>
  <si>
    <t xml:space="preserve">Dec </t>
  </si>
  <si>
    <t>Vol. XV, No.5</t>
  </si>
  <si>
    <t>Mar.25</t>
  </si>
  <si>
    <t>Apr.1</t>
  </si>
  <si>
    <t>7.00-7.50</t>
  </si>
  <si>
    <t>Apr.8</t>
  </si>
  <si>
    <t>Apr.15</t>
  </si>
  <si>
    <t>Apr.22</t>
  </si>
  <si>
    <t xml:space="preserve">Financial Institutions' Contribution to Credit (February 2016) </t>
  </si>
  <si>
    <r>
      <t>The</t>
    </r>
    <r>
      <rPr>
        <b/>
        <sz val="11"/>
        <color rgb="FF000000"/>
        <rFont val="Arial"/>
        <family val="2"/>
      </rPr>
      <t xml:space="preserve"> April 2016</t>
    </r>
    <r>
      <rPr>
        <sz val="11"/>
        <color rgb="FF000000"/>
        <rFont val="Arial"/>
        <family val="2"/>
      </rPr>
      <t xml:space="preserve"> issue of the </t>
    </r>
    <r>
      <rPr>
        <b/>
        <sz val="11"/>
        <color rgb="FF000000"/>
        <rFont val="Arial"/>
        <family val="2"/>
      </rPr>
      <t>Monthly Statistical Bulletin</t>
    </r>
    <r>
      <rPr>
        <sz val="11"/>
        <color rgb="FF000000"/>
        <rFont val="Arial"/>
        <family val="2"/>
      </rPr>
      <t xml:space="preserve">, published by the </t>
    </r>
    <r>
      <rPr>
        <sz val="11"/>
        <rFont val="Arial"/>
        <family val="2"/>
      </rPr>
      <t>Research and Statistics Department</t>
    </r>
    <r>
      <rPr>
        <sz val="11"/>
        <color rgb="FF000000"/>
        <rFont val="Arial"/>
        <family val="2"/>
      </rPr>
      <t xml:space="preserve"> of the Royal Monetary Authority of Bhutan, contains updates on monetary data for the month of February (except for RICBL where updates are not yet available) and other latest available macroeconomic data. </t>
    </r>
  </si>
</sst>
</file>

<file path=xl/styles.xml><?xml version="1.0" encoding="utf-8"?>
<styleSheet xmlns="http://schemas.openxmlformats.org/spreadsheetml/2006/main">
  <numFmts count="25">
    <numFmt numFmtId="5" formatCode="&quot;$&quot;#,##0_);\(&quot;$&quot;#,##0\)"/>
    <numFmt numFmtId="44" formatCode="_(&quot;$&quot;* #,##0.00_);_(&quot;$&quot;* \(#,##0.00\);_(&quot;$&quot;* &quot;-&quot;??_);_(@_)"/>
    <numFmt numFmtId="43" formatCode="_(* #,##0.00_);_(* \(#,##0.00\);_(* &quot;-&quot;??_);_(@_)"/>
    <numFmt numFmtId="164" formatCode="_-* #,##0.00_-;\-* #,##0.00_-;_-* &quot;-&quot;??_-;_-@_-"/>
    <numFmt numFmtId="165" formatCode="0.0_)"/>
    <numFmt numFmtId="166" formatCode="0.00_)"/>
    <numFmt numFmtId="167" formatCode="0_)"/>
    <numFmt numFmtId="168" formatCode="0.0"/>
    <numFmt numFmtId="169" formatCode="#,##0.0_);\(#,##0.0\)"/>
    <numFmt numFmtId="170" formatCode="m/d"/>
    <numFmt numFmtId="171" formatCode="_-* #,##0.0_-;\-* #,##0.0_-;_-* &quot;-&quot;?_-;_-@_-"/>
    <numFmt numFmtId="172" formatCode="#,##0.0"/>
    <numFmt numFmtId="173" formatCode="_(* #,##0.0_);_(* \(#,##0.0\);_(* &quot;-&quot;?_);_(@_)"/>
    <numFmt numFmtId="174" formatCode="0.000"/>
    <numFmt numFmtId="175" formatCode="0.000000"/>
    <numFmt numFmtId="176" formatCode="_(* #,##0.0_);_(* \(#,##0.0\);_(* &quot;-&quot;??_);_(@_)"/>
    <numFmt numFmtId="177" formatCode="0.0%"/>
    <numFmt numFmtId="178" formatCode="0.00000"/>
    <numFmt numFmtId="179" formatCode="0.00000_)"/>
    <numFmt numFmtId="180" formatCode="_-* #,##0_-;\-* #,##0_-;_-* &quot;-&quot;??_-;_-@_-"/>
    <numFmt numFmtId="181" formatCode="_-* #,##0.0_-;\-* #,##0.0_-;_-* &quot;-&quot;??_-;_-@_-"/>
    <numFmt numFmtId="182" formatCode="0.0_);\(0.0\)"/>
    <numFmt numFmtId="183" formatCode="[$-409]mmm\-yy;@"/>
    <numFmt numFmtId="184" formatCode="0.00000000"/>
    <numFmt numFmtId="185" formatCode="_(* #,##0.0000_);_(* \(#,##0.000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i/>
      <sz val="10"/>
      <name val="Arial"/>
      <family val="2"/>
    </font>
    <font>
      <b/>
      <sz val="12"/>
      <color indexed="8"/>
      <name val="Arial"/>
      <family val="2"/>
    </font>
    <font>
      <sz val="12"/>
      <name val="Arial"/>
      <family val="2"/>
    </font>
    <font>
      <sz val="12"/>
      <color indexed="8"/>
      <name val="Arial"/>
      <family val="2"/>
    </font>
    <font>
      <b/>
      <sz val="12"/>
      <name val="Arial"/>
      <family val="2"/>
    </font>
    <font>
      <b/>
      <i/>
      <sz val="12"/>
      <name val="Arial"/>
      <family val="2"/>
    </font>
    <font>
      <i/>
      <sz val="12"/>
      <name val="Arial"/>
      <family val="2"/>
    </font>
    <font>
      <b/>
      <sz val="8"/>
      <name val="Arial"/>
      <family val="2"/>
    </font>
    <font>
      <sz val="8"/>
      <name val="Arial"/>
      <family val="2"/>
    </font>
    <font>
      <sz val="12"/>
      <name val="Arial"/>
      <family val="2"/>
    </font>
    <font>
      <b/>
      <sz val="12"/>
      <name val="Arial"/>
      <family val="2"/>
    </font>
    <font>
      <sz val="11"/>
      <name val="Arial"/>
      <family val="2"/>
    </font>
    <font>
      <sz val="10"/>
      <color indexed="8"/>
      <name val="Arial"/>
      <family val="2"/>
    </font>
    <font>
      <sz val="12"/>
      <color indexed="12"/>
      <name val="Arial"/>
      <family val="2"/>
    </font>
    <font>
      <b/>
      <sz val="10"/>
      <color indexed="12"/>
      <name val="Arial"/>
      <family val="2"/>
    </font>
    <font>
      <sz val="10"/>
      <color indexed="12"/>
      <name val="Arial"/>
      <family val="2"/>
    </font>
    <font>
      <sz val="10"/>
      <name val="Helv"/>
    </font>
    <font>
      <sz val="9"/>
      <name val="Arial"/>
      <family val="2"/>
    </font>
    <font>
      <sz val="10"/>
      <color indexed="10"/>
      <name val="Arial"/>
      <family val="2"/>
    </font>
    <font>
      <sz val="12"/>
      <color indexed="21"/>
      <name val="Arial"/>
      <family val="2"/>
    </font>
    <font>
      <sz val="12"/>
      <color indexed="10"/>
      <name val="Arial"/>
      <family val="2"/>
    </font>
    <font>
      <b/>
      <sz val="8"/>
      <color indexed="81"/>
      <name val="Tahoma"/>
      <family val="2"/>
    </font>
    <font>
      <sz val="8"/>
      <color indexed="81"/>
      <name val="Tahoma"/>
      <family val="2"/>
    </font>
    <font>
      <sz val="10"/>
      <color indexed="20"/>
      <name val="Arial"/>
      <family val="2"/>
    </font>
    <font>
      <b/>
      <sz val="9"/>
      <name val="Arial"/>
      <family val="2"/>
    </font>
    <font>
      <sz val="7.8"/>
      <name val="Arial"/>
      <family val="2"/>
    </font>
    <font>
      <sz val="10"/>
      <color indexed="55"/>
      <name val="Arial"/>
      <family val="2"/>
    </font>
    <font>
      <b/>
      <sz val="10"/>
      <color indexed="81"/>
      <name val="Tahoma"/>
      <family val="2"/>
    </font>
    <font>
      <sz val="10"/>
      <color indexed="81"/>
      <name val="Tahoma"/>
      <family val="2"/>
    </font>
    <font>
      <sz val="10"/>
      <color indexed="10"/>
      <name val="Arial"/>
      <family val="2"/>
    </font>
    <font>
      <vertAlign val="superscript"/>
      <sz val="11"/>
      <name val="Arial"/>
      <family val="2"/>
    </font>
    <font>
      <sz val="12"/>
      <name val="Helv"/>
    </font>
    <font>
      <b/>
      <vertAlign val="superscript"/>
      <sz val="11"/>
      <name val="Arial"/>
      <family val="2"/>
    </font>
    <font>
      <sz val="8"/>
      <color indexed="12"/>
      <name val="Arial"/>
      <family val="2"/>
    </font>
    <font>
      <sz val="8"/>
      <name val="Arial"/>
      <family val="2"/>
    </font>
    <font>
      <b/>
      <sz val="8"/>
      <color indexed="12"/>
      <name val="Arial"/>
      <family val="2"/>
    </font>
    <font>
      <b/>
      <sz val="10"/>
      <name val="Arial"/>
      <family val="2"/>
    </font>
    <font>
      <sz val="10"/>
      <name val="Arial"/>
      <family val="2"/>
    </font>
    <font>
      <b/>
      <sz val="10"/>
      <color indexed="10"/>
      <name val="Arial"/>
      <family val="2"/>
    </font>
    <font>
      <sz val="9"/>
      <name val="Times New Roman"/>
      <family val="1"/>
    </font>
    <font>
      <sz val="10"/>
      <color indexed="12"/>
      <name val="Arial"/>
      <family val="2"/>
    </font>
    <font>
      <sz val="10"/>
      <color indexed="20"/>
      <name val="Arial"/>
      <family val="2"/>
    </font>
    <font>
      <sz val="10"/>
      <color indexed="14"/>
      <name val="Arial"/>
      <family val="2"/>
    </font>
    <font>
      <b/>
      <sz val="18"/>
      <name val="Arial"/>
      <family val="2"/>
    </font>
    <font>
      <sz val="14"/>
      <name val="Arial"/>
      <family val="2"/>
    </font>
    <font>
      <b/>
      <i/>
      <sz val="12"/>
      <name val="Times New Roman"/>
      <family val="1"/>
    </font>
    <font>
      <sz val="12"/>
      <name val="Times New Roman"/>
      <family val="1"/>
    </font>
    <font>
      <u/>
      <sz val="12"/>
      <name val="Times New Roman"/>
      <family val="1"/>
    </font>
    <font>
      <vertAlign val="superscript"/>
      <sz val="12"/>
      <name val="Times New Roman"/>
      <family val="1"/>
    </font>
    <font>
      <u/>
      <vertAlign val="superscript"/>
      <sz val="12"/>
      <name val="Times New Roman"/>
      <family val="1"/>
    </font>
    <font>
      <i/>
      <sz val="9"/>
      <name val="Arial"/>
      <family val="2"/>
    </font>
    <font>
      <b/>
      <sz val="10"/>
      <color indexed="8"/>
      <name val="Arial"/>
      <family val="2"/>
    </font>
    <font>
      <sz val="10"/>
      <color indexed="53"/>
      <name val="Arial"/>
      <family val="2"/>
    </font>
    <font>
      <sz val="8"/>
      <color indexed="8"/>
      <name val="Arial"/>
      <family val="2"/>
    </font>
    <font>
      <b/>
      <sz val="8"/>
      <color indexed="8"/>
      <name val="Arial"/>
      <family val="2"/>
    </font>
    <font>
      <sz val="14"/>
      <color indexed="10"/>
      <name val="Helv"/>
    </font>
    <font>
      <sz val="14"/>
      <color indexed="10"/>
      <name val="Arial"/>
      <family val="2"/>
    </font>
    <font>
      <sz val="11"/>
      <color indexed="10"/>
      <name val="Arial"/>
      <family val="2"/>
    </font>
    <font>
      <sz val="12"/>
      <color indexed="12"/>
      <name val="Arial"/>
      <family val="2"/>
    </font>
    <font>
      <b/>
      <sz val="12"/>
      <color indexed="12"/>
      <name val="Arial"/>
      <family val="2"/>
    </font>
    <font>
      <b/>
      <sz val="8"/>
      <color indexed="10"/>
      <name val="Arial"/>
      <family val="2"/>
    </font>
    <font>
      <sz val="10"/>
      <color indexed="10"/>
      <name val="Arial"/>
      <family val="2"/>
    </font>
    <font>
      <b/>
      <sz val="11"/>
      <name val="Arial"/>
      <family val="2"/>
    </font>
    <font>
      <b/>
      <sz val="11"/>
      <color indexed="10"/>
      <name val="Arial"/>
      <family val="2"/>
    </font>
    <font>
      <sz val="11"/>
      <color indexed="12"/>
      <name val="Arial"/>
      <family val="2"/>
    </font>
    <font>
      <sz val="10"/>
      <color indexed="30"/>
      <name val="Arial"/>
      <family val="2"/>
    </font>
    <font>
      <sz val="12"/>
      <color theme="1"/>
      <name val="Arial"/>
      <family val="2"/>
    </font>
    <font>
      <b/>
      <sz val="12"/>
      <name val="Times New Roman"/>
      <family val="1"/>
    </font>
    <font>
      <b/>
      <u/>
      <sz val="12"/>
      <name val="Times New Roman"/>
      <family val="1"/>
    </font>
    <font>
      <sz val="10"/>
      <color rgb="FFFF0000"/>
      <name val="Arial"/>
      <family val="2"/>
    </font>
    <font>
      <b/>
      <sz val="20"/>
      <name val="Arial"/>
      <family val="2"/>
    </font>
    <font>
      <b/>
      <sz val="18"/>
      <color rgb="FF3333FF"/>
      <name val="Arial"/>
      <family val="2"/>
    </font>
    <font>
      <sz val="10"/>
      <color theme="1"/>
      <name val="Arial"/>
      <family val="2"/>
    </font>
    <font>
      <b/>
      <sz val="13"/>
      <color theme="1"/>
      <name val="Arial"/>
      <family val="2"/>
    </font>
    <font>
      <b/>
      <sz val="12"/>
      <color theme="1"/>
      <name val="Arial"/>
      <family val="2"/>
    </font>
    <font>
      <b/>
      <sz val="14"/>
      <name val="Arial"/>
      <family val="2"/>
    </font>
    <font>
      <b/>
      <sz val="12"/>
      <name val="Helv"/>
    </font>
    <font>
      <sz val="12"/>
      <color theme="0"/>
      <name val="Arial"/>
      <family val="2"/>
    </font>
    <font>
      <b/>
      <i/>
      <sz val="10"/>
      <name val="Arial"/>
      <family val="2"/>
    </font>
    <font>
      <sz val="10"/>
      <name val="Arial"/>
      <family val="2"/>
    </font>
    <font>
      <sz val="13"/>
      <name val="Arial"/>
      <family val="2"/>
    </font>
    <font>
      <b/>
      <sz val="13"/>
      <name val="Arial"/>
      <family val="2"/>
    </font>
    <font>
      <sz val="13"/>
      <color indexed="8"/>
      <name val="Arial"/>
      <family val="2"/>
    </font>
    <font>
      <sz val="13"/>
      <color theme="1"/>
      <name val="Arial"/>
      <family val="2"/>
    </font>
    <font>
      <sz val="12"/>
      <name val="Arial MT"/>
    </font>
    <font>
      <b/>
      <sz val="13"/>
      <color indexed="8"/>
      <name val="Arial"/>
      <family val="2"/>
    </font>
    <font>
      <i/>
      <sz val="13"/>
      <color indexed="8"/>
      <name val="Arial"/>
      <family val="2"/>
    </font>
    <font>
      <sz val="13"/>
      <name val="Arial MT"/>
    </font>
    <font>
      <sz val="13"/>
      <name val="SWISS"/>
    </font>
    <font>
      <sz val="13"/>
      <color indexed="63"/>
      <name val="Arial"/>
      <family val="2"/>
    </font>
    <font>
      <b/>
      <sz val="13"/>
      <color indexed="63"/>
      <name val="Arial"/>
      <family val="2"/>
    </font>
    <font>
      <b/>
      <vertAlign val="superscript"/>
      <sz val="13"/>
      <name val="Arial"/>
      <family val="2"/>
    </font>
    <font>
      <sz val="13"/>
      <color indexed="10"/>
      <name val="Arial"/>
      <family val="2"/>
    </font>
    <font>
      <i/>
      <sz val="11"/>
      <name val="Arial"/>
      <family val="2"/>
    </font>
    <font>
      <sz val="13"/>
      <color rgb="FFFF0000"/>
      <name val="Arial"/>
      <family val="2"/>
    </font>
    <font>
      <b/>
      <sz val="9"/>
      <color theme="1"/>
      <name val="Arial"/>
      <family val="2"/>
    </font>
    <font>
      <sz val="10"/>
      <name val="Arial"/>
      <family val="2"/>
    </font>
    <font>
      <b/>
      <i/>
      <sz val="9"/>
      <name val="Arial"/>
      <family val="2"/>
    </font>
    <font>
      <b/>
      <vertAlign val="superscript"/>
      <sz val="9"/>
      <color theme="1"/>
      <name val="Arial"/>
      <family val="2"/>
    </font>
    <font>
      <b/>
      <sz val="11"/>
      <color theme="1"/>
      <name val="Arial"/>
      <family val="2"/>
    </font>
    <font>
      <vertAlign val="superscript"/>
      <sz val="11"/>
      <color theme="1"/>
      <name val="Arial"/>
      <family val="2"/>
    </font>
    <font>
      <i/>
      <sz val="8"/>
      <name val="Arial"/>
      <family val="2"/>
    </font>
    <font>
      <b/>
      <i/>
      <sz val="13"/>
      <name val="Arial"/>
      <family val="2"/>
    </font>
    <font>
      <b/>
      <i/>
      <sz val="12"/>
      <name val="SWISS"/>
    </font>
    <font>
      <b/>
      <i/>
      <sz val="12"/>
      <color indexed="8"/>
      <name val="Arial"/>
      <family val="2"/>
    </font>
    <font>
      <i/>
      <sz val="12"/>
      <color theme="1"/>
      <name val="Arial"/>
      <family val="2"/>
    </font>
    <font>
      <i/>
      <sz val="7"/>
      <color indexed="8"/>
      <name val="Arial"/>
      <family val="2"/>
    </font>
    <font>
      <sz val="7"/>
      <color indexed="8"/>
      <name val="Arial"/>
      <family val="2"/>
    </font>
    <font>
      <sz val="10"/>
      <name val="Arial"/>
      <family val="2"/>
    </font>
    <font>
      <sz val="10"/>
      <color rgb="FF000000"/>
      <name val="Arial"/>
      <family val="2"/>
    </font>
    <font>
      <b/>
      <vertAlign val="superscript"/>
      <sz val="12"/>
      <name val="Arial"/>
      <family val="2"/>
    </font>
    <font>
      <u/>
      <sz val="12"/>
      <name val="Arial"/>
      <family val="2"/>
    </font>
    <font>
      <sz val="10"/>
      <name val="Times New Roman"/>
      <family val="1"/>
    </font>
    <font>
      <b/>
      <i/>
      <sz val="14"/>
      <name val="Arial"/>
      <family val="2"/>
    </font>
    <font>
      <b/>
      <sz val="14"/>
      <color theme="1"/>
      <name val="Arial"/>
      <family val="2"/>
    </font>
    <font>
      <vertAlign val="superscript"/>
      <sz val="14"/>
      <name val="Arial"/>
      <family val="2"/>
    </font>
    <font>
      <sz val="14"/>
      <color theme="1"/>
      <name val="Arial"/>
      <family val="2"/>
    </font>
    <font>
      <sz val="14"/>
      <color rgb="FFFF0000"/>
      <name val="Arial"/>
      <family val="2"/>
    </font>
    <font>
      <b/>
      <vertAlign val="superscript"/>
      <sz val="14"/>
      <name val="Arial"/>
      <family val="2"/>
    </font>
    <font>
      <b/>
      <sz val="12"/>
      <name val="SWISS"/>
    </font>
    <font>
      <b/>
      <sz val="14"/>
      <color indexed="8"/>
      <name val="Arial"/>
      <family val="2"/>
    </font>
    <font>
      <sz val="11"/>
      <color theme="1"/>
      <name val="Arial"/>
      <family val="2"/>
    </font>
    <font>
      <b/>
      <sz val="16"/>
      <name val="Arial"/>
      <family val="2"/>
    </font>
    <font>
      <sz val="16"/>
      <name val="Arial"/>
      <family val="2"/>
    </font>
    <font>
      <sz val="12"/>
      <color theme="1"/>
      <name val="Times New Roman"/>
      <family val="1"/>
    </font>
    <font>
      <sz val="10"/>
      <name val="Courier"/>
      <family val="3"/>
    </font>
    <font>
      <b/>
      <sz val="12"/>
      <color theme="1"/>
      <name val="Times New Roman"/>
      <family val="1"/>
    </font>
    <font>
      <sz val="12"/>
      <color rgb="FFFF0000"/>
      <name val="Arial"/>
      <family val="2"/>
    </font>
    <font>
      <b/>
      <sz val="12"/>
      <color rgb="FFFF0000"/>
      <name val="Arial"/>
      <family val="2"/>
    </font>
    <font>
      <sz val="12"/>
      <color rgb="FF3333FF"/>
      <name val="Arial"/>
      <family val="2"/>
    </font>
    <font>
      <sz val="9"/>
      <color rgb="FFFF0000"/>
      <name val="Arial"/>
      <family val="2"/>
    </font>
    <font>
      <sz val="12"/>
      <color rgb="FFFF0000"/>
      <name val="Times New Roman"/>
      <family val="1"/>
    </font>
    <font>
      <sz val="11"/>
      <name val="Times New Roman"/>
      <family val="1"/>
    </font>
    <font>
      <sz val="11"/>
      <color rgb="FFFF0000"/>
      <name val="Arial"/>
      <family val="2"/>
    </font>
    <font>
      <sz val="11"/>
      <color theme="1"/>
      <name val="Times New Roman"/>
      <family val="1"/>
    </font>
    <font>
      <b/>
      <sz val="14"/>
      <color rgb="FF000000"/>
      <name val="Arial"/>
      <family val="2"/>
    </font>
    <font>
      <sz val="12"/>
      <color rgb="FF000000"/>
      <name val="Arial"/>
      <family val="2"/>
    </font>
    <font>
      <sz val="11"/>
      <color rgb="FF000000"/>
      <name val="Arial"/>
      <family val="2"/>
    </font>
    <font>
      <b/>
      <sz val="11"/>
      <color rgb="FF000000"/>
      <name val="Arial"/>
      <family val="2"/>
    </font>
    <font>
      <sz val="9"/>
      <name val="Aril"/>
    </font>
    <font>
      <sz val="9"/>
      <color theme="1"/>
      <name val="Arial"/>
      <family val="2"/>
    </font>
  </fonts>
  <fills count="23">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5"/>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41"/>
        <bgColor indexed="64"/>
      </patternFill>
    </fill>
    <fill>
      <patternFill patternType="solid">
        <fgColor indexed="46"/>
        <bgColor indexed="64"/>
      </patternFill>
    </fill>
    <fill>
      <patternFill patternType="solid">
        <fgColor indexed="27"/>
        <bgColor indexed="64"/>
      </patternFill>
    </fill>
    <fill>
      <patternFill patternType="solid">
        <fgColor indexed="15"/>
        <bgColor indexed="64"/>
      </patternFill>
    </fill>
    <fill>
      <patternFill patternType="solid">
        <fgColor indexed="51"/>
        <bgColor indexed="64"/>
      </patternFill>
    </fill>
    <fill>
      <patternFill patternType="solid">
        <fgColor indexed="5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426">
    <border>
      <left/>
      <right/>
      <top/>
      <bottom/>
      <diagonal/>
    </border>
    <border>
      <left/>
      <right/>
      <top/>
      <bottom style="thin">
        <color indexed="8"/>
      </bottom>
      <diagonal/>
    </border>
    <border>
      <left style="thin">
        <color indexed="8"/>
      </left>
      <right/>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64"/>
      </bottom>
      <diagonal/>
    </border>
    <border>
      <left style="thin">
        <color indexed="64"/>
      </left>
      <right style="thin">
        <color indexed="64"/>
      </right>
      <top/>
      <bottom style="thin">
        <color indexed="8"/>
      </bottom>
      <diagonal/>
    </border>
    <border>
      <left style="thin">
        <color indexed="64"/>
      </left>
      <right/>
      <top style="thin">
        <color indexed="8"/>
      </top>
      <bottom style="thin">
        <color indexed="64"/>
      </bottom>
      <diagonal/>
    </border>
    <border>
      <left style="double">
        <color indexed="64"/>
      </left>
      <right/>
      <top style="double">
        <color indexed="64"/>
      </top>
      <bottom style="thin">
        <color indexed="64"/>
      </bottom>
      <diagonal/>
    </border>
    <border>
      <left style="double">
        <color indexed="64"/>
      </left>
      <right/>
      <top/>
      <bottom/>
      <diagonal/>
    </border>
    <border>
      <left style="double">
        <color indexed="64"/>
      </left>
      <right/>
      <top style="thin">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8"/>
      </left>
      <right style="thin">
        <color indexed="64"/>
      </right>
      <top/>
      <bottom style="thin">
        <color indexed="64"/>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top style="double">
        <color indexed="64"/>
      </top>
      <bottom style="thin">
        <color indexed="64"/>
      </bottom>
      <diagonal/>
    </border>
    <border>
      <left/>
      <right style="double">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diagonal/>
    </border>
    <border>
      <left/>
      <right style="double">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64"/>
      </right>
      <top style="thin">
        <color indexed="64"/>
      </top>
      <bottom/>
      <diagonal/>
    </border>
    <border>
      <left style="thin">
        <color indexed="64"/>
      </left>
      <right/>
      <top style="medium">
        <color indexed="64"/>
      </top>
      <bottom/>
      <diagonal/>
    </border>
    <border>
      <left/>
      <right/>
      <top style="thin">
        <color indexed="13"/>
      </top>
      <bottom style="thin">
        <color indexed="13"/>
      </bottom>
      <diagonal/>
    </border>
    <border>
      <left/>
      <right/>
      <top style="thin">
        <color indexed="13"/>
      </top>
      <bottom/>
      <diagonal/>
    </border>
    <border>
      <left/>
      <right/>
      <top/>
      <bottom style="medium">
        <color indexed="13"/>
      </bottom>
      <diagonal/>
    </border>
    <border>
      <left/>
      <right/>
      <top/>
      <bottom style="thin">
        <color indexed="13"/>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8"/>
      </top>
      <bottom style="thin">
        <color indexed="8"/>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double">
        <color indexed="64"/>
      </right>
      <top style="double">
        <color indexed="64"/>
      </top>
      <bottom style="thin">
        <color indexed="64"/>
      </bottom>
      <diagonal/>
    </border>
    <border>
      <left/>
      <right/>
      <top/>
      <bottom style="thin">
        <color theme="1"/>
      </bottom>
      <diagonal/>
    </border>
    <border>
      <left/>
      <right/>
      <top style="thin">
        <color theme="1"/>
      </top>
      <bottom/>
      <diagonal/>
    </border>
    <border>
      <left style="thin">
        <color theme="1"/>
      </left>
      <right/>
      <top/>
      <bottom/>
      <diagonal/>
    </border>
    <border>
      <left style="thin">
        <color theme="1"/>
      </left>
      <right style="thin">
        <color theme="1"/>
      </right>
      <top/>
      <bottom/>
      <diagonal/>
    </border>
    <border>
      <left style="thin">
        <color theme="1"/>
      </left>
      <right style="thin">
        <color indexed="64"/>
      </right>
      <top/>
      <bottom/>
      <diagonal/>
    </border>
    <border>
      <left style="thin">
        <color auto="1"/>
      </left>
      <right style="thin">
        <color auto="1"/>
      </right>
      <top/>
      <bottom/>
      <diagonal/>
    </border>
    <border>
      <left style="thin">
        <color indexed="64"/>
      </left>
      <right/>
      <top/>
      <bottom/>
      <diagonal/>
    </border>
    <border>
      <left/>
      <right/>
      <top style="thin">
        <color auto="1"/>
      </top>
      <bottom/>
      <diagonal/>
    </border>
    <border>
      <left style="thin">
        <color indexed="64"/>
      </left>
      <right style="thin">
        <color indexed="8"/>
      </right>
      <top/>
      <bottom/>
      <diagonal/>
    </border>
    <border>
      <left style="thin">
        <color indexed="64"/>
      </left>
      <right style="thin">
        <color indexed="64"/>
      </right>
      <top/>
      <bottom/>
      <diagonal/>
    </border>
    <border>
      <left/>
      <right/>
      <top/>
      <bottom style="thin">
        <color indexed="8"/>
      </bottom>
      <diagonal/>
    </border>
    <border>
      <left/>
      <right/>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bottom style="thin">
        <color indexed="8"/>
      </bottom>
      <diagonal/>
    </border>
    <border>
      <left style="thin">
        <color theme="1"/>
      </left>
      <right style="thin">
        <color theme="1"/>
      </right>
      <top/>
      <bottom style="thin">
        <color indexed="8"/>
      </bottom>
      <diagonal/>
    </border>
    <border>
      <left style="thin">
        <color indexed="64"/>
      </left>
      <right/>
      <top/>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thin">
        <color auto="1"/>
      </left>
      <right style="thin">
        <color auto="1"/>
      </right>
      <top/>
      <bottom style="thin">
        <color indexed="64"/>
      </bottom>
      <diagonal/>
    </border>
    <border>
      <left style="thin">
        <color indexed="64"/>
      </left>
      <right/>
      <top/>
      <bottom/>
      <diagonal/>
    </border>
    <border>
      <left style="thin">
        <color auto="1"/>
      </left>
      <right/>
      <top/>
      <bottom style="thin">
        <color indexed="64"/>
      </bottom>
      <diagonal/>
    </border>
    <border>
      <left/>
      <right/>
      <top style="thin">
        <color indexed="64"/>
      </top>
      <bottom style="thin">
        <color indexed="64"/>
      </bottom>
      <diagonal/>
    </border>
    <border>
      <left style="thin">
        <color theme="1"/>
      </left>
      <right style="thin">
        <color theme="1"/>
      </right>
      <top/>
      <bottom style="thin">
        <color theme="1"/>
      </bottom>
      <diagonal/>
    </border>
    <border>
      <left style="thin">
        <color indexed="64"/>
      </left>
      <right style="thin">
        <color theme="1"/>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bottom/>
      <diagonal/>
    </border>
    <border>
      <left style="thin">
        <color indexed="64"/>
      </left>
      <right style="thin">
        <color indexed="8"/>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indexed="8"/>
      </left>
      <right/>
      <top/>
      <bottom/>
      <diagonal/>
    </border>
    <border>
      <left style="thin">
        <color auto="1"/>
      </left>
      <right style="thin">
        <color auto="1"/>
      </right>
      <top/>
      <bottom/>
      <diagonal/>
    </border>
    <border>
      <left style="thin">
        <color auto="1"/>
      </left>
      <right/>
      <top/>
      <bottom/>
      <diagonal/>
    </border>
    <border>
      <left/>
      <right style="thin">
        <color auto="1"/>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auto="1"/>
      </left>
      <right style="thin">
        <color auto="1"/>
      </right>
      <top/>
      <bottom/>
      <diagonal/>
    </border>
    <border>
      <left/>
      <right style="thin">
        <color theme="1"/>
      </right>
      <top/>
      <bottom style="thin">
        <color theme="1"/>
      </bottom>
      <diagonal/>
    </border>
    <border>
      <left/>
      <right style="thin">
        <color theme="1"/>
      </right>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theme="1"/>
      </right>
      <top style="thin">
        <color theme="1"/>
      </top>
      <bottom/>
      <diagonal/>
    </border>
    <border>
      <left style="thin">
        <color auto="1"/>
      </left>
      <right/>
      <top style="thin">
        <color indexed="64"/>
      </top>
      <bottom style="thin">
        <color indexed="64"/>
      </bottom>
      <diagonal/>
    </border>
    <border>
      <left/>
      <right style="thin">
        <color indexed="8"/>
      </right>
      <top/>
      <bottom/>
      <diagonal/>
    </border>
    <border>
      <left style="thin">
        <color auto="1"/>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top style="thin">
        <color indexed="64"/>
      </top>
      <bottom/>
      <diagonal/>
    </border>
    <border>
      <left style="thin">
        <color indexed="64"/>
      </left>
      <right style="thin">
        <color indexed="64"/>
      </right>
      <top style="thin">
        <color theme="1"/>
      </top>
      <bottom/>
      <diagonal/>
    </border>
    <border>
      <left/>
      <right/>
      <top style="thin">
        <color auto="1"/>
      </top>
      <bottom/>
      <diagonal/>
    </border>
    <border>
      <left style="thin">
        <color indexed="8"/>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64"/>
      </right>
      <top/>
      <bottom/>
      <diagonal/>
    </border>
    <border>
      <left/>
      <right style="thin">
        <color auto="1"/>
      </right>
      <top/>
      <bottom/>
      <diagonal/>
    </border>
    <border>
      <left style="thin">
        <color indexed="64"/>
      </left>
      <right/>
      <top/>
      <bottom/>
      <diagonal/>
    </border>
    <border>
      <left/>
      <right style="thin">
        <color indexed="64"/>
      </right>
      <top style="thin">
        <color auto="1"/>
      </top>
      <bottom/>
      <diagonal/>
    </border>
    <border>
      <left/>
      <right style="thin">
        <color auto="1"/>
      </right>
      <top/>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auto="1"/>
      </right>
      <top/>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theme="1" tint="0.34998626667073579"/>
      </right>
      <top/>
      <bottom/>
      <diagonal/>
    </border>
    <border>
      <left style="thin">
        <color indexed="64"/>
      </left>
      <right/>
      <top/>
      <bottom/>
      <diagonal/>
    </border>
    <border>
      <left/>
      <right style="thin">
        <color indexed="64"/>
      </right>
      <top/>
      <bottom/>
      <diagonal/>
    </border>
    <border>
      <left style="thin">
        <color theme="1"/>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theme="1"/>
      </bottom>
      <diagonal/>
    </border>
    <border>
      <left style="thin">
        <color indexed="8"/>
      </left>
      <right style="thin">
        <color theme="1"/>
      </right>
      <top/>
      <bottom/>
      <diagonal/>
    </border>
    <border>
      <left style="thin">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bottom style="thin">
        <color indexed="64"/>
      </bottom>
      <diagonal/>
    </border>
    <border>
      <left style="thin">
        <color theme="1"/>
      </left>
      <right/>
      <top/>
      <bottom style="thin">
        <color theme="1"/>
      </bottom>
      <diagonal/>
    </border>
    <border>
      <left style="thin">
        <color indexed="64"/>
      </left>
      <right/>
      <top/>
      <bottom style="thin">
        <color indexed="64"/>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theme="1"/>
      </right>
      <top style="thin">
        <color indexed="8"/>
      </top>
      <bottom/>
      <diagonal/>
    </border>
    <border>
      <left style="thin">
        <color theme="1"/>
      </left>
      <right style="thin">
        <color theme="1"/>
      </right>
      <top style="thin">
        <color indexed="8"/>
      </top>
      <bottom/>
      <diagonal/>
    </border>
    <border>
      <left style="thin">
        <color indexed="8"/>
      </left>
      <right/>
      <top/>
      <bottom style="thin">
        <color indexed="64"/>
      </bottom>
      <diagonal/>
    </border>
    <border>
      <left style="thin">
        <color auto="1"/>
      </left>
      <right style="thin">
        <color auto="1"/>
      </right>
      <top style="thin">
        <color auto="1"/>
      </top>
      <bottom/>
      <diagonal/>
    </border>
    <border>
      <left style="thin">
        <color indexed="8"/>
      </left>
      <right style="thin">
        <color indexed="64"/>
      </right>
      <top style="thin">
        <color indexed="8"/>
      </top>
      <bottom/>
      <diagonal/>
    </border>
    <border>
      <left style="thin">
        <color indexed="8"/>
      </left>
      <right/>
      <top/>
      <bottom/>
      <diagonal/>
    </border>
    <border>
      <left style="thin">
        <color auto="1"/>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style="thin">
        <color indexed="8"/>
      </left>
      <right/>
      <top style="thin">
        <color indexed="64"/>
      </top>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64"/>
      </right>
      <top style="thin">
        <color theme="1"/>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auto="1"/>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theme="1"/>
      </top>
      <bottom style="thin">
        <color rgb="FF000000"/>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style="thin">
        <color indexed="64"/>
      </bottom>
      <diagonal/>
    </border>
    <border>
      <left/>
      <right style="thin">
        <color auto="1"/>
      </right>
      <top/>
      <bottom/>
      <diagonal/>
    </border>
    <border>
      <left/>
      <right style="thin">
        <color auto="1"/>
      </right>
      <top/>
      <bottom/>
      <diagonal/>
    </border>
    <border>
      <left/>
      <right style="thin">
        <color auto="1"/>
      </right>
      <top/>
      <bottom/>
      <diagonal/>
    </border>
    <border>
      <left style="thin">
        <color indexed="64"/>
      </left>
      <right style="thin">
        <color indexed="64"/>
      </right>
      <top/>
      <bottom style="thin">
        <color indexed="8"/>
      </bottom>
      <diagonal/>
    </border>
    <border>
      <left style="thin">
        <color indexed="64"/>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indexed="64"/>
      </right>
      <top/>
      <bottom/>
      <diagonal/>
    </border>
    <border>
      <left/>
      <right style="thin">
        <color indexed="64"/>
      </right>
      <top/>
      <bottom style="thin">
        <color indexed="64"/>
      </bottom>
      <diagonal/>
    </border>
    <border>
      <left style="thin">
        <color indexed="8"/>
      </left>
      <right style="thin">
        <color auto="1"/>
      </right>
      <top/>
      <bottom style="thin">
        <color indexed="64"/>
      </bottom>
      <diagonal/>
    </border>
    <border>
      <left style="thin">
        <color auto="1"/>
      </left>
      <right style="thin">
        <color auto="1"/>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auto="1"/>
      </right>
      <top/>
      <bottom style="thin">
        <color indexed="64"/>
      </bottom>
      <diagonal/>
    </border>
    <border>
      <left/>
      <right style="thin">
        <color indexed="64"/>
      </right>
      <top/>
      <bottom style="thin">
        <color indexed="64"/>
      </bottom>
      <diagonal/>
    </border>
    <border>
      <left/>
      <right style="thin">
        <color auto="1"/>
      </right>
      <top/>
      <bottom/>
      <diagonal/>
    </border>
    <border>
      <left style="thin">
        <color auto="1"/>
      </left>
      <right/>
      <top style="thin">
        <color indexed="64"/>
      </top>
      <bottom/>
      <diagonal/>
    </border>
    <border>
      <left style="thin">
        <color indexed="64"/>
      </left>
      <right/>
      <top/>
      <bottom style="thin">
        <color indexed="64"/>
      </bottom>
      <diagonal/>
    </border>
    <border>
      <left/>
      <right style="thin">
        <color auto="1"/>
      </right>
      <top/>
      <bottom/>
      <diagonal/>
    </border>
    <border>
      <left/>
      <right/>
      <top/>
      <bottom style="thin">
        <color indexed="64"/>
      </bottom>
      <diagonal/>
    </border>
    <border>
      <left/>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auto="1"/>
      </left>
      <right style="thin">
        <color indexed="64"/>
      </right>
      <top style="thin">
        <color indexed="64"/>
      </top>
      <bottom/>
      <diagonal/>
    </border>
    <border>
      <left/>
      <right/>
      <top/>
      <bottom style="thin">
        <color auto="1"/>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style="thin">
        <color auto="1"/>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style="thin">
        <color indexed="64"/>
      </left>
      <right style="thin">
        <color auto="1"/>
      </right>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bottom style="thin">
        <color indexed="8"/>
      </bottom>
      <diagonal/>
    </border>
    <border>
      <left/>
      <right/>
      <top/>
      <bottom style="thin">
        <color indexed="64"/>
      </bottom>
      <diagonal/>
    </border>
    <border>
      <left/>
      <right style="thin">
        <color auto="1"/>
      </right>
      <top/>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style="thin">
        <color auto="1"/>
      </right>
      <top/>
      <bottom/>
      <diagonal/>
    </border>
    <border>
      <left/>
      <right style="thin">
        <color indexed="64"/>
      </right>
      <top style="thin">
        <color auto="1"/>
      </top>
      <bottom style="thin">
        <color auto="1"/>
      </bottom>
      <diagonal/>
    </border>
    <border>
      <left style="thin">
        <color indexed="8"/>
      </left>
      <right style="thin">
        <color indexed="64"/>
      </right>
      <top/>
      <bottom/>
      <diagonal/>
    </border>
    <border>
      <left/>
      <right style="thin">
        <color indexed="64"/>
      </right>
      <top/>
      <bottom/>
      <diagonal/>
    </border>
    <border>
      <left style="thin">
        <color indexed="64"/>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theme="1"/>
      </left>
      <right style="thin">
        <color indexed="64"/>
      </right>
      <top/>
      <bottom style="thin">
        <color indexed="64"/>
      </bottom>
      <diagonal/>
    </border>
    <border>
      <left style="thin">
        <color indexed="64"/>
      </left>
      <right style="thin">
        <color indexed="64"/>
      </right>
      <top/>
      <bottom/>
      <diagonal/>
    </border>
    <border>
      <left style="thin">
        <color theme="1"/>
      </left>
      <right style="thin">
        <color theme="1"/>
      </right>
      <top/>
      <bottom style="thin">
        <color indexed="64"/>
      </bottom>
      <diagonal/>
    </border>
    <border>
      <left style="thin">
        <color indexed="64"/>
      </left>
      <right style="thin">
        <color indexed="64"/>
      </right>
      <top style="thin">
        <color indexed="8"/>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
      <left style="thin">
        <color indexed="64"/>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theme="1"/>
      </left>
      <right/>
      <top style="thin">
        <color indexed="64"/>
      </top>
      <bottom/>
      <diagonal/>
    </border>
    <border>
      <left style="thin">
        <color theme="1"/>
      </left>
      <right/>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46">
    <xf numFmtId="0" fontId="0" fillId="0" borderId="0" applyFill="0"/>
    <xf numFmtId="164" fontId="7" fillId="0" borderId="0" applyFont="0" applyFill="0" applyBorder="0" applyAlignment="0" applyProtection="0"/>
    <xf numFmtId="166" fontId="41" fillId="0" borderId="0"/>
    <xf numFmtId="0" fontId="7" fillId="0" borderId="0" applyFill="0"/>
    <xf numFmtId="0" fontId="7" fillId="0" borderId="0" applyFill="0"/>
    <xf numFmtId="0" fontId="7" fillId="0" borderId="0" applyFill="0"/>
    <xf numFmtId="0" fontId="7" fillId="0" borderId="0" applyFill="0"/>
    <xf numFmtId="9" fontId="7" fillId="0" borderId="0" applyFont="0" applyFill="0" applyBorder="0" applyAlignment="0" applyProtection="0"/>
    <xf numFmtId="0" fontId="6" fillId="0" borderId="0"/>
    <xf numFmtId="43" fontId="6"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7" fillId="0" borderId="0" applyFill="0"/>
    <xf numFmtId="43" fontId="7" fillId="0" borderId="0" applyFont="0" applyFill="0" applyBorder="0" applyAlignment="0" applyProtection="0"/>
    <xf numFmtId="0" fontId="7" fillId="0" borderId="0"/>
    <xf numFmtId="0" fontId="89"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44" fontId="10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7" fillId="0" borderId="0"/>
    <xf numFmtId="0" fontId="7" fillId="0" borderId="0"/>
    <xf numFmtId="0" fontId="7" fillId="0" borderId="0"/>
    <xf numFmtId="0" fontId="122" fillId="0" borderId="0"/>
    <xf numFmtId="0" fontId="118" fillId="0" borderId="0"/>
    <xf numFmtId="0" fontId="12" fillId="0" borderId="0"/>
    <xf numFmtId="43" fontId="118" fillId="0" borderId="0" applyFont="0" applyFill="0" applyBorder="0" applyAlignment="0" applyProtection="0"/>
    <xf numFmtId="0" fontId="12" fillId="0" borderId="0"/>
    <xf numFmtId="0" fontId="118" fillId="0" borderId="0"/>
    <xf numFmtId="0" fontId="2" fillId="0" borderId="0"/>
    <xf numFmtId="0" fontId="135" fillId="0" borderId="0"/>
    <xf numFmtId="43" fontId="2" fillId="0" borderId="0" applyFont="0" applyFill="0" applyBorder="0" applyAlignment="0" applyProtection="0"/>
    <xf numFmtId="0" fontId="7" fillId="0" borderId="0"/>
    <xf numFmtId="0" fontId="7" fillId="0" borderId="0">
      <alignment wrapText="1"/>
    </xf>
    <xf numFmtId="0" fontId="2" fillId="0" borderId="0"/>
    <xf numFmtId="0" fontId="22" fillId="0" borderId="0">
      <alignment vertical="top"/>
    </xf>
    <xf numFmtId="0" fontId="1" fillId="0" borderId="0"/>
  </cellStyleXfs>
  <cellXfs count="5030">
    <xf numFmtId="0" fontId="0" fillId="0" borderId="0" xfId="0"/>
    <xf numFmtId="0" fontId="8" fillId="0" borderId="0" xfId="0" applyFont="1" applyProtection="1"/>
    <xf numFmtId="0" fontId="9" fillId="0" borderId="0" xfId="0" applyFont="1"/>
    <xf numFmtId="0" fontId="10" fillId="0" borderId="0" xfId="0" applyFont="1" applyProtection="1"/>
    <xf numFmtId="2" fontId="0" fillId="0" borderId="0" xfId="0" applyNumberFormat="1"/>
    <xf numFmtId="0" fontId="12" fillId="0" borderId="0" xfId="0" applyFont="1"/>
    <xf numFmtId="165" fontId="12" fillId="0" borderId="6" xfId="0" applyNumberFormat="1" applyFont="1" applyBorder="1" applyProtection="1"/>
    <xf numFmtId="165" fontId="12" fillId="0" borderId="2" xfId="0" applyNumberFormat="1" applyFont="1" applyBorder="1" applyProtection="1"/>
    <xf numFmtId="0" fontId="12" fillId="0" borderId="6" xfId="0" applyFont="1" applyBorder="1"/>
    <xf numFmtId="0" fontId="12" fillId="0" borderId="0" xfId="0" applyFont="1" applyBorder="1"/>
    <xf numFmtId="0" fontId="12" fillId="0" borderId="8" xfId="0" applyFont="1" applyBorder="1" applyAlignment="1">
      <alignment horizontal="center"/>
    </xf>
    <xf numFmtId="0" fontId="0" fillId="0" borderId="9" xfId="0" applyBorder="1"/>
    <xf numFmtId="0" fontId="12" fillId="0" borderId="9" xfId="0" applyFont="1" applyBorder="1"/>
    <xf numFmtId="0" fontId="12" fillId="0" borderId="9" xfId="0" applyFont="1" applyBorder="1" applyAlignment="1">
      <alignment horizontal="center"/>
    </xf>
    <xf numFmtId="0" fontId="12" fillId="0" borderId="10" xfId="0" applyFont="1" applyBorder="1" applyAlignment="1">
      <alignment horizontal="center"/>
    </xf>
    <xf numFmtId="165" fontId="12" fillId="0" borderId="0" xfId="0" applyNumberFormat="1" applyFont="1" applyBorder="1" applyProtection="1"/>
    <xf numFmtId="165" fontId="12" fillId="0" borderId="7" xfId="0" applyNumberFormat="1" applyFont="1" applyBorder="1" applyProtection="1"/>
    <xf numFmtId="0" fontId="14" fillId="0" borderId="0" xfId="0" applyFont="1"/>
    <xf numFmtId="0" fontId="12" fillId="0" borderId="2" xfId="0" applyFont="1" applyBorder="1"/>
    <xf numFmtId="0" fontId="12" fillId="0" borderId="11" xfId="0" applyFont="1" applyBorder="1"/>
    <xf numFmtId="0" fontId="12" fillId="0" borderId="14" xfId="0" applyFont="1" applyBorder="1"/>
    <xf numFmtId="0" fontId="12" fillId="0" borderId="15" xfId="0" applyFont="1" applyBorder="1"/>
    <xf numFmtId="0" fontId="12" fillId="0" borderId="16" xfId="0" applyFont="1" applyBorder="1"/>
    <xf numFmtId="0" fontId="12" fillId="0" borderId="10" xfId="0" applyFont="1" applyBorder="1"/>
    <xf numFmtId="0" fontId="12" fillId="0" borderId="12" xfId="0" applyFont="1" applyBorder="1"/>
    <xf numFmtId="0" fontId="12" fillId="0" borderId="17" xfId="0" applyFont="1" applyBorder="1"/>
    <xf numFmtId="0" fontId="12" fillId="0" borderId="18" xfId="0" applyFont="1" applyBorder="1"/>
    <xf numFmtId="0" fontId="12" fillId="0" borderId="7" xfId="0" applyFont="1" applyBorder="1"/>
    <xf numFmtId="0" fontId="12" fillId="0" borderId="19" xfId="0" applyFont="1" applyBorder="1"/>
    <xf numFmtId="0" fontId="12" fillId="0" borderId="0" xfId="0" applyFont="1" applyAlignment="1">
      <alignment horizontal="right"/>
    </xf>
    <xf numFmtId="0" fontId="16" fillId="0" borderId="0" xfId="0" applyFont="1"/>
    <xf numFmtId="0" fontId="12" fillId="0" borderId="13" xfId="0" applyFont="1" applyBorder="1"/>
    <xf numFmtId="0" fontId="12" fillId="0" borderId="20" xfId="0" applyFont="1" applyBorder="1"/>
    <xf numFmtId="0" fontId="12" fillId="0" borderId="0" xfId="0" applyFont="1" applyFill="1"/>
    <xf numFmtId="0" fontId="12" fillId="0" borderId="0" xfId="0" applyFont="1" applyFill="1" applyBorder="1"/>
    <xf numFmtId="0" fontId="8" fillId="0" borderId="0" xfId="0" applyFont="1"/>
    <xf numFmtId="0" fontId="12" fillId="2" borderId="0" xfId="0" applyFont="1" applyFill="1"/>
    <xf numFmtId="0" fontId="12" fillId="3" borderId="0" xfId="0" applyFont="1" applyFill="1"/>
    <xf numFmtId="0" fontId="12" fillId="4" borderId="0" xfId="0" applyFont="1" applyFill="1"/>
    <xf numFmtId="0" fontId="12" fillId="0" borderId="21" xfId="0" applyFont="1" applyBorder="1"/>
    <xf numFmtId="0" fontId="12" fillId="0" borderId="22" xfId="0" applyFont="1" applyBorder="1"/>
    <xf numFmtId="169" fontId="12" fillId="0" borderId="22" xfId="0" applyNumberFormat="1" applyFont="1" applyBorder="1" applyProtection="1"/>
    <xf numFmtId="0" fontId="12" fillId="0" borderId="23" xfId="0" applyFont="1" applyBorder="1"/>
    <xf numFmtId="169" fontId="12" fillId="0" borderId="9" xfId="0" applyNumberFormat="1" applyFont="1" applyBorder="1" applyProtection="1"/>
    <xf numFmtId="170" fontId="12" fillId="0" borderId="10" xfId="0" applyNumberFormat="1" applyFont="1" applyBorder="1" applyAlignment="1" applyProtection="1">
      <alignment horizontal="center"/>
    </xf>
    <xf numFmtId="169" fontId="12" fillId="0" borderId="20" xfId="0" applyNumberFormat="1" applyFont="1" applyBorder="1" applyProtection="1"/>
    <xf numFmtId="172" fontId="12" fillId="0" borderId="9" xfId="0" applyNumberFormat="1" applyFont="1" applyBorder="1"/>
    <xf numFmtId="172" fontId="12" fillId="0" borderId="9" xfId="0" applyNumberFormat="1" applyFont="1" applyBorder="1" applyProtection="1"/>
    <xf numFmtId="172" fontId="12" fillId="0" borderId="24" xfId="0" applyNumberFormat="1" applyFont="1" applyBorder="1"/>
    <xf numFmtId="172" fontId="12" fillId="0" borderId="10" xfId="0" applyNumberFormat="1" applyFont="1" applyBorder="1"/>
    <xf numFmtId="172" fontId="12" fillId="2" borderId="10" xfId="0" applyNumberFormat="1" applyFont="1" applyFill="1" applyBorder="1"/>
    <xf numFmtId="172" fontId="12" fillId="0" borderId="0" xfId="0" applyNumberFormat="1" applyFont="1" applyBorder="1"/>
    <xf numFmtId="172" fontId="12" fillId="0" borderId="20" xfId="0" applyNumberFormat="1" applyFont="1" applyBorder="1"/>
    <xf numFmtId="172" fontId="12" fillId="0" borderId="9" xfId="0" applyNumberFormat="1" applyFont="1" applyBorder="1" applyAlignment="1">
      <alignment horizontal="center"/>
    </xf>
    <xf numFmtId="49" fontId="12" fillId="0" borderId="0" xfId="0" applyNumberFormat="1" applyFont="1" applyAlignment="1"/>
    <xf numFmtId="0" fontId="12" fillId="0" borderId="0" xfId="0" applyFont="1" applyAlignment="1">
      <alignment horizontal="fill"/>
    </xf>
    <xf numFmtId="49" fontId="12" fillId="0" borderId="0" xfId="0" applyNumberFormat="1" applyFont="1" applyAlignment="1">
      <alignment horizontal="fill"/>
    </xf>
    <xf numFmtId="49" fontId="12" fillId="0" borderId="0" xfId="0" applyNumberFormat="1" applyFont="1" applyAlignment="1">
      <alignment horizontal="left"/>
    </xf>
    <xf numFmtId="0" fontId="12" fillId="0" borderId="0" xfId="0" applyFont="1" applyAlignment="1">
      <alignment horizontal="left"/>
    </xf>
    <xf numFmtId="0" fontId="0" fillId="0" borderId="0" xfId="0" applyBorder="1"/>
    <xf numFmtId="0" fontId="9" fillId="0" borderId="0" xfId="0" applyFont="1" applyAlignment="1">
      <alignment vertical="center"/>
    </xf>
    <xf numFmtId="165" fontId="7" fillId="0" borderId="0" xfId="0" applyNumberFormat="1" applyFont="1" applyProtection="1"/>
    <xf numFmtId="0" fontId="7" fillId="0" borderId="0" xfId="0" applyFont="1"/>
    <xf numFmtId="0" fontId="7" fillId="0" borderId="0" xfId="0" applyFont="1" applyBorder="1"/>
    <xf numFmtId="0" fontId="7" fillId="0" borderId="9" xfId="0" applyFont="1" applyBorder="1"/>
    <xf numFmtId="0" fontId="0" fillId="0" borderId="0" xfId="0" applyBorder="1" applyAlignment="1"/>
    <xf numFmtId="172" fontId="12" fillId="0" borderId="0" xfId="0" applyNumberFormat="1" applyFont="1"/>
    <xf numFmtId="168" fontId="12" fillId="0" borderId="0" xfId="0" applyNumberFormat="1" applyFont="1" applyAlignment="1">
      <alignment horizontal="right"/>
    </xf>
    <xf numFmtId="172" fontId="12" fillId="0" borderId="0" xfId="0" applyNumberFormat="1" applyFont="1" applyAlignment="1">
      <alignment horizontal="fill"/>
    </xf>
    <xf numFmtId="168" fontId="12" fillId="0" borderId="0" xfId="0" applyNumberFormat="1" applyFont="1"/>
    <xf numFmtId="169" fontId="12" fillId="0" borderId="0" xfId="0" applyNumberFormat="1" applyFont="1" applyBorder="1" applyProtection="1"/>
    <xf numFmtId="0" fontId="8" fillId="0" borderId="19" xfId="0" applyFont="1" applyBorder="1"/>
    <xf numFmtId="172" fontId="12" fillId="0" borderId="10" xfId="0" applyNumberFormat="1" applyFont="1" applyBorder="1" applyAlignment="1">
      <alignment horizontal="center"/>
    </xf>
    <xf numFmtId="168" fontId="9" fillId="0" borderId="0" xfId="0" applyNumberFormat="1" applyFont="1" applyBorder="1"/>
    <xf numFmtId="167" fontId="12" fillId="0" borderId="4" xfId="0" applyNumberFormat="1" applyFont="1" applyBorder="1" applyAlignment="1">
      <alignment horizontal="center"/>
    </xf>
    <xf numFmtId="0" fontId="12" fillId="0" borderId="0" xfId="0" applyFont="1" applyProtection="1">
      <protection locked="0"/>
    </xf>
    <xf numFmtId="0" fontId="12" fillId="0" borderId="11" xfId="0" applyFont="1" applyBorder="1" applyProtection="1">
      <protection locked="0"/>
    </xf>
    <xf numFmtId="0" fontId="12" fillId="0" borderId="2" xfId="0" applyFont="1" applyBorder="1" applyProtection="1">
      <protection locked="0"/>
    </xf>
    <xf numFmtId="0" fontId="12" fillId="0" borderId="2" xfId="0" applyFont="1" applyBorder="1" applyAlignment="1" applyProtection="1">
      <alignment horizontal="right"/>
      <protection locked="0"/>
    </xf>
    <xf numFmtId="0" fontId="12" fillId="0" borderId="4" xfId="0" applyFont="1" applyBorder="1" applyProtection="1">
      <protection locked="0"/>
    </xf>
    <xf numFmtId="0" fontId="12" fillId="0" borderId="13" xfId="0" applyFont="1" applyBorder="1" applyProtection="1">
      <protection locked="0"/>
    </xf>
    <xf numFmtId="0" fontId="12" fillId="0" borderId="6" xfId="0" applyFont="1" applyBorder="1" applyProtection="1">
      <protection locked="0"/>
    </xf>
    <xf numFmtId="0" fontId="12" fillId="0" borderId="12" xfId="0" applyFont="1" applyBorder="1" applyProtection="1">
      <protection locked="0"/>
    </xf>
    <xf numFmtId="0" fontId="12" fillId="0" borderId="8" xfId="0" applyFont="1" applyBorder="1" applyAlignment="1" applyProtection="1">
      <alignment horizontal="center"/>
      <protection locked="0"/>
    </xf>
    <xf numFmtId="167" fontId="12" fillId="0" borderId="26" xfId="0" applyNumberFormat="1" applyFont="1" applyBorder="1" applyAlignment="1">
      <alignment horizontal="center"/>
    </xf>
    <xf numFmtId="167" fontId="12" fillId="0" borderId="10" xfId="0" applyNumberFormat="1" applyFont="1" applyBorder="1" applyAlignment="1">
      <alignment horizontal="center"/>
    </xf>
    <xf numFmtId="168" fontId="12" fillId="0" borderId="6" xfId="0" applyNumberFormat="1" applyFont="1" applyBorder="1" applyProtection="1">
      <protection locked="0"/>
    </xf>
    <xf numFmtId="168" fontId="12" fillId="0" borderId="6" xfId="0" applyNumberFormat="1" applyFont="1" applyBorder="1" applyAlignment="1" applyProtection="1">
      <alignment horizontal="right"/>
      <protection locked="0"/>
    </xf>
    <xf numFmtId="49" fontId="12" fillId="0" borderId="0" xfId="0" applyNumberFormat="1" applyFont="1"/>
    <xf numFmtId="166" fontId="14" fillId="0" borderId="0" xfId="0" applyNumberFormat="1" applyFont="1" applyProtection="1"/>
    <xf numFmtId="166" fontId="12" fillId="0" borderId="1" xfId="0" applyNumberFormat="1" applyFont="1" applyBorder="1" applyProtection="1"/>
    <xf numFmtId="166" fontId="12" fillId="0" borderId="0" xfId="0" applyNumberFormat="1" applyFont="1" applyProtection="1"/>
    <xf numFmtId="166" fontId="12" fillId="0" borderId="12" xfId="0" applyNumberFormat="1" applyFont="1" applyBorder="1" applyProtection="1"/>
    <xf numFmtId="166" fontId="12" fillId="0" borderId="7" xfId="0" applyNumberFormat="1" applyFont="1" applyBorder="1" applyProtection="1"/>
    <xf numFmtId="166" fontId="12" fillId="0" borderId="5" xfId="0" applyNumberFormat="1" applyFont="1" applyBorder="1" applyAlignment="1" applyProtection="1">
      <alignment horizontal="center"/>
    </xf>
    <xf numFmtId="166" fontId="12" fillId="0" borderId="8" xfId="0" applyNumberFormat="1" applyFont="1" applyBorder="1" applyAlignment="1" applyProtection="1">
      <alignment horizontal="center"/>
    </xf>
    <xf numFmtId="165" fontId="12" fillId="0" borderId="5" xfId="0" applyNumberFormat="1" applyFont="1" applyBorder="1" applyProtection="1"/>
    <xf numFmtId="166" fontId="16" fillId="0" borderId="0" xfId="0" applyNumberFormat="1" applyFont="1" applyProtection="1"/>
    <xf numFmtId="168" fontId="0" fillId="0" borderId="0" xfId="0" applyNumberFormat="1" applyBorder="1"/>
    <xf numFmtId="168" fontId="9" fillId="0" borderId="9" xfId="0" applyNumberFormat="1" applyFont="1" applyBorder="1" applyAlignment="1">
      <alignment vertical="center"/>
    </xf>
    <xf numFmtId="168" fontId="12" fillId="0" borderId="0" xfId="0" applyNumberFormat="1" applyFont="1" applyBorder="1" applyAlignment="1" applyProtection="1">
      <alignment horizontal="right"/>
      <protection locked="0"/>
    </xf>
    <xf numFmtId="168" fontId="12" fillId="0" borderId="0" xfId="1" applyNumberFormat="1" applyFont="1" applyBorder="1" applyProtection="1"/>
    <xf numFmtId="0" fontId="0" fillId="0" borderId="0" xfId="0" applyAlignment="1"/>
    <xf numFmtId="172" fontId="12" fillId="0" borderId="9" xfId="0" applyNumberFormat="1" applyFont="1" applyBorder="1" applyAlignment="1"/>
    <xf numFmtId="0" fontId="12" fillId="0" borderId="25" xfId="0" applyFont="1" applyBorder="1"/>
    <xf numFmtId="0" fontId="13" fillId="0" borderId="0" xfId="0" applyFont="1"/>
    <xf numFmtId="0" fontId="0" fillId="0" borderId="22" xfId="0" applyBorder="1"/>
    <xf numFmtId="0" fontId="0" fillId="0" borderId="19" xfId="0" applyBorder="1"/>
    <xf numFmtId="0" fontId="0" fillId="0" borderId="18" xfId="0" applyBorder="1"/>
    <xf numFmtId="0" fontId="0" fillId="0" borderId="23" xfId="0" applyBorder="1"/>
    <xf numFmtId="168" fontId="0" fillId="0" borderId="18" xfId="0" applyNumberFormat="1" applyBorder="1"/>
    <xf numFmtId="0" fontId="0" fillId="0" borderId="0" xfId="0" applyBorder="1" applyAlignment="1">
      <alignment horizontal="right"/>
    </xf>
    <xf numFmtId="0" fontId="9" fillId="0" borderId="0" xfId="0" applyFont="1" applyFill="1" applyBorder="1"/>
    <xf numFmtId="0" fontId="12" fillId="0" borderId="0" xfId="0" applyFont="1" applyBorder="1" applyAlignment="1">
      <alignment horizontal="center" wrapText="1"/>
    </xf>
    <xf numFmtId="0" fontId="9" fillId="0" borderId="20" xfId="0" applyFont="1" applyBorder="1"/>
    <xf numFmtId="0" fontId="9" fillId="0" borderId="0" xfId="0" applyFont="1" applyBorder="1"/>
    <xf numFmtId="0" fontId="9" fillId="0" borderId="0" xfId="0" applyFont="1" applyAlignment="1">
      <alignment horizontal="center"/>
    </xf>
    <xf numFmtId="168" fontId="0" fillId="0" borderId="0" xfId="0" applyNumberFormat="1"/>
    <xf numFmtId="0" fontId="9" fillId="0" borderId="27" xfId="0" applyFont="1" applyBorder="1" applyAlignment="1">
      <alignment horizontal="right"/>
    </xf>
    <xf numFmtId="0" fontId="9" fillId="0" borderId="27" xfId="0" applyFont="1" applyBorder="1" applyAlignment="1">
      <alignment horizontal="right" wrapText="1"/>
    </xf>
    <xf numFmtId="0" fontId="9" fillId="0" borderId="15" xfId="0" applyFont="1" applyBorder="1"/>
    <xf numFmtId="0" fontId="9" fillId="0" borderId="16" xfId="0" applyFont="1" applyBorder="1"/>
    <xf numFmtId="167" fontId="8" fillId="0" borderId="9" xfId="0" applyNumberFormat="1" applyFont="1" applyBorder="1" applyAlignment="1">
      <alignment horizontal="center" vertical="center"/>
    </xf>
    <xf numFmtId="0" fontId="9" fillId="0" borderId="0" xfId="0" applyFont="1" applyBorder="1" applyAlignment="1">
      <alignment vertical="center"/>
    </xf>
    <xf numFmtId="168" fontId="9" fillId="0" borderId="9" xfId="0" applyNumberFormat="1" applyFont="1" applyBorder="1" applyAlignment="1">
      <alignment horizontal="center" vertical="center"/>
    </xf>
    <xf numFmtId="168" fontId="9" fillId="0" borderId="0" xfId="0" applyNumberFormat="1" applyFont="1" applyBorder="1" applyAlignment="1">
      <alignment vertical="center"/>
    </xf>
    <xf numFmtId="168" fontId="22" fillId="0" borderId="9" xfId="0" applyNumberFormat="1" applyFont="1" applyBorder="1" applyAlignment="1" applyProtection="1">
      <alignment vertical="center"/>
    </xf>
    <xf numFmtId="1" fontId="8" fillId="0" borderId="9" xfId="0" applyNumberFormat="1" applyFont="1" applyBorder="1" applyAlignment="1">
      <alignment horizontal="center" vertical="center"/>
    </xf>
    <xf numFmtId="168" fontId="9" fillId="0" borderId="20" xfId="0" applyNumberFormat="1" applyFont="1" applyBorder="1" applyAlignment="1">
      <alignment vertical="center"/>
    </xf>
    <xf numFmtId="173" fontId="9" fillId="0" borderId="9" xfId="0" applyNumberFormat="1" applyFont="1" applyBorder="1" applyAlignment="1">
      <alignment vertical="center"/>
    </xf>
    <xf numFmtId="168" fontId="9" fillId="0" borderId="0" xfId="0" applyNumberFormat="1" applyFont="1" applyAlignment="1">
      <alignment vertical="center"/>
    </xf>
    <xf numFmtId="168" fontId="9" fillId="0" borderId="18" xfId="0" applyNumberFormat="1" applyFont="1" applyBorder="1" applyAlignment="1">
      <alignment vertical="center"/>
    </xf>
    <xf numFmtId="0" fontId="8" fillId="0" borderId="0" xfId="0" applyFont="1" applyFill="1"/>
    <xf numFmtId="0" fontId="9" fillId="0" borderId="0" xfId="0" applyFont="1" applyFill="1"/>
    <xf numFmtId="0" fontId="9" fillId="0" borderId="0" xfId="0" applyFont="1" applyFill="1" applyAlignment="1">
      <alignment vertical="center"/>
    </xf>
    <xf numFmtId="0" fontId="9" fillId="0" borderId="6" xfId="0" applyFont="1" applyBorder="1"/>
    <xf numFmtId="0" fontId="9" fillId="0" borderId="14" xfId="0" applyFont="1" applyBorder="1"/>
    <xf numFmtId="0" fontId="9" fillId="0" borderId="28" xfId="0" applyFont="1" applyBorder="1"/>
    <xf numFmtId="0" fontId="9" fillId="0" borderId="7" xfId="0" applyFont="1" applyBorder="1"/>
    <xf numFmtId="0" fontId="9" fillId="0" borderId="8" xfId="0" applyFont="1" applyBorder="1" applyAlignment="1">
      <alignment horizontal="center"/>
    </xf>
    <xf numFmtId="0" fontId="9" fillId="0" borderId="31" xfId="0" applyFont="1" applyBorder="1"/>
    <xf numFmtId="0" fontId="9" fillId="0" borderId="8" xfId="0" applyFont="1" applyBorder="1"/>
    <xf numFmtId="0" fontId="9" fillId="0" borderId="3" xfId="0" applyFont="1" applyBorder="1"/>
    <xf numFmtId="0" fontId="9" fillId="0" borderId="13" xfId="0" applyFont="1" applyBorder="1"/>
    <xf numFmtId="0" fontId="0" fillId="0" borderId="20" xfId="0" applyBorder="1"/>
    <xf numFmtId="0" fontId="18" fillId="0" borderId="0" xfId="0" applyFont="1" applyBorder="1"/>
    <xf numFmtId="0" fontId="18" fillId="0" borderId="17" xfId="0" applyFont="1" applyBorder="1"/>
    <xf numFmtId="0" fontId="18" fillId="0" borderId="0" xfId="0" applyFont="1"/>
    <xf numFmtId="0" fontId="18" fillId="0" borderId="9" xfId="0" applyFont="1" applyBorder="1"/>
    <xf numFmtId="0" fontId="18" fillId="0" borderId="21" xfId="0" applyFont="1" applyBorder="1"/>
    <xf numFmtId="0" fontId="18" fillId="0" borderId="22" xfId="0" applyFont="1" applyBorder="1"/>
    <xf numFmtId="0" fontId="18" fillId="0" borderId="15" xfId="0" applyFont="1" applyBorder="1"/>
    <xf numFmtId="0" fontId="18" fillId="0" borderId="18" xfId="0" applyFont="1" applyBorder="1"/>
    <xf numFmtId="0" fontId="8" fillId="0" borderId="17" xfId="0" applyFont="1" applyBorder="1"/>
    <xf numFmtId="0" fontId="12" fillId="0" borderId="13" xfId="0" applyFont="1" applyFill="1" applyBorder="1"/>
    <xf numFmtId="0" fontId="12" fillId="0" borderId="15" xfId="0" applyFont="1" applyFill="1" applyBorder="1"/>
    <xf numFmtId="0" fontId="12" fillId="0" borderId="6" xfId="0" applyFont="1" applyFill="1" applyBorder="1"/>
    <xf numFmtId="0" fontId="12" fillId="0" borderId="17" xfId="0" applyFont="1" applyFill="1" applyBorder="1"/>
    <xf numFmtId="0" fontId="12" fillId="0" borderId="9" xfId="0" applyFont="1" applyFill="1" applyBorder="1"/>
    <xf numFmtId="0" fontId="12" fillId="0" borderId="9" xfId="0" applyFont="1" applyFill="1" applyBorder="1" applyAlignment="1">
      <alignment horizontal="center"/>
    </xf>
    <xf numFmtId="0" fontId="12" fillId="0" borderId="0" xfId="0" applyFont="1" applyFill="1" applyBorder="1" applyAlignment="1">
      <alignment horizontal="center"/>
    </xf>
    <xf numFmtId="165" fontId="12" fillId="0" borderId="0" xfId="0" applyNumberFormat="1" applyFont="1" applyFill="1" applyBorder="1"/>
    <xf numFmtId="165" fontId="12" fillId="0" borderId="9" xfId="0" applyNumberFormat="1" applyFont="1" applyFill="1" applyBorder="1"/>
    <xf numFmtId="165" fontId="12" fillId="0" borderId="18" xfId="0" applyNumberFormat="1" applyFont="1" applyFill="1" applyBorder="1"/>
    <xf numFmtId="165" fontId="12" fillId="0" borderId="19" xfId="0" applyNumberFormat="1" applyFont="1" applyFill="1" applyBorder="1"/>
    <xf numFmtId="165" fontId="12" fillId="0" borderId="6" xfId="0" applyNumberFormat="1" applyFont="1" applyFill="1" applyBorder="1"/>
    <xf numFmtId="49" fontId="12" fillId="0" borderId="0" xfId="0" applyNumberFormat="1" applyFont="1" applyFill="1"/>
    <xf numFmtId="165" fontId="12" fillId="0" borderId="10" xfId="0" applyNumberFormat="1" applyFont="1" applyFill="1" applyBorder="1"/>
    <xf numFmtId="0" fontId="12" fillId="0" borderId="8" xfId="0" applyFont="1" applyFill="1" applyBorder="1" applyAlignment="1">
      <alignment horizontal="center"/>
    </xf>
    <xf numFmtId="165" fontId="12" fillId="0" borderId="9" xfId="0" applyNumberFormat="1" applyFont="1" applyFill="1" applyBorder="1" applyAlignment="1">
      <alignment horizontal="right"/>
    </xf>
    <xf numFmtId="165" fontId="12" fillId="0" borderId="7" xfId="0" applyNumberFormat="1" applyFont="1" applyFill="1" applyBorder="1" applyProtection="1"/>
    <xf numFmtId="173" fontId="9" fillId="0" borderId="0" xfId="0" applyNumberFormat="1" applyFont="1" applyBorder="1" applyAlignment="1">
      <alignment vertical="center"/>
    </xf>
    <xf numFmtId="174" fontId="9" fillId="0" borderId="0" xfId="0" applyNumberFormat="1" applyFont="1" applyAlignment="1">
      <alignment vertical="center"/>
    </xf>
    <xf numFmtId="0" fontId="0" fillId="0" borderId="0" xfId="0" applyFill="1" applyBorder="1"/>
    <xf numFmtId="0" fontId="18" fillId="0" borderId="0" xfId="0" applyFont="1" applyBorder="1" applyAlignment="1">
      <alignment horizontal="right"/>
    </xf>
    <xf numFmtId="0" fontId="0" fillId="6" borderId="0" xfId="0" applyFill="1"/>
    <xf numFmtId="0" fontId="18" fillId="0" borderId="0" xfId="0" applyFont="1" applyFill="1" applyBorder="1" applyAlignment="1">
      <alignment horizontal="center" vertical="center" wrapText="1"/>
    </xf>
    <xf numFmtId="173" fontId="9" fillId="0" borderId="9" xfId="0" applyNumberFormat="1" applyFont="1" applyFill="1" applyBorder="1" applyAlignment="1">
      <alignment vertical="center"/>
    </xf>
    <xf numFmtId="0" fontId="12" fillId="0" borderId="0" xfId="0" applyFont="1" applyBorder="1" applyAlignment="1">
      <alignment horizontal="center"/>
    </xf>
    <xf numFmtId="0" fontId="18" fillId="0" borderId="0" xfId="0" applyFont="1" applyFill="1"/>
    <xf numFmtId="168" fontId="9" fillId="0" borderId="0" xfId="0" applyNumberFormat="1" applyFont="1" applyFill="1" applyBorder="1" applyAlignment="1">
      <alignment vertical="center"/>
    </xf>
    <xf numFmtId="0" fontId="9" fillId="0" borderId="6" xfId="0" applyFont="1" applyBorder="1" applyAlignment="1">
      <alignment horizontal="center"/>
    </xf>
    <xf numFmtId="165" fontId="9" fillId="0" borderId="6" xfId="0" applyNumberFormat="1" applyFont="1" applyBorder="1" applyProtection="1"/>
    <xf numFmtId="0" fontId="0" fillId="0" borderId="10" xfId="0" applyBorder="1"/>
    <xf numFmtId="0" fontId="18" fillId="0" borderId="10" xfId="0" applyFont="1" applyBorder="1" applyAlignment="1">
      <alignment horizontal="center" vertical="center"/>
    </xf>
    <xf numFmtId="165" fontId="9" fillId="0" borderId="25" xfId="0" applyNumberFormat="1" applyFont="1" applyBorder="1" applyProtection="1"/>
    <xf numFmtId="165" fontId="9" fillId="0" borderId="34" xfId="0" applyNumberFormat="1" applyFont="1" applyBorder="1" applyProtection="1"/>
    <xf numFmtId="166" fontId="12" fillId="0" borderId="6" xfId="0" applyNumberFormat="1" applyFont="1" applyBorder="1" applyAlignment="1" applyProtection="1">
      <alignment horizontal="left"/>
    </xf>
    <xf numFmtId="0" fontId="0" fillId="7" borderId="0" xfId="0" applyFill="1"/>
    <xf numFmtId="168" fontId="9" fillId="0" borderId="0" xfId="0" applyNumberFormat="1" applyFont="1" applyBorder="1" applyAlignment="1">
      <alignment horizontal="center"/>
    </xf>
    <xf numFmtId="168" fontId="9" fillId="0" borderId="0" xfId="0" applyNumberFormat="1" applyFont="1" applyBorder="1" applyAlignment="1">
      <alignment horizontal="center" vertical="center"/>
    </xf>
    <xf numFmtId="168" fontId="9" fillId="0" borderId="0" xfId="0" applyNumberFormat="1" applyFont="1" applyFill="1" applyBorder="1" applyAlignment="1">
      <alignment horizontal="center" vertical="center"/>
    </xf>
    <xf numFmtId="168"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left" vertical="center"/>
    </xf>
    <xf numFmtId="0" fontId="8" fillId="0" borderId="40" xfId="0" applyFont="1" applyFill="1" applyBorder="1" applyAlignment="1" applyProtection="1">
      <alignment horizontal="left" vertical="center" wrapText="1"/>
    </xf>
    <xf numFmtId="0" fontId="9" fillId="0" borderId="41" xfId="0" applyFont="1" applyFill="1" applyBorder="1" applyProtection="1"/>
    <xf numFmtId="0" fontId="9" fillId="0" borderId="42" xfId="0" applyFont="1" applyFill="1" applyBorder="1" applyAlignment="1" applyProtection="1">
      <alignment horizontal="right"/>
    </xf>
    <xf numFmtId="0" fontId="9" fillId="0" borderId="43" xfId="0" applyFont="1" applyBorder="1"/>
    <xf numFmtId="0" fontId="8" fillId="0" borderId="44" xfId="0" applyFont="1" applyFill="1" applyBorder="1"/>
    <xf numFmtId="0" fontId="9" fillId="0" borderId="44" xfId="0" applyFont="1" applyFill="1" applyBorder="1" applyAlignment="1" applyProtection="1">
      <alignment horizontal="right"/>
    </xf>
    <xf numFmtId="0" fontId="8" fillId="8" borderId="45" xfId="0" applyFont="1" applyFill="1" applyBorder="1" applyAlignment="1">
      <alignment horizontal="center" wrapText="1"/>
    </xf>
    <xf numFmtId="0" fontId="8" fillId="8" borderId="46" xfId="0" applyFont="1" applyFill="1" applyBorder="1" applyAlignment="1">
      <alignment horizontal="center" wrapText="1"/>
    </xf>
    <xf numFmtId="17" fontId="9" fillId="8" borderId="47" xfId="0" applyNumberFormat="1" applyFont="1" applyFill="1" applyBorder="1" applyAlignment="1">
      <alignment horizontal="center"/>
    </xf>
    <xf numFmtId="17" fontId="8" fillId="8" borderId="45" xfId="0" applyNumberFormat="1" applyFont="1" applyFill="1" applyBorder="1" applyAlignment="1">
      <alignment horizontal="center"/>
    </xf>
    <xf numFmtId="17" fontId="8" fillId="8" borderId="46" xfId="0" applyNumberFormat="1" applyFont="1" applyFill="1" applyBorder="1" applyAlignment="1">
      <alignment horizontal="center"/>
    </xf>
    <xf numFmtId="0" fontId="9" fillId="8" borderId="44" xfId="0" applyFont="1" applyFill="1" applyBorder="1" applyAlignment="1">
      <alignment horizontal="center"/>
    </xf>
    <xf numFmtId="0" fontId="9" fillId="8" borderId="47" xfId="0" applyFont="1" applyFill="1" applyBorder="1" applyAlignment="1">
      <alignment horizontal="center"/>
    </xf>
    <xf numFmtId="0" fontId="8" fillId="9" borderId="48" xfId="0" applyFont="1" applyFill="1" applyBorder="1" applyAlignment="1">
      <alignment horizontal="center" wrapText="1"/>
    </xf>
    <xf numFmtId="0" fontId="8" fillId="9" borderId="49" xfId="0" applyFont="1" applyFill="1" applyBorder="1" applyAlignment="1">
      <alignment horizontal="center" wrapText="1"/>
    </xf>
    <xf numFmtId="17" fontId="9" fillId="9" borderId="50" xfId="0" applyNumberFormat="1" applyFont="1" applyFill="1" applyBorder="1" applyAlignment="1">
      <alignment horizontal="center"/>
    </xf>
    <xf numFmtId="17" fontId="8" fillId="9" borderId="48" xfId="0" applyNumberFormat="1" applyFont="1" applyFill="1" applyBorder="1" applyAlignment="1">
      <alignment horizontal="center"/>
    </xf>
    <xf numFmtId="17" fontId="8" fillId="9" borderId="49" xfId="0" applyNumberFormat="1" applyFont="1" applyFill="1" applyBorder="1" applyAlignment="1">
      <alignment horizontal="center"/>
    </xf>
    <xf numFmtId="0" fontId="9" fillId="9" borderId="51" xfId="0" applyFont="1" applyFill="1" applyBorder="1" applyAlignment="1">
      <alignment horizontal="center"/>
    </xf>
    <xf numFmtId="0" fontId="9" fillId="9" borderId="47" xfId="0" applyFont="1" applyFill="1" applyBorder="1" applyAlignment="1">
      <alignment horizontal="center"/>
    </xf>
    <xf numFmtId="0" fontId="9" fillId="8" borderId="52" xfId="0" applyFont="1" applyFill="1" applyBorder="1" applyAlignment="1">
      <alignment horizontal="center"/>
    </xf>
    <xf numFmtId="16" fontId="9" fillId="0" borderId="0" xfId="0" applyNumberFormat="1" applyFont="1" applyBorder="1"/>
    <xf numFmtId="0" fontId="9" fillId="0" borderId="0" xfId="0" quotePrefix="1" applyFont="1" applyBorder="1"/>
    <xf numFmtId="0" fontId="0" fillId="0" borderId="0" xfId="0" applyBorder="1" applyAlignment="1">
      <alignment horizontal="center"/>
    </xf>
    <xf numFmtId="168" fontId="9" fillId="0" borderId="0" xfId="0" applyNumberFormat="1" applyFont="1" applyFill="1" applyBorder="1"/>
    <xf numFmtId="0" fontId="0" fillId="0" borderId="22" xfId="0" applyBorder="1" applyAlignment="1">
      <alignment horizontal="right"/>
    </xf>
    <xf numFmtId="0" fontId="9" fillId="0" borderId="12" xfId="0" applyFont="1" applyBorder="1" applyProtection="1"/>
    <xf numFmtId="0" fontId="9" fillId="0" borderId="0" xfId="0" applyFont="1" applyBorder="1" applyProtection="1"/>
    <xf numFmtId="0" fontId="9" fillId="0" borderId="20" xfId="0" applyFont="1" applyBorder="1" applyProtection="1"/>
    <xf numFmtId="0" fontId="9" fillId="0" borderId="1" xfId="0" applyFont="1" applyBorder="1" applyProtection="1"/>
    <xf numFmtId="0" fontId="9" fillId="0" borderId="5" xfId="0" applyFont="1" applyBorder="1"/>
    <xf numFmtId="0" fontId="9" fillId="0" borderId="16" xfId="0" applyFont="1" applyBorder="1" applyProtection="1"/>
    <xf numFmtId="0" fontId="9" fillId="0" borderId="9" xfId="0" applyFont="1" applyBorder="1" applyProtection="1"/>
    <xf numFmtId="0" fontId="9" fillId="0" borderId="18" xfId="0" applyFont="1" applyBorder="1" applyProtection="1"/>
    <xf numFmtId="0" fontId="9" fillId="0" borderId="10" xfId="0" applyFont="1" applyBorder="1" applyAlignment="1" applyProtection="1">
      <alignment horizontal="center"/>
    </xf>
    <xf numFmtId="0" fontId="9" fillId="0" borderId="15" xfId="0" applyFont="1" applyBorder="1" applyProtection="1"/>
    <xf numFmtId="0" fontId="9" fillId="0" borderId="1" xfId="0" applyFont="1" applyBorder="1" applyAlignment="1" applyProtection="1">
      <alignment horizontal="center"/>
    </xf>
    <xf numFmtId="0" fontId="9" fillId="0" borderId="10" xfId="0" applyFont="1" applyBorder="1" applyProtection="1"/>
    <xf numFmtId="165" fontId="9" fillId="0" borderId="53" xfId="0" applyNumberFormat="1" applyFont="1" applyBorder="1" applyProtection="1"/>
    <xf numFmtId="0" fontId="9" fillId="0" borderId="2" xfId="0" applyFont="1" applyBorder="1" applyProtection="1"/>
    <xf numFmtId="0" fontId="9" fillId="0" borderId="13" xfId="0" applyFont="1" applyBorder="1" applyProtection="1"/>
    <xf numFmtId="0" fontId="9" fillId="0" borderId="0" xfId="0" applyFont="1" applyProtection="1"/>
    <xf numFmtId="0" fontId="9" fillId="0" borderId="11" xfId="0" applyFont="1" applyBorder="1" applyProtection="1"/>
    <xf numFmtId="0" fontId="9" fillId="0" borderId="6" xfId="0" applyFont="1" applyBorder="1" applyProtection="1"/>
    <xf numFmtId="0" fontId="9" fillId="0" borderId="6" xfId="0" applyFont="1" applyBorder="1" applyAlignment="1" applyProtection="1">
      <alignment horizontal="center"/>
    </xf>
    <xf numFmtId="0" fontId="9" fillId="0" borderId="36" xfId="0" applyFont="1" applyBorder="1" applyAlignment="1" applyProtection="1">
      <alignment horizontal="center"/>
    </xf>
    <xf numFmtId="0" fontId="9" fillId="0" borderId="13" xfId="0" applyFont="1" applyBorder="1" applyAlignment="1" applyProtection="1">
      <alignment horizontal="center"/>
    </xf>
    <xf numFmtId="0" fontId="9" fillId="0" borderId="3" xfId="0" applyFont="1" applyBorder="1" applyProtection="1"/>
    <xf numFmtId="0" fontId="9" fillId="0" borderId="4" xfId="0" applyFont="1" applyBorder="1" applyProtection="1"/>
    <xf numFmtId="0" fontId="9" fillId="0" borderId="8" xfId="0" applyFont="1" applyBorder="1" applyProtection="1"/>
    <xf numFmtId="0" fontId="9" fillId="0" borderId="26" xfId="0" applyFont="1" applyBorder="1" applyAlignment="1" applyProtection="1">
      <alignment horizontal="center"/>
    </xf>
    <xf numFmtId="0" fontId="9" fillId="0" borderId="54" xfId="0" applyFont="1" applyBorder="1" applyAlignment="1" applyProtection="1">
      <alignment horizontal="center"/>
    </xf>
    <xf numFmtId="0" fontId="9" fillId="0" borderId="17" xfId="0" applyFont="1" applyBorder="1" applyProtection="1"/>
    <xf numFmtId="0" fontId="9" fillId="0" borderId="55" xfId="0" applyFont="1" applyBorder="1" applyProtection="1"/>
    <xf numFmtId="0" fontId="9" fillId="0" borderId="33" xfId="0" applyFont="1" applyBorder="1" applyProtection="1"/>
    <xf numFmtId="0" fontId="9" fillId="0" borderId="29" xfId="0" applyFont="1" applyBorder="1" applyProtection="1"/>
    <xf numFmtId="0" fontId="9" fillId="0" borderId="7" xfId="0" applyFont="1" applyBorder="1" applyProtection="1"/>
    <xf numFmtId="0" fontId="9" fillId="0" borderId="56" xfId="0" applyFont="1" applyBorder="1" applyProtection="1"/>
    <xf numFmtId="0" fontId="9" fillId="0" borderId="5" xfId="0" applyFont="1" applyBorder="1" applyProtection="1"/>
    <xf numFmtId="0" fontId="9" fillId="0" borderId="37" xfId="0" applyFont="1" applyBorder="1" applyProtection="1"/>
    <xf numFmtId="167" fontId="9" fillId="0" borderId="28" xfId="0" applyNumberFormat="1" applyFont="1" applyBorder="1" applyAlignment="1">
      <alignment horizontal="right"/>
    </xf>
    <xf numFmtId="0" fontId="9" fillId="0" borderId="57" xfId="0" applyFont="1" applyBorder="1" applyProtection="1"/>
    <xf numFmtId="165" fontId="9" fillId="0" borderId="3" xfId="0" applyNumberFormat="1" applyFont="1" applyBorder="1" applyProtection="1"/>
    <xf numFmtId="165" fontId="9" fillId="0" borderId="13" xfId="0" applyNumberFormat="1" applyFont="1" applyBorder="1" applyProtection="1"/>
    <xf numFmtId="165" fontId="9" fillId="0" borderId="7" xfId="0" applyNumberFormat="1" applyFont="1" applyBorder="1" applyProtection="1"/>
    <xf numFmtId="0" fontId="9" fillId="0" borderId="8" xfId="0" applyFont="1" applyBorder="1" applyAlignment="1" applyProtection="1">
      <alignment horizontal="center"/>
    </xf>
    <xf numFmtId="0" fontId="9" fillId="10" borderId="0" xfId="0" applyFont="1" applyFill="1"/>
    <xf numFmtId="0" fontId="9" fillId="0" borderId="0" xfId="0" applyFont="1" applyBorder="1" applyAlignment="1" applyProtection="1">
      <alignment horizontal="center"/>
    </xf>
    <xf numFmtId="0" fontId="9" fillId="0" borderId="29" xfId="0" applyFont="1" applyBorder="1" applyAlignment="1" applyProtection="1">
      <alignment horizontal="center"/>
    </xf>
    <xf numFmtId="0" fontId="9" fillId="0" borderId="19" xfId="0" applyFont="1" applyBorder="1" applyProtection="1"/>
    <xf numFmtId="167" fontId="9" fillId="0" borderId="19" xfId="0" applyNumberFormat="1" applyFont="1" applyBorder="1" applyAlignment="1" applyProtection="1">
      <alignment horizontal="right"/>
    </xf>
    <xf numFmtId="167" fontId="9" fillId="0" borderId="58" xfId="0" applyNumberFormat="1" applyFont="1" applyBorder="1" applyAlignment="1" applyProtection="1">
      <alignment horizontal="right"/>
    </xf>
    <xf numFmtId="165" fontId="9" fillId="0" borderId="59" xfId="0" applyNumberFormat="1" applyFont="1" applyBorder="1" applyProtection="1"/>
    <xf numFmtId="167" fontId="9" fillId="0" borderId="28" xfId="0" applyNumberFormat="1" applyFont="1" applyBorder="1" applyAlignment="1" applyProtection="1">
      <alignment horizontal="right"/>
    </xf>
    <xf numFmtId="0" fontId="9" fillId="0" borderId="34" xfId="0" applyFont="1" applyBorder="1" applyProtection="1"/>
    <xf numFmtId="0" fontId="9" fillId="0" borderId="30" xfId="0" applyFont="1" applyBorder="1" applyProtection="1"/>
    <xf numFmtId="165" fontId="9" fillId="0" borderId="31" xfId="0" applyNumberFormat="1" applyFont="1" applyBorder="1" applyProtection="1"/>
    <xf numFmtId="49" fontId="9" fillId="0" borderId="0" xfId="0" quotePrefix="1" applyNumberFormat="1" applyFont="1" applyFill="1" applyBorder="1" applyAlignment="1">
      <alignment horizontal="left" vertical="center"/>
    </xf>
    <xf numFmtId="0" fontId="12" fillId="0" borderId="0" xfId="0" applyFont="1" applyBorder="1" applyAlignment="1" applyProtection="1">
      <alignment horizontal="center" wrapText="1"/>
      <protection locked="0"/>
    </xf>
    <xf numFmtId="0" fontId="12" fillId="0" borderId="32" xfId="0" applyFont="1" applyBorder="1"/>
    <xf numFmtId="0" fontId="30" fillId="0" borderId="0" xfId="0" applyFont="1"/>
    <xf numFmtId="167" fontId="12" fillId="0" borderId="8" xfId="0" applyNumberFormat="1" applyFont="1" applyBorder="1" applyAlignment="1">
      <alignment horizontal="center"/>
    </xf>
    <xf numFmtId="0" fontId="12" fillId="0" borderId="59" xfId="0" applyFont="1" applyBorder="1"/>
    <xf numFmtId="0" fontId="29" fillId="0" borderId="13" xfId="0" applyFont="1" applyBorder="1" applyProtection="1">
      <protection locked="0"/>
    </xf>
    <xf numFmtId="0" fontId="29" fillId="0" borderId="6" xfId="0" applyFont="1" applyBorder="1" applyAlignment="1" applyProtection="1">
      <alignment horizontal="right"/>
      <protection locked="0"/>
    </xf>
    <xf numFmtId="1" fontId="12" fillId="0" borderId="6" xfId="1" applyNumberFormat="1" applyFont="1" applyBorder="1" applyProtection="1">
      <protection locked="0"/>
    </xf>
    <xf numFmtId="1" fontId="12" fillId="0" borderId="25" xfId="1" applyNumberFormat="1" applyFont="1" applyBorder="1" applyProtection="1">
      <protection locked="0"/>
    </xf>
    <xf numFmtId="1" fontId="12" fillId="0" borderId="7" xfId="1" applyNumberFormat="1" applyFont="1" applyBorder="1" applyProtection="1">
      <protection locked="0"/>
    </xf>
    <xf numFmtId="1" fontId="12" fillId="0" borderId="6" xfId="1" applyNumberFormat="1" applyFont="1" applyFill="1" applyBorder="1" applyProtection="1">
      <protection locked="0"/>
    </xf>
    <xf numFmtId="165" fontId="12" fillId="0" borderId="0" xfId="0" applyNumberFormat="1" applyFont="1" applyProtection="1"/>
    <xf numFmtId="1" fontId="12" fillId="0" borderId="6" xfId="0" applyNumberFormat="1" applyFont="1" applyBorder="1"/>
    <xf numFmtId="1" fontId="12" fillId="0" borderId="32" xfId="1" applyNumberFormat="1" applyFont="1" applyBorder="1" applyProtection="1">
      <protection locked="0"/>
    </xf>
    <xf numFmtId="165" fontId="12" fillId="0" borderId="53" xfId="0" applyNumberFormat="1" applyFont="1" applyBorder="1"/>
    <xf numFmtId="165" fontId="12" fillId="0" borderId="24" xfId="0" applyNumberFormat="1" applyFont="1" applyBorder="1"/>
    <xf numFmtId="0" fontId="29" fillId="0" borderId="0" xfId="0" applyFont="1" applyAlignment="1">
      <alignment wrapText="1"/>
    </xf>
    <xf numFmtId="1" fontId="29" fillId="0" borderId="34" xfId="1" applyNumberFormat="1" applyFont="1" applyBorder="1" applyProtection="1">
      <protection locked="0"/>
    </xf>
    <xf numFmtId="1" fontId="29" fillId="0" borderId="37" xfId="1" applyNumberFormat="1" applyFont="1" applyBorder="1" applyProtection="1">
      <protection locked="0"/>
    </xf>
    <xf numFmtId="0" fontId="30" fillId="0" borderId="0" xfId="0" applyFont="1" applyAlignment="1">
      <alignment wrapText="1"/>
    </xf>
    <xf numFmtId="0" fontId="29" fillId="0" borderId="0" xfId="0" applyFont="1"/>
    <xf numFmtId="168" fontId="29" fillId="0" borderId="37" xfId="1" applyNumberFormat="1" applyFont="1" applyBorder="1" applyProtection="1">
      <protection locked="0"/>
    </xf>
    <xf numFmtId="165" fontId="12" fillId="0" borderId="0" xfId="0" applyNumberFormat="1" applyFont="1"/>
    <xf numFmtId="0" fontId="12" fillId="0" borderId="15" xfId="0" applyFont="1" applyBorder="1" applyProtection="1">
      <protection locked="0"/>
    </xf>
    <xf numFmtId="168" fontId="12" fillId="0" borderId="25" xfId="0" applyNumberFormat="1" applyFont="1" applyBorder="1" applyAlignment="1" applyProtection="1">
      <alignment horizontal="right"/>
      <protection locked="0"/>
    </xf>
    <xf numFmtId="168" fontId="12" fillId="0" borderId="9" xfId="0" applyNumberFormat="1" applyFont="1" applyBorder="1" applyAlignment="1" applyProtection="1">
      <alignment horizontal="right"/>
      <protection locked="0"/>
    </xf>
    <xf numFmtId="1" fontId="12" fillId="0" borderId="6" xfId="1" applyNumberFormat="1" applyFont="1" applyBorder="1" applyProtection="1"/>
    <xf numFmtId="1" fontId="12" fillId="0" borderId="6" xfId="1" applyNumberFormat="1" applyFont="1" applyBorder="1"/>
    <xf numFmtId="168" fontId="12" fillId="0" borderId="0" xfId="1" applyNumberFormat="1" applyFont="1" applyBorder="1"/>
    <xf numFmtId="168" fontId="12" fillId="0" borderId="0" xfId="1" applyNumberFormat="1" applyFont="1" applyBorder="1" applyProtection="1">
      <protection locked="0"/>
    </xf>
    <xf numFmtId="0" fontId="27" fillId="0" borderId="0" xfId="0" applyFont="1"/>
    <xf numFmtId="17" fontId="0" fillId="0" borderId="0" xfId="0" applyNumberFormat="1"/>
    <xf numFmtId="17" fontId="8" fillId="0" borderId="0" xfId="0" applyNumberFormat="1" applyFont="1"/>
    <xf numFmtId="17" fontId="0" fillId="7" borderId="0" xfId="0" applyNumberFormat="1" applyFill="1"/>
    <xf numFmtId="168" fontId="0" fillId="7" borderId="0" xfId="0" applyNumberFormat="1" applyFill="1"/>
    <xf numFmtId="0" fontId="28" fillId="7" borderId="0" xfId="0" applyFont="1" applyFill="1"/>
    <xf numFmtId="0" fontId="12" fillId="0" borderId="0" xfId="0" quotePrefix="1" applyFont="1"/>
    <xf numFmtId="17" fontId="9" fillId="0" borderId="0" xfId="0" applyNumberFormat="1" applyFont="1" applyBorder="1"/>
    <xf numFmtId="0" fontId="8" fillId="0" borderId="9" xfId="0" applyNumberFormat="1" applyFont="1" applyBorder="1" applyAlignment="1">
      <alignment horizontal="center" vertical="center"/>
    </xf>
    <xf numFmtId="173" fontId="9" fillId="0" borderId="0" xfId="0" applyNumberFormat="1" applyFont="1" applyFill="1" applyBorder="1" applyAlignment="1">
      <alignment vertical="center"/>
    </xf>
    <xf numFmtId="0" fontId="18" fillId="0" borderId="24" xfId="0" applyFont="1" applyBorder="1"/>
    <xf numFmtId="17" fontId="9" fillId="0" borderId="0" xfId="0" quotePrefix="1" applyNumberFormat="1" applyFont="1" applyBorder="1"/>
    <xf numFmtId="0" fontId="18" fillId="0" borderId="19" xfId="0" applyFont="1" applyBorder="1" applyAlignment="1">
      <alignment horizontal="center"/>
    </xf>
    <xf numFmtId="0" fontId="18" fillId="0" borderId="10" xfId="0" applyFont="1" applyBorder="1"/>
    <xf numFmtId="2" fontId="18" fillId="0" borderId="27" xfId="0" applyNumberFormat="1" applyFont="1" applyBorder="1" applyAlignment="1">
      <alignment horizontal="center"/>
    </xf>
    <xf numFmtId="0" fontId="18" fillId="0" borderId="41" xfId="0" applyFont="1" applyBorder="1" applyAlignment="1">
      <alignment horizontal="center"/>
    </xf>
    <xf numFmtId="2" fontId="18" fillId="0" borderId="60" xfId="0" applyNumberFormat="1" applyFont="1" applyBorder="1" applyAlignment="1">
      <alignment horizontal="center"/>
    </xf>
    <xf numFmtId="0" fontId="18" fillId="0" borderId="28" xfId="0" applyFont="1" applyBorder="1" applyAlignment="1">
      <alignment horizontal="right" vertical="center"/>
    </xf>
    <xf numFmtId="0" fontId="18" fillId="0" borderId="17" xfId="0" applyFont="1" applyBorder="1" applyAlignment="1">
      <alignment horizontal="right" vertical="center"/>
    </xf>
    <xf numFmtId="0" fontId="18" fillId="0" borderId="19" xfId="0" applyFont="1" applyBorder="1" applyAlignment="1">
      <alignment horizontal="right"/>
    </xf>
    <xf numFmtId="174" fontId="18" fillId="0" borderId="19" xfId="0" applyNumberFormat="1" applyFont="1" applyBorder="1" applyAlignment="1">
      <alignment horizontal="right"/>
    </xf>
    <xf numFmtId="2" fontId="18" fillId="0" borderId="21" xfId="0" applyNumberFormat="1" applyFont="1" applyBorder="1" applyAlignment="1">
      <alignment horizontal="right"/>
    </xf>
    <xf numFmtId="2" fontId="18" fillId="0" borderId="22" xfId="0" applyNumberFormat="1" applyFont="1" applyBorder="1" applyAlignment="1">
      <alignment horizontal="right"/>
    </xf>
    <xf numFmtId="0" fontId="8" fillId="8" borderId="0" xfId="0" applyFont="1" applyFill="1"/>
    <xf numFmtId="0" fontId="18" fillId="0" borderId="23" xfId="0" applyFont="1" applyBorder="1"/>
    <xf numFmtId="0" fontId="12" fillId="8" borderId="0" xfId="0" applyFont="1" applyFill="1"/>
    <xf numFmtId="0" fontId="18" fillId="0" borderId="0" xfId="0" applyFont="1" applyAlignment="1">
      <alignment horizontal="left"/>
    </xf>
    <xf numFmtId="0" fontId="18" fillId="0" borderId="61" xfId="0" applyFont="1" applyBorder="1" applyAlignment="1">
      <alignment horizontal="left" vertical="center"/>
    </xf>
    <xf numFmtId="174" fontId="18" fillId="0" borderId="19" xfId="0" applyNumberFormat="1" applyFont="1" applyBorder="1" applyAlignment="1">
      <alignment horizontal="center"/>
    </xf>
    <xf numFmtId="174" fontId="18" fillId="0" borderId="0" xfId="0" applyNumberFormat="1" applyFont="1" applyBorder="1" applyAlignment="1">
      <alignment horizontal="right"/>
    </xf>
    <xf numFmtId="174" fontId="18" fillId="0" borderId="41" xfId="0" applyNumberFormat="1" applyFont="1" applyBorder="1" applyAlignment="1">
      <alignment horizontal="center"/>
    </xf>
    <xf numFmtId="174" fontId="18" fillId="0" borderId="28" xfId="0" applyNumberFormat="1" applyFont="1" applyBorder="1" applyAlignment="1">
      <alignment horizontal="center"/>
    </xf>
    <xf numFmtId="174" fontId="18" fillId="0" borderId="28" xfId="0" applyNumberFormat="1" applyFont="1" applyBorder="1" applyAlignment="1">
      <alignment horizontal="right"/>
    </xf>
    <xf numFmtId="174" fontId="18" fillId="0" borderId="17" xfId="0" applyNumberFormat="1" applyFont="1" applyBorder="1" applyAlignment="1">
      <alignment horizontal="right"/>
    </xf>
    <xf numFmtId="174" fontId="18" fillId="0" borderId="62" xfId="0" applyNumberFormat="1" applyFont="1" applyBorder="1" applyAlignment="1">
      <alignment horizontal="center"/>
    </xf>
    <xf numFmtId="0" fontId="18" fillId="0" borderId="63" xfId="0" applyFont="1" applyBorder="1"/>
    <xf numFmtId="0" fontId="18" fillId="0" borderId="63" xfId="0" applyFont="1" applyBorder="1" applyAlignment="1">
      <alignment horizontal="left"/>
    </xf>
    <xf numFmtId="0" fontId="18" fillId="8" borderId="64" xfId="0" applyFont="1" applyFill="1" applyBorder="1" applyAlignment="1">
      <alignment horizontal="center"/>
    </xf>
    <xf numFmtId="0" fontId="18" fillId="0" borderId="65" xfId="0" applyFont="1" applyBorder="1" applyAlignment="1">
      <alignment horizontal="center"/>
    </xf>
    <xf numFmtId="0" fontId="18" fillId="8" borderId="66" xfId="0" applyFont="1" applyFill="1" applyBorder="1" applyAlignment="1">
      <alignment horizontal="center"/>
    </xf>
    <xf numFmtId="0" fontId="18" fillId="0" borderId="67" xfId="0" applyFont="1" applyBorder="1" applyAlignment="1">
      <alignment horizontal="center"/>
    </xf>
    <xf numFmtId="174" fontId="18" fillId="0" borderId="0" xfId="0" applyNumberFormat="1" applyFont="1" applyBorder="1"/>
    <xf numFmtId="0" fontId="18" fillId="0" borderId="22" xfId="0" applyFont="1" applyBorder="1" applyAlignment="1">
      <alignment horizontal="left" vertical="center"/>
    </xf>
    <xf numFmtId="0" fontId="18" fillId="0" borderId="17" xfId="0" applyFont="1" applyBorder="1" applyAlignment="1">
      <alignment horizontal="right"/>
    </xf>
    <xf numFmtId="0" fontId="18" fillId="0" borderId="16" xfId="0" applyFont="1" applyBorder="1"/>
    <xf numFmtId="173" fontId="9" fillId="0" borderId="0" xfId="0" applyNumberFormat="1" applyFont="1" applyAlignment="1">
      <alignment vertical="center"/>
    </xf>
    <xf numFmtId="0" fontId="18" fillId="0" borderId="22" xfId="0" applyFont="1" applyBorder="1" applyAlignment="1">
      <alignment horizontal="right"/>
    </xf>
    <xf numFmtId="174" fontId="18" fillId="0" borderId="17" xfId="0" applyNumberFormat="1" applyFont="1" applyBorder="1"/>
    <xf numFmtId="0" fontId="18" fillId="0" borderId="16" xfId="0" applyFont="1" applyBorder="1" applyAlignment="1">
      <alignment horizontal="right"/>
    </xf>
    <xf numFmtId="2" fontId="18" fillId="0" borderId="23" xfId="0" applyNumberFormat="1" applyFont="1" applyBorder="1" applyAlignment="1">
      <alignment horizontal="right"/>
    </xf>
    <xf numFmtId="0" fontId="18" fillId="0" borderId="18" xfId="0" applyFont="1" applyBorder="1" applyAlignment="1">
      <alignment horizontal="right"/>
    </xf>
    <xf numFmtId="174" fontId="18" fillId="0" borderId="18" xfId="0" applyNumberFormat="1" applyFont="1" applyBorder="1"/>
    <xf numFmtId="2" fontId="18" fillId="8" borderId="68" xfId="0" applyNumberFormat="1" applyFont="1" applyFill="1" applyBorder="1"/>
    <xf numFmtId="2" fontId="18" fillId="0" borderId="69" xfId="0" applyNumberFormat="1" applyFont="1" applyBorder="1"/>
    <xf numFmtId="2" fontId="18" fillId="8" borderId="18" xfId="0" applyNumberFormat="1" applyFont="1" applyFill="1" applyBorder="1"/>
    <xf numFmtId="2" fontId="18" fillId="0" borderId="19" xfId="0" applyNumberFormat="1" applyFont="1" applyBorder="1"/>
    <xf numFmtId="164" fontId="18" fillId="0" borderId="0" xfId="1" applyFont="1"/>
    <xf numFmtId="0" fontId="0" fillId="0" borderId="27" xfId="0" applyBorder="1"/>
    <xf numFmtId="0" fontId="9" fillId="8" borderId="70" xfId="0" quotePrefix="1" applyNumberFormat="1" applyFont="1" applyFill="1" applyBorder="1" applyAlignment="1">
      <alignment horizontal="center"/>
    </xf>
    <xf numFmtId="0" fontId="9" fillId="8" borderId="71" xfId="0" quotePrefix="1" applyNumberFormat="1" applyFont="1" applyFill="1" applyBorder="1" applyAlignment="1">
      <alignment horizontal="center"/>
    </xf>
    <xf numFmtId="0" fontId="9" fillId="9" borderId="18" xfId="0" applyNumberFormat="1" applyFont="1" applyFill="1" applyBorder="1" applyAlignment="1">
      <alignment horizontal="center"/>
    </xf>
    <xf numFmtId="0" fontId="9" fillId="9" borderId="19" xfId="0" applyNumberFormat="1" applyFont="1" applyFill="1" applyBorder="1" applyAlignment="1">
      <alignment horizontal="center"/>
    </xf>
    <xf numFmtId="0" fontId="9" fillId="8" borderId="70" xfId="0" applyNumberFormat="1" applyFont="1" applyFill="1" applyBorder="1" applyAlignment="1">
      <alignment horizontal="center"/>
    </xf>
    <xf numFmtId="0" fontId="9" fillId="8" borderId="71" xfId="0" applyNumberFormat="1" applyFont="1" applyFill="1" applyBorder="1" applyAlignment="1">
      <alignment horizontal="center"/>
    </xf>
    <xf numFmtId="16" fontId="9" fillId="8" borderId="72" xfId="0" quotePrefix="1" applyNumberFormat="1" applyFont="1" applyFill="1" applyBorder="1" applyAlignment="1">
      <alignment horizontal="center"/>
    </xf>
    <xf numFmtId="16" fontId="9" fillId="8" borderId="73" xfId="0" quotePrefix="1" applyNumberFormat="1" applyFont="1" applyFill="1" applyBorder="1" applyAlignment="1">
      <alignment horizontal="center"/>
    </xf>
    <xf numFmtId="16" fontId="9" fillId="9" borderId="74" xfId="0" quotePrefix="1" applyNumberFormat="1" applyFont="1" applyFill="1" applyBorder="1" applyAlignment="1">
      <alignment horizontal="center"/>
    </xf>
    <xf numFmtId="16" fontId="9" fillId="9" borderId="75" xfId="0" applyNumberFormat="1" applyFont="1" applyFill="1" applyBorder="1" applyAlignment="1">
      <alignment horizontal="center"/>
    </xf>
    <xf numFmtId="16" fontId="9" fillId="8" borderId="52" xfId="0" quotePrefix="1" applyNumberFormat="1" applyFont="1" applyFill="1" applyBorder="1" applyAlignment="1">
      <alignment horizontal="center"/>
    </xf>
    <xf numFmtId="0" fontId="8" fillId="9" borderId="46" xfId="0" applyFont="1" applyFill="1" applyBorder="1" applyAlignment="1">
      <alignment horizontal="center" wrapText="1"/>
    </xf>
    <xf numFmtId="0" fontId="33" fillId="9" borderId="0" xfId="0" applyFont="1" applyFill="1"/>
    <xf numFmtId="0" fontId="9" fillId="9" borderId="0" xfId="0" applyFont="1" applyFill="1"/>
    <xf numFmtId="0" fontId="9" fillId="9" borderId="0" xfId="0" applyFont="1" applyFill="1" applyAlignment="1">
      <alignment horizontal="right"/>
    </xf>
    <xf numFmtId="0" fontId="9" fillId="0" borderId="0" xfId="0" applyFont="1" applyFill="1" applyAlignment="1">
      <alignment horizontal="center"/>
    </xf>
    <xf numFmtId="0" fontId="9" fillId="0" borderId="42" xfId="0" applyFont="1" applyFill="1" applyBorder="1" applyProtection="1"/>
    <xf numFmtId="0" fontId="9" fillId="8" borderId="52" xfId="0" applyNumberFormat="1" applyFont="1" applyFill="1" applyBorder="1" applyAlignment="1">
      <alignment horizontal="center"/>
    </xf>
    <xf numFmtId="0" fontId="9" fillId="8" borderId="47" xfId="0" applyNumberFormat="1" applyFont="1" applyFill="1" applyBorder="1" applyAlignment="1">
      <alignment horizontal="center"/>
    </xf>
    <xf numFmtId="0" fontId="9" fillId="8" borderId="27" xfId="0" applyFont="1" applyFill="1" applyBorder="1" applyAlignment="1">
      <alignment horizontal="center"/>
    </xf>
    <xf numFmtId="0" fontId="9" fillId="8" borderId="20" xfId="0" applyFont="1" applyFill="1" applyBorder="1" applyAlignment="1">
      <alignment horizontal="center"/>
    </xf>
    <xf numFmtId="0" fontId="9" fillId="9" borderId="27" xfId="0" quotePrefix="1" applyFont="1" applyFill="1" applyBorder="1" applyAlignment="1">
      <alignment horizontal="center"/>
    </xf>
    <xf numFmtId="0" fontId="9" fillId="9" borderId="27" xfId="0" applyFont="1" applyFill="1" applyBorder="1" applyAlignment="1">
      <alignment horizontal="center"/>
    </xf>
    <xf numFmtId="0" fontId="9" fillId="9" borderId="20" xfId="0" applyFont="1" applyFill="1" applyBorder="1" applyAlignment="1">
      <alignment horizontal="center"/>
    </xf>
    <xf numFmtId="0" fontId="9" fillId="0" borderId="76" xfId="0" applyFont="1" applyBorder="1" applyAlignment="1">
      <alignment horizontal="right"/>
    </xf>
    <xf numFmtId="0" fontId="8" fillId="8" borderId="10" xfId="0" applyFont="1" applyFill="1" applyBorder="1" applyAlignment="1">
      <alignment horizontal="center"/>
    </xf>
    <xf numFmtId="0" fontId="8" fillId="9" borderId="10" xfId="0" quotePrefix="1" applyFont="1" applyFill="1" applyBorder="1" applyAlignment="1">
      <alignment horizontal="center"/>
    </xf>
    <xf numFmtId="0" fontId="8" fillId="9" borderId="10" xfId="0" applyFont="1" applyFill="1" applyBorder="1" applyAlignment="1">
      <alignment horizontal="center"/>
    </xf>
    <xf numFmtId="0" fontId="8" fillId="8" borderId="10" xfId="0" quotePrefix="1" applyFont="1" applyFill="1" applyBorder="1" applyAlignment="1">
      <alignment horizontal="center"/>
    </xf>
    <xf numFmtId="0" fontId="8" fillId="8" borderId="27" xfId="0" applyFont="1" applyFill="1" applyBorder="1" applyAlignment="1">
      <alignment horizontal="center"/>
    </xf>
    <xf numFmtId="0" fontId="8" fillId="9" borderId="27" xfId="0" applyFont="1" applyFill="1" applyBorder="1" applyAlignment="1">
      <alignment horizontal="center"/>
    </xf>
    <xf numFmtId="0" fontId="8" fillId="9" borderId="10" xfId="0" applyFont="1" applyFill="1" applyBorder="1" applyAlignment="1">
      <alignment horizontal="right"/>
    </xf>
    <xf numFmtId="0" fontId="8" fillId="0" borderId="76" xfId="0" applyFont="1" applyFill="1" applyBorder="1" applyAlignment="1" applyProtection="1">
      <alignment horizontal="right"/>
    </xf>
    <xf numFmtId="0" fontId="8" fillId="9" borderId="77" xfId="0" applyFont="1" applyFill="1" applyBorder="1" applyAlignment="1">
      <alignment horizontal="center"/>
    </xf>
    <xf numFmtId="0" fontId="8" fillId="8" borderId="78" xfId="0" quotePrefix="1" applyFont="1" applyFill="1" applyBorder="1" applyAlignment="1">
      <alignment horizontal="center"/>
    </xf>
    <xf numFmtId="0" fontId="8" fillId="9" borderId="79" xfId="0" quotePrefix="1" applyFont="1" applyFill="1" applyBorder="1" applyAlignment="1">
      <alignment horizontal="center"/>
    </xf>
    <xf numFmtId="0" fontId="8" fillId="9" borderId="80" xfId="0" applyFont="1" applyFill="1" applyBorder="1" applyAlignment="1">
      <alignment horizontal="center"/>
    </xf>
    <xf numFmtId="0" fontId="8" fillId="9" borderId="81" xfId="0" applyFont="1" applyFill="1" applyBorder="1" applyAlignment="1">
      <alignment horizontal="center"/>
    </xf>
    <xf numFmtId="0" fontId="9" fillId="9" borderId="27" xfId="0" applyFont="1" applyFill="1" applyBorder="1" applyAlignment="1" applyProtection="1">
      <alignment horizontal="center"/>
    </xf>
    <xf numFmtId="0" fontId="28" fillId="8" borderId="27" xfId="0" applyFont="1" applyFill="1" applyBorder="1" applyAlignment="1">
      <alignment horizontal="center"/>
    </xf>
    <xf numFmtId="16" fontId="9" fillId="8" borderId="27" xfId="0" quotePrefix="1" applyNumberFormat="1" applyFont="1" applyFill="1" applyBorder="1" applyAlignment="1">
      <alignment horizontal="center"/>
    </xf>
    <xf numFmtId="0" fontId="9" fillId="9" borderId="27" xfId="0" applyFont="1" applyFill="1" applyBorder="1"/>
    <xf numFmtId="0" fontId="8" fillId="9" borderId="77" xfId="0" applyFont="1" applyFill="1" applyBorder="1" applyAlignment="1" applyProtection="1">
      <alignment horizontal="right"/>
    </xf>
    <xf numFmtId="0" fontId="9" fillId="9" borderId="23" xfId="0" applyFont="1" applyFill="1" applyBorder="1" applyAlignment="1" applyProtection="1">
      <alignment horizontal="center"/>
    </xf>
    <xf numFmtId="0" fontId="9" fillId="9" borderId="23" xfId="0" applyFont="1" applyFill="1" applyBorder="1" applyAlignment="1">
      <alignment horizontal="center"/>
    </xf>
    <xf numFmtId="0" fontId="9" fillId="0" borderId="82" xfId="0" applyFont="1" applyFill="1" applyBorder="1" applyProtection="1"/>
    <xf numFmtId="0" fontId="9" fillId="0" borderId="83" xfId="0" applyFont="1" applyBorder="1"/>
    <xf numFmtId="0" fontId="9" fillId="0" borderId="84" xfId="0" applyFont="1" applyBorder="1"/>
    <xf numFmtId="0" fontId="9" fillId="0" borderId="84" xfId="0" applyFont="1" applyFill="1" applyBorder="1"/>
    <xf numFmtId="0" fontId="9" fillId="0" borderId="85" xfId="0" applyFont="1" applyFill="1" applyBorder="1"/>
    <xf numFmtId="0" fontId="9" fillId="9" borderId="16" xfId="0" applyFont="1" applyFill="1" applyBorder="1" applyAlignment="1" applyProtection="1">
      <alignment horizontal="center"/>
    </xf>
    <xf numFmtId="0" fontId="9" fillId="11" borderId="86" xfId="0" applyFont="1" applyFill="1" applyBorder="1"/>
    <xf numFmtId="0" fontId="9" fillId="11" borderId="87" xfId="0" applyFont="1" applyFill="1" applyBorder="1"/>
    <xf numFmtId="0" fontId="9" fillId="11" borderId="87" xfId="0" applyFont="1" applyFill="1" applyBorder="1" applyAlignment="1">
      <alignment horizontal="center"/>
    </xf>
    <xf numFmtId="0" fontId="9" fillId="2" borderId="40" xfId="0" applyFont="1" applyFill="1" applyBorder="1"/>
    <xf numFmtId="0" fontId="9" fillId="2" borderId="88" xfId="0" applyFont="1" applyFill="1" applyBorder="1"/>
    <xf numFmtId="0" fontId="8" fillId="2" borderId="24" xfId="0" applyFont="1" applyFill="1" applyBorder="1" applyAlignment="1">
      <alignment horizontal="right"/>
    </xf>
    <xf numFmtId="0" fontId="9" fillId="2" borderId="22" xfId="0" applyFont="1" applyFill="1" applyBorder="1" applyProtection="1"/>
    <xf numFmtId="0" fontId="9" fillId="2" borderId="61" xfId="0" applyFont="1" applyFill="1" applyBorder="1" applyProtection="1"/>
    <xf numFmtId="0" fontId="9" fillId="2" borderId="22" xfId="0" applyFont="1" applyFill="1" applyBorder="1"/>
    <xf numFmtId="0" fontId="9" fillId="2" borderId="61" xfId="0" applyFont="1" applyFill="1" applyBorder="1"/>
    <xf numFmtId="0" fontId="9" fillId="2" borderId="15" xfId="0" applyFont="1" applyFill="1" applyBorder="1" applyProtection="1"/>
    <xf numFmtId="0" fontId="9" fillId="2" borderId="89" xfId="0" applyFont="1" applyFill="1" applyBorder="1" applyProtection="1"/>
    <xf numFmtId="0" fontId="9" fillId="0" borderId="60" xfId="0" applyFont="1" applyBorder="1"/>
    <xf numFmtId="0" fontId="9" fillId="0" borderId="52" xfId="0" applyFont="1" applyBorder="1"/>
    <xf numFmtId="0" fontId="9" fillId="9" borderId="90" xfId="0" applyFont="1" applyFill="1" applyBorder="1" applyAlignment="1" applyProtection="1">
      <alignment horizontal="center"/>
    </xf>
    <xf numFmtId="0" fontId="28" fillId="8" borderId="90" xfId="0" applyFont="1" applyFill="1" applyBorder="1" applyAlignment="1">
      <alignment horizontal="center"/>
    </xf>
    <xf numFmtId="0" fontId="9" fillId="8" borderId="90" xfId="0" applyFont="1" applyFill="1" applyBorder="1" applyAlignment="1">
      <alignment horizontal="center"/>
    </xf>
    <xf numFmtId="0" fontId="9" fillId="9" borderId="90" xfId="0" applyFont="1" applyFill="1" applyBorder="1" applyAlignment="1">
      <alignment horizontal="center"/>
    </xf>
    <xf numFmtId="0" fontId="9" fillId="2" borderId="21" xfId="0" applyFont="1" applyFill="1" applyBorder="1" applyProtection="1"/>
    <xf numFmtId="0" fontId="9" fillId="2" borderId="23" xfId="0" applyFont="1" applyFill="1" applyBorder="1" applyProtection="1"/>
    <xf numFmtId="0" fontId="9" fillId="2" borderId="91" xfId="0" applyFont="1" applyFill="1" applyBorder="1" applyProtection="1"/>
    <xf numFmtId="0" fontId="9" fillId="2" borderId="50" xfId="0" applyFont="1" applyFill="1" applyBorder="1" applyProtection="1"/>
    <xf numFmtId="0" fontId="8" fillId="8" borderId="78" xfId="0" applyFont="1" applyFill="1" applyBorder="1" applyAlignment="1" applyProtection="1">
      <alignment horizontal="center"/>
    </xf>
    <xf numFmtId="0" fontId="9" fillId="8" borderId="27" xfId="0" applyFont="1" applyFill="1" applyBorder="1" applyAlignment="1" applyProtection="1">
      <alignment horizontal="center"/>
    </xf>
    <xf numFmtId="0" fontId="9" fillId="8" borderId="20" xfId="0" applyFont="1" applyFill="1" applyBorder="1" applyAlignment="1" applyProtection="1">
      <alignment horizontal="center"/>
    </xf>
    <xf numFmtId="17" fontId="8" fillId="9" borderId="80" xfId="0" quotePrefix="1" applyNumberFormat="1" applyFont="1" applyFill="1" applyBorder="1" applyAlignment="1">
      <alignment horizontal="center"/>
    </xf>
    <xf numFmtId="0" fontId="28" fillId="9" borderId="27" xfId="0" applyFont="1" applyFill="1" applyBorder="1" applyAlignment="1">
      <alignment horizontal="center"/>
    </xf>
    <xf numFmtId="16" fontId="28" fillId="9" borderId="27" xfId="0" quotePrefix="1" applyNumberFormat="1" applyFont="1" applyFill="1" applyBorder="1" applyAlignment="1">
      <alignment horizontal="center"/>
    </xf>
    <xf numFmtId="0" fontId="8" fillId="9" borderId="80" xfId="0" quotePrefix="1" applyFont="1" applyFill="1" applyBorder="1" applyAlignment="1">
      <alignment horizontal="center"/>
    </xf>
    <xf numFmtId="16" fontId="9" fillId="9" borderId="27" xfId="0" quotePrefix="1" applyNumberFormat="1" applyFont="1" applyFill="1" applyBorder="1" applyAlignment="1">
      <alignment horizontal="center"/>
    </xf>
    <xf numFmtId="0" fontId="8" fillId="8" borderId="78" xfId="0" applyFont="1" applyFill="1" applyBorder="1" applyAlignment="1">
      <alignment horizontal="center"/>
    </xf>
    <xf numFmtId="0" fontId="9" fillId="8" borderId="27" xfId="0" applyFont="1" applyFill="1" applyBorder="1"/>
    <xf numFmtId="0" fontId="8" fillId="8" borderId="10" xfId="0" applyFont="1" applyFill="1" applyBorder="1" applyAlignment="1">
      <alignment horizontal="right"/>
    </xf>
    <xf numFmtId="0" fontId="9" fillId="8" borderId="90" xfId="0" applyFont="1" applyFill="1" applyBorder="1" applyAlignment="1" applyProtection="1">
      <alignment horizontal="center"/>
    </xf>
    <xf numFmtId="17" fontId="8" fillId="9" borderId="10" xfId="0" quotePrefix="1" applyNumberFormat="1" applyFont="1" applyFill="1" applyBorder="1" applyAlignment="1">
      <alignment horizontal="center"/>
    </xf>
    <xf numFmtId="0" fontId="28" fillId="9" borderId="90" xfId="0" applyFont="1" applyFill="1" applyBorder="1" applyAlignment="1">
      <alignment horizontal="center"/>
    </xf>
    <xf numFmtId="0" fontId="8" fillId="9" borderId="48" xfId="0" applyFont="1" applyFill="1" applyBorder="1" applyAlignment="1">
      <alignment horizontal="center"/>
    </xf>
    <xf numFmtId="0" fontId="8" fillId="8" borderId="81" xfId="0" applyFont="1" applyFill="1" applyBorder="1" applyAlignment="1">
      <alignment horizontal="center"/>
    </xf>
    <xf numFmtId="16" fontId="8" fillId="9" borderId="81" xfId="0" applyNumberFormat="1" applyFont="1" applyFill="1" applyBorder="1" applyAlignment="1">
      <alignment horizontal="center"/>
    </xf>
    <xf numFmtId="16" fontId="8" fillId="9" borderId="81" xfId="0" quotePrefix="1" applyNumberFormat="1" applyFont="1" applyFill="1" applyBorder="1" applyAlignment="1">
      <alignment horizontal="center"/>
    </xf>
    <xf numFmtId="16" fontId="8" fillId="8" borderId="81" xfId="0" applyNumberFormat="1" applyFont="1" applyFill="1" applyBorder="1" applyAlignment="1">
      <alignment horizontal="center"/>
    </xf>
    <xf numFmtId="0" fontId="8" fillId="9" borderId="27" xfId="0" applyFont="1" applyFill="1" applyBorder="1" applyAlignment="1" applyProtection="1">
      <alignment horizontal="center" vertical="center" wrapText="1"/>
    </xf>
    <xf numFmtId="0" fontId="8" fillId="8" borderId="27" xfId="0" applyFont="1" applyFill="1" applyBorder="1" applyAlignment="1" applyProtection="1">
      <alignment horizontal="center" vertical="center" wrapText="1"/>
    </xf>
    <xf numFmtId="0" fontId="8" fillId="8" borderId="82" xfId="0" applyFont="1" applyFill="1" applyBorder="1" applyAlignment="1">
      <alignment horizontal="center"/>
    </xf>
    <xf numFmtId="0" fontId="9" fillId="9" borderId="27" xfId="0" applyFont="1" applyFill="1" applyBorder="1" applyAlignment="1">
      <alignment horizontal="center" vertical="center"/>
    </xf>
    <xf numFmtId="0" fontId="28" fillId="9" borderId="27" xfId="0" applyFont="1" applyFill="1" applyBorder="1" applyAlignment="1">
      <alignment horizontal="center" vertical="center"/>
    </xf>
    <xf numFmtId="0" fontId="9" fillId="9" borderId="27" xfId="0" quotePrefix="1" applyNumberFormat="1" applyFont="1" applyFill="1" applyBorder="1" applyAlignment="1">
      <alignment horizontal="center"/>
    </xf>
    <xf numFmtId="0" fontId="9" fillId="8" borderId="27" xfId="0" quotePrefix="1" applyNumberFormat="1" applyFont="1" applyFill="1" applyBorder="1" applyAlignment="1">
      <alignment horizontal="center"/>
    </xf>
    <xf numFmtId="0" fontId="9" fillId="8" borderId="27" xfId="0" applyNumberFormat="1" applyFont="1" applyFill="1" applyBorder="1" applyAlignment="1">
      <alignment horizontal="center"/>
    </xf>
    <xf numFmtId="0" fontId="28" fillId="8" borderId="27" xfId="0" applyNumberFormat="1" applyFont="1" applyFill="1" applyBorder="1" applyAlignment="1">
      <alignment horizontal="center"/>
    </xf>
    <xf numFmtId="0" fontId="9" fillId="0" borderId="24" xfId="0" applyFont="1" applyBorder="1" applyProtection="1"/>
    <xf numFmtId="0" fontId="9" fillId="0" borderId="38" xfId="0" applyFont="1" applyBorder="1" applyProtection="1"/>
    <xf numFmtId="165" fontId="9" fillId="3" borderId="53" xfId="0" applyNumberFormat="1" applyFont="1" applyFill="1" applyBorder="1" applyProtection="1"/>
    <xf numFmtId="0" fontId="9" fillId="0" borderId="54" xfId="0" applyFont="1" applyBorder="1" applyProtection="1"/>
    <xf numFmtId="0" fontId="18" fillId="0" borderId="0" xfId="0" applyFont="1" applyFill="1" applyAlignment="1">
      <alignment horizontal="left"/>
    </xf>
    <xf numFmtId="0" fontId="0" fillId="0" borderId="28" xfId="0" applyBorder="1"/>
    <xf numFmtId="0" fontId="18" fillId="0" borderId="20" xfId="0" applyFont="1" applyBorder="1" applyAlignment="1">
      <alignment horizontal="lef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18" fillId="0" borderId="21" xfId="0" applyFont="1" applyBorder="1" applyAlignment="1">
      <alignment horizontal="left" vertical="center"/>
    </xf>
    <xf numFmtId="0" fontId="18" fillId="0" borderId="20" xfId="0" applyFont="1" applyBorder="1" applyAlignment="1">
      <alignment horizontal="center" vertical="center"/>
    </xf>
    <xf numFmtId="0" fontId="18" fillId="0" borderId="92" xfId="0" applyFont="1" applyBorder="1" applyAlignment="1">
      <alignment horizontal="center" vertical="center"/>
    </xf>
    <xf numFmtId="0" fontId="18" fillId="0" borderId="93" xfId="0" applyFont="1" applyBorder="1" applyAlignment="1">
      <alignment horizontal="center" vertical="center"/>
    </xf>
    <xf numFmtId="0" fontId="18" fillId="0" borderId="9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61" xfId="0" applyFont="1" applyBorder="1" applyAlignment="1">
      <alignment horizontal="center" vertical="center"/>
    </xf>
    <xf numFmtId="2" fontId="18" fillId="0" borderId="0" xfId="0" applyNumberFormat="1" applyFont="1" applyBorder="1" applyAlignment="1">
      <alignment horizontal="center"/>
    </xf>
    <xf numFmtId="2" fontId="18" fillId="0" borderId="0" xfId="0" applyNumberFormat="1" applyFont="1" applyBorder="1" applyAlignment="1">
      <alignment horizontal="right"/>
    </xf>
    <xf numFmtId="0" fontId="0" fillId="0" borderId="10" xfId="0" applyFill="1" applyBorder="1"/>
    <xf numFmtId="0" fontId="0" fillId="0" borderId="9" xfId="0" applyFill="1" applyBorder="1"/>
    <xf numFmtId="0" fontId="9" fillId="0" borderId="38" xfId="0" applyFont="1" applyBorder="1" applyAlignment="1" applyProtection="1">
      <alignment horizontal="center"/>
    </xf>
    <xf numFmtId="0" fontId="9" fillId="0" borderId="0" xfId="0" applyFont="1" applyBorder="1" applyAlignment="1">
      <alignment wrapText="1"/>
    </xf>
    <xf numFmtId="0" fontId="9" fillId="0" borderId="0" xfId="0" applyFont="1" applyBorder="1" applyAlignment="1">
      <alignment horizontal="right" wrapText="1"/>
    </xf>
    <xf numFmtId="168" fontId="8" fillId="0" borderId="0" xfId="0" applyNumberFormat="1" applyFont="1" applyBorder="1" applyAlignment="1">
      <alignment horizontal="center" vertical="center" wrapText="1"/>
    </xf>
    <xf numFmtId="0" fontId="0" fillId="0" borderId="9" xfId="0" applyBorder="1" applyAlignment="1">
      <alignment horizontal="right"/>
    </xf>
    <xf numFmtId="0" fontId="0" fillId="0" borderId="15" xfId="0" applyBorder="1"/>
    <xf numFmtId="168" fontId="0" fillId="0" borderId="9" xfId="0" applyNumberFormat="1" applyBorder="1"/>
    <xf numFmtId="0" fontId="8" fillId="8" borderId="28" xfId="0" quotePrefix="1" applyFont="1" applyFill="1" applyBorder="1" applyAlignment="1">
      <alignment horizontal="center"/>
    </xf>
    <xf numFmtId="0" fontId="8" fillId="8" borderId="21" xfId="0" applyFont="1" applyFill="1" applyBorder="1" applyAlignment="1">
      <alignment horizontal="center"/>
    </xf>
    <xf numFmtId="0" fontId="9" fillId="8" borderId="21" xfId="0" applyFont="1" applyFill="1" applyBorder="1" applyAlignment="1">
      <alignment horizontal="center"/>
    </xf>
    <xf numFmtId="0" fontId="28" fillId="8" borderId="21" xfId="0" applyFont="1" applyFill="1" applyBorder="1" applyAlignment="1">
      <alignment horizontal="center"/>
    </xf>
    <xf numFmtId="0" fontId="9" fillId="8" borderId="91" xfId="0" applyFont="1" applyFill="1" applyBorder="1" applyAlignment="1">
      <alignment horizontal="center"/>
    </xf>
    <xf numFmtId="16" fontId="8" fillId="8" borderId="48" xfId="0" applyNumberFormat="1" applyFont="1" applyFill="1" applyBorder="1" applyAlignment="1">
      <alignment horizontal="center"/>
    </xf>
    <xf numFmtId="0" fontId="9" fillId="8" borderId="95" xfId="0" applyFont="1" applyFill="1" applyBorder="1" applyAlignment="1">
      <alignment horizontal="center"/>
    </xf>
    <xf numFmtId="0" fontId="9" fillId="8" borderId="96" xfId="0" applyFont="1" applyFill="1" applyBorder="1" applyAlignment="1">
      <alignment horizontal="center"/>
    </xf>
    <xf numFmtId="0" fontId="9" fillId="8" borderId="97" xfId="0" applyFont="1" applyFill="1" applyBorder="1"/>
    <xf numFmtId="0" fontId="9" fillId="9" borderId="98" xfId="0" applyFont="1" applyFill="1" applyBorder="1"/>
    <xf numFmtId="0" fontId="9" fillId="9" borderId="9" xfId="0" applyFont="1" applyFill="1" applyBorder="1" applyAlignment="1">
      <alignment horizontal="center"/>
    </xf>
    <xf numFmtId="0" fontId="9" fillId="9" borderId="99" xfId="0" applyFont="1" applyFill="1" applyBorder="1" applyAlignment="1">
      <alignment horizontal="center"/>
    </xf>
    <xf numFmtId="0" fontId="9" fillId="9" borderId="44" xfId="0" applyFont="1" applyFill="1" applyBorder="1"/>
    <xf numFmtId="0" fontId="9" fillId="9" borderId="20" xfId="0" applyFont="1" applyFill="1" applyBorder="1"/>
    <xf numFmtId="0" fontId="9" fillId="9" borderId="9" xfId="0" applyFont="1" applyFill="1" applyBorder="1"/>
    <xf numFmtId="0" fontId="9" fillId="9" borderId="99" xfId="0" applyFont="1" applyFill="1" applyBorder="1"/>
    <xf numFmtId="0" fontId="9" fillId="8" borderId="78" xfId="0" applyFont="1" applyFill="1" applyBorder="1"/>
    <xf numFmtId="0" fontId="9" fillId="8" borderId="89" xfId="0" applyFont="1" applyFill="1" applyBorder="1"/>
    <xf numFmtId="0" fontId="9" fillId="8" borderId="95" xfId="0" applyFont="1" applyFill="1" applyBorder="1"/>
    <xf numFmtId="0" fontId="9" fillId="8" borderId="96" xfId="0" applyFont="1" applyFill="1" applyBorder="1"/>
    <xf numFmtId="0" fontId="36" fillId="11" borderId="87" xfId="0" applyFont="1" applyFill="1" applyBorder="1"/>
    <xf numFmtId="0" fontId="36" fillId="11" borderId="100" xfId="0" applyFont="1" applyFill="1" applyBorder="1"/>
    <xf numFmtId="0" fontId="28" fillId="9" borderId="9" xfId="0" applyFont="1" applyFill="1" applyBorder="1"/>
    <xf numFmtId="17" fontId="9" fillId="0" borderId="0" xfId="0" quotePrefix="1" applyNumberFormat="1" applyFont="1" applyFill="1" applyBorder="1"/>
    <xf numFmtId="0" fontId="0" fillId="0" borderId="17" xfId="0" applyBorder="1"/>
    <xf numFmtId="167" fontId="9" fillId="0" borderId="27" xfId="0" applyNumberFormat="1" applyFont="1" applyBorder="1" applyAlignment="1">
      <alignment horizontal="center"/>
    </xf>
    <xf numFmtId="0" fontId="18" fillId="0" borderId="101" xfId="0" applyFont="1" applyBorder="1"/>
    <xf numFmtId="0" fontId="9" fillId="0" borderId="0" xfId="0" applyFont="1" applyBorder="1" applyAlignment="1">
      <alignment horizontal="right" vertical="center"/>
    </xf>
    <xf numFmtId="1"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3" fontId="9" fillId="0" borderId="0" xfId="0" applyNumberFormat="1" applyFont="1" applyBorder="1"/>
    <xf numFmtId="174" fontId="9" fillId="0" borderId="0" xfId="0" applyNumberFormat="1" applyFont="1"/>
    <xf numFmtId="0" fontId="9" fillId="0" borderId="0" xfId="0" applyFont="1" applyAlignment="1">
      <alignment wrapText="1"/>
    </xf>
    <xf numFmtId="0" fontId="9" fillId="0" borderId="0" xfId="0" applyFont="1" applyBorder="1" applyAlignment="1"/>
    <xf numFmtId="0" fontId="9" fillId="0" borderId="19" xfId="0" applyFont="1" applyBorder="1" applyAlignment="1">
      <alignment horizontal="right" wrapText="1"/>
    </xf>
    <xf numFmtId="180" fontId="0" fillId="0" borderId="0" xfId="1" applyNumberFormat="1" applyFont="1"/>
    <xf numFmtId="0" fontId="9" fillId="4" borderId="0" xfId="0" applyFont="1" applyFill="1" applyAlignment="1">
      <alignment vertical="center"/>
    </xf>
    <xf numFmtId="168" fontId="9" fillId="4" borderId="9" xfId="0" applyNumberFormat="1" applyFont="1" applyFill="1" applyBorder="1" applyAlignment="1">
      <alignment horizontal="center" vertical="center"/>
    </xf>
    <xf numFmtId="173" fontId="9" fillId="4" borderId="9" xfId="0" applyNumberFormat="1" applyFont="1" applyFill="1" applyBorder="1" applyAlignment="1">
      <alignment vertical="center"/>
    </xf>
    <xf numFmtId="180" fontId="0" fillId="4" borderId="0" xfId="1" applyNumberFormat="1" applyFont="1" applyFill="1"/>
    <xf numFmtId="168" fontId="9" fillId="4" borderId="0" xfId="0" applyNumberFormat="1" applyFont="1" applyFill="1" applyAlignment="1">
      <alignment vertical="center"/>
    </xf>
    <xf numFmtId="168" fontId="9" fillId="0" borderId="9" xfId="0" applyNumberFormat="1" applyFont="1" applyFill="1" applyBorder="1" applyAlignment="1">
      <alignment horizontal="center" vertical="center"/>
    </xf>
    <xf numFmtId="180" fontId="0" fillId="0" borderId="0" xfId="1" applyNumberFormat="1" applyFont="1" applyFill="1"/>
    <xf numFmtId="168" fontId="9" fillId="0" borderId="0" xfId="0" applyNumberFormat="1" applyFont="1" applyFill="1" applyAlignment="1">
      <alignment vertical="center"/>
    </xf>
    <xf numFmtId="173" fontId="9" fillId="4" borderId="0" xfId="0" applyNumberFormat="1" applyFont="1" applyFill="1" applyBorder="1" applyAlignment="1">
      <alignment vertical="center"/>
    </xf>
    <xf numFmtId="176" fontId="9" fillId="0" borderId="0" xfId="0" applyNumberFormat="1" applyFont="1" applyAlignment="1">
      <alignment vertical="center"/>
    </xf>
    <xf numFmtId="0" fontId="0" fillId="5" borderId="102" xfId="0" applyFill="1" applyBorder="1"/>
    <xf numFmtId="0" fontId="0" fillId="0" borderId="103" xfId="0" applyBorder="1"/>
    <xf numFmtId="0" fontId="8" fillId="0" borderId="103" xfId="0" applyFont="1" applyBorder="1"/>
    <xf numFmtId="16" fontId="8" fillId="0" borderId="103" xfId="0" quotePrefix="1" applyNumberFormat="1" applyFont="1" applyBorder="1"/>
    <xf numFmtId="0" fontId="8" fillId="0" borderId="103" xfId="0" quotePrefix="1" applyFont="1" applyBorder="1"/>
    <xf numFmtId="17" fontId="8" fillId="0" borderId="103" xfId="0" applyNumberFormat="1" applyFont="1" applyBorder="1" applyAlignment="1">
      <alignment horizontal="right" vertical="center" wrapText="1"/>
    </xf>
    <xf numFmtId="0" fontId="8" fillId="0" borderId="103" xfId="0" quotePrefix="1" applyFont="1" applyBorder="1" applyAlignment="1">
      <alignment vertical="center"/>
    </xf>
    <xf numFmtId="0" fontId="0" fillId="0" borderId="104" xfId="0" applyBorder="1"/>
    <xf numFmtId="0" fontId="0" fillId="0" borderId="101" xfId="0" applyBorder="1"/>
    <xf numFmtId="0" fontId="0" fillId="0" borderId="105" xfId="0" applyBorder="1"/>
    <xf numFmtId="0" fontId="8" fillId="0" borderId="101" xfId="0" applyFont="1" applyBorder="1" applyAlignment="1">
      <alignment vertical="center"/>
    </xf>
    <xf numFmtId="0" fontId="8" fillId="0" borderId="101" xfId="0" applyFont="1" applyBorder="1" applyAlignment="1">
      <alignment horizontal="left" vertical="center" indent="1"/>
    </xf>
    <xf numFmtId="0" fontId="8" fillId="0" borderId="101" xfId="0" applyFont="1" applyBorder="1" applyAlignment="1">
      <alignment horizontal="left" vertical="center" wrapText="1" indent="1"/>
    </xf>
    <xf numFmtId="168" fontId="9" fillId="0" borderId="105" xfId="0" applyNumberFormat="1" applyFont="1" applyFill="1" applyBorder="1" applyAlignment="1">
      <alignment vertical="center"/>
    </xf>
    <xf numFmtId="0" fontId="0" fillId="0" borderId="106" xfId="0" applyBorder="1"/>
    <xf numFmtId="0" fontId="0" fillId="0" borderId="107" xfId="0" applyBorder="1"/>
    <xf numFmtId="0" fontId="0" fillId="0" borderId="108" xfId="0" applyBorder="1"/>
    <xf numFmtId="168" fontId="9" fillId="0" borderId="0" xfId="3" applyNumberFormat="1" applyFont="1" applyBorder="1" applyAlignment="1">
      <alignment vertical="center"/>
    </xf>
    <xf numFmtId="0" fontId="9" fillId="0" borderId="0" xfId="3" applyFont="1" applyBorder="1" applyAlignment="1">
      <alignment vertical="center"/>
    </xf>
    <xf numFmtId="165" fontId="9" fillId="0" borderId="6" xfId="6" applyNumberFormat="1" applyFont="1" applyBorder="1" applyProtection="1"/>
    <xf numFmtId="168" fontId="9" fillId="0" borderId="9" xfId="3" applyNumberFormat="1" applyFont="1" applyBorder="1" applyAlignment="1">
      <alignment vertical="center"/>
    </xf>
    <xf numFmtId="0" fontId="9" fillId="0" borderId="18" xfId="3" applyFont="1" applyBorder="1" applyAlignment="1">
      <alignment vertical="center"/>
    </xf>
    <xf numFmtId="165" fontId="22" fillId="0" borderId="6" xfId="6" applyNumberFormat="1" applyFont="1" applyBorder="1" applyProtection="1"/>
    <xf numFmtId="167" fontId="8" fillId="0" borderId="9" xfId="3" applyNumberFormat="1" applyFont="1" applyBorder="1" applyAlignment="1">
      <alignment horizontal="center" vertical="center"/>
    </xf>
    <xf numFmtId="168" fontId="9" fillId="0" borderId="9" xfId="3" applyNumberFormat="1" applyFont="1" applyBorder="1" applyAlignment="1">
      <alignment horizontal="center" vertical="center"/>
    </xf>
    <xf numFmtId="0" fontId="8" fillId="0" borderId="0"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8" xfId="3" applyFont="1" applyBorder="1" applyAlignment="1">
      <alignment horizontal="center" vertical="center" wrapText="1"/>
    </xf>
    <xf numFmtId="168" fontId="9" fillId="0" borderId="18" xfId="3" applyNumberFormat="1" applyFont="1" applyBorder="1" applyAlignment="1">
      <alignment vertical="center"/>
    </xf>
    <xf numFmtId="165" fontId="22" fillId="0" borderId="2" xfId="6" applyNumberFormat="1" applyFont="1" applyBorder="1" applyProtection="1"/>
    <xf numFmtId="165" fontId="22" fillId="0" borderId="0" xfId="6" applyNumberFormat="1" applyFont="1" applyBorder="1" applyProtection="1"/>
    <xf numFmtId="165" fontId="22" fillId="0" borderId="7" xfId="6" applyNumberFormat="1" applyFont="1" applyBorder="1" applyProtection="1"/>
    <xf numFmtId="1" fontId="9" fillId="0" borderId="0" xfId="0" applyNumberFormat="1" applyFont="1" applyBorder="1" applyAlignment="1">
      <alignment wrapText="1"/>
    </xf>
    <xf numFmtId="1" fontId="9" fillId="0" borderId="0" xfId="0" applyNumberFormat="1" applyFont="1"/>
    <xf numFmtId="1" fontId="8" fillId="12" borderId="9" xfId="0" applyNumberFormat="1" applyFont="1" applyFill="1" applyBorder="1" applyAlignment="1">
      <alignment horizontal="center" vertical="center"/>
    </xf>
    <xf numFmtId="168" fontId="9" fillId="12" borderId="9" xfId="0" applyNumberFormat="1" applyFont="1" applyFill="1" applyBorder="1" applyAlignment="1">
      <alignment horizontal="center" vertical="center"/>
    </xf>
    <xf numFmtId="168" fontId="9" fillId="12" borderId="0" xfId="3" applyNumberFormat="1" applyFont="1" applyFill="1" applyBorder="1" applyAlignment="1">
      <alignment vertical="center"/>
    </xf>
    <xf numFmtId="0" fontId="9" fillId="12" borderId="0" xfId="3" applyFont="1" applyFill="1" applyBorder="1" applyAlignment="1">
      <alignment horizontal="center" vertical="center" wrapText="1"/>
    </xf>
    <xf numFmtId="165" fontId="9" fillId="12" borderId="6" xfId="6" applyNumberFormat="1" applyFont="1" applyFill="1" applyBorder="1" applyProtection="1"/>
    <xf numFmtId="168" fontId="9" fillId="12" borderId="9" xfId="3" applyNumberFormat="1" applyFont="1" applyFill="1" applyBorder="1" applyAlignment="1">
      <alignment vertical="center"/>
    </xf>
    <xf numFmtId="0" fontId="9" fillId="12" borderId="18" xfId="3" applyFont="1" applyFill="1" applyBorder="1" applyAlignment="1">
      <alignment horizontal="center" vertical="center" wrapText="1"/>
    </xf>
    <xf numFmtId="0" fontId="9" fillId="12" borderId="0" xfId="0" applyFont="1" applyFill="1" applyAlignment="1">
      <alignment vertical="center"/>
    </xf>
    <xf numFmtId="0" fontId="9" fillId="12" borderId="0" xfId="0" applyFont="1" applyFill="1" applyAlignment="1">
      <alignment wrapText="1"/>
    </xf>
    <xf numFmtId="0" fontId="9" fillId="12" borderId="0" xfId="0" applyFont="1" applyFill="1" applyBorder="1" applyAlignment="1">
      <alignment wrapText="1"/>
    </xf>
    <xf numFmtId="1" fontId="9" fillId="12" borderId="0" xfId="0" applyNumberFormat="1" applyFont="1" applyFill="1" applyBorder="1" applyAlignment="1">
      <alignment wrapText="1"/>
    </xf>
    <xf numFmtId="1" fontId="9" fillId="12" borderId="0" xfId="0" applyNumberFormat="1" applyFont="1" applyFill="1"/>
    <xf numFmtId="0" fontId="9" fillId="12" borderId="0" xfId="0" applyFont="1" applyFill="1"/>
    <xf numFmtId="0" fontId="9" fillId="12" borderId="0" xfId="0" applyFont="1" applyFill="1" applyAlignment="1">
      <alignment horizontal="center"/>
    </xf>
    <xf numFmtId="1" fontId="9" fillId="0" borderId="0" xfId="0" applyNumberFormat="1" applyFont="1" applyAlignment="1">
      <alignment vertical="center"/>
    </xf>
    <xf numFmtId="168" fontId="28" fillId="0" borderId="0" xfId="0" applyNumberFormat="1" applyFont="1" applyAlignment="1">
      <alignment vertical="center"/>
    </xf>
    <xf numFmtId="1" fontId="9" fillId="4" borderId="0" xfId="0" applyNumberFormat="1" applyFont="1" applyFill="1" applyBorder="1" applyAlignment="1">
      <alignment wrapText="1"/>
    </xf>
    <xf numFmtId="1" fontId="9" fillId="4" borderId="0" xfId="0" applyNumberFormat="1" applyFont="1" applyFill="1"/>
    <xf numFmtId="1" fontId="9" fillId="4" borderId="0" xfId="0" applyNumberFormat="1" applyFont="1" applyFill="1" applyAlignment="1">
      <alignment vertical="center"/>
    </xf>
    <xf numFmtId="176" fontId="9" fillId="4" borderId="0" xfId="0" applyNumberFormat="1" applyFont="1" applyFill="1" applyAlignment="1">
      <alignment vertical="center"/>
    </xf>
    <xf numFmtId="168" fontId="9" fillId="4" borderId="0" xfId="3" applyNumberFormat="1" applyFont="1" applyFill="1" applyBorder="1" applyAlignment="1">
      <alignment vertical="center"/>
    </xf>
    <xf numFmtId="0" fontId="9" fillId="4" borderId="0" xfId="3" applyFont="1" applyFill="1" applyBorder="1" applyAlignment="1">
      <alignment vertical="center"/>
    </xf>
    <xf numFmtId="165" fontId="22" fillId="4" borderId="6" xfId="6" applyNumberFormat="1" applyFont="1" applyFill="1" applyBorder="1" applyProtection="1"/>
    <xf numFmtId="168" fontId="9" fillId="4" borderId="9" xfId="3" applyNumberFormat="1" applyFont="1" applyFill="1" applyBorder="1" applyAlignment="1">
      <alignment vertical="center"/>
    </xf>
    <xf numFmtId="0" fontId="9" fillId="4" borderId="18" xfId="3" applyFont="1" applyFill="1" applyBorder="1" applyAlignment="1">
      <alignment vertical="center"/>
    </xf>
    <xf numFmtId="0" fontId="9" fillId="4" borderId="0" xfId="0" applyFont="1" applyFill="1" applyAlignment="1">
      <alignment horizontal="center"/>
    </xf>
    <xf numFmtId="0" fontId="9" fillId="4" borderId="0" xfId="3" applyFont="1" applyFill="1" applyBorder="1" applyAlignment="1">
      <alignment horizontal="center" vertical="center" wrapText="1"/>
    </xf>
    <xf numFmtId="165" fontId="9" fillId="4" borderId="6" xfId="6" applyNumberFormat="1" applyFont="1" applyFill="1" applyBorder="1" applyProtection="1"/>
    <xf numFmtId="0" fontId="9" fillId="4" borderId="18" xfId="3" applyFont="1" applyFill="1" applyBorder="1" applyAlignment="1">
      <alignment horizontal="center" vertical="center" wrapText="1"/>
    </xf>
    <xf numFmtId="0" fontId="9" fillId="4" borderId="0" xfId="0" applyFont="1" applyFill="1" applyAlignment="1">
      <alignment wrapText="1"/>
    </xf>
    <xf numFmtId="0" fontId="9" fillId="4" borderId="0" xfId="0" applyFont="1" applyFill="1" applyBorder="1" applyAlignment="1">
      <alignment wrapText="1"/>
    </xf>
    <xf numFmtId="0" fontId="9" fillId="4" borderId="0" xfId="0" applyFont="1" applyFill="1"/>
    <xf numFmtId="1" fontId="28" fillId="0" borderId="0" xfId="0" applyNumberFormat="1" applyFont="1"/>
    <xf numFmtId="180" fontId="28" fillId="0" borderId="0" xfId="1" applyNumberFormat="1" applyFont="1"/>
    <xf numFmtId="2" fontId="9" fillId="0" borderId="0" xfId="0" applyNumberFormat="1" applyFont="1" applyFill="1" applyBorder="1"/>
    <xf numFmtId="166" fontId="14" fillId="0" borderId="1" xfId="0" applyNumberFormat="1" applyFont="1" applyBorder="1" applyProtection="1"/>
    <xf numFmtId="166" fontId="15" fillId="0" borderId="1" xfId="0" applyNumberFormat="1" applyFont="1" applyBorder="1" applyProtection="1"/>
    <xf numFmtId="166" fontId="12" fillId="0" borderId="6" xfId="0" applyNumberFormat="1" applyFont="1" applyBorder="1" applyProtection="1"/>
    <xf numFmtId="166" fontId="12" fillId="0" borderId="11" xfId="0" applyNumberFormat="1" applyFont="1" applyBorder="1" applyProtection="1"/>
    <xf numFmtId="0" fontId="12" fillId="0" borderId="12" xfId="0" applyNumberFormat="1" applyFont="1" applyBorder="1" applyProtection="1"/>
    <xf numFmtId="166" fontId="12" fillId="0" borderId="6" xfId="0" applyNumberFormat="1" applyFont="1" applyBorder="1" applyAlignment="1" applyProtection="1">
      <alignment horizontal="right"/>
    </xf>
    <xf numFmtId="166" fontId="12" fillId="0" borderId="4" xfId="0" applyNumberFormat="1" applyFont="1" applyBorder="1" applyProtection="1"/>
    <xf numFmtId="0" fontId="12" fillId="0" borderId="1" xfId="0" applyNumberFormat="1" applyFont="1" applyBorder="1" applyProtection="1"/>
    <xf numFmtId="166" fontId="12" fillId="0" borderId="7" xfId="0" applyNumberFormat="1" applyFont="1" applyBorder="1" applyAlignment="1" applyProtection="1">
      <alignment horizontal="center"/>
    </xf>
    <xf numFmtId="166" fontId="12" fillId="0" borderId="0" xfId="0" applyNumberFormat="1" applyFont="1" applyBorder="1" applyAlignment="1" applyProtection="1">
      <alignment horizontal="center"/>
    </xf>
    <xf numFmtId="166" fontId="12" fillId="0" borderId="13" xfId="0" applyNumberFormat="1" applyFont="1" applyBorder="1" applyAlignment="1" applyProtection="1">
      <alignment horizontal="center"/>
    </xf>
    <xf numFmtId="166" fontId="12" fillId="0" borderId="11" xfId="0" applyNumberFormat="1" applyFont="1" applyBorder="1" applyAlignment="1" applyProtection="1">
      <alignment horizontal="center"/>
    </xf>
    <xf numFmtId="166" fontId="12" fillId="0" borderId="8" xfId="0" applyNumberFormat="1" applyFont="1" applyBorder="1" applyProtection="1"/>
    <xf numFmtId="166" fontId="12" fillId="0" borderId="5" xfId="0" applyNumberFormat="1" applyFont="1" applyBorder="1" applyProtection="1"/>
    <xf numFmtId="166" fontId="12" fillId="0" borderId="1" xfId="0" applyNumberFormat="1" applyFont="1" applyBorder="1" applyAlignment="1" applyProtection="1">
      <alignment horizontal="center"/>
    </xf>
    <xf numFmtId="0" fontId="12" fillId="0" borderId="4" xfId="0" applyNumberFormat="1" applyFont="1" applyBorder="1" applyAlignment="1" applyProtection="1">
      <alignment horizontal="center"/>
    </xf>
    <xf numFmtId="0" fontId="12" fillId="0" borderId="10" xfId="0" applyNumberFormat="1" applyFont="1" applyFill="1" applyBorder="1" applyAlignment="1">
      <alignment horizontal="center"/>
    </xf>
    <xf numFmtId="0" fontId="12" fillId="0" borderId="10" xfId="0" applyNumberFormat="1" applyFont="1" applyFill="1" applyBorder="1" applyAlignment="1">
      <alignment horizontal="center" wrapText="1"/>
    </xf>
    <xf numFmtId="166" fontId="14" fillId="0" borderId="6" xfId="0" applyNumberFormat="1" applyFont="1" applyBorder="1" applyProtection="1"/>
    <xf numFmtId="165" fontId="14" fillId="0" borderId="7" xfId="0" applyNumberFormat="1" applyFont="1" applyBorder="1" applyProtection="1"/>
    <xf numFmtId="168" fontId="14" fillId="0" borderId="7" xfId="0" applyNumberFormat="1" applyFont="1" applyBorder="1" applyProtection="1"/>
    <xf numFmtId="165" fontId="14" fillId="0" borderId="9" xfId="0" applyNumberFormat="1" applyFont="1" applyFill="1" applyBorder="1" applyProtection="1"/>
    <xf numFmtId="166" fontId="12" fillId="0" borderId="6" xfId="0" applyNumberFormat="1" applyFont="1" applyBorder="1" applyAlignment="1" applyProtection="1">
      <alignment horizontal="left" indent="1"/>
    </xf>
    <xf numFmtId="165" fontId="12" fillId="0" borderId="7" xfId="0" applyNumberFormat="1" applyFont="1" applyBorder="1" applyAlignment="1" applyProtection="1">
      <alignment horizontal="center"/>
    </xf>
    <xf numFmtId="165" fontId="12" fillId="0" borderId="9" xfId="0" applyNumberFormat="1" applyFont="1" applyFill="1" applyBorder="1" applyProtection="1"/>
    <xf numFmtId="0" fontId="30" fillId="14" borderId="0" xfId="0" applyFont="1" applyFill="1"/>
    <xf numFmtId="165" fontId="12" fillId="0" borderId="18" xfId="0" applyNumberFormat="1" applyFont="1" applyFill="1" applyBorder="1" applyProtection="1"/>
    <xf numFmtId="166" fontId="12" fillId="0" borderId="6" xfId="0" applyNumberFormat="1" applyFont="1" applyBorder="1" applyAlignment="1" applyProtection="1"/>
    <xf numFmtId="165" fontId="12" fillId="0" borderId="6" xfId="0" applyNumberFormat="1" applyFont="1" applyFill="1" applyBorder="1" applyProtection="1"/>
    <xf numFmtId="165" fontId="12" fillId="0" borderId="7" xfId="0" applyNumberFormat="1" applyFont="1" applyBorder="1" applyAlignment="1" applyProtection="1">
      <alignment horizontal="right"/>
    </xf>
    <xf numFmtId="165" fontId="12" fillId="0" borderId="7" xfId="0" applyNumberFormat="1" applyFont="1" applyFill="1" applyBorder="1" applyAlignment="1" applyProtection="1">
      <alignment horizontal="right"/>
    </xf>
    <xf numFmtId="166" fontId="16" fillId="0" borderId="6" xfId="0" applyNumberFormat="1" applyFont="1" applyFill="1" applyBorder="1" applyAlignment="1" applyProtection="1"/>
    <xf numFmtId="165" fontId="12" fillId="0" borderId="7" xfId="0" applyNumberFormat="1" applyFont="1" applyFill="1" applyBorder="1" applyAlignment="1" applyProtection="1">
      <alignment horizontal="center"/>
    </xf>
    <xf numFmtId="166" fontId="14" fillId="0" borderId="6" xfId="0" applyNumberFormat="1" applyFont="1" applyBorder="1" applyAlignment="1" applyProtection="1">
      <alignment horizontal="left"/>
    </xf>
    <xf numFmtId="165" fontId="14" fillId="0" borderId="7" xfId="0" applyNumberFormat="1" applyFont="1" applyFill="1" applyBorder="1" applyProtection="1"/>
    <xf numFmtId="165" fontId="12" fillId="0" borderId="25" xfId="0" applyNumberFormat="1" applyFont="1" applyFill="1" applyBorder="1" applyProtection="1"/>
    <xf numFmtId="165" fontId="14" fillId="0" borderId="6" xfId="0" applyNumberFormat="1" applyFont="1" applyFill="1" applyBorder="1" applyProtection="1"/>
    <xf numFmtId="165" fontId="14" fillId="0" borderId="0" xfId="0" applyNumberFormat="1" applyFont="1" applyFill="1" applyBorder="1" applyProtection="1"/>
    <xf numFmtId="165" fontId="14" fillId="0" borderId="9" xfId="0" applyNumberFormat="1" applyFont="1" applyFill="1" applyBorder="1"/>
    <xf numFmtId="165" fontId="12" fillId="0" borderId="8" xfId="0" applyNumberFormat="1" applyFont="1" applyBorder="1" applyProtection="1"/>
    <xf numFmtId="165" fontId="12" fillId="0" borderId="1" xfId="0" applyNumberFormat="1" applyFont="1" applyBorder="1" applyProtection="1"/>
    <xf numFmtId="165" fontId="12" fillId="0" borderId="10" xfId="0" applyNumberFormat="1" applyFont="1" applyBorder="1"/>
    <xf numFmtId="166" fontId="40" fillId="0" borderId="0" xfId="0" applyNumberFormat="1" applyFont="1" applyProtection="1"/>
    <xf numFmtId="0" fontId="40" fillId="0" borderId="0" xfId="0" applyFont="1"/>
    <xf numFmtId="165" fontId="12" fillId="0" borderId="0" xfId="0" applyNumberFormat="1" applyFont="1" applyBorder="1" applyAlignment="1" applyProtection="1">
      <alignment horizontal="right"/>
    </xf>
    <xf numFmtId="166" fontId="16" fillId="0" borderId="6" xfId="0" applyNumberFormat="1" applyFont="1" applyBorder="1" applyAlignment="1" applyProtection="1"/>
    <xf numFmtId="0" fontId="12" fillId="0" borderId="10" xfId="0" applyNumberFormat="1" applyFont="1" applyBorder="1" applyAlignment="1">
      <alignment horizontal="center"/>
    </xf>
    <xf numFmtId="165" fontId="12" fillId="0" borderId="0" xfId="0" applyNumberFormat="1" applyFont="1" applyFill="1" applyBorder="1" applyProtection="1"/>
    <xf numFmtId="165" fontId="14" fillId="0" borderId="8" xfId="0" applyNumberFormat="1" applyFont="1" applyFill="1" applyBorder="1"/>
    <xf numFmtId="165" fontId="14" fillId="0" borderId="26" xfId="0" applyNumberFormat="1" applyFont="1" applyFill="1" applyBorder="1"/>
    <xf numFmtId="165" fontId="14" fillId="0" borderId="5" xfId="0" applyNumberFormat="1" applyFont="1" applyFill="1" applyBorder="1"/>
    <xf numFmtId="165" fontId="14" fillId="0" borderId="53" xfId="0" applyNumberFormat="1" applyFont="1" applyFill="1" applyBorder="1"/>
    <xf numFmtId="0" fontId="12" fillId="0" borderId="0" xfId="0" applyNumberFormat="1" applyFont="1" applyAlignment="1">
      <alignment horizontal="right"/>
    </xf>
    <xf numFmtId="165" fontId="12" fillId="8" borderId="0" xfId="0" applyNumberFormat="1" applyFont="1" applyFill="1"/>
    <xf numFmtId="0" fontId="12" fillId="13" borderId="0" xfId="0" applyFont="1" applyFill="1"/>
    <xf numFmtId="0" fontId="14" fillId="13" borderId="0" xfId="0" applyFont="1" applyFill="1"/>
    <xf numFmtId="168" fontId="9" fillId="0" borderId="9" xfId="0" applyNumberFormat="1" applyFont="1" applyBorder="1" applyAlignment="1">
      <alignment horizontal="right" vertical="center"/>
    </xf>
    <xf numFmtId="0" fontId="0" fillId="0" borderId="0" xfId="0" applyAlignment="1">
      <alignment horizontal="center"/>
    </xf>
    <xf numFmtId="0" fontId="17" fillId="0" borderId="63" xfId="0" applyFont="1" applyBorder="1" applyAlignment="1">
      <alignment horizontal="left"/>
    </xf>
    <xf numFmtId="0" fontId="17" fillId="0" borderId="63" xfId="0" quotePrefix="1" applyFont="1" applyBorder="1" applyAlignment="1">
      <alignment horizontal="left"/>
    </xf>
    <xf numFmtId="0" fontId="17" fillId="0" borderId="101" xfId="0" applyFont="1" applyBorder="1" applyAlignment="1">
      <alignment horizontal="left"/>
    </xf>
    <xf numFmtId="0" fontId="43" fillId="0" borderId="0" xfId="0" applyFont="1"/>
    <xf numFmtId="0" fontId="45" fillId="8" borderId="64" xfId="0" applyFont="1" applyFill="1" applyBorder="1" applyAlignment="1">
      <alignment horizontal="center"/>
    </xf>
    <xf numFmtId="0" fontId="45" fillId="0" borderId="67" xfId="0" applyFont="1" applyBorder="1" applyAlignment="1">
      <alignment horizontal="center"/>
    </xf>
    <xf numFmtId="2" fontId="45" fillId="8" borderId="109" xfId="0" applyNumberFormat="1" applyFont="1" applyFill="1" applyBorder="1"/>
    <xf numFmtId="2" fontId="45" fillId="0" borderId="110" xfId="0" applyNumberFormat="1" applyFont="1" applyBorder="1"/>
    <xf numFmtId="168" fontId="9" fillId="0" borderId="0" xfId="0" applyNumberFormat="1" applyFont="1" applyBorder="1" applyAlignment="1">
      <alignment horizontal="right" vertical="center"/>
    </xf>
    <xf numFmtId="0" fontId="8" fillId="0" borderId="9" xfId="0" applyFont="1" applyBorder="1"/>
    <xf numFmtId="17" fontId="0" fillId="0" borderId="105" xfId="0" applyNumberFormat="1" applyBorder="1"/>
    <xf numFmtId="181" fontId="9" fillId="0" borderId="9" xfId="1" applyNumberFormat="1" applyFont="1" applyBorder="1" applyAlignment="1">
      <alignment horizontal="center" vertical="center"/>
    </xf>
    <xf numFmtId="0" fontId="0" fillId="0" borderId="22" xfId="0" applyBorder="1" applyAlignment="1">
      <alignment horizontal="left" indent="3"/>
    </xf>
    <xf numFmtId="0" fontId="0" fillId="0" borderId="28" xfId="0" applyBorder="1" applyAlignment="1">
      <alignment horizontal="right"/>
    </xf>
    <xf numFmtId="0" fontId="0" fillId="0" borderId="17" xfId="0" applyBorder="1" applyAlignment="1">
      <alignment horizontal="right"/>
    </xf>
    <xf numFmtId="0" fontId="0" fillId="0" borderId="24" xfId="0" applyBorder="1" applyAlignment="1">
      <alignment horizontal="right"/>
    </xf>
    <xf numFmtId="0" fontId="0" fillId="0" borderId="16" xfId="0" applyBorder="1"/>
    <xf numFmtId="176" fontId="0" fillId="0" borderId="0" xfId="1" applyNumberFormat="1" applyFont="1" applyBorder="1"/>
    <xf numFmtId="0" fontId="0" fillId="0" borderId="21" xfId="0" applyBorder="1" applyAlignment="1">
      <alignment horizontal="left" indent="2"/>
    </xf>
    <xf numFmtId="0" fontId="0" fillId="0" borderId="23" xfId="0" applyBorder="1" applyAlignment="1">
      <alignment horizontal="right"/>
    </xf>
    <xf numFmtId="0" fontId="0" fillId="0" borderId="28" xfId="0" applyBorder="1" applyAlignment="1">
      <alignment horizontal="left" indent="3"/>
    </xf>
    <xf numFmtId="0" fontId="0" fillId="0" borderId="17" xfId="0" applyBorder="1" applyAlignment="1">
      <alignment horizontal="left" indent="3"/>
    </xf>
    <xf numFmtId="0" fontId="0" fillId="0" borderId="17" xfId="0" applyBorder="1" applyAlignment="1">
      <alignment horizontal="left" indent="4"/>
    </xf>
    <xf numFmtId="0" fontId="0" fillId="0" borderId="24" xfId="0" applyBorder="1" applyAlignment="1">
      <alignment horizontal="left" indent="4"/>
    </xf>
    <xf numFmtId="0" fontId="0" fillId="0" borderId="28" xfId="0" applyBorder="1" applyAlignment="1">
      <alignment horizontal="left" indent="4"/>
    </xf>
    <xf numFmtId="0" fontId="0" fillId="0" borderId="24"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16" xfId="0" applyBorder="1" applyAlignment="1">
      <alignment wrapText="1"/>
    </xf>
    <xf numFmtId="0" fontId="0" fillId="0" borderId="18" xfId="0" applyBorder="1" applyAlignment="1"/>
    <xf numFmtId="0" fontId="0" fillId="0" borderId="14" xfId="0" applyBorder="1" applyAlignment="1">
      <alignment horizontal="left" wrapText="1" indent="1"/>
    </xf>
    <xf numFmtId="0" fontId="0" fillId="0" borderId="28" xfId="0" applyBorder="1" applyAlignment="1">
      <alignment horizontal="left" indent="1"/>
    </xf>
    <xf numFmtId="49" fontId="0" fillId="0" borderId="19" xfId="0" applyNumberFormat="1" applyBorder="1"/>
    <xf numFmtId="181" fontId="0" fillId="0" borderId="0" xfId="1" applyNumberFormat="1" applyFont="1" applyBorder="1"/>
    <xf numFmtId="176" fontId="0" fillId="0" borderId="0" xfId="1" applyNumberFormat="1" applyFont="1" applyFill="1" applyBorder="1"/>
    <xf numFmtId="0" fontId="0" fillId="0" borderId="0" xfId="0" applyFill="1"/>
    <xf numFmtId="43" fontId="0" fillId="0" borderId="0" xfId="0" applyNumberFormat="1"/>
    <xf numFmtId="0" fontId="0" fillId="0" borderId="22" xfId="0" applyFill="1" applyBorder="1" applyAlignment="1">
      <alignment horizontal="left" indent="4"/>
    </xf>
    <xf numFmtId="0" fontId="0" fillId="0" borderId="0" xfId="0" applyAlignment="1">
      <alignment horizontal="right"/>
    </xf>
    <xf numFmtId="0" fontId="0" fillId="0" borderId="24" xfId="0" applyBorder="1" applyAlignment="1">
      <alignment horizontal="left" indent="3"/>
    </xf>
    <xf numFmtId="0" fontId="0" fillId="0" borderId="17" xfId="0" applyFill="1" applyBorder="1" applyAlignment="1">
      <alignment horizontal="right"/>
    </xf>
    <xf numFmtId="0" fontId="0" fillId="0" borderId="24" xfId="0" applyFill="1" applyBorder="1" applyAlignment="1">
      <alignment horizontal="right"/>
    </xf>
    <xf numFmtId="0" fontId="0" fillId="0" borderId="18" xfId="0" applyBorder="1" applyAlignment="1">
      <alignment horizontal="center"/>
    </xf>
    <xf numFmtId="176" fontId="0" fillId="0" borderId="0" xfId="0" applyNumberFormat="1" applyBorder="1" applyAlignment="1">
      <alignment horizontal="right"/>
    </xf>
    <xf numFmtId="17" fontId="25" fillId="0" borderId="19" xfId="0" applyNumberFormat="1" applyFont="1" applyBorder="1"/>
    <xf numFmtId="176" fontId="25" fillId="0" borderId="0" xfId="1" applyNumberFormat="1" applyFont="1" applyBorder="1"/>
    <xf numFmtId="43" fontId="25" fillId="0" borderId="0" xfId="0" applyNumberFormat="1" applyFont="1"/>
    <xf numFmtId="176" fontId="25" fillId="0" borderId="18" xfId="1" applyNumberFormat="1" applyFont="1" applyBorder="1"/>
    <xf numFmtId="17" fontId="25" fillId="0" borderId="19" xfId="0" applyNumberFormat="1" applyFont="1" applyFill="1" applyBorder="1"/>
    <xf numFmtId="176" fontId="25" fillId="0" borderId="0" xfId="1" applyNumberFormat="1" applyFont="1" applyFill="1" applyBorder="1"/>
    <xf numFmtId="0" fontId="25" fillId="0" borderId="28" xfId="0" applyFont="1" applyFill="1" applyBorder="1"/>
    <xf numFmtId="0" fontId="25" fillId="0" borderId="0" xfId="0" applyFont="1" applyFill="1" applyBorder="1"/>
    <xf numFmtId="49" fontId="25" fillId="0" borderId="19" xfId="0" applyNumberFormat="1" applyFont="1" applyBorder="1"/>
    <xf numFmtId="176" fontId="25" fillId="0" borderId="0" xfId="0" applyNumberFormat="1" applyFont="1" applyBorder="1" applyAlignment="1">
      <alignment horizontal="right"/>
    </xf>
    <xf numFmtId="0" fontId="0" fillId="0" borderId="24" xfId="0" applyBorder="1"/>
    <xf numFmtId="182" fontId="0" fillId="0" borderId="18" xfId="1" applyNumberFormat="1" applyFont="1" applyBorder="1"/>
    <xf numFmtId="17" fontId="0" fillId="0" borderId="0" xfId="0" applyNumberFormat="1" applyBorder="1"/>
    <xf numFmtId="165" fontId="13" fillId="0" borderId="0" xfId="0" applyNumberFormat="1" applyFont="1"/>
    <xf numFmtId="0" fontId="13" fillId="3" borderId="0" xfId="0" applyFont="1" applyFill="1"/>
    <xf numFmtId="0" fontId="9" fillId="0" borderId="0" xfId="4" applyFont="1" applyFill="1"/>
    <xf numFmtId="0" fontId="9" fillId="14" borderId="27" xfId="4" applyFont="1" applyFill="1" applyBorder="1" applyAlignment="1">
      <alignment horizontal="right"/>
    </xf>
    <xf numFmtId="0" fontId="9" fillId="14" borderId="27" xfId="4" applyFont="1" applyFill="1" applyBorder="1" applyAlignment="1">
      <alignment horizontal="right" wrapText="1"/>
    </xf>
    <xf numFmtId="0" fontId="9" fillId="0" borderId="20" xfId="4" applyFont="1" applyFill="1" applyBorder="1"/>
    <xf numFmtId="0" fontId="9" fillId="14" borderId="14" xfId="4" applyFont="1" applyFill="1" applyBorder="1"/>
    <xf numFmtId="0" fontId="9" fillId="14" borderId="15" xfId="4" applyFont="1" applyFill="1" applyBorder="1"/>
    <xf numFmtId="0" fontId="9" fillId="14" borderId="16" xfId="4" applyFont="1" applyFill="1" applyBorder="1"/>
    <xf numFmtId="0" fontId="8" fillId="0" borderId="9" xfId="4" applyFont="1" applyFill="1" applyBorder="1" applyAlignment="1">
      <alignment horizontal="center" vertical="center" wrapText="1"/>
    </xf>
    <xf numFmtId="168" fontId="9" fillId="0" borderId="9" xfId="3" applyNumberFormat="1" applyFont="1" applyFill="1" applyBorder="1" applyAlignment="1">
      <alignment horizontal="center" vertical="center"/>
    </xf>
    <xf numFmtId="168" fontId="9" fillId="0" borderId="9" xfId="4" applyNumberFormat="1" applyFont="1" applyFill="1" applyBorder="1" applyAlignment="1">
      <alignment horizontal="center" vertical="center"/>
    </xf>
    <xf numFmtId="0" fontId="9" fillId="0" borderId="9" xfId="4" applyNumberFormat="1" applyFont="1" applyFill="1" applyBorder="1" applyAlignment="1">
      <alignment horizontal="center" vertical="center"/>
    </xf>
    <xf numFmtId="0" fontId="9" fillId="0" borderId="10" xfId="4" applyNumberFormat="1" applyFont="1" applyFill="1" applyBorder="1" applyAlignment="1">
      <alignment horizontal="center" vertical="center"/>
    </xf>
    <xf numFmtId="0" fontId="7" fillId="0" borderId="0" xfId="4" applyFill="1"/>
    <xf numFmtId="1" fontId="0" fillId="0" borderId="0" xfId="0" applyNumberFormat="1"/>
    <xf numFmtId="0" fontId="46" fillId="0" borderId="0" xfId="0" applyFont="1" applyAlignment="1">
      <alignment vertical="center"/>
    </xf>
    <xf numFmtId="0" fontId="9" fillId="0" borderId="21" xfId="4" applyFont="1" applyBorder="1" applyAlignment="1">
      <alignment wrapText="1"/>
    </xf>
    <xf numFmtId="0" fontId="9" fillId="0" borderId="22" xfId="4" applyFont="1" applyBorder="1" applyAlignment="1">
      <alignment wrapText="1"/>
    </xf>
    <xf numFmtId="0" fontId="9" fillId="0" borderId="27" xfId="4" applyFont="1" applyBorder="1" applyAlignment="1">
      <alignment horizontal="right"/>
    </xf>
    <xf numFmtId="0" fontId="9" fillId="0" borderId="27" xfId="4" applyFont="1" applyBorder="1" applyAlignment="1">
      <alignment horizontal="right" wrapText="1"/>
    </xf>
    <xf numFmtId="0" fontId="9" fillId="0" borderId="0" xfId="4" applyFont="1" applyBorder="1" applyAlignment="1">
      <alignment wrapText="1"/>
    </xf>
    <xf numFmtId="0" fontId="9" fillId="0" borderId="0" xfId="5" applyFont="1" applyBorder="1"/>
    <xf numFmtId="0" fontId="9" fillId="0" borderId="0" xfId="5" applyFont="1" applyFill="1" applyBorder="1"/>
    <xf numFmtId="0" fontId="9" fillId="0" borderId="17" xfId="5" applyFont="1" applyBorder="1"/>
    <xf numFmtId="0" fontId="9" fillId="0" borderId="17" xfId="5" applyFont="1" applyFill="1" applyBorder="1"/>
    <xf numFmtId="0" fontId="9" fillId="14" borderId="27" xfId="5" applyFont="1" applyFill="1" applyBorder="1" applyAlignment="1">
      <alignment horizontal="right"/>
    </xf>
    <xf numFmtId="0" fontId="9" fillId="14" borderId="27" xfId="5" applyFont="1" applyFill="1" applyBorder="1" applyAlignment="1">
      <alignment horizontal="right" wrapText="1"/>
    </xf>
    <xf numFmtId="0" fontId="8" fillId="0" borderId="9" xfId="5" applyFont="1" applyBorder="1" applyAlignment="1">
      <alignment horizontal="center" vertical="center" wrapText="1"/>
    </xf>
    <xf numFmtId="168" fontId="9" fillId="0" borderId="9" xfId="5" applyNumberFormat="1" applyFont="1" applyBorder="1" applyAlignment="1">
      <alignment horizontal="center" vertical="center"/>
    </xf>
    <xf numFmtId="168" fontId="9" fillId="0" borderId="9" xfId="5" applyNumberFormat="1" applyFont="1" applyFill="1" applyBorder="1" applyAlignment="1">
      <alignment horizontal="center" vertical="center"/>
    </xf>
    <xf numFmtId="0" fontId="9" fillId="0" borderId="9" xfId="5" applyNumberFormat="1" applyFont="1" applyFill="1" applyBorder="1" applyAlignment="1">
      <alignment horizontal="center" vertical="center"/>
    </xf>
    <xf numFmtId="0" fontId="9" fillId="0" borderId="9" xfId="5" applyNumberFormat="1" applyFont="1" applyBorder="1" applyAlignment="1">
      <alignment horizontal="center" vertical="center"/>
    </xf>
    <xf numFmtId="0" fontId="9" fillId="0" borderId="10" xfId="5" applyNumberFormat="1" applyFont="1" applyBorder="1" applyAlignment="1">
      <alignment horizontal="center" vertical="center"/>
    </xf>
    <xf numFmtId="0" fontId="0" fillId="4" borderId="0" xfId="0" applyFill="1"/>
    <xf numFmtId="0" fontId="0" fillId="0" borderId="0" xfId="0" applyAlignment="1">
      <alignment horizontal="left" indent="1"/>
    </xf>
    <xf numFmtId="0" fontId="0" fillId="15" borderId="0" xfId="0" applyFill="1"/>
    <xf numFmtId="1" fontId="0" fillId="0" borderId="0" xfId="0" applyNumberFormat="1" applyBorder="1"/>
    <xf numFmtId="1" fontId="0" fillId="0" borderId="18" xfId="0" applyNumberFormat="1" applyBorder="1"/>
    <xf numFmtId="1" fontId="0" fillId="0" borderId="17" xfId="0" applyNumberFormat="1" applyBorder="1"/>
    <xf numFmtId="1" fontId="0" fillId="0" borderId="9" xfId="0" applyNumberFormat="1" applyBorder="1"/>
    <xf numFmtId="1" fontId="0" fillId="0" borderId="24" xfId="0" applyNumberFormat="1" applyBorder="1"/>
    <xf numFmtId="0" fontId="46" fillId="0" borderId="17" xfId="0" applyFont="1" applyBorder="1" applyAlignment="1">
      <alignment vertical="center"/>
    </xf>
    <xf numFmtId="0" fontId="47" fillId="0" borderId="17" xfId="0" applyFont="1" applyBorder="1"/>
    <xf numFmtId="0" fontId="47" fillId="0" borderId="0" xfId="0" applyFont="1"/>
    <xf numFmtId="0" fontId="46" fillId="0" borderId="0" xfId="0" applyFont="1"/>
    <xf numFmtId="0" fontId="47" fillId="0" borderId="12" xfId="0" applyFont="1" applyBorder="1"/>
    <xf numFmtId="0" fontId="47" fillId="0" borderId="19" xfId="0" applyFont="1" applyBorder="1"/>
    <xf numFmtId="0" fontId="47" fillId="0" borderId="0" xfId="0" applyFont="1" applyBorder="1"/>
    <xf numFmtId="0" fontId="47" fillId="0" borderId="18" xfId="0" applyFont="1" applyBorder="1"/>
    <xf numFmtId="0" fontId="47" fillId="0" borderId="27" xfId="5" applyFont="1" applyBorder="1" applyAlignment="1">
      <alignment horizontal="right"/>
    </xf>
    <xf numFmtId="0" fontId="47" fillId="0" borderId="27" xfId="5" applyFont="1" applyBorder="1" applyAlignment="1">
      <alignment horizontal="right" wrapText="1"/>
    </xf>
    <xf numFmtId="0" fontId="47" fillId="0" borderId="27" xfId="0" applyFont="1" applyBorder="1"/>
    <xf numFmtId="0" fontId="47" fillId="0" borderId="20" xfId="0" applyFont="1" applyBorder="1"/>
    <xf numFmtId="0" fontId="47" fillId="0" borderId="9" xfId="0" applyFont="1" applyBorder="1"/>
    <xf numFmtId="1" fontId="47" fillId="0" borderId="0" xfId="0" applyNumberFormat="1" applyFont="1" applyBorder="1"/>
    <xf numFmtId="1" fontId="47" fillId="0" borderId="20" xfId="0" applyNumberFormat="1" applyFont="1" applyBorder="1"/>
    <xf numFmtId="0" fontId="0" fillId="0" borderId="0" xfId="0" applyAlignment="1">
      <alignment wrapText="1"/>
    </xf>
    <xf numFmtId="168" fontId="0" fillId="0" borderId="10" xfId="0" applyNumberFormat="1" applyBorder="1"/>
    <xf numFmtId="1" fontId="12" fillId="0" borderId="32" xfId="1" applyNumberFormat="1" applyFont="1" applyFill="1" applyBorder="1" applyProtection="1">
      <protection locked="0"/>
    </xf>
    <xf numFmtId="1" fontId="12" fillId="0" borderId="34" xfId="1" applyNumberFormat="1" applyFont="1" applyFill="1" applyBorder="1" applyProtection="1">
      <protection locked="0"/>
    </xf>
    <xf numFmtId="168" fontId="0" fillId="0" borderId="9" xfId="0" applyNumberFormat="1" applyFill="1" applyBorder="1"/>
    <xf numFmtId="176" fontId="49" fillId="2" borderId="15" xfId="1" quotePrefix="1" applyNumberFormat="1" applyFont="1" applyFill="1" applyBorder="1" applyAlignment="1">
      <alignment horizontal="right"/>
    </xf>
    <xf numFmtId="0" fontId="49" fillId="2" borderId="15" xfId="0" quotePrefix="1" applyFont="1" applyFill="1" applyBorder="1" applyAlignment="1">
      <alignment horizontal="right"/>
    </xf>
    <xf numFmtId="0" fontId="49" fillId="0" borderId="15" xfId="0" quotePrefix="1" applyFont="1" applyFill="1" applyBorder="1" applyAlignment="1">
      <alignment horizontal="right"/>
    </xf>
    <xf numFmtId="0" fontId="49" fillId="0" borderId="0" xfId="0" applyFont="1" applyFill="1" applyBorder="1" applyAlignment="1">
      <alignment horizontal="right"/>
    </xf>
    <xf numFmtId="0" fontId="0" fillId="9" borderId="0" xfId="0" applyFill="1"/>
    <xf numFmtId="168" fontId="0" fillId="9" borderId="0" xfId="0" applyNumberFormat="1" applyFill="1"/>
    <xf numFmtId="168" fontId="39" fillId="9" borderId="0" xfId="0" applyNumberFormat="1" applyFont="1" applyFill="1"/>
    <xf numFmtId="168" fontId="0" fillId="0" borderId="0" xfId="0" applyNumberFormat="1" applyFill="1"/>
    <xf numFmtId="168" fontId="39" fillId="0" borderId="0" xfId="0" applyNumberFormat="1" applyFont="1" applyFill="1"/>
    <xf numFmtId="0" fontId="50" fillId="0" borderId="0" xfId="0" applyFont="1"/>
    <xf numFmtId="168" fontId="50" fillId="0" borderId="0" xfId="0" applyNumberFormat="1" applyFont="1"/>
    <xf numFmtId="168" fontId="50" fillId="0" borderId="0" xfId="0" applyNumberFormat="1" applyFont="1" applyFill="1"/>
    <xf numFmtId="2" fontId="9" fillId="0" borderId="111" xfId="0" applyNumberFormat="1" applyFont="1" applyFill="1" applyBorder="1"/>
    <xf numFmtId="1" fontId="0" fillId="0" borderId="0" xfId="0" applyNumberFormat="1" applyFill="1"/>
    <xf numFmtId="0" fontId="51" fillId="0" borderId="0" xfId="0" applyFont="1"/>
    <xf numFmtId="168" fontId="51" fillId="0" borderId="0" xfId="0" applyNumberFormat="1" applyFont="1"/>
    <xf numFmtId="1" fontId="7" fillId="0" borderId="0" xfId="0" applyNumberFormat="1" applyFont="1"/>
    <xf numFmtId="1" fontId="7" fillId="0" borderId="0" xfId="0" applyNumberFormat="1" applyFont="1" applyFill="1"/>
    <xf numFmtId="0" fontId="7" fillId="0" borderId="0" xfId="0" applyFont="1" applyFill="1"/>
    <xf numFmtId="0" fontId="52" fillId="0" borderId="0" xfId="0" applyFont="1"/>
    <xf numFmtId="0" fontId="0" fillId="14" borderId="0" xfId="0" applyFill="1"/>
    <xf numFmtId="168" fontId="0" fillId="14" borderId="0" xfId="0" applyNumberFormat="1" applyFill="1"/>
    <xf numFmtId="168" fontId="39" fillId="14" borderId="0" xfId="0" applyNumberFormat="1" applyFont="1" applyFill="1"/>
    <xf numFmtId="0" fontId="39" fillId="0" borderId="0" xfId="0" applyFont="1" applyFill="1"/>
    <xf numFmtId="0" fontId="53" fillId="0" borderId="22" xfId="0" applyFont="1" applyFill="1" applyBorder="1"/>
    <xf numFmtId="0" fontId="53" fillId="0" borderId="0" xfId="0" applyFont="1" applyFill="1" applyBorder="1"/>
    <xf numFmtId="0" fontId="54" fillId="0" borderId="0" xfId="0" applyFont="1"/>
    <xf numFmtId="1" fontId="53" fillId="0" borderId="0" xfId="0" applyNumberFormat="1" applyFont="1" applyFill="1" applyBorder="1"/>
    <xf numFmtId="0" fontId="56" fillId="16" borderId="19" xfId="0" applyFont="1" applyFill="1" applyBorder="1" applyAlignment="1">
      <alignment horizontal="left" wrapText="1"/>
    </xf>
    <xf numFmtId="0" fontId="57" fillId="0" borderId="19" xfId="0" applyFont="1" applyBorder="1" applyAlignment="1">
      <alignment horizontal="left" vertical="top" wrapText="1"/>
    </xf>
    <xf numFmtId="168" fontId="56" fillId="0" borderId="0" xfId="0" applyNumberFormat="1" applyFont="1" applyBorder="1" applyAlignment="1">
      <alignment horizontal="right" vertical="top" wrapText="1"/>
    </xf>
    <xf numFmtId="168" fontId="56" fillId="0" borderId="18" xfId="0" applyNumberFormat="1" applyFont="1" applyBorder="1" applyAlignment="1">
      <alignment horizontal="right" vertical="top" wrapText="1"/>
    </xf>
    <xf numFmtId="0" fontId="57" fillId="16" borderId="19" xfId="0" applyFont="1" applyFill="1" applyBorder="1" applyAlignment="1">
      <alignment horizontal="left" vertical="top" wrapText="1"/>
    </xf>
    <xf numFmtId="168" fontId="56" fillId="16" borderId="0" xfId="0" applyNumberFormat="1" applyFont="1" applyFill="1" applyBorder="1" applyAlignment="1">
      <alignment horizontal="right" vertical="top" wrapText="1"/>
    </xf>
    <xf numFmtId="168" fontId="56" fillId="16" borderId="18" xfId="0" applyNumberFormat="1" applyFont="1" applyFill="1" applyBorder="1" applyAlignment="1">
      <alignment horizontal="right" vertical="top" wrapText="1"/>
    </xf>
    <xf numFmtId="0" fontId="56" fillId="0" borderId="19" xfId="0" applyFont="1" applyBorder="1" applyAlignment="1">
      <alignment horizontal="left" vertical="top" wrapText="1"/>
    </xf>
    <xf numFmtId="0" fontId="56" fillId="16" borderId="19" xfId="0" applyFont="1" applyFill="1" applyBorder="1" applyAlignment="1">
      <alignment horizontal="left" vertical="top" wrapText="1"/>
    </xf>
    <xf numFmtId="0" fontId="56" fillId="0" borderId="19" xfId="0" applyFont="1" applyBorder="1" applyAlignment="1">
      <alignment horizontal="left" vertical="top" wrapText="1" indent="1"/>
    </xf>
    <xf numFmtId="0" fontId="56" fillId="16" borderId="19" xfId="0" applyFont="1" applyFill="1" applyBorder="1" applyAlignment="1">
      <alignment horizontal="left" vertical="top" wrapText="1" indent="1"/>
    </xf>
    <xf numFmtId="0" fontId="56" fillId="0" borderId="0" xfId="0" applyFont="1" applyBorder="1" applyAlignment="1">
      <alignment horizontal="right" vertical="top" wrapText="1"/>
    </xf>
    <xf numFmtId="0" fontId="56" fillId="0" borderId="18" xfId="0" applyFont="1" applyBorder="1" applyAlignment="1">
      <alignment horizontal="right" vertical="top" wrapText="1"/>
    </xf>
    <xf numFmtId="0" fontId="56" fillId="0" borderId="28" xfId="0" applyFont="1" applyBorder="1" applyAlignment="1">
      <alignment horizontal="left" vertical="top" wrapText="1"/>
    </xf>
    <xf numFmtId="168" fontId="56" fillId="0" borderId="17" xfId="0" applyNumberFormat="1" applyFont="1" applyBorder="1" applyAlignment="1">
      <alignment horizontal="right" vertical="top" wrapText="1"/>
    </xf>
    <xf numFmtId="168" fontId="56" fillId="0" borderId="24" xfId="0" applyNumberFormat="1" applyFont="1" applyBorder="1" applyAlignment="1">
      <alignment horizontal="right" vertical="top" wrapText="1"/>
    </xf>
    <xf numFmtId="165" fontId="13" fillId="0" borderId="0" xfId="0" applyNumberFormat="1" applyFont="1" applyFill="1" applyBorder="1" applyProtection="1"/>
    <xf numFmtId="165" fontId="13" fillId="0" borderId="18" xfId="0" applyNumberFormat="1" applyFont="1" applyFill="1" applyBorder="1" applyProtection="1"/>
    <xf numFmtId="166" fontId="12" fillId="0" borderId="6" xfId="0" applyNumberFormat="1" applyFont="1" applyFill="1" applyBorder="1" applyAlignment="1" applyProtection="1">
      <alignment horizontal="left"/>
    </xf>
    <xf numFmtId="166" fontId="12" fillId="0" borderId="6" xfId="0" applyNumberFormat="1" applyFont="1" applyFill="1" applyBorder="1" applyAlignment="1" applyProtection="1"/>
    <xf numFmtId="166" fontId="12" fillId="0" borderId="1" xfId="0" applyNumberFormat="1" applyFont="1" applyBorder="1" applyAlignment="1" applyProtection="1"/>
    <xf numFmtId="166" fontId="14" fillId="0" borderId="1" xfId="0" applyNumberFormat="1" applyFont="1" applyBorder="1" applyAlignment="1" applyProtection="1"/>
    <xf numFmtId="166" fontId="15" fillId="0" borderId="1" xfId="0" applyNumberFormat="1" applyFont="1" applyBorder="1" applyAlignment="1" applyProtection="1"/>
    <xf numFmtId="166" fontId="12" fillId="0" borderId="0" xfId="0" applyNumberFormat="1" applyFont="1" applyAlignment="1" applyProtection="1"/>
    <xf numFmtId="0" fontId="12" fillId="0" borderId="0" xfId="0" applyFont="1" applyAlignment="1"/>
    <xf numFmtId="166" fontId="12" fillId="0" borderId="11" xfId="0" applyNumberFormat="1" applyFont="1" applyBorder="1" applyAlignment="1" applyProtection="1"/>
    <xf numFmtId="166" fontId="12" fillId="0" borderId="12" xfId="0" applyNumberFormat="1" applyFont="1" applyBorder="1" applyAlignment="1" applyProtection="1"/>
    <xf numFmtId="0" fontId="12" fillId="0" borderId="12" xfId="0" applyNumberFormat="1" applyFont="1" applyBorder="1" applyAlignment="1" applyProtection="1"/>
    <xf numFmtId="0" fontId="12" fillId="0" borderId="15" xfId="0" applyFont="1" applyBorder="1" applyAlignment="1"/>
    <xf numFmtId="166" fontId="12" fillId="0" borderId="4" xfId="0" applyNumberFormat="1" applyFont="1" applyBorder="1" applyAlignment="1" applyProtection="1"/>
    <xf numFmtId="0" fontId="12" fillId="0" borderId="1" xfId="0" applyNumberFormat="1" applyFont="1" applyBorder="1" applyAlignment="1" applyProtection="1"/>
    <xf numFmtId="0" fontId="12" fillId="0" borderId="17" xfId="0" applyFont="1" applyBorder="1" applyAlignment="1"/>
    <xf numFmtId="166" fontId="12" fillId="0" borderId="7" xfId="0" applyNumberFormat="1" applyFont="1" applyBorder="1" applyAlignment="1" applyProtection="1"/>
    <xf numFmtId="0" fontId="12" fillId="0" borderId="20" xfId="0" applyNumberFormat="1" applyFont="1" applyBorder="1" applyAlignment="1">
      <alignment horizontal="center"/>
    </xf>
    <xf numFmtId="166" fontId="12" fillId="0" borderId="8" xfId="0" applyNumberFormat="1" applyFont="1" applyBorder="1" applyAlignment="1" applyProtection="1"/>
    <xf numFmtId="166" fontId="12" fillId="0" borderId="5" xfId="0" applyNumberFormat="1" applyFont="1" applyBorder="1" applyAlignment="1" applyProtection="1"/>
    <xf numFmtId="166" fontId="14" fillId="0" borderId="6" xfId="0" applyNumberFormat="1" applyFont="1" applyBorder="1" applyAlignment="1" applyProtection="1"/>
    <xf numFmtId="168" fontId="14" fillId="0" borderId="7" xfId="0" applyNumberFormat="1" applyFont="1" applyFill="1" applyBorder="1" applyProtection="1"/>
    <xf numFmtId="165" fontId="23" fillId="0" borderId="7" xfId="0" applyNumberFormat="1" applyFont="1" applyFill="1" applyBorder="1" applyProtection="1"/>
    <xf numFmtId="168" fontId="14" fillId="0" borderId="7" xfId="0" applyNumberFormat="1" applyFont="1" applyFill="1" applyBorder="1" applyAlignment="1" applyProtection="1">
      <alignment horizontal="right"/>
    </xf>
    <xf numFmtId="165" fontId="12" fillId="0" borderId="6" xfId="0" applyNumberFormat="1" applyFont="1" applyFill="1" applyBorder="1" applyAlignment="1" applyProtection="1">
      <alignment horizontal="center"/>
    </xf>
    <xf numFmtId="168" fontId="12" fillId="0" borderId="7" xfId="0" applyNumberFormat="1" applyFont="1" applyFill="1" applyBorder="1" applyAlignment="1" applyProtection="1">
      <alignment horizontal="right"/>
    </xf>
    <xf numFmtId="0" fontId="39" fillId="0" borderId="0" xfId="0" applyFont="1"/>
    <xf numFmtId="0" fontId="39" fillId="6" borderId="0" xfId="0" applyFont="1" applyFill="1"/>
    <xf numFmtId="0" fontId="48" fillId="0" borderId="19" xfId="0" applyFont="1" applyBorder="1" applyAlignment="1">
      <alignment vertical="center"/>
    </xf>
    <xf numFmtId="1" fontId="39" fillId="6" borderId="0" xfId="0" applyNumberFormat="1" applyFont="1" applyFill="1"/>
    <xf numFmtId="1" fontId="39" fillId="0" borderId="0" xfId="0" applyNumberFormat="1" applyFont="1"/>
    <xf numFmtId="0" fontId="48" fillId="0" borderId="19" xfId="0" applyFont="1" applyBorder="1" applyAlignment="1">
      <alignment horizontal="left" vertical="center" indent="1"/>
    </xf>
    <xf numFmtId="0" fontId="48" fillId="0" borderId="28" xfId="0" applyFont="1" applyBorder="1" applyAlignment="1">
      <alignment horizontal="left" vertical="center" indent="1"/>
    </xf>
    <xf numFmtId="0" fontId="9" fillId="0" borderId="9" xfId="0"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56" fillId="16" borderId="0" xfId="0" applyFont="1" applyFill="1" applyBorder="1" applyAlignment="1">
      <alignment horizontal="right" vertical="top" wrapText="1"/>
    </xf>
    <xf numFmtId="0" fontId="56" fillId="16" borderId="18" xfId="0" applyFont="1" applyFill="1" applyBorder="1" applyAlignment="1">
      <alignment horizontal="right" vertical="top" wrapText="1"/>
    </xf>
    <xf numFmtId="0" fontId="0" fillId="16" borderId="0" xfId="0" applyFill="1" applyBorder="1" applyAlignment="1">
      <alignment vertical="top" wrapText="1"/>
    </xf>
    <xf numFmtId="0" fontId="55" fillId="16" borderId="112" xfId="0" applyFont="1" applyFill="1" applyBorder="1" applyAlignment="1">
      <alignment horizontal="justify" vertical="top" wrapText="1"/>
    </xf>
    <xf numFmtId="0" fontId="55" fillId="16" borderId="103" xfId="0" applyFont="1" applyFill="1" applyBorder="1" applyAlignment="1">
      <alignment horizontal="justify" vertical="top" wrapText="1"/>
    </xf>
    <xf numFmtId="0" fontId="56" fillId="16" borderId="0" xfId="0" applyFont="1" applyFill="1" applyBorder="1" applyAlignment="1">
      <alignment horizontal="right" wrapText="1"/>
    </xf>
    <xf numFmtId="0" fontId="56" fillId="16" borderId="18" xfId="0" applyFont="1" applyFill="1" applyBorder="1" applyAlignment="1">
      <alignment horizontal="right" wrapText="1"/>
    </xf>
    <xf numFmtId="0" fontId="8" fillId="7" borderId="0" xfId="0" applyFont="1" applyFill="1"/>
    <xf numFmtId="0" fontId="0" fillId="5" borderId="0" xfId="0" applyFill="1" applyAlignment="1">
      <alignment horizontal="left" indent="1"/>
    </xf>
    <xf numFmtId="0" fontId="0" fillId="5" borderId="0" xfId="0" applyFill="1"/>
    <xf numFmtId="1" fontId="8" fillId="0" borderId="0" xfId="0" applyNumberFormat="1" applyFont="1" applyFill="1"/>
    <xf numFmtId="177" fontId="61" fillId="0" borderId="0" xfId="7" applyNumberFormat="1" applyFont="1" applyFill="1" applyBorder="1"/>
    <xf numFmtId="0" fontId="8" fillId="15" borderId="0" xfId="0" applyFont="1" applyFill="1"/>
    <xf numFmtId="1" fontId="8" fillId="0" borderId="0" xfId="0" applyNumberFormat="1" applyFont="1"/>
    <xf numFmtId="0" fontId="8" fillId="6" borderId="0" xfId="0" applyFont="1" applyFill="1"/>
    <xf numFmtId="1" fontId="0" fillId="6" borderId="0" xfId="0" applyNumberFormat="1" applyFill="1"/>
    <xf numFmtId="0" fontId="62" fillId="6" borderId="0" xfId="0" applyFont="1" applyFill="1"/>
    <xf numFmtId="168" fontId="62" fillId="6" borderId="0" xfId="0" applyNumberFormat="1" applyFont="1" applyFill="1"/>
    <xf numFmtId="0" fontId="10" fillId="6" borderId="0" xfId="0" applyFont="1" applyFill="1"/>
    <xf numFmtId="1" fontId="10" fillId="6" borderId="0" xfId="0" applyNumberFormat="1" applyFont="1" applyFill="1"/>
    <xf numFmtId="168" fontId="10" fillId="6" borderId="0" xfId="0" applyNumberFormat="1" applyFont="1" applyFill="1"/>
    <xf numFmtId="0" fontId="0" fillId="0" borderId="0" xfId="0" applyAlignment="1">
      <alignment horizontal="left" wrapText="1" indent="1"/>
    </xf>
    <xf numFmtId="168" fontId="0" fillId="6" borderId="0" xfId="0" applyNumberFormat="1" applyFill="1"/>
    <xf numFmtId="168" fontId="50" fillId="6" borderId="0" xfId="0" applyNumberFormat="1" applyFont="1" applyFill="1"/>
    <xf numFmtId="10" fontId="0" fillId="0" borderId="0" xfId="0" applyNumberFormat="1"/>
    <xf numFmtId="177" fontId="0" fillId="0" borderId="0" xfId="0" applyNumberFormat="1"/>
    <xf numFmtId="10" fontId="9" fillId="0" borderId="0" xfId="7" applyNumberFormat="1" applyFont="1" applyFill="1" applyBorder="1"/>
    <xf numFmtId="1" fontId="0" fillId="5" borderId="0" xfId="0" applyNumberFormat="1" applyFill="1"/>
    <xf numFmtId="1" fontId="0" fillId="8" borderId="0" xfId="0" applyNumberFormat="1" applyFill="1"/>
    <xf numFmtId="0" fontId="8" fillId="5" borderId="0" xfId="0" applyFont="1" applyFill="1"/>
    <xf numFmtId="0" fontId="0" fillId="17" borderId="20" xfId="0" applyFill="1" applyBorder="1"/>
    <xf numFmtId="176" fontId="49" fillId="17" borderId="20" xfId="1" quotePrefix="1" applyNumberFormat="1" applyFont="1" applyFill="1" applyBorder="1" applyAlignment="1">
      <alignment horizontal="right"/>
    </xf>
    <xf numFmtId="0" fontId="49" fillId="17" borderId="20" xfId="0" quotePrefix="1" applyFont="1" applyFill="1" applyBorder="1" applyAlignment="1">
      <alignment horizontal="right"/>
    </xf>
    <xf numFmtId="0" fontId="49" fillId="17" borderId="20" xfId="0" applyFont="1" applyFill="1" applyBorder="1" applyAlignment="1">
      <alignment horizontal="right"/>
    </xf>
    <xf numFmtId="0" fontId="0" fillId="14" borderId="9" xfId="0" applyFill="1" applyBorder="1"/>
    <xf numFmtId="168" fontId="0" fillId="14" borderId="9" xfId="0" applyNumberFormat="1" applyFill="1" applyBorder="1"/>
    <xf numFmtId="0" fontId="50" fillId="14" borderId="10" xfId="0" applyFont="1" applyFill="1" applyBorder="1" applyAlignment="1">
      <alignment vertical="center"/>
    </xf>
    <xf numFmtId="0" fontId="0" fillId="14" borderId="10" xfId="0" applyFill="1" applyBorder="1" applyAlignment="1">
      <alignment vertical="center"/>
    </xf>
    <xf numFmtId="168" fontId="50" fillId="14" borderId="10" xfId="0" applyNumberFormat="1" applyFont="1" applyFill="1" applyBorder="1" applyAlignment="1">
      <alignment vertical="center"/>
    </xf>
    <xf numFmtId="168" fontId="39" fillId="14" borderId="9" xfId="0" applyNumberFormat="1" applyFont="1" applyFill="1" applyBorder="1"/>
    <xf numFmtId="0" fontId="50" fillId="14" borderId="9" xfId="0" applyFont="1" applyFill="1" applyBorder="1"/>
    <xf numFmtId="168" fontId="50" fillId="14" borderId="9" xfId="0" applyNumberFormat="1" applyFont="1" applyFill="1" applyBorder="1"/>
    <xf numFmtId="0" fontId="7" fillId="14" borderId="9" xfId="0" applyFont="1" applyFill="1" applyBorder="1"/>
    <xf numFmtId="1" fontId="0" fillId="14" borderId="9" xfId="0" applyNumberFormat="1" applyFill="1" applyBorder="1"/>
    <xf numFmtId="2" fontId="9" fillId="14" borderId="9" xfId="0" applyNumberFormat="1" applyFont="1" applyFill="1" applyBorder="1"/>
    <xf numFmtId="0" fontId="50" fillId="14" borderId="9" xfId="0" applyFont="1" applyFill="1" applyBorder="1" applyAlignment="1">
      <alignment vertical="center"/>
    </xf>
    <xf numFmtId="0" fontId="0" fillId="14" borderId="9" xfId="0" applyFill="1" applyBorder="1" applyAlignment="1">
      <alignment vertical="center"/>
    </xf>
    <xf numFmtId="168" fontId="50" fillId="14" borderId="9" xfId="0" applyNumberFormat="1" applyFont="1" applyFill="1" applyBorder="1" applyAlignment="1">
      <alignment vertical="center"/>
    </xf>
    <xf numFmtId="1" fontId="7" fillId="14" borderId="9" xfId="0" applyNumberFormat="1" applyFont="1" applyFill="1" applyBorder="1"/>
    <xf numFmtId="0" fontId="52" fillId="14" borderId="9" xfId="0" applyFont="1" applyFill="1" applyBorder="1"/>
    <xf numFmtId="168" fontId="7" fillId="14" borderId="9" xfId="0" applyNumberFormat="1" applyFont="1" applyFill="1" applyBorder="1"/>
    <xf numFmtId="0" fontId="0" fillId="14" borderId="20" xfId="0" applyFill="1" applyBorder="1"/>
    <xf numFmtId="0" fontId="8" fillId="14" borderId="9" xfId="0" applyFont="1" applyFill="1" applyBorder="1"/>
    <xf numFmtId="0" fontId="0" fillId="14" borderId="9" xfId="0" applyFill="1" applyBorder="1" applyAlignment="1">
      <alignment horizontal="left" indent="2"/>
    </xf>
    <xf numFmtId="0" fontId="8" fillId="14" borderId="9" xfId="0" applyFont="1" applyFill="1" applyBorder="1" applyAlignment="1">
      <alignment horizontal="left" indent="1"/>
    </xf>
    <xf numFmtId="1" fontId="8" fillId="14" borderId="9" xfId="0" applyNumberFormat="1" applyFont="1" applyFill="1" applyBorder="1"/>
    <xf numFmtId="0" fontId="0" fillId="14" borderId="10" xfId="0" applyFill="1" applyBorder="1"/>
    <xf numFmtId="1" fontId="0" fillId="14" borderId="10" xfId="0" applyNumberFormat="1" applyFill="1" applyBorder="1"/>
    <xf numFmtId="17" fontId="25" fillId="0" borderId="19" xfId="0" quotePrefix="1" applyNumberFormat="1" applyFont="1" applyFill="1" applyBorder="1"/>
    <xf numFmtId="0" fontId="63" fillId="0" borderId="101" xfId="0" applyFont="1" applyBorder="1"/>
    <xf numFmtId="0" fontId="64" fillId="0" borderId="63" xfId="0" applyFont="1" applyBorder="1" applyAlignment="1">
      <alignment horizontal="left"/>
    </xf>
    <xf numFmtId="0" fontId="14" fillId="2" borderId="0" xfId="0" applyFont="1" applyFill="1" applyAlignment="1">
      <alignment horizontal="center" vertical="center" wrapText="1"/>
    </xf>
    <xf numFmtId="0" fontId="14" fillId="0" borderId="0" xfId="0" applyFont="1" applyAlignment="1">
      <alignment horizontal="center"/>
    </xf>
    <xf numFmtId="0" fontId="29" fillId="0" borderId="7" xfId="0" applyFont="1" applyBorder="1" applyAlignment="1">
      <alignment horizontal="center" wrapText="1"/>
    </xf>
    <xf numFmtId="0" fontId="21" fillId="0" borderId="0" xfId="0" applyFont="1" applyBorder="1" applyAlignment="1">
      <alignment horizontal="left" wrapText="1"/>
    </xf>
    <xf numFmtId="0" fontId="47" fillId="0" borderId="20" xfId="5" applyFont="1" applyBorder="1" applyAlignment="1"/>
    <xf numFmtId="0" fontId="12" fillId="0" borderId="20" xfId="0" applyFont="1" applyBorder="1" applyAlignment="1">
      <alignment horizontal="center" wrapText="1"/>
    </xf>
    <xf numFmtId="0" fontId="12" fillId="0" borderId="9" xfId="0" applyFont="1" applyBorder="1" applyAlignment="1">
      <alignment horizontal="center" wrapText="1"/>
    </xf>
    <xf numFmtId="0" fontId="12" fillId="0" borderId="10" xfId="0" applyFont="1" applyBorder="1" applyAlignment="1">
      <alignment horizontal="center" wrapText="1"/>
    </xf>
    <xf numFmtId="1" fontId="0" fillId="0" borderId="10" xfId="0" applyNumberFormat="1" applyBorder="1"/>
    <xf numFmtId="1" fontId="0" fillId="0" borderId="9" xfId="0" applyNumberFormat="1" applyFill="1" applyBorder="1"/>
    <xf numFmtId="1" fontId="0" fillId="0" borderId="10" xfId="0" applyNumberFormat="1" applyFill="1" applyBorder="1"/>
    <xf numFmtId="1" fontId="8" fillId="14" borderId="0" xfId="0" applyNumberFormat="1" applyFont="1" applyFill="1"/>
    <xf numFmtId="1" fontId="0" fillId="14" borderId="0" xfId="0" applyNumberFormat="1" applyFill="1"/>
    <xf numFmtId="168" fontId="0" fillId="14" borderId="9" xfId="0" applyNumberFormat="1" applyFill="1" applyBorder="1" applyAlignment="1">
      <alignment vertical="center"/>
    </xf>
    <xf numFmtId="0" fontId="50" fillId="14" borderId="10" xfId="0" applyFont="1" applyFill="1" applyBorder="1"/>
    <xf numFmtId="168" fontId="50" fillId="14" borderId="10" xfId="0" applyNumberFormat="1" applyFont="1" applyFill="1" applyBorder="1"/>
    <xf numFmtId="0" fontId="7" fillId="14" borderId="0" xfId="0" applyFont="1" applyFill="1"/>
    <xf numFmtId="168" fontId="25" fillId="14" borderId="9" xfId="0" applyNumberFormat="1" applyFont="1" applyFill="1" applyBorder="1"/>
    <xf numFmtId="168" fontId="9" fillId="14" borderId="9" xfId="0" applyNumberFormat="1" applyFont="1" applyFill="1" applyBorder="1"/>
    <xf numFmtId="0" fontId="22" fillId="14" borderId="9" xfId="0" applyFont="1" applyFill="1" applyBorder="1" applyAlignment="1">
      <alignment wrapText="1"/>
    </xf>
    <xf numFmtId="0" fontId="56" fillId="17" borderId="20" xfId="0" applyFont="1" applyFill="1" applyBorder="1" applyAlignment="1">
      <alignment horizontal="center"/>
    </xf>
    <xf numFmtId="0" fontId="50" fillId="0" borderId="9" xfId="0" applyFont="1" applyBorder="1"/>
    <xf numFmtId="168" fontId="51" fillId="0" borderId="9" xfId="0" applyNumberFormat="1" applyFont="1" applyBorder="1"/>
    <xf numFmtId="0" fontId="50" fillId="0" borderId="9" xfId="0" applyFont="1" applyBorder="1" applyAlignment="1">
      <alignment vertical="center"/>
    </xf>
    <xf numFmtId="0" fontId="0" fillId="0" borderId="17" xfId="0" applyFill="1" applyBorder="1"/>
    <xf numFmtId="0" fontId="9" fillId="14" borderId="9" xfId="0" applyFont="1" applyFill="1" applyBorder="1"/>
    <xf numFmtId="0" fontId="9" fillId="14" borderId="9" xfId="0" applyFont="1" applyFill="1" applyBorder="1" applyAlignment="1">
      <alignment vertical="center"/>
    </xf>
    <xf numFmtId="0" fontId="9" fillId="14" borderId="10" xfId="0" applyFont="1" applyFill="1" applyBorder="1" applyAlignment="1">
      <alignment vertical="center"/>
    </xf>
    <xf numFmtId="168" fontId="9" fillId="14" borderId="10" xfId="0" applyNumberFormat="1" applyFont="1" applyFill="1" applyBorder="1" applyAlignment="1">
      <alignment vertical="center"/>
    </xf>
    <xf numFmtId="168" fontId="25" fillId="14" borderId="9" xfId="0" applyNumberFormat="1" applyFont="1" applyFill="1" applyBorder="1" applyAlignment="1">
      <alignment vertical="center"/>
    </xf>
    <xf numFmtId="0" fontId="50" fillId="0" borderId="10" xfId="0" applyFont="1" applyBorder="1" applyAlignment="1">
      <alignment vertical="center"/>
    </xf>
    <xf numFmtId="0" fontId="50" fillId="0" borderId="9" xfId="0" applyFont="1" applyBorder="1" applyAlignment="1">
      <alignment wrapText="1"/>
    </xf>
    <xf numFmtId="0" fontId="25" fillId="0" borderId="9" xfId="0" applyFont="1" applyBorder="1"/>
    <xf numFmtId="0" fontId="18" fillId="0" borderId="9" xfId="0" applyFont="1" applyFill="1" applyBorder="1"/>
    <xf numFmtId="0" fontId="43" fillId="0" borderId="9" xfId="0" applyFont="1" applyFill="1" applyBorder="1"/>
    <xf numFmtId="0" fontId="14" fillId="0" borderId="17" xfId="0" applyFont="1" applyBorder="1" applyAlignment="1">
      <alignment horizontal="left" vertical="top"/>
    </xf>
    <xf numFmtId="0" fontId="12" fillId="0" borderId="17" xfId="0" applyFont="1" applyBorder="1" applyAlignment="1">
      <alignment horizontal="left" vertical="top"/>
    </xf>
    <xf numFmtId="2" fontId="0" fillId="14" borderId="9" xfId="0" applyNumberFormat="1" applyFill="1" applyBorder="1"/>
    <xf numFmtId="0" fontId="0" fillId="14" borderId="9" xfId="0" applyFill="1" applyBorder="1" applyAlignment="1">
      <alignment horizontal="left" vertical="center" indent="2"/>
    </xf>
    <xf numFmtId="1" fontId="0" fillId="14" borderId="9" xfId="0" applyNumberFormat="1" applyFill="1" applyBorder="1" applyAlignment="1">
      <alignment vertical="center"/>
    </xf>
    <xf numFmtId="0" fontId="0" fillId="0" borderId="0" xfId="0" applyAlignment="1">
      <alignment horizontal="left" vertical="center" indent="1"/>
    </xf>
    <xf numFmtId="0" fontId="0" fillId="0" borderId="0" xfId="0" applyAlignment="1">
      <alignment vertical="center"/>
    </xf>
    <xf numFmtId="0" fontId="8" fillId="17" borderId="28" xfId="0" applyFont="1" applyFill="1" applyBorder="1"/>
    <xf numFmtId="0" fontId="8" fillId="17" borderId="17" xfId="0" applyFont="1" applyFill="1" applyBorder="1"/>
    <xf numFmtId="0" fontId="0" fillId="14" borderId="14" xfId="0" applyFill="1" applyBorder="1"/>
    <xf numFmtId="0" fontId="0" fillId="14" borderId="19" xfId="0" applyFill="1" applyBorder="1"/>
    <xf numFmtId="1" fontId="0" fillId="14" borderId="19" xfId="0" applyNumberFormat="1" applyFill="1" applyBorder="1"/>
    <xf numFmtId="1" fontId="0" fillId="14" borderId="19" xfId="0" applyNumberFormat="1" applyFill="1" applyBorder="1" applyAlignment="1">
      <alignment vertical="center"/>
    </xf>
    <xf numFmtId="2" fontId="0" fillId="14" borderId="19" xfId="0" applyNumberFormat="1" applyFill="1" applyBorder="1"/>
    <xf numFmtId="1" fontId="8" fillId="14" borderId="19" xfId="0" applyNumberFormat="1" applyFont="1" applyFill="1" applyBorder="1"/>
    <xf numFmtId="1" fontId="0" fillId="14" borderId="28" xfId="0" applyNumberFormat="1" applyFill="1" applyBorder="1"/>
    <xf numFmtId="1" fontId="0" fillId="0" borderId="19" xfId="0" applyNumberFormat="1" applyFill="1" applyBorder="1"/>
    <xf numFmtId="1" fontId="0" fillId="0" borderId="28" xfId="0" applyNumberFormat="1" applyFill="1" applyBorder="1"/>
    <xf numFmtId="1" fontId="0" fillId="14" borderId="9" xfId="0" applyNumberFormat="1" applyFill="1" applyBorder="1" applyAlignment="1">
      <alignment vertical="center" wrapText="1"/>
    </xf>
    <xf numFmtId="1" fontId="9" fillId="14" borderId="9" xfId="0" applyNumberFormat="1" applyFont="1" applyFill="1" applyBorder="1"/>
    <xf numFmtId="1" fontId="0" fillId="5" borderId="9" xfId="0" applyNumberFormat="1" applyFill="1" applyBorder="1"/>
    <xf numFmtId="1" fontId="0" fillId="8" borderId="9" xfId="0" applyNumberFormat="1" applyFill="1" applyBorder="1"/>
    <xf numFmtId="0" fontId="8" fillId="17" borderId="9" xfId="0" applyFont="1" applyFill="1" applyBorder="1" applyAlignment="1">
      <alignment horizontal="center"/>
    </xf>
    <xf numFmtId="0" fontId="14" fillId="17" borderId="14"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8" fillId="17" borderId="9" xfId="0" applyFont="1" applyFill="1" applyBorder="1" applyAlignment="1">
      <alignment vertical="center" wrapText="1"/>
    </xf>
    <xf numFmtId="1" fontId="0" fillId="17" borderId="9" xfId="0" applyNumberFormat="1" applyFill="1" applyBorder="1" applyAlignment="1">
      <alignment vertical="center"/>
    </xf>
    <xf numFmtId="1" fontId="0" fillId="17" borderId="19" xfId="0" applyNumberFormat="1" applyFill="1" applyBorder="1" applyAlignment="1">
      <alignment vertical="center"/>
    </xf>
    <xf numFmtId="1" fontId="0" fillId="17" borderId="9" xfId="0" applyNumberFormat="1" applyFill="1" applyBorder="1" applyAlignment="1">
      <alignment vertical="center" wrapText="1"/>
    </xf>
    <xf numFmtId="0" fontId="0" fillId="17" borderId="10" xfId="0" applyFill="1" applyBorder="1"/>
    <xf numFmtId="1" fontId="0" fillId="17" borderId="10" xfId="0" applyNumberFormat="1" applyFill="1" applyBorder="1"/>
    <xf numFmtId="168" fontId="0" fillId="17" borderId="10" xfId="0" applyNumberFormat="1" applyFill="1" applyBorder="1"/>
    <xf numFmtId="0" fontId="47" fillId="0" borderId="35" xfId="0" applyFont="1" applyBorder="1"/>
    <xf numFmtId="0" fontId="47" fillId="0" borderId="9" xfId="0" applyFont="1" applyBorder="1" applyAlignment="1">
      <alignment wrapText="1"/>
    </xf>
    <xf numFmtId="168" fontId="18" fillId="0" borderId="9" xfId="0" applyNumberFormat="1" applyFont="1" applyBorder="1"/>
    <xf numFmtId="1" fontId="39" fillId="0" borderId="9" xfId="0" applyNumberFormat="1" applyFont="1" applyBorder="1"/>
    <xf numFmtId="1" fontId="0" fillId="17" borderId="9" xfId="0" applyNumberFormat="1" applyFill="1" applyBorder="1"/>
    <xf numFmtId="1" fontId="47" fillId="0" borderId="20" xfId="5" applyNumberFormat="1" applyFont="1" applyBorder="1" applyAlignment="1">
      <alignment horizontal="right" vertical="center" wrapText="1"/>
    </xf>
    <xf numFmtId="1" fontId="47" fillId="0" borderId="9" xfId="0" applyNumberFormat="1" applyFont="1" applyBorder="1"/>
    <xf numFmtId="1" fontId="47" fillId="0" borderId="9" xfId="5" applyNumberFormat="1" applyFont="1" applyBorder="1" applyAlignment="1">
      <alignment horizontal="right" vertical="center" wrapText="1"/>
    </xf>
    <xf numFmtId="0" fontId="0" fillId="0" borderId="10" xfId="0" applyBorder="1" applyAlignment="1">
      <alignment horizontal="right"/>
    </xf>
    <xf numFmtId="0" fontId="47" fillId="0" borderId="10" xfId="0" applyFont="1" applyBorder="1"/>
    <xf numFmtId="0" fontId="0" fillId="17" borderId="9" xfId="0" applyFill="1" applyBorder="1"/>
    <xf numFmtId="0" fontId="0" fillId="17" borderId="0" xfId="0" applyFill="1"/>
    <xf numFmtId="0" fontId="47" fillId="17" borderId="9" xfId="0" applyFont="1" applyFill="1" applyBorder="1"/>
    <xf numFmtId="1" fontId="47" fillId="17" borderId="9" xfId="0" applyNumberFormat="1" applyFont="1" applyFill="1" applyBorder="1"/>
    <xf numFmtId="0" fontId="47" fillId="17" borderId="0" xfId="0" applyFont="1" applyFill="1"/>
    <xf numFmtId="0" fontId="47" fillId="17" borderId="14" xfId="0" applyFont="1" applyFill="1" applyBorder="1"/>
    <xf numFmtId="1" fontId="47" fillId="17" borderId="15" xfId="0" applyNumberFormat="1" applyFont="1" applyFill="1" applyBorder="1"/>
    <xf numFmtId="1" fontId="47" fillId="17" borderId="16" xfId="0" applyNumberFormat="1" applyFont="1" applyFill="1" applyBorder="1"/>
    <xf numFmtId="2" fontId="47" fillId="0" borderId="9" xfId="0" applyNumberFormat="1" applyFont="1" applyBorder="1"/>
    <xf numFmtId="168" fontId="0" fillId="17" borderId="9" xfId="0" applyNumberFormat="1" applyFill="1" applyBorder="1"/>
    <xf numFmtId="2" fontId="47" fillId="17" borderId="9" xfId="0" applyNumberFormat="1" applyFont="1" applyFill="1" applyBorder="1"/>
    <xf numFmtId="0" fontId="30" fillId="0" borderId="13" xfId="0" applyFont="1" applyBorder="1" applyProtection="1">
      <protection locked="0"/>
    </xf>
    <xf numFmtId="167" fontId="12" fillId="0" borderId="8" xfId="0" applyNumberFormat="1" applyFont="1" applyBorder="1" applyAlignment="1" applyProtection="1">
      <alignment horizontal="center"/>
      <protection locked="0"/>
    </xf>
    <xf numFmtId="167" fontId="12" fillId="0" borderId="9" xfId="0" applyNumberFormat="1" applyFont="1" applyBorder="1" applyAlignment="1">
      <alignment horizontal="center"/>
    </xf>
    <xf numFmtId="167" fontId="12" fillId="0" borderId="0" xfId="0" applyNumberFormat="1" applyFont="1" applyBorder="1"/>
    <xf numFmtId="168" fontId="12" fillId="0" borderId="6" xfId="0" applyNumberFormat="1" applyFont="1" applyFill="1" applyBorder="1"/>
    <xf numFmtId="168" fontId="12" fillId="0" borderId="6" xfId="0" applyNumberFormat="1" applyFont="1" applyBorder="1"/>
    <xf numFmtId="168" fontId="12" fillId="0" borderId="25" xfId="0" applyNumberFormat="1" applyFont="1" applyBorder="1" applyProtection="1">
      <protection locked="0"/>
    </xf>
    <xf numFmtId="1" fontId="12" fillId="0" borderId="9" xfId="0" applyNumberFormat="1" applyFont="1" applyBorder="1" applyProtection="1">
      <protection locked="0"/>
    </xf>
    <xf numFmtId="1" fontId="12" fillId="0" borderId="0" xfId="0" applyNumberFormat="1" applyFont="1" applyBorder="1" applyProtection="1">
      <protection locked="0"/>
    </xf>
    <xf numFmtId="168" fontId="12" fillId="0" borderId="0" xfId="0" applyNumberFormat="1" applyFont="1" applyBorder="1" applyProtection="1">
      <protection locked="0"/>
    </xf>
    <xf numFmtId="1" fontId="12" fillId="0" borderId="6" xfId="1" applyNumberFormat="1" applyFont="1" applyFill="1" applyBorder="1" applyProtection="1"/>
    <xf numFmtId="1" fontId="12" fillId="0" borderId="2" xfId="1" applyNumberFormat="1" applyFont="1" applyFill="1" applyBorder="1" applyProtection="1"/>
    <xf numFmtId="168" fontId="12" fillId="0" borderId="2" xfId="1" applyNumberFormat="1" applyFont="1" applyBorder="1" applyProtection="1"/>
    <xf numFmtId="1" fontId="12" fillId="0" borderId="6" xfId="1" applyNumberFormat="1" applyFont="1" applyFill="1" applyBorder="1"/>
    <xf numFmtId="1" fontId="12" fillId="0" borderId="25" xfId="1" applyNumberFormat="1" applyFont="1" applyBorder="1"/>
    <xf numFmtId="1" fontId="12" fillId="0" borderId="9" xfId="1" applyNumberFormat="1" applyFont="1" applyBorder="1"/>
    <xf numFmtId="1" fontId="12" fillId="0" borderId="0" xfId="1" applyNumberFormat="1" applyFont="1" applyBorder="1"/>
    <xf numFmtId="1" fontId="12" fillId="0" borderId="9" xfId="1" applyNumberFormat="1" applyFont="1" applyBorder="1" applyProtection="1">
      <protection locked="0"/>
    </xf>
    <xf numFmtId="1" fontId="13" fillId="0" borderId="0" xfId="1" applyNumberFormat="1" applyFont="1" applyBorder="1" applyProtection="1">
      <protection locked="0"/>
    </xf>
    <xf numFmtId="1" fontId="13" fillId="0" borderId="9" xfId="1" applyNumberFormat="1" applyFont="1" applyBorder="1" applyProtection="1">
      <protection locked="0"/>
    </xf>
    <xf numFmtId="1" fontId="12" fillId="0" borderId="25" xfId="1" applyNumberFormat="1" applyFont="1" applyFill="1" applyBorder="1" applyProtection="1">
      <protection locked="0"/>
    </xf>
    <xf numFmtId="1" fontId="12" fillId="0" borderId="9" xfId="1" applyNumberFormat="1" applyFont="1" applyFill="1" applyBorder="1" applyProtection="1">
      <protection locked="0"/>
    </xf>
    <xf numFmtId="1" fontId="13" fillId="0" borderId="0" xfId="1" applyNumberFormat="1" applyFont="1" applyFill="1" applyBorder="1" applyProtection="1">
      <protection locked="0"/>
    </xf>
    <xf numFmtId="1" fontId="13" fillId="0" borderId="9" xfId="1" applyNumberFormat="1" applyFont="1" applyFill="1" applyBorder="1" applyProtection="1">
      <protection locked="0"/>
    </xf>
    <xf numFmtId="168" fontId="12" fillId="0" borderId="0" xfId="1" applyNumberFormat="1" applyFont="1" applyFill="1" applyBorder="1" applyProtection="1"/>
    <xf numFmtId="168" fontId="12" fillId="0" borderId="0" xfId="1" applyNumberFormat="1" applyFont="1" applyFill="1" applyBorder="1" applyProtection="1">
      <protection locked="0"/>
    </xf>
    <xf numFmtId="1" fontId="12" fillId="0" borderId="18" xfId="0" applyNumberFormat="1" applyFont="1" applyBorder="1"/>
    <xf numFmtId="1" fontId="12" fillId="0" borderId="9" xfId="0" applyNumberFormat="1" applyFont="1" applyBorder="1"/>
    <xf numFmtId="1" fontId="13" fillId="0" borderId="9" xfId="0" applyNumberFormat="1" applyFont="1" applyBorder="1"/>
    <xf numFmtId="168" fontId="12" fillId="0" borderId="0" xfId="0" applyNumberFormat="1" applyFont="1" applyBorder="1"/>
    <xf numFmtId="0" fontId="12" fillId="0" borderId="29" xfId="0" applyFont="1" applyBorder="1" applyAlignment="1">
      <alignment wrapText="1"/>
    </xf>
    <xf numFmtId="0" fontId="12" fillId="0" borderId="29" xfId="0" applyFont="1" applyBorder="1" applyAlignment="1" applyProtection="1">
      <alignment wrapText="1"/>
      <protection locked="0"/>
    </xf>
    <xf numFmtId="0" fontId="0" fillId="0" borderId="6" xfId="0" applyBorder="1" applyAlignment="1">
      <alignment wrapText="1"/>
    </xf>
    <xf numFmtId="1" fontId="12" fillId="0" borderId="6" xfId="1" applyNumberFormat="1" applyFont="1" applyBorder="1" applyAlignment="1">
      <alignment horizontal="center"/>
    </xf>
    <xf numFmtId="1" fontId="12" fillId="0" borderId="0" xfId="1" applyNumberFormat="1" applyFont="1" applyBorder="1" applyProtection="1">
      <protection locked="0"/>
    </xf>
    <xf numFmtId="0" fontId="12" fillId="0" borderId="27" xfId="0" applyFont="1" applyBorder="1"/>
    <xf numFmtId="0" fontId="65" fillId="3" borderId="0" xfId="0" applyFont="1" applyFill="1"/>
    <xf numFmtId="0" fontId="66" fillId="0" borderId="0" xfId="0" applyFont="1"/>
    <xf numFmtId="167" fontId="14" fillId="0" borderId="0" xfId="0" applyNumberFormat="1" applyFont="1"/>
    <xf numFmtId="0" fontId="14" fillId="4" borderId="0" xfId="0" applyFont="1" applyFill="1"/>
    <xf numFmtId="0" fontId="12" fillId="0" borderId="14" xfId="0" applyFont="1" applyBorder="1" applyProtection="1">
      <protection locked="0"/>
    </xf>
    <xf numFmtId="0" fontId="12" fillId="0" borderId="33" xfId="0" applyFont="1" applyBorder="1" applyProtection="1">
      <protection locked="0"/>
    </xf>
    <xf numFmtId="0" fontId="29" fillId="0" borderId="15" xfId="0" applyFont="1" applyBorder="1" applyAlignment="1" applyProtection="1">
      <alignment horizontal="center" wrapText="1"/>
      <protection locked="0"/>
    </xf>
    <xf numFmtId="0" fontId="12" fillId="0" borderId="19" xfId="0" applyFont="1" applyBorder="1" applyProtection="1">
      <protection locked="0"/>
    </xf>
    <xf numFmtId="0" fontId="29" fillId="0" borderId="0" xfId="0" applyFont="1" applyBorder="1" applyAlignment="1">
      <alignment horizontal="center" wrapText="1"/>
    </xf>
    <xf numFmtId="0" fontId="12" fillId="0" borderId="19" xfId="0" applyFont="1" applyBorder="1" applyAlignment="1" applyProtection="1">
      <alignment horizontal="right"/>
      <protection locked="0"/>
    </xf>
    <xf numFmtId="0" fontId="29" fillId="0" borderId="1" xfId="0" applyFont="1" applyBorder="1" applyAlignment="1">
      <alignment horizontal="center" wrapText="1"/>
    </xf>
    <xf numFmtId="0" fontId="30" fillId="0" borderId="0" xfId="0" applyFont="1" applyBorder="1"/>
    <xf numFmtId="0" fontId="12" fillId="0" borderId="58" xfId="0" applyFont="1" applyBorder="1" applyProtection="1">
      <protection locked="0"/>
    </xf>
    <xf numFmtId="167" fontId="12" fillId="0" borderId="6" xfId="0" applyNumberFormat="1" applyFont="1" applyBorder="1" applyAlignment="1">
      <alignment horizontal="center"/>
    </xf>
    <xf numFmtId="167" fontId="12" fillId="0" borderId="1" xfId="0" applyNumberFormat="1" applyFont="1" applyBorder="1" applyAlignment="1">
      <alignment horizontal="center"/>
    </xf>
    <xf numFmtId="0" fontId="30" fillId="0" borderId="0" xfId="0" applyFont="1" applyBorder="1" applyAlignment="1">
      <alignment horizontal="center" wrapText="1"/>
    </xf>
    <xf numFmtId="0" fontId="12" fillId="0" borderId="55" xfId="0" applyFont="1" applyBorder="1" applyProtection="1">
      <protection locked="0"/>
    </xf>
    <xf numFmtId="0" fontId="29" fillId="0" borderId="12" xfId="0" applyFont="1" applyBorder="1" applyProtection="1">
      <protection locked="0"/>
    </xf>
    <xf numFmtId="0" fontId="30" fillId="0" borderId="18" xfId="0" applyFont="1" applyBorder="1"/>
    <xf numFmtId="0" fontId="12" fillId="0" borderId="29" xfId="0" applyFont="1" applyBorder="1" applyProtection="1">
      <protection locked="0"/>
    </xf>
    <xf numFmtId="0" fontId="29" fillId="0" borderId="0" xfId="0" applyFont="1" applyBorder="1" applyAlignment="1" applyProtection="1">
      <alignment horizontal="right"/>
      <protection locked="0"/>
    </xf>
    <xf numFmtId="1" fontId="12" fillId="0" borderId="0" xfId="1" applyNumberFormat="1" applyFont="1" applyFill="1" applyBorder="1" applyProtection="1">
      <protection locked="0"/>
    </xf>
    <xf numFmtId="165" fontId="13" fillId="0" borderId="25" xfId="0" applyNumberFormat="1" applyFont="1" applyBorder="1"/>
    <xf numFmtId="165" fontId="30" fillId="0" borderId="18" xfId="0" applyNumberFormat="1" applyFont="1" applyBorder="1"/>
    <xf numFmtId="165" fontId="30" fillId="0" borderId="0" xfId="0" applyNumberFormat="1" applyFont="1" applyBorder="1"/>
    <xf numFmtId="0" fontId="12" fillId="0" borderId="29" xfId="0" applyFont="1" applyBorder="1"/>
    <xf numFmtId="1" fontId="29" fillId="0" borderId="6" xfId="1" applyNumberFormat="1" applyFont="1" applyBorder="1" applyProtection="1">
      <protection locked="0"/>
    </xf>
    <xf numFmtId="0" fontId="12" fillId="0" borderId="29" xfId="0" applyFont="1" applyFill="1" applyBorder="1" applyProtection="1">
      <protection locked="0"/>
    </xf>
    <xf numFmtId="167" fontId="12" fillId="0" borderId="6" xfId="0" applyNumberFormat="1" applyFont="1" applyBorder="1"/>
    <xf numFmtId="0" fontId="12" fillId="0" borderId="7" xfId="0" applyFont="1" applyBorder="1" applyAlignment="1">
      <alignment wrapText="1"/>
    </xf>
    <xf numFmtId="1" fontId="12" fillId="0" borderId="6" xfId="1" applyNumberFormat="1" applyFont="1" applyBorder="1" applyAlignment="1" applyProtection="1">
      <alignment horizontal="center"/>
      <protection locked="0"/>
    </xf>
    <xf numFmtId="0" fontId="12" fillId="0" borderId="55" xfId="0" applyFont="1" applyBorder="1"/>
    <xf numFmtId="1" fontId="29" fillId="0" borderId="13" xfId="1" applyNumberFormat="1" applyFont="1" applyFill="1" applyBorder="1" applyProtection="1">
      <protection locked="0"/>
    </xf>
    <xf numFmtId="168" fontId="29" fillId="0" borderId="12" xfId="1" applyNumberFormat="1" applyFont="1" applyBorder="1" applyProtection="1">
      <protection locked="0"/>
    </xf>
    <xf numFmtId="165" fontId="12" fillId="0" borderId="59" xfId="0" applyNumberFormat="1" applyFont="1" applyBorder="1"/>
    <xf numFmtId="0" fontId="12" fillId="0" borderId="30" xfId="0" applyFont="1" applyBorder="1"/>
    <xf numFmtId="1" fontId="12" fillId="0" borderId="31" xfId="1" applyNumberFormat="1" applyFont="1" applyFill="1" applyBorder="1" applyProtection="1">
      <protection locked="0"/>
    </xf>
    <xf numFmtId="168" fontId="12" fillId="0" borderId="27" xfId="1" applyNumberFormat="1" applyFont="1" applyBorder="1" applyProtection="1">
      <protection locked="0"/>
    </xf>
    <xf numFmtId="1" fontId="12" fillId="0" borderId="27" xfId="1" applyNumberFormat="1" applyFont="1" applyBorder="1" applyProtection="1">
      <protection locked="0"/>
    </xf>
    <xf numFmtId="165" fontId="12" fillId="0" borderId="15" xfId="0" applyNumberFormat="1" applyFont="1" applyBorder="1"/>
    <xf numFmtId="165" fontId="12" fillId="0" borderId="0" xfId="0" applyNumberFormat="1" applyFont="1" applyBorder="1"/>
    <xf numFmtId="167" fontId="12" fillId="8" borderId="0" xfId="0" applyNumberFormat="1" applyFont="1" applyFill="1"/>
    <xf numFmtId="167" fontId="30" fillId="0" borderId="0" xfId="0" applyNumberFormat="1" applyFont="1"/>
    <xf numFmtId="165" fontId="30" fillId="0" borderId="0" xfId="0" applyNumberFormat="1" applyFont="1"/>
    <xf numFmtId="167" fontId="12" fillId="0" borderId="0" xfId="0" applyNumberFormat="1" applyFont="1"/>
    <xf numFmtId="0" fontId="12" fillId="14" borderId="0" xfId="0" applyFont="1" applyFill="1"/>
    <xf numFmtId="0" fontId="0" fillId="0" borderId="0" xfId="0" applyFill="1" applyBorder="1" applyAlignment="1">
      <alignment horizontal="right"/>
    </xf>
    <xf numFmtId="0" fontId="12" fillId="0" borderId="0" xfId="0" applyFont="1" applyFill="1" applyBorder="1" applyProtection="1">
      <protection locked="0"/>
    </xf>
    <xf numFmtId="49" fontId="12" fillId="0" borderId="0" xfId="0" applyNumberFormat="1" applyFont="1" applyFill="1" applyBorder="1"/>
    <xf numFmtId="49" fontId="12" fillId="0" borderId="0" xfId="0" applyNumberFormat="1" applyFont="1" applyFill="1" applyBorder="1" applyProtection="1">
      <protection locked="0"/>
    </xf>
    <xf numFmtId="1" fontId="29" fillId="0" borderId="0" xfId="1" applyNumberFormat="1" applyFont="1" applyFill="1" applyBorder="1" applyProtection="1"/>
    <xf numFmtId="0" fontId="29" fillId="0" borderId="0" xfId="0" applyFont="1" applyFill="1" applyBorder="1" applyAlignment="1"/>
    <xf numFmtId="165" fontId="0" fillId="0" borderId="0" xfId="0" applyNumberFormat="1" applyBorder="1" applyAlignment="1"/>
    <xf numFmtId="167" fontId="12" fillId="0" borderId="28" xfId="0" applyNumberFormat="1" applyFont="1" applyBorder="1" applyAlignment="1">
      <alignment horizontal="center"/>
    </xf>
    <xf numFmtId="0" fontId="12" fillId="0" borderId="20" xfId="0" applyFont="1" applyBorder="1" applyProtection="1">
      <protection locked="0"/>
    </xf>
    <xf numFmtId="0" fontId="12" fillId="0" borderId="9" xfId="0" applyFont="1" applyBorder="1" applyProtection="1">
      <protection locked="0"/>
    </xf>
    <xf numFmtId="168" fontId="12" fillId="0" borderId="10" xfId="1" applyNumberFormat="1" applyFont="1" applyBorder="1" applyProtection="1"/>
    <xf numFmtId="168" fontId="12" fillId="0" borderId="9" xfId="1" applyNumberFormat="1" applyFont="1" applyBorder="1" applyProtection="1"/>
    <xf numFmtId="0" fontId="12" fillId="0" borderId="0" xfId="0" applyFont="1" applyBorder="1" applyProtection="1">
      <protection locked="0"/>
    </xf>
    <xf numFmtId="1" fontId="12" fillId="0" borderId="7" xfId="1" applyNumberFormat="1" applyFont="1" applyFill="1" applyBorder="1" applyProtection="1"/>
    <xf numFmtId="1" fontId="12" fillId="0" borderId="9" xfId="1" applyNumberFormat="1" applyFont="1" applyFill="1" applyBorder="1" applyProtection="1"/>
    <xf numFmtId="0" fontId="14" fillId="0" borderId="0" xfId="0" applyFont="1" applyBorder="1"/>
    <xf numFmtId="1" fontId="14" fillId="0" borderId="0" xfId="0" applyNumberFormat="1" applyFont="1" applyBorder="1"/>
    <xf numFmtId="0" fontId="14" fillId="0" borderId="113" xfId="0" applyFont="1" applyBorder="1"/>
    <xf numFmtId="1" fontId="14" fillId="0" borderId="113" xfId="0" applyNumberFormat="1" applyFont="1" applyBorder="1"/>
    <xf numFmtId="0" fontId="14" fillId="0" borderId="114" xfId="0" applyFont="1" applyFill="1" applyBorder="1"/>
    <xf numFmtId="1" fontId="14" fillId="0" borderId="114" xfId="0" applyNumberFormat="1" applyFont="1" applyBorder="1"/>
    <xf numFmtId="0" fontId="14" fillId="0" borderId="0" xfId="0" applyFont="1" applyFill="1" applyBorder="1" applyAlignment="1">
      <alignment wrapText="1"/>
    </xf>
    <xf numFmtId="0" fontId="14" fillId="0" borderId="0" xfId="0" applyFont="1" applyFill="1" applyBorder="1" applyAlignment="1">
      <alignment vertical="center" wrapText="1"/>
    </xf>
    <xf numFmtId="0" fontId="14" fillId="0" borderId="115" xfId="0" applyFont="1" applyFill="1" applyBorder="1"/>
    <xf numFmtId="168" fontId="14" fillId="0" borderId="115" xfId="0" applyNumberFormat="1" applyFont="1" applyBorder="1"/>
    <xf numFmtId="0" fontId="22" fillId="0" borderId="116" xfId="0" applyFont="1" applyFill="1" applyBorder="1" applyAlignment="1">
      <alignment wrapText="1"/>
    </xf>
    <xf numFmtId="0" fontId="68" fillId="0" borderId="113" xfId="0" applyFont="1" applyFill="1" applyBorder="1"/>
    <xf numFmtId="0" fontId="19" fillId="0" borderId="113" xfId="0" applyFont="1" applyFill="1" applyBorder="1"/>
    <xf numFmtId="0" fontId="56" fillId="0" borderId="113" xfId="0" quotePrefix="1" applyFont="1" applyFill="1" applyBorder="1" applyAlignment="1">
      <alignment horizontal="right"/>
    </xf>
    <xf numFmtId="0" fontId="56" fillId="0" borderId="113" xfId="0" applyFont="1" applyFill="1" applyBorder="1" applyAlignment="1">
      <alignment horizontal="right"/>
    </xf>
    <xf numFmtId="0" fontId="19" fillId="0" borderId="0" xfId="0" applyFont="1" applyFill="1" applyBorder="1"/>
    <xf numFmtId="1" fontId="19" fillId="0" borderId="0" xfId="0" applyNumberFormat="1" applyFont="1" applyFill="1" applyBorder="1"/>
    <xf numFmtId="0" fontId="68" fillId="0" borderId="0" xfId="0" applyFont="1" applyFill="1" applyBorder="1" applyAlignment="1">
      <alignment vertical="center"/>
    </xf>
    <xf numFmtId="168" fontId="68" fillId="0" borderId="0" xfId="0" applyNumberFormat="1" applyFont="1" applyFill="1" applyBorder="1" applyAlignment="1">
      <alignment vertical="center"/>
    </xf>
    <xf numFmtId="0" fontId="19" fillId="0" borderId="0" xfId="0" applyFont="1" applyFill="1" applyBorder="1" applyAlignment="1">
      <alignment wrapText="1"/>
    </xf>
    <xf numFmtId="0" fontId="68" fillId="0" borderId="116" xfId="0" applyFont="1" applyFill="1" applyBorder="1" applyAlignment="1">
      <alignment vertical="center"/>
    </xf>
    <xf numFmtId="0" fontId="19" fillId="0" borderId="116" xfId="0" applyFont="1" applyFill="1" applyBorder="1"/>
    <xf numFmtId="168" fontId="68" fillId="0" borderId="116" xfId="0" applyNumberFormat="1" applyFont="1" applyFill="1" applyBorder="1" applyAlignment="1">
      <alignment vertical="center"/>
    </xf>
    <xf numFmtId="0" fontId="30" fillId="0" borderId="32" xfId="0" applyFont="1" applyBorder="1" applyProtection="1">
      <protection locked="0"/>
    </xf>
    <xf numFmtId="0" fontId="12" fillId="0" borderId="32" xfId="0" applyFont="1" applyFill="1" applyBorder="1"/>
    <xf numFmtId="0" fontId="12" fillId="0" borderId="111" xfId="0" applyFont="1" applyBorder="1"/>
    <xf numFmtId="0" fontId="12" fillId="0" borderId="28" xfId="0" applyFont="1" applyBorder="1"/>
    <xf numFmtId="1" fontId="13" fillId="0" borderId="0" xfId="0" applyNumberFormat="1" applyFont="1" applyBorder="1"/>
    <xf numFmtId="0" fontId="12" fillId="0" borderId="29" xfId="0" applyFont="1" applyBorder="1" applyAlignment="1"/>
    <xf numFmtId="168" fontId="12" fillId="0" borderId="28" xfId="1" applyNumberFormat="1" applyFont="1" applyBorder="1" applyProtection="1"/>
    <xf numFmtId="0" fontId="12" fillId="0" borderId="9" xfId="0" applyFont="1" applyBorder="1" applyAlignment="1">
      <alignment wrapText="1"/>
    </xf>
    <xf numFmtId="0" fontId="12" fillId="0" borderId="27" xfId="0" applyFont="1" applyBorder="1" applyAlignment="1"/>
    <xf numFmtId="165" fontId="12" fillId="0" borderId="27" xfId="0" applyNumberFormat="1" applyFont="1" applyBorder="1" applyAlignment="1"/>
    <xf numFmtId="165" fontId="12" fillId="0" borderId="21" xfId="0" applyNumberFormat="1" applyFont="1" applyBorder="1" applyAlignment="1"/>
    <xf numFmtId="165" fontId="12" fillId="0" borderId="23" xfId="0" applyNumberFormat="1" applyFont="1" applyBorder="1" applyAlignment="1"/>
    <xf numFmtId="165" fontId="12" fillId="0" borderId="15" xfId="0" applyNumberFormat="1" applyFont="1" applyBorder="1" applyAlignment="1"/>
    <xf numFmtId="165" fontId="12" fillId="0" borderId="20" xfId="0" applyNumberFormat="1" applyFont="1" applyBorder="1" applyAlignment="1"/>
    <xf numFmtId="165" fontId="12" fillId="0" borderId="16" xfId="0" applyNumberFormat="1" applyFont="1" applyBorder="1" applyAlignment="1"/>
    <xf numFmtId="165" fontId="12" fillId="0" borderId="14" xfId="0" applyNumberFormat="1" applyFont="1" applyBorder="1" applyAlignment="1"/>
    <xf numFmtId="0" fontId="12" fillId="0" borderId="10" xfId="0" applyFont="1" applyBorder="1" applyAlignment="1">
      <alignment wrapText="1"/>
    </xf>
    <xf numFmtId="0" fontId="54" fillId="0" borderId="113" xfId="0" applyFont="1" applyBorder="1"/>
    <xf numFmtId="0" fontId="54" fillId="0" borderId="113" xfId="0" applyFont="1" applyFill="1" applyBorder="1"/>
    <xf numFmtId="0" fontId="54" fillId="0" borderId="113" xfId="0" applyFont="1" applyBorder="1" applyAlignment="1">
      <alignment horizontal="center" wrapText="1"/>
    </xf>
    <xf numFmtId="0" fontId="54" fillId="0" borderId="0" xfId="0" applyFont="1" applyBorder="1" applyAlignment="1">
      <alignment wrapText="1"/>
    </xf>
    <xf numFmtId="0" fontId="54" fillId="0" borderId="0" xfId="0" applyFont="1" applyFill="1" applyBorder="1"/>
    <xf numFmtId="168" fontId="54" fillId="0" borderId="0" xfId="1" applyNumberFormat="1" applyFont="1" applyBorder="1" applyProtection="1"/>
    <xf numFmtId="0" fontId="54" fillId="0" borderId="0" xfId="0" applyFont="1" applyBorder="1" applyAlignment="1"/>
    <xf numFmtId="165" fontId="54" fillId="0" borderId="0" xfId="0" applyNumberFormat="1" applyFont="1" applyBorder="1" applyAlignment="1"/>
    <xf numFmtId="0" fontId="54" fillId="0" borderId="116" xfId="0" applyFont="1" applyBorder="1" applyAlignment="1"/>
    <xf numFmtId="0" fontId="54" fillId="0" borderId="116" xfId="0" applyFont="1" applyFill="1" applyBorder="1"/>
    <xf numFmtId="165" fontId="54" fillId="0" borderId="116" xfId="0" applyNumberFormat="1" applyFont="1" applyBorder="1" applyAlignment="1"/>
    <xf numFmtId="0" fontId="23" fillId="0" borderId="0" xfId="0" applyFont="1"/>
    <xf numFmtId="0" fontId="69" fillId="0" borderId="0" xfId="0" applyFont="1"/>
    <xf numFmtId="2" fontId="29" fillId="0" borderId="0" xfId="0" applyNumberFormat="1" applyFont="1" applyFill="1" applyBorder="1" applyAlignment="1"/>
    <xf numFmtId="2" fontId="12" fillId="0" borderId="0" xfId="0" applyNumberFormat="1" applyFont="1" applyFill="1" applyBorder="1"/>
    <xf numFmtId="168" fontId="47" fillId="0" borderId="9" xfId="0" applyNumberFormat="1" applyFont="1" applyBorder="1"/>
    <xf numFmtId="0" fontId="0" fillId="0" borderId="9" xfId="0" applyFill="1" applyBorder="1" applyAlignment="1">
      <alignment horizontal="right"/>
    </xf>
    <xf numFmtId="0" fontId="7" fillId="17" borderId="9" xfId="0" applyFont="1" applyFill="1" applyBorder="1"/>
    <xf numFmtId="1" fontId="47" fillId="0" borderId="9" xfId="0" applyNumberFormat="1" applyFont="1" applyFill="1" applyBorder="1"/>
    <xf numFmtId="168" fontId="18" fillId="0" borderId="9" xfId="0" applyNumberFormat="1" applyFont="1" applyFill="1" applyBorder="1"/>
    <xf numFmtId="168" fontId="39" fillId="0" borderId="0" xfId="0" applyNumberFormat="1" applyFont="1"/>
    <xf numFmtId="0" fontId="9" fillId="0" borderId="0" xfId="0" applyFont="1" applyFill="1" applyBorder="1" applyAlignment="1">
      <alignment horizontal="right"/>
    </xf>
    <xf numFmtId="0" fontId="9" fillId="0" borderId="19" xfId="0" applyFont="1" applyBorder="1" applyAlignment="1">
      <alignment horizontal="center" vertical="center"/>
    </xf>
    <xf numFmtId="1" fontId="0" fillId="3" borderId="0" xfId="0" applyNumberFormat="1" applyFill="1"/>
    <xf numFmtId="168" fontId="9" fillId="0" borderId="0" xfId="0" applyNumberFormat="1" applyFont="1" applyAlignment="1">
      <alignment horizontal="center" vertical="center"/>
    </xf>
    <xf numFmtId="173" fontId="9" fillId="0" borderId="9" xfId="0" applyNumberFormat="1" applyFont="1" applyFill="1" applyBorder="1" applyAlignment="1">
      <alignment horizontal="right" vertical="center"/>
    </xf>
    <xf numFmtId="1" fontId="8" fillId="0" borderId="9" xfId="0" applyNumberFormat="1" applyFont="1" applyBorder="1" applyAlignment="1">
      <alignment horizontal="right" vertical="center"/>
    </xf>
    <xf numFmtId="0" fontId="9" fillId="0" borderId="9" xfId="0" applyNumberFormat="1" applyFont="1" applyBorder="1" applyAlignment="1">
      <alignment horizontal="right" vertical="center"/>
    </xf>
    <xf numFmtId="168" fontId="9" fillId="3" borderId="9" xfId="0" applyNumberFormat="1" applyFont="1" applyFill="1" applyBorder="1" applyAlignment="1">
      <alignment horizontal="right" vertical="center"/>
    </xf>
    <xf numFmtId="0" fontId="9" fillId="0" borderId="9" xfId="0" applyNumberFormat="1" applyFont="1" applyFill="1" applyBorder="1" applyAlignment="1">
      <alignment horizontal="right" vertical="center"/>
    </xf>
    <xf numFmtId="173" fontId="9" fillId="0" borderId="9" xfId="0" applyNumberFormat="1" applyFont="1" applyBorder="1" applyAlignment="1">
      <alignment horizontal="right" vertical="center"/>
    </xf>
    <xf numFmtId="173" fontId="9" fillId="0" borderId="20" xfId="0" applyNumberFormat="1" applyFont="1" applyBorder="1" applyAlignment="1">
      <alignment horizontal="right" vertical="center"/>
    </xf>
    <xf numFmtId="173" fontId="22" fillId="0" borderId="20" xfId="0" applyNumberFormat="1" applyFont="1" applyBorder="1" applyAlignment="1" applyProtection="1">
      <alignment horizontal="right" vertical="center"/>
    </xf>
    <xf numFmtId="168" fontId="9" fillId="0" borderId="18" xfId="0" applyNumberFormat="1" applyFont="1" applyBorder="1" applyAlignment="1">
      <alignment horizontal="right" vertical="center"/>
    </xf>
    <xf numFmtId="0" fontId="8" fillId="0" borderId="27" xfId="0" applyFont="1" applyBorder="1" applyAlignment="1">
      <alignment horizontal="center" vertical="center" wrapText="1"/>
    </xf>
    <xf numFmtId="0" fontId="8" fillId="0" borderId="20" xfId="0" applyNumberFormat="1" applyFont="1" applyFill="1" applyBorder="1" applyAlignment="1">
      <alignment horizontal="center" vertical="center"/>
    </xf>
    <xf numFmtId="0" fontId="63" fillId="0" borderId="101" xfId="0" applyFont="1" applyBorder="1" applyAlignment="1">
      <alignment horizontal="center"/>
    </xf>
    <xf numFmtId="0" fontId="18" fillId="0" borderId="63" xfId="0" applyFont="1" applyBorder="1" applyAlignment="1">
      <alignment horizontal="center"/>
    </xf>
    <xf numFmtId="0" fontId="63" fillId="0" borderId="63" xfId="0" applyFont="1" applyBorder="1" applyAlignment="1">
      <alignment horizontal="center"/>
    </xf>
    <xf numFmtId="49" fontId="9" fillId="0" borderId="0" xfId="0" applyNumberFormat="1" applyFont="1" applyFill="1" applyBorder="1" applyAlignment="1">
      <alignment horizontal="right"/>
    </xf>
    <xf numFmtId="0" fontId="0" fillId="0" borderId="0" xfId="0" applyBorder="1" applyAlignment="1">
      <alignment horizontal="left"/>
    </xf>
    <xf numFmtId="172" fontId="12" fillId="0" borderId="18" xfId="0" applyNumberFormat="1" applyFont="1" applyFill="1" applyBorder="1" applyAlignment="1"/>
    <xf numFmtId="172" fontId="12" fillId="0" borderId="18" xfId="0" applyNumberFormat="1" applyFont="1" applyBorder="1" applyAlignment="1"/>
    <xf numFmtId="172" fontId="12" fillId="0" borderId="19" xfId="0" applyNumberFormat="1" applyFont="1" applyBorder="1" applyAlignment="1">
      <alignment horizontal="center"/>
    </xf>
    <xf numFmtId="172" fontId="12" fillId="0" borderId="9" xfId="0" applyNumberFormat="1" applyFont="1" applyFill="1" applyBorder="1" applyAlignment="1"/>
    <xf numFmtId="172" fontId="12" fillId="0" borderId="19" xfId="0" applyNumberFormat="1" applyFont="1" applyFill="1" applyBorder="1" applyAlignment="1">
      <alignment horizontal="center"/>
    </xf>
    <xf numFmtId="0" fontId="12" fillId="0" borderId="18" xfId="0" applyFont="1" applyBorder="1" applyAlignment="1"/>
    <xf numFmtId="0" fontId="12" fillId="0" borderId="19" xfId="0" applyFont="1" applyBorder="1" applyAlignment="1">
      <alignment horizontal="center"/>
    </xf>
    <xf numFmtId="172" fontId="12" fillId="0" borderId="10" xfId="0" applyNumberFormat="1" applyFont="1" applyBorder="1" applyAlignment="1"/>
    <xf numFmtId="172" fontId="12" fillId="0" borderId="17" xfId="0" applyNumberFormat="1" applyFont="1" applyBorder="1" applyAlignment="1"/>
    <xf numFmtId="172" fontId="12" fillId="0" borderId="10" xfId="0" applyNumberFormat="1" applyFont="1" applyFill="1" applyBorder="1" applyAlignment="1"/>
    <xf numFmtId="172" fontId="12" fillId="0" borderId="28" xfId="0" applyNumberFormat="1" applyFont="1" applyBorder="1" applyAlignment="1">
      <alignment horizontal="center"/>
    </xf>
    <xf numFmtId="172" fontId="12" fillId="0" borderId="24" xfId="0" applyNumberFormat="1" applyFont="1" applyBorder="1" applyAlignment="1"/>
    <xf numFmtId="172" fontId="12" fillId="0" borderId="20" xfId="0" applyNumberFormat="1" applyFont="1" applyBorder="1" applyAlignment="1"/>
    <xf numFmtId="172" fontId="12" fillId="0" borderId="16" xfId="0" applyNumberFormat="1" applyFont="1" applyBorder="1" applyAlignment="1"/>
    <xf numFmtId="172" fontId="12" fillId="0" borderId="24" xfId="0" applyNumberFormat="1" applyFont="1" applyFill="1" applyBorder="1" applyAlignment="1"/>
    <xf numFmtId="172" fontId="12" fillId="0" borderId="28" xfId="0" applyNumberFormat="1" applyFont="1" applyFill="1" applyBorder="1" applyAlignment="1">
      <alignment horizontal="center"/>
    </xf>
    <xf numFmtId="0" fontId="12" fillId="0" borderId="9" xfId="0" applyFont="1" applyBorder="1" applyAlignment="1"/>
    <xf numFmtId="0" fontId="12" fillId="0" borderId="9" xfId="0" applyFont="1" applyFill="1" applyBorder="1" applyAlignment="1"/>
    <xf numFmtId="0" fontId="41" fillId="0" borderId="18" xfId="0" applyFont="1" applyBorder="1" applyAlignment="1"/>
    <xf numFmtId="0" fontId="41" fillId="0" borderId="9" xfId="0" applyFont="1" applyFill="1" applyBorder="1" applyAlignment="1"/>
    <xf numFmtId="0" fontId="41" fillId="0" borderId="19" xfId="0" applyFont="1" applyBorder="1" applyAlignment="1">
      <alignment horizontal="center"/>
    </xf>
    <xf numFmtId="170" fontId="12" fillId="0" borderId="20" xfId="0" applyNumberFormat="1" applyFont="1" applyBorder="1" applyAlignment="1" applyProtection="1">
      <alignment horizontal="center" vertical="top"/>
    </xf>
    <xf numFmtId="170" fontId="12" fillId="0" borderId="20" xfId="0" applyNumberFormat="1" applyFont="1" applyBorder="1" applyAlignment="1" applyProtection="1">
      <alignment horizontal="center"/>
    </xf>
    <xf numFmtId="0" fontId="12" fillId="0" borderId="18" xfId="0" applyFont="1" applyFill="1" applyBorder="1" applyAlignment="1">
      <alignment horizontal="center" wrapText="1"/>
    </xf>
    <xf numFmtId="0" fontId="12" fillId="0" borderId="14" xfId="0" applyFont="1" applyFill="1" applyBorder="1" applyAlignment="1">
      <alignment horizontal="center" wrapText="1"/>
    </xf>
    <xf numFmtId="0" fontId="41" fillId="0" borderId="10" xfId="0" applyFont="1" applyBorder="1" applyAlignment="1">
      <alignment horizontal="center" vertical="top"/>
    </xf>
    <xf numFmtId="170" fontId="12" fillId="0" borderId="10" xfId="0" applyNumberFormat="1" applyFont="1" applyFill="1" applyBorder="1" applyAlignment="1" applyProtection="1">
      <alignment horizontal="center"/>
    </xf>
    <xf numFmtId="170" fontId="12" fillId="0" borderId="24" xfId="0" applyNumberFormat="1" applyFont="1" applyFill="1" applyBorder="1" applyAlignment="1" applyProtection="1">
      <alignment horizontal="center"/>
    </xf>
    <xf numFmtId="0" fontId="12" fillId="3" borderId="0" xfId="0" applyFont="1" applyFill="1" applyAlignment="1">
      <alignment horizontal="left"/>
    </xf>
    <xf numFmtId="168" fontId="9" fillId="3" borderId="9" xfId="0" applyNumberFormat="1" applyFont="1" applyFill="1" applyBorder="1" applyAlignment="1">
      <alignment horizontal="center" vertical="center"/>
    </xf>
    <xf numFmtId="0" fontId="9" fillId="0" borderId="19" xfId="0" applyNumberFormat="1" applyFont="1" applyFill="1" applyBorder="1" applyAlignment="1">
      <alignment horizontal="center" vertical="center"/>
    </xf>
    <xf numFmtId="0" fontId="9" fillId="0" borderId="9" xfId="0" applyNumberFormat="1" applyFont="1" applyBorder="1" applyAlignment="1">
      <alignment horizontal="center" vertical="center"/>
    </xf>
    <xf numFmtId="0" fontId="50" fillId="14" borderId="0" xfId="0" applyFont="1" applyFill="1"/>
    <xf numFmtId="0" fontId="24" fillId="14" borderId="0" xfId="0" applyFont="1" applyFill="1"/>
    <xf numFmtId="2" fontId="50" fillId="14" borderId="0" xfId="0" applyNumberFormat="1" applyFont="1" applyFill="1"/>
    <xf numFmtId="168" fontId="50" fillId="14" borderId="0" xfId="0" applyNumberFormat="1" applyFont="1" applyFill="1"/>
    <xf numFmtId="0" fontId="12" fillId="8" borderId="14" xfId="0" applyFont="1" applyFill="1" applyBorder="1"/>
    <xf numFmtId="0" fontId="12" fillId="8" borderId="15" xfId="0" applyFont="1" applyFill="1" applyBorder="1"/>
    <xf numFmtId="0" fontId="12" fillId="8" borderId="28" xfId="0" applyFont="1" applyFill="1" applyBorder="1"/>
    <xf numFmtId="0" fontId="12" fillId="8" borderId="17" xfId="0" applyFont="1" applyFill="1" applyBorder="1"/>
    <xf numFmtId="0" fontId="9" fillId="0" borderId="19" xfId="0" applyNumberFormat="1" applyFont="1" applyBorder="1" applyAlignment="1">
      <alignment horizontal="center" vertical="center"/>
    </xf>
    <xf numFmtId="0" fontId="70" fillId="0" borderId="0" xfId="0" applyFont="1" applyFill="1"/>
    <xf numFmtId="0" fontId="9" fillId="0" borderId="10" xfId="0" applyFont="1" applyBorder="1" applyAlignment="1">
      <alignment horizontal="center" vertical="center"/>
    </xf>
    <xf numFmtId="0" fontId="39" fillId="0" borderId="19" xfId="0" applyFont="1" applyFill="1" applyBorder="1"/>
    <xf numFmtId="0" fontId="9" fillId="0" borderId="27" xfId="0" applyFont="1" applyBorder="1" applyAlignment="1">
      <alignment horizontal="center"/>
    </xf>
    <xf numFmtId="0" fontId="12" fillId="0" borderId="20" xfId="0" applyFont="1" applyFill="1" applyBorder="1" applyAlignment="1">
      <alignment horizontal="center"/>
    </xf>
    <xf numFmtId="165" fontId="23" fillId="0" borderId="0" xfId="0" applyNumberFormat="1" applyFont="1" applyFill="1" applyBorder="1" applyProtection="1"/>
    <xf numFmtId="165" fontId="12" fillId="0" borderId="0" xfId="0" applyNumberFormat="1" applyFont="1" applyFill="1" applyBorder="1" applyAlignment="1" applyProtection="1">
      <alignment horizontal="right"/>
    </xf>
    <xf numFmtId="168" fontId="12" fillId="0" borderId="0" xfId="0" applyNumberFormat="1" applyFont="1" applyFill="1" applyBorder="1" applyAlignment="1" applyProtection="1">
      <alignment horizontal="right"/>
    </xf>
    <xf numFmtId="0" fontId="12" fillId="0" borderId="24" xfId="0" applyFont="1" applyBorder="1"/>
    <xf numFmtId="165" fontId="14" fillId="0" borderId="19" xfId="0" applyNumberFormat="1" applyFont="1" applyFill="1" applyBorder="1" applyProtection="1"/>
    <xf numFmtId="165" fontId="12" fillId="0" borderId="19" xfId="0" applyNumberFormat="1" applyFont="1" applyFill="1" applyBorder="1" applyProtection="1"/>
    <xf numFmtId="165" fontId="12" fillId="0" borderId="2" xfId="0" applyNumberFormat="1" applyFont="1" applyFill="1" applyBorder="1" applyProtection="1"/>
    <xf numFmtId="165" fontId="14" fillId="0" borderId="19" xfId="0" applyNumberFormat="1" applyFont="1" applyFill="1" applyBorder="1"/>
    <xf numFmtId="165" fontId="12" fillId="0" borderId="17" xfId="0" applyNumberFormat="1" applyFont="1" applyBorder="1"/>
    <xf numFmtId="165" fontId="23" fillId="0" borderId="9" xfId="0" applyNumberFormat="1" applyFont="1" applyFill="1" applyBorder="1" applyProtection="1"/>
    <xf numFmtId="165" fontId="12" fillId="0" borderId="9" xfId="0" applyNumberFormat="1" applyFont="1" applyFill="1" applyBorder="1" applyAlignment="1" applyProtection="1">
      <alignment horizontal="right"/>
    </xf>
    <xf numFmtId="168" fontId="12" fillId="0" borderId="9" xfId="0" applyNumberFormat="1" applyFont="1" applyFill="1" applyBorder="1" applyAlignment="1" applyProtection="1">
      <alignment horizontal="right"/>
    </xf>
    <xf numFmtId="0" fontId="14" fillId="0" borderId="10" xfId="0" applyFont="1" applyBorder="1"/>
    <xf numFmtId="166" fontId="12" fillId="0" borderId="4" xfId="0" applyNumberFormat="1" applyFont="1" applyBorder="1" applyAlignment="1" applyProtection="1">
      <alignment horizontal="center"/>
    </xf>
    <xf numFmtId="168" fontId="14" fillId="0" borderId="0" xfId="0" applyNumberFormat="1" applyFont="1" applyBorder="1" applyProtection="1"/>
    <xf numFmtId="165" fontId="12" fillId="0" borderId="2" xfId="0" applyNumberFormat="1" applyFont="1" applyBorder="1" applyAlignment="1" applyProtection="1">
      <alignment horizontal="right"/>
    </xf>
    <xf numFmtId="165" fontId="12" fillId="0" borderId="0" xfId="0" applyNumberFormat="1" applyFont="1" applyBorder="1" applyAlignment="1" applyProtection="1">
      <alignment horizontal="center"/>
    </xf>
    <xf numFmtId="165" fontId="14" fillId="0" borderId="0" xfId="0" applyNumberFormat="1" applyFont="1" applyBorder="1" applyProtection="1"/>
    <xf numFmtId="165" fontId="14" fillId="0" borderId="2" xfId="0" applyNumberFormat="1" applyFont="1" applyBorder="1" applyProtection="1"/>
    <xf numFmtId="165" fontId="14" fillId="0" borderId="2" xfId="0" applyNumberFormat="1" applyFont="1" applyFill="1" applyBorder="1" applyProtection="1"/>
    <xf numFmtId="165" fontId="12" fillId="0" borderId="4" xfId="0" applyNumberFormat="1" applyFont="1" applyBorder="1" applyProtection="1"/>
    <xf numFmtId="166" fontId="12" fillId="0" borderId="2" xfId="0" applyNumberFormat="1" applyFont="1" applyBorder="1" applyProtection="1"/>
    <xf numFmtId="0" fontId="12" fillId="0" borderId="0" xfId="0" applyNumberFormat="1" applyFont="1" applyBorder="1" applyProtection="1"/>
    <xf numFmtId="166" fontId="12" fillId="0" borderId="20" xfId="0" applyNumberFormat="1" applyFont="1" applyBorder="1" applyAlignment="1" applyProtection="1">
      <alignment horizontal="center"/>
    </xf>
    <xf numFmtId="166" fontId="12" fillId="0" borderId="38" xfId="0" applyNumberFormat="1" applyFont="1" applyBorder="1" applyAlignment="1" applyProtection="1">
      <alignment horizontal="center"/>
    </xf>
    <xf numFmtId="0" fontId="12" fillId="0" borderId="38" xfId="0" applyNumberFormat="1" applyFont="1" applyBorder="1" applyAlignment="1" applyProtection="1">
      <alignment horizontal="center"/>
    </xf>
    <xf numFmtId="168" fontId="14" fillId="0" borderId="9" xfId="0" applyNumberFormat="1" applyFont="1" applyBorder="1" applyProtection="1"/>
    <xf numFmtId="165" fontId="12" fillId="0" borderId="9" xfId="0" applyNumberFormat="1" applyFont="1" applyBorder="1" applyProtection="1"/>
    <xf numFmtId="165" fontId="12" fillId="0" borderId="9" xfId="0" applyNumberFormat="1" applyFont="1" applyBorder="1" applyAlignment="1" applyProtection="1">
      <alignment horizontal="right"/>
    </xf>
    <xf numFmtId="165" fontId="12" fillId="14" borderId="9" xfId="0" applyNumberFormat="1" applyFont="1" applyFill="1" applyBorder="1"/>
    <xf numFmtId="165" fontId="12" fillId="14" borderId="9" xfId="0" applyNumberFormat="1" applyFont="1" applyFill="1" applyBorder="1" applyProtection="1"/>
    <xf numFmtId="165" fontId="12" fillId="0" borderId="9" xfId="0" applyNumberFormat="1" applyFont="1" applyBorder="1" applyAlignment="1" applyProtection="1">
      <alignment horizontal="center"/>
    </xf>
    <xf numFmtId="165" fontId="14" fillId="0" borderId="9" xfId="0" applyNumberFormat="1" applyFont="1" applyBorder="1" applyProtection="1"/>
    <xf numFmtId="165" fontId="12" fillId="0" borderId="10" xfId="0" applyNumberFormat="1" applyFont="1" applyBorder="1" applyProtection="1"/>
    <xf numFmtId="0" fontId="63" fillId="0" borderId="118" xfId="0" applyFont="1" applyBorder="1" applyAlignment="1">
      <alignment horizontal="center"/>
    </xf>
    <xf numFmtId="1" fontId="8" fillId="0" borderId="20" xfId="0" applyNumberFormat="1" applyFont="1" applyBorder="1" applyAlignment="1">
      <alignment horizontal="center" vertical="center"/>
    </xf>
    <xf numFmtId="168" fontId="28" fillId="0" borderId="9" xfId="0" applyNumberFormat="1" applyFont="1" applyBorder="1" applyAlignment="1">
      <alignment horizontal="center" vertical="center"/>
    </xf>
    <xf numFmtId="173" fontId="28" fillId="0" borderId="9" xfId="0" applyNumberFormat="1" applyFont="1" applyBorder="1" applyAlignment="1">
      <alignment vertical="center"/>
    </xf>
    <xf numFmtId="173" fontId="28" fillId="0" borderId="9" xfId="0" applyNumberFormat="1" applyFont="1" applyBorder="1" applyAlignment="1">
      <alignment horizontal="right" vertical="center"/>
    </xf>
    <xf numFmtId="0" fontId="0" fillId="0" borderId="14" xfId="0" applyBorder="1" applyAlignment="1">
      <alignment horizontal="left"/>
    </xf>
    <xf numFmtId="43" fontId="0" fillId="0" borderId="15" xfId="0" applyNumberFormat="1" applyBorder="1"/>
    <xf numFmtId="168" fontId="25" fillId="0" borderId="0" xfId="0" applyNumberFormat="1" applyFont="1"/>
    <xf numFmtId="43" fontId="0" fillId="0" borderId="0" xfId="0" applyNumberFormat="1" applyFill="1"/>
    <xf numFmtId="0" fontId="25" fillId="0" borderId="0" xfId="0" applyFont="1" applyFill="1" applyBorder="1" applyAlignment="1">
      <alignment horizontal="left"/>
    </xf>
    <xf numFmtId="49" fontId="9" fillId="0" borderId="0" xfId="0" applyNumberFormat="1" applyFont="1" applyFill="1" applyBorder="1" applyAlignment="1">
      <alignment horizontal="left"/>
    </xf>
    <xf numFmtId="0" fontId="0" fillId="0" borderId="0" xfId="0" applyFill="1" applyBorder="1" applyAlignment="1">
      <alignment horizontal="left"/>
    </xf>
    <xf numFmtId="0" fontId="9" fillId="7" borderId="0" xfId="0" applyFont="1" applyFill="1"/>
    <xf numFmtId="0" fontId="9" fillId="7" borderId="0" xfId="0" applyFont="1" applyFill="1" applyAlignment="1">
      <alignment vertical="center"/>
    </xf>
    <xf numFmtId="43" fontId="17" fillId="8" borderId="101" xfId="0" applyNumberFormat="1" applyFont="1" applyFill="1" applyBorder="1" applyAlignment="1">
      <alignment horizontal="center"/>
    </xf>
    <xf numFmtId="43" fontId="17" fillId="0" borderId="69" xfId="0" applyNumberFormat="1" applyFont="1" applyBorder="1" applyAlignment="1">
      <alignment horizontal="center"/>
    </xf>
    <xf numFmtId="43" fontId="17" fillId="8" borderId="18" xfId="0" applyNumberFormat="1" applyFont="1" applyFill="1" applyBorder="1" applyAlignment="1">
      <alignment horizontal="center"/>
    </xf>
    <xf numFmtId="43" fontId="17" fillId="0" borderId="19" xfId="0" applyNumberFormat="1" applyFont="1" applyBorder="1" applyAlignment="1">
      <alignment horizontal="center"/>
    </xf>
    <xf numFmtId="43" fontId="17" fillId="8" borderId="68" xfId="0" applyNumberFormat="1" applyFont="1" applyFill="1" applyBorder="1" applyAlignment="1">
      <alignment horizontal="center"/>
    </xf>
    <xf numFmtId="43" fontId="45" fillId="8" borderId="18" xfId="0" applyNumberFormat="1" applyFont="1" applyFill="1" applyBorder="1" applyAlignment="1">
      <alignment horizontal="center"/>
    </xf>
    <xf numFmtId="43" fontId="45" fillId="0" borderId="69" xfId="0" applyNumberFormat="1" applyFont="1" applyBorder="1" applyAlignment="1">
      <alignment horizontal="center"/>
    </xf>
    <xf numFmtId="43" fontId="18" fillId="8" borderId="101" xfId="0" applyNumberFormat="1" applyFont="1" applyFill="1" applyBorder="1" applyAlignment="1">
      <alignment horizontal="center"/>
    </xf>
    <xf numFmtId="43" fontId="18" fillId="0" borderId="69" xfId="0" applyNumberFormat="1" applyFont="1" applyBorder="1" applyAlignment="1">
      <alignment horizontal="center"/>
    </xf>
    <xf numFmtId="43" fontId="18" fillId="8" borderId="18" xfId="0" applyNumberFormat="1" applyFont="1" applyFill="1" applyBorder="1" applyAlignment="1">
      <alignment horizontal="center"/>
    </xf>
    <xf numFmtId="43" fontId="18" fillId="0" borderId="19" xfId="0" applyNumberFormat="1" applyFont="1" applyBorder="1" applyAlignment="1">
      <alignment horizontal="center"/>
    </xf>
    <xf numFmtId="43" fontId="18" fillId="8" borderId="68" xfId="0" applyNumberFormat="1" applyFont="1" applyFill="1" applyBorder="1" applyAlignment="1">
      <alignment horizontal="center"/>
    </xf>
    <xf numFmtId="43" fontId="18" fillId="0" borderId="0" xfId="0" applyNumberFormat="1" applyFont="1" applyFill="1" applyBorder="1" applyAlignment="1">
      <alignment horizontal="center"/>
    </xf>
    <xf numFmtId="43" fontId="18" fillId="0" borderId="105" xfId="0" applyNumberFormat="1" applyFont="1" applyFill="1" applyBorder="1" applyAlignment="1">
      <alignment horizontal="center"/>
    </xf>
    <xf numFmtId="43" fontId="18" fillId="0" borderId="69" xfId="0" applyNumberFormat="1" applyFont="1" applyFill="1" applyBorder="1" applyAlignment="1">
      <alignment horizontal="center"/>
    </xf>
    <xf numFmtId="43" fontId="45" fillId="8" borderId="68" xfId="0" applyNumberFormat="1" applyFont="1" applyFill="1" applyBorder="1" applyAlignment="1">
      <alignment horizontal="center"/>
    </xf>
    <xf numFmtId="43" fontId="18" fillId="8" borderId="0" xfId="0" applyNumberFormat="1" applyFont="1" applyFill="1" applyBorder="1" applyAlignment="1">
      <alignment horizontal="center"/>
    </xf>
    <xf numFmtId="43" fontId="45" fillId="8" borderId="0" xfId="0" applyNumberFormat="1" applyFont="1" applyFill="1" applyBorder="1" applyAlignment="1">
      <alignment horizontal="center"/>
    </xf>
    <xf numFmtId="43" fontId="45" fillId="8" borderId="101" xfId="0" applyNumberFormat="1" applyFont="1" applyFill="1" applyBorder="1" applyAlignment="1">
      <alignment horizontal="center"/>
    </xf>
    <xf numFmtId="43" fontId="63" fillId="8" borderId="68" xfId="0" applyNumberFormat="1" applyFont="1" applyFill="1" applyBorder="1" applyAlignment="1">
      <alignment horizontal="center"/>
    </xf>
    <xf numFmtId="43" fontId="63" fillId="0" borderId="69" xfId="0" applyNumberFormat="1" applyFont="1" applyBorder="1" applyAlignment="1">
      <alignment horizontal="center"/>
    </xf>
    <xf numFmtId="43" fontId="63" fillId="8" borderId="0" xfId="0" applyNumberFormat="1" applyFont="1" applyFill="1" applyBorder="1" applyAlignment="1">
      <alignment horizontal="center"/>
    </xf>
    <xf numFmtId="43" fontId="63" fillId="0" borderId="69" xfId="0" applyNumberFormat="1" applyFont="1" applyFill="1" applyBorder="1" applyAlignment="1">
      <alignment horizontal="center"/>
    </xf>
    <xf numFmtId="43" fontId="63" fillId="0" borderId="0" xfId="0" applyNumberFormat="1" applyFont="1" applyFill="1" applyBorder="1" applyAlignment="1">
      <alignment horizontal="center"/>
    </xf>
    <xf numFmtId="43" fontId="63" fillId="8" borderId="18" xfId="0" applyNumberFormat="1" applyFont="1" applyFill="1" applyBorder="1" applyAlignment="1">
      <alignment horizontal="center"/>
    </xf>
    <xf numFmtId="43" fontId="17" fillId="8" borderId="0" xfId="0" applyNumberFormat="1" applyFont="1" applyFill="1" applyBorder="1" applyAlignment="1">
      <alignment horizontal="center"/>
    </xf>
    <xf numFmtId="43" fontId="17" fillId="0" borderId="69" xfId="0" applyNumberFormat="1" applyFont="1" applyFill="1" applyBorder="1" applyAlignment="1">
      <alignment horizontal="center"/>
    </xf>
    <xf numFmtId="43" fontId="17" fillId="0" borderId="105" xfId="0" applyNumberFormat="1" applyFont="1" applyFill="1" applyBorder="1" applyAlignment="1">
      <alignment horizontal="center"/>
    </xf>
    <xf numFmtId="43" fontId="45" fillId="0" borderId="105" xfId="0" applyNumberFormat="1" applyFont="1" applyBorder="1" applyAlignment="1">
      <alignment horizontal="center"/>
    </xf>
    <xf numFmtId="43" fontId="63" fillId="8" borderId="101" xfId="0" applyNumberFormat="1" applyFont="1" applyFill="1" applyBorder="1" applyAlignment="1">
      <alignment horizontal="center"/>
    </xf>
    <xf numFmtId="43" fontId="63" fillId="0" borderId="105" xfId="0" applyNumberFormat="1" applyFont="1" applyFill="1" applyBorder="1" applyAlignment="1">
      <alignment horizontal="center"/>
    </xf>
    <xf numFmtId="43" fontId="43" fillId="8" borderId="18" xfId="0" applyNumberFormat="1" applyFont="1" applyFill="1" applyBorder="1" applyAlignment="1">
      <alignment horizontal="center"/>
    </xf>
    <xf numFmtId="43" fontId="43" fillId="0" borderId="105" xfId="0" applyNumberFormat="1" applyFont="1" applyFill="1" applyBorder="1" applyAlignment="1">
      <alignment horizontal="center"/>
    </xf>
    <xf numFmtId="43" fontId="43" fillId="0" borderId="18" xfId="0" applyNumberFormat="1" applyFont="1" applyFill="1" applyBorder="1" applyAlignment="1">
      <alignment horizontal="center"/>
    </xf>
    <xf numFmtId="43" fontId="45" fillId="0" borderId="105" xfId="0" applyNumberFormat="1" applyFont="1" applyFill="1" applyBorder="1" applyAlignment="1">
      <alignment horizontal="center"/>
    </xf>
    <xf numFmtId="43" fontId="45" fillId="0" borderId="69" xfId="0" applyNumberFormat="1" applyFont="1" applyFill="1" applyBorder="1" applyAlignment="1">
      <alignment horizontal="center"/>
    </xf>
    <xf numFmtId="43" fontId="63" fillId="0" borderId="18" xfId="0" applyNumberFormat="1" applyFont="1" applyFill="1" applyBorder="1" applyAlignment="1">
      <alignment horizontal="center"/>
    </xf>
    <xf numFmtId="43" fontId="64" fillId="8" borderId="101" xfId="0" applyNumberFormat="1" applyFont="1" applyFill="1" applyBorder="1" applyAlignment="1">
      <alignment horizontal="center"/>
    </xf>
    <xf numFmtId="43" fontId="64" fillId="0" borderId="69" xfId="0" applyNumberFormat="1" applyFont="1" applyFill="1" applyBorder="1" applyAlignment="1">
      <alignment horizontal="center"/>
    </xf>
    <xf numFmtId="17" fontId="0" fillId="0" borderId="0" xfId="0" applyNumberFormat="1" applyFill="1" applyBorder="1" applyAlignment="1">
      <alignment horizontal="right"/>
    </xf>
    <xf numFmtId="0" fontId="9" fillId="0" borderId="27" xfId="0" applyFont="1" applyBorder="1" applyAlignment="1">
      <alignment horizontal="center" wrapText="1"/>
    </xf>
    <xf numFmtId="0" fontId="9" fillId="0" borderId="9" xfId="0" applyFont="1" applyBorder="1" applyAlignment="1">
      <alignment horizontal="center" vertical="center"/>
    </xf>
    <xf numFmtId="168" fontId="9" fillId="0" borderId="10" xfId="0" applyNumberFormat="1" applyFont="1" applyBorder="1" applyAlignment="1">
      <alignment horizontal="right" vertical="center"/>
    </xf>
    <xf numFmtId="0" fontId="9" fillId="0" borderId="10" xfId="0" applyNumberFormat="1" applyFont="1" applyFill="1" applyBorder="1" applyAlignment="1">
      <alignment horizontal="center" vertical="center"/>
    </xf>
    <xf numFmtId="0" fontId="39" fillId="0" borderId="0" xfId="0" applyFont="1" applyBorder="1"/>
    <xf numFmtId="43" fontId="18" fillId="0" borderId="0" xfId="0" applyNumberFormat="1" applyFont="1"/>
    <xf numFmtId="43" fontId="18" fillId="0" borderId="0" xfId="0" applyNumberFormat="1" applyFont="1" applyFill="1"/>
    <xf numFmtId="0" fontId="13" fillId="0" borderId="0" xfId="0" applyFont="1" applyAlignment="1"/>
    <xf numFmtId="0" fontId="13" fillId="0" borderId="15" xfId="0" applyFont="1" applyBorder="1" applyAlignment="1"/>
    <xf numFmtId="0" fontId="13" fillId="0" borderId="16" xfId="0" applyFont="1" applyBorder="1" applyAlignment="1"/>
    <xf numFmtId="0" fontId="13" fillId="0" borderId="17" xfId="0" applyFont="1" applyBorder="1" applyAlignment="1"/>
    <xf numFmtId="0" fontId="13" fillId="0" borderId="24" xfId="0" applyFont="1" applyBorder="1" applyAlignment="1"/>
    <xf numFmtId="0" fontId="13" fillId="0" borderId="20" xfId="0" applyFont="1" applyBorder="1" applyAlignment="1">
      <alignment horizontal="center"/>
    </xf>
    <xf numFmtId="0" fontId="13" fillId="0" borderId="10" xfId="0" applyNumberFormat="1" applyFont="1" applyBorder="1" applyAlignment="1">
      <alignment horizontal="center"/>
    </xf>
    <xf numFmtId="168" fontId="11" fillId="0" borderId="7" xfId="0" applyNumberFormat="1" applyFont="1" applyFill="1" applyBorder="1" applyProtection="1"/>
    <xf numFmtId="165" fontId="13" fillId="0" borderId="7" xfId="0" applyNumberFormat="1" applyFont="1" applyFill="1" applyBorder="1" applyProtection="1"/>
    <xf numFmtId="165" fontId="13" fillId="0" borderId="18" xfId="0" applyNumberFormat="1" applyFont="1" applyFill="1" applyBorder="1"/>
    <xf numFmtId="165" fontId="11" fillId="0" borderId="7" xfId="0" applyNumberFormat="1" applyFont="1" applyFill="1" applyBorder="1" applyProtection="1"/>
    <xf numFmtId="165" fontId="13" fillId="0" borderId="6" xfId="0" applyNumberFormat="1" applyFont="1" applyFill="1" applyBorder="1"/>
    <xf numFmtId="165" fontId="13" fillId="0" borderId="7" xfId="0" applyNumberFormat="1" applyFont="1" applyFill="1" applyBorder="1" applyAlignment="1" applyProtection="1">
      <alignment horizontal="right"/>
    </xf>
    <xf numFmtId="165" fontId="11" fillId="0" borderId="53" xfId="0" applyNumberFormat="1" applyFont="1" applyFill="1" applyBorder="1"/>
    <xf numFmtId="0" fontId="13" fillId="8" borderId="15" xfId="0" applyFont="1" applyFill="1" applyBorder="1"/>
    <xf numFmtId="0" fontId="13" fillId="8" borderId="16" xfId="0" applyFont="1" applyFill="1" applyBorder="1"/>
    <xf numFmtId="0" fontId="13" fillId="8" borderId="0" xfId="0" applyFont="1" applyFill="1" applyBorder="1"/>
    <xf numFmtId="0" fontId="13" fillId="8" borderId="17" xfId="0" applyFont="1" applyFill="1" applyBorder="1"/>
    <xf numFmtId="165" fontId="13" fillId="8" borderId="24" xfId="0" applyNumberFormat="1" applyFont="1" applyFill="1" applyBorder="1"/>
    <xf numFmtId="165" fontId="13" fillId="8" borderId="0" xfId="0" applyNumberFormat="1" applyFont="1" applyFill="1" applyBorder="1"/>
    <xf numFmtId="0" fontId="11" fillId="0" borderId="0" xfId="0" applyFont="1"/>
    <xf numFmtId="165" fontId="13" fillId="8" borderId="0" xfId="0" applyNumberFormat="1" applyFont="1" applyFill="1"/>
    <xf numFmtId="168" fontId="14" fillId="0" borderId="9" xfId="0" applyNumberFormat="1" applyFont="1" applyBorder="1"/>
    <xf numFmtId="168" fontId="14" fillId="0" borderId="9" xfId="0" applyNumberFormat="1" applyFont="1" applyFill="1" applyBorder="1" applyAlignment="1">
      <alignment wrapText="1"/>
    </xf>
    <xf numFmtId="168" fontId="12" fillId="0" borderId="9" xfId="0" applyNumberFormat="1" applyFont="1" applyBorder="1"/>
    <xf numFmtId="168" fontId="12" fillId="0" borderId="10" xfId="0" applyNumberFormat="1" applyFont="1" applyFill="1" applyBorder="1"/>
    <xf numFmtId="168" fontId="14" fillId="0" borderId="10" xfId="0" applyNumberFormat="1" applyFont="1" applyBorder="1"/>
    <xf numFmtId="0" fontId="13" fillId="0" borderId="0" xfId="0" applyFont="1" applyBorder="1" applyAlignment="1"/>
    <xf numFmtId="0" fontId="13" fillId="0" borderId="0" xfId="0" applyFont="1" applyBorder="1" applyAlignment="1">
      <alignment horizontal="center"/>
    </xf>
    <xf numFmtId="0" fontId="13" fillId="0" borderId="0" xfId="0" applyNumberFormat="1" applyFont="1" applyBorder="1" applyAlignment="1">
      <alignment horizontal="center"/>
    </xf>
    <xf numFmtId="168" fontId="11" fillId="0" borderId="0" xfId="0" applyNumberFormat="1" applyFont="1" applyFill="1" applyBorder="1" applyProtection="1"/>
    <xf numFmtId="165" fontId="13" fillId="0" borderId="0" xfId="0" applyNumberFormat="1" applyFont="1" applyFill="1" applyBorder="1"/>
    <xf numFmtId="165" fontId="11" fillId="0" borderId="0" xfId="0" applyNumberFormat="1" applyFont="1" applyFill="1" applyBorder="1" applyProtection="1"/>
    <xf numFmtId="165" fontId="13" fillId="0" borderId="0" xfId="0" applyNumberFormat="1" applyFont="1" applyFill="1" applyBorder="1" applyAlignment="1" applyProtection="1">
      <alignment horizontal="right"/>
    </xf>
    <xf numFmtId="165" fontId="11" fillId="0" borderId="0" xfId="0" applyNumberFormat="1" applyFont="1" applyFill="1" applyBorder="1"/>
    <xf numFmtId="0" fontId="18" fillId="0" borderId="124" xfId="0" applyFont="1" applyBorder="1" applyAlignment="1">
      <alignment horizontal="left"/>
    </xf>
    <xf numFmtId="0" fontId="18" fillId="0" borderId="125" xfId="0" applyFont="1" applyBorder="1" applyAlignment="1">
      <alignment horizontal="left"/>
    </xf>
    <xf numFmtId="0" fontId="63" fillId="0" borderId="0" xfId="0" applyFont="1" applyBorder="1" applyAlignment="1">
      <alignment horizontal="center"/>
    </xf>
    <xf numFmtId="43" fontId="43" fillId="0" borderId="0" xfId="0" applyNumberFormat="1" applyFont="1" applyFill="1" applyBorder="1" applyAlignment="1">
      <alignment horizontal="center"/>
    </xf>
    <xf numFmtId="0" fontId="18" fillId="0" borderId="105" xfId="0" applyFont="1" applyBorder="1"/>
    <xf numFmtId="0" fontId="43" fillId="0" borderId="105" xfId="0" applyFont="1" applyBorder="1"/>
    <xf numFmtId="0" fontId="18" fillId="0" borderId="107" xfId="0" applyFont="1" applyBorder="1"/>
    <xf numFmtId="0" fontId="43" fillId="0" borderId="108" xfId="0" applyFont="1" applyBorder="1"/>
    <xf numFmtId="0" fontId="63" fillId="0" borderId="126" xfId="0" applyFont="1" applyBorder="1" applyAlignment="1">
      <alignment horizontal="center"/>
    </xf>
    <xf numFmtId="0" fontId="18" fillId="0" borderId="117" xfId="0" applyFont="1" applyBorder="1"/>
    <xf numFmtId="0" fontId="43" fillId="0" borderId="117" xfId="0" applyFont="1" applyBorder="1"/>
    <xf numFmtId="174" fontId="18" fillId="8" borderId="127" xfId="0" applyNumberFormat="1" applyFont="1" applyFill="1" applyBorder="1"/>
    <xf numFmtId="0" fontId="18" fillId="8" borderId="127" xfId="0" applyFont="1" applyFill="1" applyBorder="1"/>
    <xf numFmtId="0" fontId="43" fillId="8" borderId="24" xfId="0" applyFont="1" applyFill="1" applyBorder="1"/>
    <xf numFmtId="0" fontId="43" fillId="8" borderId="0" xfId="0" applyFont="1" applyFill="1" applyBorder="1"/>
    <xf numFmtId="0" fontId="18" fillId="0" borderId="103" xfId="0" applyFont="1" applyBorder="1"/>
    <xf numFmtId="2" fontId="18" fillId="8" borderId="123" xfId="0" applyNumberFormat="1" applyFont="1" applyFill="1" applyBorder="1"/>
    <xf numFmtId="0" fontId="18" fillId="8" borderId="123" xfId="0" applyFont="1" applyFill="1" applyBorder="1"/>
    <xf numFmtId="0" fontId="18" fillId="0" borderId="123" xfId="0" applyFont="1" applyBorder="1"/>
    <xf numFmtId="0" fontId="18" fillId="8" borderId="128" xfId="0" applyFont="1" applyFill="1" applyBorder="1"/>
    <xf numFmtId="0" fontId="18" fillId="0" borderId="128" xfId="0" applyFont="1" applyBorder="1"/>
    <xf numFmtId="0" fontId="18" fillId="0" borderId="120" xfId="0" applyFont="1" applyBorder="1"/>
    <xf numFmtId="0" fontId="43" fillId="8" borderId="119" xfId="0" applyFont="1" applyFill="1" applyBorder="1"/>
    <xf numFmtId="0" fontId="43" fillId="0" borderId="103" xfId="0" applyFont="1" applyBorder="1"/>
    <xf numFmtId="0" fontId="64" fillId="0" borderId="63" xfId="0" applyFont="1" applyBorder="1" applyAlignment="1">
      <alignment horizontal="center"/>
    </xf>
    <xf numFmtId="0" fontId="18" fillId="8" borderId="18" xfId="0" applyFont="1" applyFill="1" applyBorder="1"/>
    <xf numFmtId="0" fontId="18" fillId="0" borderId="69" xfId="0" applyFont="1" applyBorder="1"/>
    <xf numFmtId="0" fontId="43" fillId="8" borderId="68" xfId="0" applyFont="1" applyFill="1" applyBorder="1"/>
    <xf numFmtId="0" fontId="63" fillId="0" borderId="129" xfId="0" applyFont="1" applyBorder="1" applyAlignment="1">
      <alignment horizontal="center"/>
    </xf>
    <xf numFmtId="168" fontId="9" fillId="0" borderId="24" xfId="0" applyNumberFormat="1" applyFont="1" applyBorder="1" applyAlignment="1">
      <alignment horizontal="right" vertical="center"/>
    </xf>
    <xf numFmtId="0" fontId="8" fillId="0" borderId="9" xfId="0" applyFont="1" applyBorder="1" applyAlignment="1">
      <alignment horizontal="center" vertical="center"/>
    </xf>
    <xf numFmtId="183" fontId="9" fillId="0" borderId="9" xfId="0" applyNumberFormat="1" applyFont="1" applyFill="1" applyBorder="1" applyAlignment="1">
      <alignment horizontal="center" vertical="center"/>
    </xf>
    <xf numFmtId="1" fontId="8" fillId="0" borderId="27" xfId="0" applyNumberFormat="1" applyFont="1" applyBorder="1" applyAlignment="1">
      <alignment horizontal="center" vertical="center" wrapText="1"/>
    </xf>
    <xf numFmtId="17" fontId="8" fillId="0" borderId="0" xfId="0" applyNumberFormat="1" applyFont="1" applyFill="1" applyBorder="1" applyAlignment="1">
      <alignment horizontal="right"/>
    </xf>
    <xf numFmtId="17" fontId="9" fillId="0" borderId="0" xfId="0" applyNumberFormat="1" applyFont="1" applyFill="1" applyBorder="1" applyAlignment="1">
      <alignment horizontal="right"/>
    </xf>
    <xf numFmtId="0" fontId="12" fillId="2" borderId="0" xfId="0" applyFont="1" applyFill="1" applyAlignment="1">
      <alignment vertical="center"/>
    </xf>
    <xf numFmtId="0" fontId="12" fillId="2" borderId="17" xfId="0" applyFont="1" applyFill="1" applyBorder="1"/>
    <xf numFmtId="0" fontId="12" fillId="2" borderId="0" xfId="0" applyFont="1" applyFill="1" applyBorder="1"/>
    <xf numFmtId="0" fontId="12" fillId="2" borderId="0" xfId="0" applyFont="1" applyFill="1" applyBorder="1" applyAlignment="1">
      <alignment vertical="center"/>
    </xf>
    <xf numFmtId="0" fontId="0" fillId="2" borderId="0" xfId="0" applyFill="1"/>
    <xf numFmtId="0" fontId="0" fillId="2" borderId="0" xfId="0" applyFill="1" applyBorder="1"/>
    <xf numFmtId="0" fontId="12" fillId="0" borderId="0" xfId="0" applyFont="1" applyBorder="1" applyAlignment="1">
      <alignment horizontal="right"/>
    </xf>
    <xf numFmtId="168" fontId="12" fillId="0" borderId="0" xfId="0" applyNumberFormat="1" applyFont="1" applyBorder="1" applyAlignment="1">
      <alignment horizontal="right"/>
    </xf>
    <xf numFmtId="168" fontId="12" fillId="0" borderId="0" xfId="0" applyNumberFormat="1" applyFont="1" applyFill="1" applyBorder="1" applyAlignment="1">
      <alignment horizontal="right"/>
    </xf>
    <xf numFmtId="0" fontId="12" fillId="0" borderId="0" xfId="0" applyFont="1" applyBorder="1" applyAlignment="1"/>
    <xf numFmtId="0" fontId="39" fillId="2" borderId="0" xfId="0" applyFont="1" applyFill="1"/>
    <xf numFmtId="168" fontId="12" fillId="0" borderId="0" xfId="0" applyNumberFormat="1" applyFont="1" applyBorder="1" applyAlignment="1">
      <alignment horizontal="center"/>
    </xf>
    <xf numFmtId="168" fontId="12" fillId="0" borderId="0" xfId="1" applyNumberFormat="1" applyFont="1" applyFill="1" applyBorder="1" applyAlignment="1">
      <alignment horizontal="right"/>
    </xf>
    <xf numFmtId="0" fontId="12" fillId="0" borderId="101" xfId="0" applyFont="1" applyFill="1" applyBorder="1" applyAlignment="1">
      <alignment horizontal="left"/>
    </xf>
    <xf numFmtId="0" fontId="12" fillId="0" borderId="121" xfId="0" applyFont="1" applyFill="1" applyBorder="1" applyAlignment="1">
      <alignment horizontal="left"/>
    </xf>
    <xf numFmtId="0" fontId="12" fillId="0" borderId="69" xfId="0" applyFont="1" applyBorder="1" applyAlignment="1">
      <alignment horizontal="right" vertical="center" wrapText="1"/>
    </xf>
    <xf numFmtId="168" fontId="12" fillId="0" borderId="130" xfId="0" applyNumberFormat="1" applyFont="1" applyBorder="1" applyAlignment="1">
      <alignment horizontal="right" vertical="center" wrapText="1"/>
    </xf>
    <xf numFmtId="5" fontId="12" fillId="0" borderId="0" xfId="0" applyNumberFormat="1" applyFont="1" applyBorder="1"/>
    <xf numFmtId="0" fontId="50" fillId="0" borderId="0" xfId="0" applyFont="1" applyFill="1"/>
    <xf numFmtId="168" fontId="12" fillId="2" borderId="0" xfId="0" applyNumberFormat="1" applyFont="1" applyFill="1"/>
    <xf numFmtId="0" fontId="9" fillId="3" borderId="0" xfId="0" applyFont="1" applyFill="1" applyBorder="1"/>
    <xf numFmtId="168" fontId="0" fillId="3" borderId="0" xfId="0" applyNumberFormat="1" applyFill="1"/>
    <xf numFmtId="0" fontId="9" fillId="2" borderId="0" xfId="0" applyFont="1" applyFill="1" applyBorder="1" applyAlignment="1">
      <alignment horizontal="center"/>
    </xf>
    <xf numFmtId="0" fontId="21" fillId="0" borderId="0" xfId="0" applyFont="1"/>
    <xf numFmtId="0" fontId="21" fillId="0" borderId="0" xfId="0" applyFont="1" applyFill="1" applyAlignment="1">
      <alignment wrapText="1"/>
    </xf>
    <xf numFmtId="0" fontId="21" fillId="2" borderId="0" xfId="0" applyFont="1" applyFill="1"/>
    <xf numFmtId="0" fontId="21" fillId="2" borderId="0" xfId="0" applyFont="1" applyFill="1" applyBorder="1"/>
    <xf numFmtId="0" fontId="21" fillId="0" borderId="0" xfId="0" applyFont="1" applyFill="1"/>
    <xf numFmtId="0" fontId="72" fillId="0" borderId="0" xfId="0" applyFont="1" applyFill="1"/>
    <xf numFmtId="0" fontId="21" fillId="2" borderId="9" xfId="0" applyFont="1" applyFill="1" applyBorder="1"/>
    <xf numFmtId="0" fontId="21" fillId="0" borderId="0" xfId="0" applyFont="1" applyFill="1" applyBorder="1"/>
    <xf numFmtId="168" fontId="21" fillId="0" borderId="0" xfId="0" applyNumberFormat="1" applyFont="1" applyFill="1"/>
    <xf numFmtId="2" fontId="21" fillId="2" borderId="28" xfId="0" applyNumberFormat="1" applyFont="1" applyFill="1" applyBorder="1"/>
    <xf numFmtId="168" fontId="21" fillId="2" borderId="0" xfId="0" applyNumberFormat="1" applyFont="1" applyFill="1" applyBorder="1"/>
    <xf numFmtId="0" fontId="21" fillId="0" borderId="0" xfId="0" applyFont="1" applyFill="1" applyAlignment="1">
      <alignment vertical="center"/>
    </xf>
    <xf numFmtId="2" fontId="21" fillId="2" borderId="0" xfId="0" applyNumberFormat="1" applyFont="1" applyFill="1" applyBorder="1"/>
    <xf numFmtId="0" fontId="72" fillId="0" borderId="20" xfId="0" applyFont="1" applyFill="1" applyBorder="1"/>
    <xf numFmtId="0" fontId="21" fillId="0" borderId="15" xfId="0" applyFont="1" applyFill="1" applyBorder="1"/>
    <xf numFmtId="0" fontId="21" fillId="0" borderId="20" xfId="0" applyFont="1" applyFill="1" applyBorder="1"/>
    <xf numFmtId="0" fontId="21" fillId="0" borderId="18" xfId="0" applyFont="1" applyFill="1" applyBorder="1"/>
    <xf numFmtId="0" fontId="21" fillId="0" borderId="9" xfId="0" applyFont="1" applyFill="1" applyBorder="1"/>
    <xf numFmtId="168" fontId="21" fillId="0" borderId="9" xfId="0" applyNumberFormat="1" applyFont="1" applyFill="1" applyBorder="1"/>
    <xf numFmtId="168" fontId="21" fillId="0" borderId="0" xfId="0" applyNumberFormat="1" applyFont="1" applyFill="1" applyBorder="1"/>
    <xf numFmtId="2" fontId="21" fillId="0" borderId="9" xfId="0" applyNumberFormat="1" applyFont="1" applyFill="1" applyBorder="1"/>
    <xf numFmtId="2" fontId="21" fillId="0" borderId="0" xfId="0" applyNumberFormat="1" applyFont="1" applyFill="1" applyBorder="1"/>
    <xf numFmtId="0" fontId="21" fillId="0" borderId="19" xfId="0" applyFont="1" applyFill="1" applyBorder="1"/>
    <xf numFmtId="0" fontId="21" fillId="0" borderId="28" xfId="0" applyFont="1" applyFill="1" applyBorder="1"/>
    <xf numFmtId="0" fontId="21" fillId="0" borderId="17" xfId="0" applyFont="1" applyFill="1" applyBorder="1"/>
    <xf numFmtId="2" fontId="21" fillId="0" borderId="10" xfId="0" applyNumberFormat="1" applyFont="1" applyFill="1" applyBorder="1"/>
    <xf numFmtId="2" fontId="21" fillId="0" borderId="17" xfId="0" applyNumberFormat="1" applyFont="1" applyFill="1" applyBorder="1"/>
    <xf numFmtId="0" fontId="21" fillId="0" borderId="24" xfId="0" applyFont="1" applyFill="1" applyBorder="1"/>
    <xf numFmtId="2" fontId="21" fillId="0" borderId="0" xfId="0" applyNumberFormat="1" applyFont="1" applyFill="1"/>
    <xf numFmtId="0" fontId="72" fillId="0" borderId="0" xfId="0" applyFont="1" applyFill="1" applyBorder="1" applyAlignment="1">
      <alignment horizontal="right"/>
    </xf>
    <xf numFmtId="0" fontId="21" fillId="0" borderId="0" xfId="0" applyFont="1" applyFill="1" applyAlignment="1">
      <alignment horizontal="center"/>
    </xf>
    <xf numFmtId="0" fontId="21" fillId="0" borderId="0" xfId="0" applyFont="1" applyFill="1" applyAlignment="1">
      <alignment horizontal="right"/>
    </xf>
    <xf numFmtId="1" fontId="72" fillId="0" borderId="0" xfId="0" applyNumberFormat="1" applyFont="1" applyFill="1"/>
    <xf numFmtId="168" fontId="74" fillId="8" borderId="0" xfId="0" applyNumberFormat="1" applyFont="1" applyFill="1"/>
    <xf numFmtId="168" fontId="21" fillId="8" borderId="0" xfId="0" applyNumberFormat="1" applyFont="1" applyFill="1"/>
    <xf numFmtId="168" fontId="21" fillId="8" borderId="0" xfId="0" applyNumberFormat="1" applyFont="1" applyFill="1" applyBorder="1"/>
    <xf numFmtId="0" fontId="21" fillId="17" borderId="0" xfId="0" applyFont="1" applyFill="1"/>
    <xf numFmtId="0" fontId="21" fillId="8" borderId="0" xfId="0" applyFont="1" applyFill="1" applyBorder="1" applyAlignment="1">
      <alignment horizontal="right"/>
    </xf>
    <xf numFmtId="0" fontId="72" fillId="8" borderId="0" xfId="0" applyFont="1" applyFill="1"/>
    <xf numFmtId="1" fontId="72" fillId="8" borderId="0" xfId="0" applyNumberFormat="1" applyFont="1" applyFill="1"/>
    <xf numFmtId="2" fontId="21" fillId="8" borderId="0" xfId="0" applyNumberFormat="1" applyFont="1" applyFill="1"/>
    <xf numFmtId="0" fontId="72" fillId="14" borderId="0" xfId="0" applyFont="1" applyFill="1" applyBorder="1" applyAlignment="1">
      <alignment horizontal="right"/>
    </xf>
    <xf numFmtId="0" fontId="72" fillId="14" borderId="0" xfId="0" applyFont="1" applyFill="1"/>
    <xf numFmtId="0" fontId="21" fillId="14" borderId="0" xfId="0" applyFont="1" applyFill="1"/>
    <xf numFmtId="1" fontId="21" fillId="14" borderId="0" xfId="0" applyNumberFormat="1" applyFont="1" applyFill="1"/>
    <xf numFmtId="0" fontId="74" fillId="14" borderId="0" xfId="0" applyFont="1" applyFill="1"/>
    <xf numFmtId="0" fontId="21" fillId="14" borderId="0" xfId="0" applyFont="1" applyFill="1" applyBorder="1"/>
    <xf numFmtId="0" fontId="21" fillId="14" borderId="0" xfId="0" applyFont="1" applyFill="1" applyBorder="1" applyAlignment="1">
      <alignment horizontal="right"/>
    </xf>
    <xf numFmtId="2" fontId="21" fillId="14" borderId="0" xfId="0" applyNumberFormat="1" applyFont="1" applyFill="1"/>
    <xf numFmtId="168" fontId="21" fillId="14" borderId="0" xfId="0" applyNumberFormat="1" applyFont="1" applyFill="1"/>
    <xf numFmtId="168" fontId="74" fillId="14" borderId="0" xfId="0" applyNumberFormat="1" applyFont="1" applyFill="1"/>
    <xf numFmtId="168" fontId="21" fillId="14" borderId="0" xfId="0" applyNumberFormat="1" applyFont="1" applyFill="1" applyBorder="1"/>
    <xf numFmtId="0" fontId="21" fillId="13" borderId="0" xfId="0" applyFont="1" applyFill="1" applyBorder="1" applyAlignment="1">
      <alignment horizontal="right"/>
    </xf>
    <xf numFmtId="0" fontId="21" fillId="13" borderId="0" xfId="0" applyFont="1" applyFill="1"/>
    <xf numFmtId="168" fontId="21" fillId="13" borderId="0" xfId="0" applyNumberFormat="1" applyFont="1" applyFill="1"/>
    <xf numFmtId="168" fontId="74" fillId="13" borderId="0" xfId="0" applyNumberFormat="1" applyFont="1" applyFill="1"/>
    <xf numFmtId="168" fontId="21" fillId="13" borderId="0" xfId="0" applyNumberFormat="1" applyFont="1" applyFill="1" applyBorder="1"/>
    <xf numFmtId="0" fontId="21" fillId="13" borderId="0" xfId="0" applyFont="1" applyFill="1" applyAlignment="1">
      <alignment horizontal="right"/>
    </xf>
    <xf numFmtId="0" fontId="21" fillId="13" borderId="0" xfId="0" applyFont="1" applyFill="1" applyBorder="1"/>
    <xf numFmtId="0" fontId="21" fillId="9" borderId="0" xfId="0" applyFont="1" applyFill="1" applyBorder="1" applyAlignment="1">
      <alignment horizontal="right"/>
    </xf>
    <xf numFmtId="0" fontId="21" fillId="0" borderId="0" xfId="0" applyFont="1" applyBorder="1"/>
    <xf numFmtId="168" fontId="21" fillId="0" borderId="0" xfId="0" applyNumberFormat="1" applyFont="1" applyBorder="1"/>
    <xf numFmtId="165" fontId="21" fillId="0" borderId="0" xfId="0" applyNumberFormat="1" applyFont="1" applyFill="1"/>
    <xf numFmtId="2" fontId="21" fillId="0" borderId="0" xfId="0" applyNumberFormat="1" applyFont="1"/>
    <xf numFmtId="43" fontId="21" fillId="0" borderId="0" xfId="0" applyNumberFormat="1" applyFont="1" applyFill="1"/>
    <xf numFmtId="17" fontId="21" fillId="0" borderId="0" xfId="0" applyNumberFormat="1" applyFont="1" applyFill="1" applyAlignment="1">
      <alignment horizontal="left"/>
    </xf>
    <xf numFmtId="167" fontId="21" fillId="0" borderId="0" xfId="0" applyNumberFormat="1" applyFont="1" applyFill="1"/>
    <xf numFmtId="49" fontId="21" fillId="0" borderId="0" xfId="0" applyNumberFormat="1" applyFont="1" applyFill="1" applyAlignment="1">
      <alignment horizontal="left"/>
    </xf>
    <xf numFmtId="176" fontId="21" fillId="0" borderId="0" xfId="0" applyNumberFormat="1" applyFont="1" applyFill="1"/>
    <xf numFmtId="0" fontId="21" fillId="8" borderId="0" xfId="0" applyFont="1" applyFill="1"/>
    <xf numFmtId="179" fontId="21" fillId="0" borderId="0" xfId="0" applyNumberFormat="1" applyFont="1" applyFill="1"/>
    <xf numFmtId="178" fontId="21" fillId="0" borderId="0" xfId="0" applyNumberFormat="1" applyFont="1" applyFill="1"/>
    <xf numFmtId="175" fontId="21" fillId="0" borderId="0" xfId="0" applyNumberFormat="1" applyFont="1" applyFill="1"/>
    <xf numFmtId="0" fontId="50" fillId="0" borderId="0" xfId="0" applyFont="1" applyFill="1" applyBorder="1"/>
    <xf numFmtId="168" fontId="12" fillId="0" borderId="0" xfId="0" applyNumberFormat="1" applyFont="1" applyFill="1" applyBorder="1" applyAlignment="1">
      <alignment horizontal="center"/>
    </xf>
    <xf numFmtId="0" fontId="0" fillId="0" borderId="2" xfId="0" applyBorder="1"/>
    <xf numFmtId="0" fontId="50" fillId="14" borderId="0" xfId="0" applyFont="1" applyFill="1" applyBorder="1"/>
    <xf numFmtId="0" fontId="7" fillId="0" borderId="12" xfId="0" applyFont="1" applyBorder="1"/>
    <xf numFmtId="0" fontId="0" fillId="2" borderId="0" xfId="0" applyFill="1" applyBorder="1" applyAlignment="1">
      <alignment horizontal="center"/>
    </xf>
    <xf numFmtId="168" fontId="12" fillId="2" borderId="0" xfId="0" applyNumberFormat="1" applyFont="1" applyFill="1" applyBorder="1" applyAlignment="1">
      <alignment horizontal="right"/>
    </xf>
    <xf numFmtId="0" fontId="0" fillId="19" borderId="0" xfId="0" applyFill="1"/>
    <xf numFmtId="0" fontId="50" fillId="19" borderId="0" xfId="0" applyFont="1" applyFill="1"/>
    <xf numFmtId="0" fontId="75" fillId="0" borderId="0" xfId="0" applyFont="1" applyBorder="1"/>
    <xf numFmtId="0" fontId="75" fillId="0" borderId="134" xfId="0" applyFont="1" applyBorder="1"/>
    <xf numFmtId="0" fontId="75" fillId="0" borderId="135" xfId="0" applyFont="1" applyBorder="1"/>
    <xf numFmtId="0" fontId="75" fillId="0" borderId="136" xfId="0" applyFont="1" applyBorder="1"/>
    <xf numFmtId="0" fontId="75" fillId="0" borderId="137" xfId="0" applyFont="1" applyBorder="1"/>
    <xf numFmtId="0" fontId="75" fillId="0" borderId="138" xfId="0" applyFont="1" applyBorder="1"/>
    <xf numFmtId="168" fontId="75" fillId="0" borderId="137" xfId="0" applyNumberFormat="1" applyFont="1" applyBorder="1"/>
    <xf numFmtId="0" fontId="0" fillId="3" borderId="0" xfId="0" applyFill="1" applyBorder="1" applyAlignment="1">
      <alignment horizontal="right"/>
    </xf>
    <xf numFmtId="0" fontId="30" fillId="2" borderId="0" xfId="0" applyFont="1" applyFill="1"/>
    <xf numFmtId="0" fontId="12" fillId="0" borderId="105" xfId="0" applyFont="1" applyBorder="1" applyAlignment="1">
      <alignment vertical="top"/>
    </xf>
    <xf numFmtId="0" fontId="12" fillId="0" borderId="0" xfId="0" applyFont="1" applyAlignment="1">
      <alignment vertical="top"/>
    </xf>
    <xf numFmtId="0" fontId="12" fillId="0" borderId="0" xfId="0" applyFont="1" applyBorder="1" applyAlignment="1">
      <alignment vertical="top"/>
    </xf>
    <xf numFmtId="0" fontId="12" fillId="0" borderId="107" xfId="0" applyFont="1" applyBorder="1" applyAlignment="1">
      <alignment vertical="top"/>
    </xf>
    <xf numFmtId="0" fontId="12" fillId="0" borderId="108" xfId="0" applyFont="1" applyBorder="1" applyAlignment="1">
      <alignment vertical="top"/>
    </xf>
    <xf numFmtId="0" fontId="12" fillId="0" borderId="101" xfId="0" applyFont="1" applyBorder="1" applyAlignment="1">
      <alignment horizontal="left" vertical="top"/>
    </xf>
    <xf numFmtId="0" fontId="0" fillId="0" borderId="0" xfId="0"/>
    <xf numFmtId="0" fontId="12" fillId="0" borderId="0" xfId="0" applyFont="1"/>
    <xf numFmtId="0" fontId="0" fillId="0" borderId="0" xfId="0"/>
    <xf numFmtId="0" fontId="21" fillId="2" borderId="0" xfId="0" applyFont="1" applyFill="1"/>
    <xf numFmtId="0" fontId="9" fillId="20" borderId="0" xfId="0" applyFont="1" applyFill="1" applyBorder="1"/>
    <xf numFmtId="0" fontId="0" fillId="20" borderId="0" xfId="0" applyFill="1"/>
    <xf numFmtId="168" fontId="9" fillId="20" borderId="9" xfId="0" applyNumberFormat="1" applyFont="1" applyFill="1" applyBorder="1" applyAlignment="1">
      <alignment vertical="center"/>
    </xf>
    <xf numFmtId="0" fontId="9" fillId="20" borderId="0" xfId="0" applyFont="1" applyFill="1" applyBorder="1" applyAlignment="1">
      <alignment vertical="center"/>
    </xf>
    <xf numFmtId="0" fontId="0" fillId="2" borderId="0" xfId="0" applyFill="1" applyBorder="1"/>
    <xf numFmtId="0" fontId="0" fillId="0" borderId="0" xfId="0"/>
    <xf numFmtId="0" fontId="0" fillId="0" borderId="0" xfId="0" applyBorder="1"/>
    <xf numFmtId="0" fontId="0" fillId="20" borderId="0" xfId="0" applyFill="1" applyBorder="1" applyAlignment="1">
      <alignment horizontal="center"/>
    </xf>
    <xf numFmtId="168" fontId="0" fillId="20" borderId="0" xfId="0" applyNumberFormat="1" applyFill="1" applyBorder="1" applyAlignment="1">
      <alignment horizontal="center"/>
    </xf>
    <xf numFmtId="168" fontId="0" fillId="20" borderId="0" xfId="0" applyNumberFormat="1" applyFill="1" applyBorder="1"/>
    <xf numFmtId="0" fontId="27" fillId="20" borderId="0" xfId="0" applyFont="1" applyFill="1"/>
    <xf numFmtId="0" fontId="9" fillId="20" borderId="0" xfId="0" applyFont="1" applyFill="1"/>
    <xf numFmtId="0" fontId="9" fillId="20" borderId="17" xfId="0" applyFont="1" applyFill="1" applyBorder="1" applyAlignment="1">
      <alignment horizontal="left" vertical="center"/>
    </xf>
    <xf numFmtId="0" fontId="9" fillId="20" borderId="17" xfId="0" applyFont="1" applyFill="1" applyBorder="1" applyAlignment="1">
      <alignment horizontal="left"/>
    </xf>
    <xf numFmtId="0" fontId="9" fillId="20" borderId="17" xfId="0" applyFont="1" applyFill="1" applyBorder="1" applyAlignment="1">
      <alignment horizontal="left" wrapText="1"/>
    </xf>
    <xf numFmtId="0" fontId="9" fillId="20" borderId="0" xfId="0" applyFont="1" applyFill="1" applyBorder="1" applyAlignment="1">
      <alignment horizontal="left" wrapText="1"/>
    </xf>
    <xf numFmtId="0" fontId="9" fillId="20" borderId="0" xfId="0" applyFont="1" applyFill="1" applyAlignment="1">
      <alignment horizontal="left"/>
    </xf>
    <xf numFmtId="0" fontId="0" fillId="20" borderId="0" xfId="0" applyFill="1" applyAlignment="1">
      <alignment horizontal="left"/>
    </xf>
    <xf numFmtId="0" fontId="9" fillId="20" borderId="15" xfId="0" applyFont="1" applyFill="1" applyBorder="1" applyAlignment="1">
      <alignment vertical="center"/>
    </xf>
    <xf numFmtId="0" fontId="9" fillId="20" borderId="15" xfId="0" applyFont="1" applyFill="1" applyBorder="1" applyAlignment="1"/>
    <xf numFmtId="0" fontId="9" fillId="20" borderId="15" xfId="0" applyFont="1" applyFill="1" applyBorder="1"/>
    <xf numFmtId="0" fontId="9" fillId="20" borderId="16" xfId="0" applyFont="1" applyFill="1" applyBorder="1"/>
    <xf numFmtId="0" fontId="9" fillId="20" borderId="15" xfId="0" applyFont="1" applyFill="1" applyBorder="1" applyAlignment="1">
      <alignment horizontal="left"/>
    </xf>
    <xf numFmtId="0" fontId="9" fillId="20" borderId="15" xfId="0" applyFont="1" applyFill="1" applyBorder="1" applyAlignment="1">
      <alignment horizontal="center"/>
    </xf>
    <xf numFmtId="0" fontId="9" fillId="20" borderId="15" xfId="0" applyFont="1" applyFill="1" applyBorder="1" applyAlignment="1">
      <alignment wrapText="1"/>
    </xf>
    <xf numFmtId="0" fontId="9" fillId="20" borderId="21" xfId="0" applyFont="1" applyFill="1" applyBorder="1" applyAlignment="1">
      <alignment horizontal="center"/>
    </xf>
    <xf numFmtId="0" fontId="9" fillId="20" borderId="22" xfId="0" applyFont="1" applyFill="1" applyBorder="1" applyAlignment="1"/>
    <xf numFmtId="17" fontId="9" fillId="20" borderId="17" xfId="0" applyNumberFormat="1" applyFont="1" applyFill="1" applyBorder="1" applyAlignment="1">
      <alignment horizontal="right" vertical="center"/>
    </xf>
    <xf numFmtId="17" fontId="9" fillId="20" borderId="17" xfId="0" applyNumberFormat="1" applyFont="1" applyFill="1" applyBorder="1" applyAlignment="1">
      <alignment horizontal="right" vertical="center" wrapText="1"/>
    </xf>
    <xf numFmtId="0" fontId="9" fillId="20" borderId="17" xfId="0" quotePrefix="1" applyFont="1" applyFill="1" applyBorder="1" applyAlignment="1">
      <alignment horizontal="right" vertical="center"/>
    </xf>
    <xf numFmtId="0" fontId="9" fillId="20" borderId="17" xfId="0" applyFont="1" applyFill="1" applyBorder="1" applyAlignment="1">
      <alignment horizontal="right" vertical="center"/>
    </xf>
    <xf numFmtId="16" fontId="9" fillId="20" borderId="17" xfId="0" applyNumberFormat="1" applyFont="1" applyFill="1" applyBorder="1" applyAlignment="1">
      <alignment horizontal="right" vertical="center"/>
    </xf>
    <xf numFmtId="0" fontId="9" fillId="20" borderId="24" xfId="0" applyFont="1" applyFill="1" applyBorder="1" applyAlignment="1">
      <alignment horizontal="right" vertical="center"/>
    </xf>
    <xf numFmtId="0" fontId="9" fillId="20" borderId="17" xfId="0" quotePrefix="1" applyFont="1" applyFill="1" applyBorder="1" applyAlignment="1">
      <alignment horizontal="center" vertical="center"/>
    </xf>
    <xf numFmtId="17" fontId="9" fillId="20" borderId="17" xfId="0" quotePrefix="1" applyNumberFormat="1" applyFont="1" applyFill="1" applyBorder="1" applyAlignment="1">
      <alignment horizontal="center" vertical="center"/>
    </xf>
    <xf numFmtId="17" fontId="9" fillId="20" borderId="17" xfId="0" applyNumberFormat="1" applyFont="1" applyFill="1" applyBorder="1" applyAlignment="1">
      <alignment horizontal="center" vertical="center"/>
    </xf>
    <xf numFmtId="16" fontId="9" fillId="20" borderId="17" xfId="0" quotePrefix="1" applyNumberFormat="1" applyFont="1" applyFill="1" applyBorder="1" applyAlignment="1">
      <alignment horizontal="center" vertical="center"/>
    </xf>
    <xf numFmtId="0" fontId="9" fillId="20" borderId="10" xfId="0" quotePrefix="1" applyFont="1" applyFill="1" applyBorder="1" applyAlignment="1">
      <alignment horizontal="center" vertical="center"/>
    </xf>
    <xf numFmtId="0" fontId="9" fillId="20" borderId="28" xfId="0" quotePrefix="1" applyFont="1" applyFill="1" applyBorder="1" applyAlignment="1">
      <alignment horizontal="center" vertical="center"/>
    </xf>
    <xf numFmtId="0" fontId="9" fillId="20" borderId="27" xfId="0" applyFont="1" applyFill="1" applyBorder="1" applyAlignment="1">
      <alignment horizontal="center" vertical="center"/>
    </xf>
    <xf numFmtId="0" fontId="8" fillId="20" borderId="19" xfId="0" applyFont="1" applyFill="1" applyBorder="1" applyAlignment="1">
      <alignment vertical="center"/>
    </xf>
    <xf numFmtId="168" fontId="8" fillId="20" borderId="9" xfId="0" applyNumberFormat="1" applyFont="1" applyFill="1" applyBorder="1" applyAlignment="1">
      <alignment vertical="center"/>
    </xf>
    <xf numFmtId="168" fontId="8" fillId="20" borderId="0" xfId="0" applyNumberFormat="1" applyFont="1" applyFill="1" applyBorder="1" applyAlignment="1">
      <alignment vertical="center"/>
    </xf>
    <xf numFmtId="168" fontId="8" fillId="20" borderId="19" xfId="0" applyNumberFormat="1" applyFont="1" applyFill="1" applyBorder="1" applyAlignment="1">
      <alignment horizontal="right" vertical="center"/>
    </xf>
    <xf numFmtId="168" fontId="8" fillId="20" borderId="0" xfId="0" applyNumberFormat="1" applyFont="1" applyFill="1" applyBorder="1" applyAlignment="1">
      <alignment horizontal="right" vertical="center"/>
    </xf>
    <xf numFmtId="168" fontId="8" fillId="20" borderId="9" xfId="0" applyNumberFormat="1" applyFont="1" applyFill="1" applyBorder="1" applyAlignment="1">
      <alignment horizontal="right" vertical="center"/>
    </xf>
    <xf numFmtId="168" fontId="8" fillId="20" borderId="14" xfId="0" applyNumberFormat="1" applyFont="1" applyFill="1" applyBorder="1" applyAlignment="1">
      <alignment horizontal="right" vertical="center"/>
    </xf>
    <xf numFmtId="168" fontId="8" fillId="20" borderId="20" xfId="0" applyNumberFormat="1" applyFont="1" applyFill="1" applyBorder="1" applyAlignment="1">
      <alignment horizontal="right" vertical="center"/>
    </xf>
    <xf numFmtId="168" fontId="8" fillId="20" borderId="20" xfId="0" applyNumberFormat="1" applyFont="1" applyFill="1" applyBorder="1" applyAlignment="1">
      <alignment horizontal="center" vertical="center"/>
    </xf>
    <xf numFmtId="168" fontId="8" fillId="20" borderId="14" xfId="0" applyNumberFormat="1" applyFont="1" applyFill="1" applyBorder="1" applyAlignment="1">
      <alignment horizontal="center" vertical="center"/>
    </xf>
    <xf numFmtId="168" fontId="8" fillId="20" borderId="0" xfId="0" applyNumberFormat="1" applyFont="1" applyFill="1" applyBorder="1" applyAlignment="1">
      <alignment horizontal="center" vertical="center"/>
    </xf>
    <xf numFmtId="168" fontId="8" fillId="20" borderId="9" xfId="0" applyNumberFormat="1" applyFont="1" applyFill="1" applyBorder="1" applyAlignment="1">
      <alignment horizontal="center" vertical="center"/>
    </xf>
    <xf numFmtId="0" fontId="9" fillId="20" borderId="19" xfId="0" applyFont="1" applyFill="1" applyBorder="1" applyAlignment="1">
      <alignment horizontal="left" vertical="center" indent="1"/>
    </xf>
    <xf numFmtId="168" fontId="9" fillId="20" borderId="0" xfId="0" applyNumberFormat="1" applyFont="1" applyFill="1" applyBorder="1" applyAlignment="1">
      <alignment vertical="center"/>
    </xf>
    <xf numFmtId="168" fontId="9" fillId="20" borderId="19" xfId="0" applyNumberFormat="1" applyFont="1" applyFill="1" applyBorder="1" applyAlignment="1">
      <alignment horizontal="right" vertical="center"/>
    </xf>
    <xf numFmtId="168" fontId="9" fillId="20" borderId="0" xfId="0" applyNumberFormat="1" applyFont="1" applyFill="1" applyBorder="1" applyAlignment="1">
      <alignment horizontal="right" vertical="center"/>
    </xf>
    <xf numFmtId="168" fontId="9" fillId="20" borderId="9" xfId="0" applyNumberFormat="1" applyFont="1" applyFill="1" applyBorder="1" applyAlignment="1">
      <alignment horizontal="right" vertical="center"/>
    </xf>
    <xf numFmtId="168" fontId="9" fillId="20" borderId="9" xfId="0" applyNumberFormat="1" applyFont="1" applyFill="1" applyBorder="1" applyAlignment="1">
      <alignment horizontal="center" vertical="center"/>
    </xf>
    <xf numFmtId="168" fontId="0" fillId="20" borderId="0" xfId="0" applyNumberFormat="1" applyFill="1" applyBorder="1" applyAlignment="1">
      <alignment horizontal="center" vertical="center"/>
    </xf>
    <xf numFmtId="0" fontId="9" fillId="20" borderId="19" xfId="0" applyFont="1" applyFill="1" applyBorder="1" applyAlignment="1">
      <alignment horizontal="left" vertical="center" wrapText="1" indent="1"/>
    </xf>
    <xf numFmtId="0" fontId="9" fillId="20" borderId="19" xfId="0" applyFont="1" applyFill="1" applyBorder="1" applyAlignment="1">
      <alignment vertical="center"/>
    </xf>
    <xf numFmtId="0" fontId="9" fillId="20" borderId="9" xfId="0" applyFont="1" applyFill="1" applyBorder="1" applyAlignment="1">
      <alignment vertical="center"/>
    </xf>
    <xf numFmtId="0" fontId="9" fillId="20" borderId="9" xfId="0" applyFont="1" applyFill="1" applyBorder="1"/>
    <xf numFmtId="0" fontId="9" fillId="20" borderId="19" xfId="0" applyFont="1" applyFill="1" applyBorder="1" applyAlignment="1">
      <alignment horizontal="right"/>
    </xf>
    <xf numFmtId="0" fontId="9" fillId="20" borderId="0" xfId="0" applyFont="1" applyFill="1" applyBorder="1" applyAlignment="1">
      <alignment horizontal="right"/>
    </xf>
    <xf numFmtId="0" fontId="9" fillId="20" borderId="9" xfId="0" applyFont="1" applyFill="1" applyBorder="1" applyAlignment="1">
      <alignment horizontal="right"/>
    </xf>
    <xf numFmtId="2" fontId="9" fillId="20" borderId="9" xfId="0" applyNumberFormat="1" applyFont="1" applyFill="1" applyBorder="1" applyAlignment="1">
      <alignment horizontal="right"/>
    </xf>
    <xf numFmtId="168" fontId="9" fillId="20" borderId="9" xfId="0" applyNumberFormat="1" applyFont="1" applyFill="1" applyBorder="1" applyAlignment="1">
      <alignment horizontal="right"/>
    </xf>
    <xf numFmtId="168" fontId="9" fillId="20" borderId="9" xfId="0" applyNumberFormat="1" applyFont="1" applyFill="1" applyBorder="1"/>
    <xf numFmtId="168" fontId="0" fillId="20" borderId="9" xfId="0" applyNumberFormat="1" applyFill="1" applyBorder="1"/>
    <xf numFmtId="168" fontId="0" fillId="20" borderId="9" xfId="0" applyNumberFormat="1" applyFill="1" applyBorder="1" applyAlignment="1">
      <alignment horizontal="center"/>
    </xf>
    <xf numFmtId="168" fontId="0" fillId="20" borderId="18" xfId="0" applyNumberFormat="1" applyFill="1" applyBorder="1" applyAlignment="1">
      <alignment horizontal="center"/>
    </xf>
    <xf numFmtId="0" fontId="8" fillId="20" borderId="9" xfId="0" applyFont="1" applyFill="1" applyBorder="1" applyAlignment="1">
      <alignment vertical="center"/>
    </xf>
    <xf numFmtId="168" fontId="8" fillId="20" borderId="18" xfId="0" applyNumberFormat="1" applyFont="1" applyFill="1" applyBorder="1" applyAlignment="1">
      <alignment horizontal="right" vertical="center"/>
    </xf>
    <xf numFmtId="168" fontId="71" fillId="20" borderId="9" xfId="0" applyNumberFormat="1" applyFont="1" applyFill="1" applyBorder="1" applyAlignment="1">
      <alignment horizontal="center" vertical="center"/>
    </xf>
    <xf numFmtId="0" fontId="9" fillId="20" borderId="28" xfId="0" applyFont="1" applyFill="1" applyBorder="1" applyAlignment="1">
      <alignment horizontal="left" vertical="center" indent="1"/>
    </xf>
    <xf numFmtId="168" fontId="9" fillId="20" borderId="10" xfId="0" applyNumberFormat="1" applyFont="1" applyFill="1" applyBorder="1" applyAlignment="1">
      <alignment vertical="center"/>
    </xf>
    <xf numFmtId="168" fontId="9" fillId="20" borderId="17" xfId="0" applyNumberFormat="1" applyFont="1" applyFill="1" applyBorder="1" applyAlignment="1">
      <alignment vertical="center"/>
    </xf>
    <xf numFmtId="168" fontId="9" fillId="20" borderId="28" xfId="0" applyNumberFormat="1" applyFont="1" applyFill="1" applyBorder="1" applyAlignment="1">
      <alignment horizontal="right" vertical="center"/>
    </xf>
    <xf numFmtId="168" fontId="9" fillId="20" borderId="17" xfId="0" applyNumberFormat="1" applyFont="1" applyFill="1" applyBorder="1" applyAlignment="1">
      <alignment horizontal="right" vertical="center"/>
    </xf>
    <xf numFmtId="168" fontId="9" fillId="20" borderId="10" xfId="0" applyNumberFormat="1" applyFont="1" applyFill="1" applyBorder="1" applyAlignment="1">
      <alignment horizontal="right" vertical="center"/>
    </xf>
    <xf numFmtId="168" fontId="9" fillId="20" borderId="10" xfId="0" applyNumberFormat="1" applyFont="1" applyFill="1" applyBorder="1" applyAlignment="1">
      <alignment horizontal="center" vertical="center"/>
    </xf>
    <xf numFmtId="168" fontId="71" fillId="20" borderId="10" xfId="0" applyNumberFormat="1" applyFont="1" applyFill="1" applyBorder="1" applyAlignment="1">
      <alignment horizontal="center" vertical="center"/>
    </xf>
    <xf numFmtId="168" fontId="25" fillId="20" borderId="0" xfId="0" applyNumberFormat="1" applyFont="1" applyFill="1" applyBorder="1" applyAlignment="1">
      <alignment vertical="center"/>
    </xf>
    <xf numFmtId="0" fontId="28" fillId="20" borderId="0" xfId="0" applyFont="1" applyFill="1" applyBorder="1"/>
    <xf numFmtId="2" fontId="9" fillId="20" borderId="19" xfId="0" applyNumberFormat="1" applyFont="1" applyFill="1" applyBorder="1"/>
    <xf numFmtId="0" fontId="0" fillId="20" borderId="7" xfId="0" applyFill="1" applyBorder="1"/>
    <xf numFmtId="0" fontId="25" fillId="20" borderId="0" xfId="0" applyFont="1" applyFill="1" applyBorder="1" applyAlignment="1">
      <alignment horizontal="left" vertical="center" indent="1"/>
    </xf>
    <xf numFmtId="0" fontId="12" fillId="0" borderId="0" xfId="0" applyFont="1"/>
    <xf numFmtId="49" fontId="7" fillId="0" borderId="0" xfId="0" applyNumberFormat="1" applyFont="1" applyFill="1" applyBorder="1" applyAlignment="1">
      <alignment horizontal="right"/>
    </xf>
    <xf numFmtId="0" fontId="8" fillId="20" borderId="133" xfId="0" applyFont="1" applyFill="1" applyBorder="1" applyAlignment="1">
      <alignment horizontal="center"/>
    </xf>
    <xf numFmtId="0" fontId="12" fillId="20" borderId="0" xfId="0" applyFont="1" applyFill="1" applyBorder="1"/>
    <xf numFmtId="0" fontId="12" fillId="20" borderId="17" xfId="0" applyFont="1" applyFill="1" applyBorder="1"/>
    <xf numFmtId="0" fontId="12" fillId="20" borderId="0" xfId="0" applyFont="1" applyFill="1"/>
    <xf numFmtId="0" fontId="12" fillId="0" borderId="0" xfId="0" applyFont="1" applyAlignment="1">
      <alignment vertical="center"/>
    </xf>
    <xf numFmtId="168" fontId="12" fillId="2" borderId="0" xfId="0" applyNumberFormat="1" applyFont="1" applyFill="1" applyBorder="1" applyAlignment="1">
      <alignment horizontal="center" vertical="center"/>
    </xf>
    <xf numFmtId="0" fontId="0" fillId="0" borderId="0" xfId="0"/>
    <xf numFmtId="0" fontId="21" fillId="2" borderId="0" xfId="0" applyFont="1" applyFill="1"/>
    <xf numFmtId="0" fontId="21" fillId="2" borderId="0" xfId="0" applyFont="1" applyFill="1"/>
    <xf numFmtId="0" fontId="8" fillId="20" borderId="27" xfId="0" applyFont="1" applyFill="1" applyBorder="1" applyAlignment="1">
      <alignment vertical="center"/>
    </xf>
    <xf numFmtId="0" fontId="8" fillId="20" borderId="21" xfId="0" applyFont="1" applyFill="1" applyBorder="1" applyAlignment="1">
      <alignment vertical="center"/>
    </xf>
    <xf numFmtId="0" fontId="8" fillId="20" borderId="0" xfId="0" applyFont="1" applyFill="1" applyBorder="1" applyAlignment="1"/>
    <xf numFmtId="168" fontId="12" fillId="20" borderId="0" xfId="0" applyNumberFormat="1" applyFont="1" applyFill="1" applyBorder="1"/>
    <xf numFmtId="168" fontId="12" fillId="20" borderId="159" xfId="0" applyNumberFormat="1" applyFont="1" applyFill="1" applyBorder="1"/>
    <xf numFmtId="0" fontId="0" fillId="0" borderId="0" xfId="0"/>
    <xf numFmtId="0" fontId="0" fillId="0" borderId="0" xfId="0"/>
    <xf numFmtId="0" fontId="0" fillId="0" borderId="0" xfId="0" applyBorder="1"/>
    <xf numFmtId="0" fontId="79" fillId="0" borderId="0" xfId="0" applyFont="1"/>
    <xf numFmtId="0" fontId="7" fillId="2" borderId="0" xfId="0" applyFont="1" applyFill="1" applyBorder="1" applyAlignment="1">
      <alignment horizontal="center"/>
    </xf>
    <xf numFmtId="168" fontId="0" fillId="20" borderId="161" xfId="0" applyNumberFormat="1" applyFill="1" applyBorder="1" applyAlignment="1">
      <alignment horizontal="center"/>
    </xf>
    <xf numFmtId="43" fontId="12" fillId="0" borderId="0" xfId="0" applyNumberFormat="1" applyFont="1" applyAlignment="1">
      <alignment vertical="center"/>
    </xf>
    <xf numFmtId="168" fontId="7" fillId="20" borderId="0" xfId="0" applyNumberFormat="1" applyFont="1" applyFill="1" applyBorder="1" applyAlignment="1">
      <alignment horizontal="center" vertical="center"/>
    </xf>
    <xf numFmtId="0" fontId="12" fillId="0" borderId="0" xfId="0" applyFont="1"/>
    <xf numFmtId="0" fontId="12" fillId="20" borderId="159" xfId="0" applyFont="1" applyFill="1" applyBorder="1"/>
    <xf numFmtId="0" fontId="12" fillId="20" borderId="159" xfId="0" applyFont="1" applyFill="1" applyBorder="1" applyAlignment="1">
      <alignment horizontal="right"/>
    </xf>
    <xf numFmtId="168" fontId="12" fillId="20" borderId="159" xfId="0" applyNumberFormat="1" applyFont="1" applyFill="1" applyBorder="1" applyAlignment="1">
      <alignment horizontal="right"/>
    </xf>
    <xf numFmtId="168" fontId="12" fillId="20" borderId="18" xfId="0" applyNumberFormat="1" applyFont="1" applyFill="1" applyBorder="1"/>
    <xf numFmtId="168" fontId="12" fillId="20" borderId="0" xfId="0" applyNumberFormat="1" applyFont="1" applyFill="1" applyBorder="1" applyAlignment="1">
      <alignment horizontal="right"/>
    </xf>
    <xf numFmtId="0" fontId="8" fillId="20" borderId="15" xfId="0" applyFont="1" applyFill="1" applyBorder="1" applyAlignment="1"/>
    <xf numFmtId="168" fontId="0" fillId="20" borderId="161" xfId="0" applyNumberFormat="1" applyFill="1" applyBorder="1" applyAlignment="1">
      <alignment horizontal="center" vertical="center"/>
    </xf>
    <xf numFmtId="168" fontId="8" fillId="20" borderId="166" xfId="0" applyNumberFormat="1" applyFont="1" applyFill="1" applyBorder="1" applyAlignment="1">
      <alignment horizontal="center" vertical="center"/>
    </xf>
    <xf numFmtId="0" fontId="34" fillId="20" borderId="14" xfId="0" applyFont="1" applyFill="1" applyBorder="1" applyAlignment="1">
      <alignment vertical="center" wrapText="1"/>
    </xf>
    <xf numFmtId="0" fontId="34" fillId="20" borderId="15" xfId="0" applyFont="1" applyFill="1" applyBorder="1" applyAlignment="1">
      <alignment vertical="center" wrapText="1"/>
    </xf>
    <xf numFmtId="0" fontId="34" fillId="20" borderId="27" xfId="0" applyFont="1" applyFill="1" applyBorder="1" applyAlignment="1">
      <alignment horizontal="center" vertical="top" wrapText="1"/>
    </xf>
    <xf numFmtId="0" fontId="0" fillId="0" borderId="0" xfId="0"/>
    <xf numFmtId="0" fontId="12" fillId="20" borderId="161" xfId="0" applyFont="1" applyFill="1" applyBorder="1"/>
    <xf numFmtId="0" fontId="0" fillId="0" borderId="0" xfId="0"/>
    <xf numFmtId="0" fontId="0" fillId="0" borderId="0" xfId="0" applyBorder="1"/>
    <xf numFmtId="0" fontId="8" fillId="20" borderId="21" xfId="0" applyFont="1" applyFill="1" applyBorder="1" applyAlignment="1"/>
    <xf numFmtId="0" fontId="8" fillId="20" borderId="22" xfId="0" applyFont="1" applyFill="1" applyBorder="1" applyAlignment="1"/>
    <xf numFmtId="0" fontId="9" fillId="20" borderId="10"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28" xfId="0" applyFont="1" applyFill="1" applyBorder="1" applyAlignment="1">
      <alignment horizontal="center" vertical="center"/>
    </xf>
    <xf numFmtId="0" fontId="0" fillId="20" borderId="0" xfId="0" applyFill="1" applyBorder="1"/>
    <xf numFmtId="182" fontId="0" fillId="0" borderId="0" xfId="1" applyNumberFormat="1" applyFont="1" applyBorder="1"/>
    <xf numFmtId="0" fontId="8" fillId="20" borderId="18" xfId="0" applyFont="1" applyFill="1" applyBorder="1" applyAlignment="1">
      <alignment horizontal="center"/>
    </xf>
    <xf numFmtId="0" fontId="7" fillId="20" borderId="0" xfId="0" applyFont="1" applyFill="1" applyBorder="1"/>
    <xf numFmtId="0" fontId="0" fillId="0" borderId="151" xfId="0" applyBorder="1"/>
    <xf numFmtId="0" fontId="8" fillId="20" borderId="0" xfId="3" applyFont="1" applyFill="1" applyBorder="1" applyAlignment="1">
      <alignment horizontal="center" vertical="center" wrapText="1"/>
    </xf>
    <xf numFmtId="173" fontId="9" fillId="20" borderId="0" xfId="0" applyNumberFormat="1" applyFont="1" applyFill="1" applyBorder="1" applyAlignment="1">
      <alignment horizontal="right" vertical="center"/>
    </xf>
    <xf numFmtId="173" fontId="9" fillId="20" borderId="0" xfId="0" applyNumberFormat="1" applyFont="1" applyFill="1" applyBorder="1" applyAlignment="1">
      <alignment vertical="center"/>
    </xf>
    <xf numFmtId="0" fontId="72" fillId="20" borderId="0" xfId="0" applyFont="1" applyFill="1"/>
    <xf numFmtId="0" fontId="12" fillId="20" borderId="171" xfId="0" applyFont="1" applyFill="1" applyBorder="1"/>
    <xf numFmtId="0" fontId="21" fillId="20" borderId="0" xfId="0" applyFont="1" applyFill="1" applyBorder="1"/>
    <xf numFmtId="0" fontId="21" fillId="20" borderId="0" xfId="0" applyFont="1" applyFill="1"/>
    <xf numFmtId="0" fontId="12" fillId="20" borderId="0" xfId="0" applyFont="1" applyFill="1" applyBorder="1" applyAlignment="1">
      <alignment wrapText="1"/>
    </xf>
    <xf numFmtId="0" fontId="21" fillId="20" borderId="152" xfId="0" applyFont="1" applyFill="1" applyBorder="1"/>
    <xf numFmtId="166" fontId="21" fillId="20" borderId="0" xfId="0" applyNumberFormat="1" applyFont="1" applyFill="1" applyProtection="1"/>
    <xf numFmtId="0" fontId="21" fillId="20" borderId="11" xfId="0" applyFont="1" applyFill="1" applyBorder="1"/>
    <xf numFmtId="0" fontId="21" fillId="20" borderId="12" xfId="0" applyFont="1" applyFill="1" applyBorder="1"/>
    <xf numFmtId="0" fontId="21" fillId="20" borderId="2" xfId="0" applyFont="1" applyFill="1" applyBorder="1"/>
    <xf numFmtId="0" fontId="21" fillId="20" borderId="0" xfId="0" applyFont="1" applyFill="1" applyBorder="1" applyAlignment="1">
      <alignment vertical="center"/>
    </xf>
    <xf numFmtId="0" fontId="21" fillId="20" borderId="0" xfId="0" applyFont="1" applyFill="1" applyAlignment="1">
      <alignment vertical="center"/>
    </xf>
    <xf numFmtId="0" fontId="73" fillId="20" borderId="9" xfId="0" applyFont="1" applyFill="1" applyBorder="1"/>
    <xf numFmtId="0" fontId="21" fillId="20" borderId="15" xfId="0" applyFont="1" applyFill="1" applyBorder="1"/>
    <xf numFmtId="2" fontId="21" fillId="20" borderId="20" xfId="0" applyNumberFormat="1" applyFont="1" applyFill="1" applyBorder="1"/>
    <xf numFmtId="2" fontId="21" fillId="20" borderId="15" xfId="0" applyNumberFormat="1" applyFont="1" applyFill="1" applyBorder="1"/>
    <xf numFmtId="0" fontId="21" fillId="20" borderId="16" xfId="0" applyFont="1" applyFill="1" applyBorder="1"/>
    <xf numFmtId="168" fontId="21" fillId="20" borderId="0" xfId="0" applyNumberFormat="1" applyFont="1" applyFill="1" applyBorder="1"/>
    <xf numFmtId="2" fontId="21" fillId="20" borderId="0" xfId="0" applyNumberFormat="1" applyFont="1" applyFill="1" applyBorder="1"/>
    <xf numFmtId="166" fontId="12" fillId="20" borderId="0" xfId="0" applyNumberFormat="1" applyFont="1" applyFill="1" applyBorder="1" applyProtection="1"/>
    <xf numFmtId="0" fontId="12" fillId="20" borderId="0" xfId="0" applyNumberFormat="1" applyFont="1" applyFill="1" applyBorder="1" applyAlignment="1">
      <alignment horizontal="centerContinuous"/>
    </xf>
    <xf numFmtId="0" fontId="12" fillId="20" borderId="0" xfId="0" applyFont="1" applyFill="1" applyBorder="1" applyAlignment="1">
      <alignment horizontal="right" wrapText="1"/>
    </xf>
    <xf numFmtId="0" fontId="12" fillId="20" borderId="2" xfId="0" applyFont="1" applyFill="1" applyBorder="1"/>
    <xf numFmtId="0" fontId="12" fillId="20" borderId="15" xfId="0" applyFont="1" applyFill="1" applyBorder="1" applyAlignment="1">
      <alignment horizontal="center" vertical="center"/>
    </xf>
    <xf numFmtId="0" fontId="12" fillId="20" borderId="33" xfId="0" applyFont="1" applyFill="1" applyBorder="1" applyAlignment="1">
      <alignment horizontal="center" vertical="center"/>
    </xf>
    <xf numFmtId="0" fontId="12" fillId="20" borderId="32" xfId="0" applyFont="1" applyFill="1" applyBorder="1" applyAlignment="1">
      <alignment horizontal="center" vertical="center"/>
    </xf>
    <xf numFmtId="0" fontId="12" fillId="20" borderId="57" xfId="0" applyFont="1" applyFill="1" applyBorder="1" applyAlignment="1">
      <alignment vertical="center"/>
    </xf>
    <xf numFmtId="0" fontId="12" fillId="20" borderId="15" xfId="0" applyFont="1" applyFill="1" applyBorder="1" applyAlignment="1">
      <alignment vertical="center"/>
    </xf>
    <xf numFmtId="0" fontId="12" fillId="20" borderId="14" xfId="0" applyNumberFormat="1" applyFont="1" applyFill="1" applyBorder="1" applyAlignment="1">
      <alignment horizontal="center" vertical="center"/>
    </xf>
    <xf numFmtId="0" fontId="12" fillId="20" borderId="20" xfId="0" applyNumberFormat="1" applyFont="1" applyFill="1" applyBorder="1" applyAlignment="1">
      <alignment horizontal="center" vertical="center"/>
    </xf>
    <xf numFmtId="49" fontId="12" fillId="20" borderId="14" xfId="0" applyNumberFormat="1" applyFont="1" applyFill="1" applyBorder="1" applyAlignment="1">
      <alignment horizontal="center" vertical="center"/>
    </xf>
    <xf numFmtId="0" fontId="12" fillId="20" borderId="14" xfId="0" applyFont="1" applyFill="1" applyBorder="1"/>
    <xf numFmtId="0" fontId="12" fillId="20" borderId="15" xfId="0" applyFont="1" applyFill="1" applyBorder="1"/>
    <xf numFmtId="0" fontId="12" fillId="20" borderId="22" xfId="0" applyFont="1" applyFill="1" applyBorder="1" applyAlignment="1">
      <alignment horizontal="center" vertical="center"/>
    </xf>
    <xf numFmtId="0" fontId="12" fillId="20" borderId="22" xfId="0" applyFont="1" applyFill="1" applyBorder="1" applyAlignment="1">
      <alignment vertical="center"/>
    </xf>
    <xf numFmtId="0" fontId="12" fillId="20" borderId="21" xfId="0" applyFont="1" applyFill="1" applyBorder="1" applyAlignment="1">
      <alignment vertical="center"/>
    </xf>
    <xf numFmtId="0" fontId="12" fillId="20" borderId="21" xfId="0" applyNumberFormat="1" applyFont="1" applyFill="1" applyBorder="1" applyAlignment="1">
      <alignment horizontal="center" vertical="center"/>
    </xf>
    <xf numFmtId="0" fontId="12" fillId="20" borderId="27" xfId="0" applyFont="1" applyFill="1" applyBorder="1" applyAlignment="1">
      <alignment horizontal="centerContinuous" vertical="center" wrapText="1"/>
    </xf>
    <xf numFmtId="0" fontId="12" fillId="20" borderId="21" xfId="0" applyFont="1" applyFill="1" applyBorder="1" applyAlignment="1">
      <alignment horizontal="centerContinuous" vertical="center" wrapText="1"/>
    </xf>
    <xf numFmtId="0" fontId="12" fillId="20" borderId="156" xfId="0" applyFont="1" applyFill="1" applyBorder="1"/>
    <xf numFmtId="0" fontId="12" fillId="20" borderId="0" xfId="0" applyFont="1" applyFill="1" applyBorder="1" applyAlignment="1">
      <alignment horizontal="center"/>
    </xf>
    <xf numFmtId="0" fontId="12" fillId="20" borderId="9" xfId="0" applyFont="1" applyFill="1" applyBorder="1" applyAlignment="1">
      <alignment horizontal="right"/>
    </xf>
    <xf numFmtId="0" fontId="14" fillId="20" borderId="0" xfId="0" applyFont="1" applyFill="1" applyBorder="1" applyAlignment="1">
      <alignment horizontal="centerContinuous" wrapText="1"/>
    </xf>
    <xf numFmtId="0" fontId="12" fillId="20" borderId="0" xfId="0" applyFont="1" applyFill="1" applyBorder="1" applyAlignment="1">
      <alignment horizontal="centerContinuous" wrapText="1"/>
    </xf>
    <xf numFmtId="0" fontId="12" fillId="20" borderId="0" xfId="0" applyFont="1" applyFill="1" applyBorder="1" applyAlignment="1">
      <alignment horizontal="center" vertical="center"/>
    </xf>
    <xf numFmtId="0" fontId="12" fillId="20" borderId="21" xfId="0" applyFont="1" applyFill="1" applyBorder="1" applyAlignment="1">
      <alignment horizontal="left" vertical="center"/>
    </xf>
    <xf numFmtId="0" fontId="12" fillId="20" borderId="22" xfId="0" applyFont="1" applyFill="1" applyBorder="1" applyAlignment="1">
      <alignment horizontal="left" vertical="center"/>
    </xf>
    <xf numFmtId="0" fontId="12" fillId="20" borderId="22" xfId="0" applyFont="1" applyFill="1" applyBorder="1" applyAlignment="1"/>
    <xf numFmtId="0" fontId="12" fillId="20" borderId="21" xfId="0" applyFont="1" applyFill="1" applyBorder="1" applyAlignment="1">
      <alignment wrapText="1"/>
    </xf>
    <xf numFmtId="0" fontId="12" fillId="20" borderId="22" xfId="0" applyFont="1" applyFill="1" applyBorder="1" applyAlignment="1">
      <alignment wrapText="1"/>
    </xf>
    <xf numFmtId="0" fontId="12" fillId="20" borderId="172" xfId="0" applyFont="1" applyFill="1" applyBorder="1" applyAlignment="1">
      <alignment wrapText="1"/>
    </xf>
    <xf numFmtId="0" fontId="12" fillId="20" borderId="19" xfId="0" applyFont="1" applyFill="1" applyBorder="1"/>
    <xf numFmtId="0" fontId="12" fillId="20" borderId="28" xfId="0" applyFont="1" applyFill="1" applyBorder="1"/>
    <xf numFmtId="0" fontId="12" fillId="20" borderId="170" xfId="0" applyFont="1" applyFill="1" applyBorder="1"/>
    <xf numFmtId="0" fontId="12" fillId="20" borderId="7" xfId="0" applyFont="1" applyFill="1" applyBorder="1"/>
    <xf numFmtId="0" fontId="12" fillId="20" borderId="18" xfId="0" applyFont="1" applyFill="1" applyBorder="1"/>
    <xf numFmtId="0" fontId="12" fillId="20" borderId="152" xfId="0" applyFont="1" applyFill="1" applyBorder="1"/>
    <xf numFmtId="166" fontId="14" fillId="20" borderId="9" xfId="0" applyNumberFormat="1" applyFont="1" applyFill="1" applyBorder="1" applyProtection="1"/>
    <xf numFmtId="165" fontId="12" fillId="20" borderId="3" xfId="0" applyNumberFormat="1" applyFont="1" applyFill="1" applyBorder="1"/>
    <xf numFmtId="165" fontId="12" fillId="20" borderId="13" xfId="0" applyNumberFormat="1" applyFont="1" applyFill="1" applyBorder="1"/>
    <xf numFmtId="165" fontId="12" fillId="20" borderId="11" xfId="0" applyNumberFormat="1" applyFont="1" applyFill="1" applyBorder="1"/>
    <xf numFmtId="43" fontId="12" fillId="20" borderId="55" xfId="0" applyNumberFormat="1" applyFont="1" applyFill="1" applyBorder="1"/>
    <xf numFmtId="43" fontId="12" fillId="20" borderId="11" xfId="0" applyNumberFormat="1" applyFont="1" applyFill="1" applyBorder="1"/>
    <xf numFmtId="165" fontId="12" fillId="20" borderId="140" xfId="0" applyNumberFormat="1" applyFont="1" applyFill="1" applyBorder="1"/>
    <xf numFmtId="165" fontId="12" fillId="20" borderId="57" xfId="0" applyNumberFormat="1" applyFont="1" applyFill="1" applyBorder="1"/>
    <xf numFmtId="165" fontId="12" fillId="20" borderId="33" xfId="0" applyNumberFormat="1" applyFont="1" applyFill="1" applyBorder="1"/>
    <xf numFmtId="168" fontId="14" fillId="20" borderId="0" xfId="0" applyNumberFormat="1" applyFont="1" applyFill="1" applyBorder="1" applyAlignment="1">
      <alignment horizontal="center"/>
    </xf>
    <xf numFmtId="166" fontId="12" fillId="20" borderId="9" xfId="0" applyNumberFormat="1" applyFont="1" applyFill="1" applyBorder="1" applyAlignment="1" applyProtection="1">
      <alignment horizontal="right"/>
    </xf>
    <xf numFmtId="165" fontId="12" fillId="20" borderId="7" xfId="0" applyNumberFormat="1" applyFont="1" applyFill="1" applyBorder="1"/>
    <xf numFmtId="165" fontId="12" fillId="20" borderId="0" xfId="0" applyNumberFormat="1" applyFont="1" applyFill="1" applyBorder="1"/>
    <xf numFmtId="43" fontId="12" fillId="20" borderId="29" xfId="0" applyNumberFormat="1" applyFont="1" applyFill="1" applyBorder="1"/>
    <xf numFmtId="43" fontId="12" fillId="20" borderId="0" xfId="0" applyNumberFormat="1" applyFont="1" applyFill="1" applyBorder="1"/>
    <xf numFmtId="165" fontId="12" fillId="20" borderId="19" xfId="0" applyNumberFormat="1" applyFont="1" applyFill="1" applyBorder="1"/>
    <xf numFmtId="165" fontId="12" fillId="20" borderId="29" xfId="0" applyNumberFormat="1" applyFont="1" applyFill="1" applyBorder="1"/>
    <xf numFmtId="165" fontId="12" fillId="20" borderId="2" xfId="0" applyNumberFormat="1" applyFont="1" applyFill="1" applyBorder="1"/>
    <xf numFmtId="168" fontId="12" fillId="20" borderId="0" xfId="0" applyNumberFormat="1" applyFont="1" applyFill="1" applyBorder="1" applyAlignment="1">
      <alignment horizontal="center"/>
    </xf>
    <xf numFmtId="168" fontId="12" fillId="20" borderId="158" xfId="0" applyNumberFormat="1" applyFont="1" applyFill="1" applyBorder="1" applyAlignment="1">
      <alignment horizontal="center"/>
    </xf>
    <xf numFmtId="166" fontId="12" fillId="20" borderId="9" xfId="0" applyNumberFormat="1" applyFont="1" applyFill="1" applyBorder="1" applyAlignment="1" applyProtection="1">
      <alignment horizontal="left" indent="1"/>
    </xf>
    <xf numFmtId="168" fontId="12" fillId="20" borderId="152" xfId="0" applyNumberFormat="1" applyFont="1" applyFill="1" applyBorder="1" applyAlignment="1">
      <alignment horizontal="center"/>
    </xf>
    <xf numFmtId="165" fontId="12" fillId="20" borderId="7" xfId="0" applyNumberFormat="1" applyFont="1" applyFill="1" applyBorder="1" applyAlignment="1">
      <alignment horizontal="center"/>
    </xf>
    <xf numFmtId="165" fontId="12" fillId="20" borderId="6" xfId="0" applyNumberFormat="1" applyFont="1" applyFill="1" applyBorder="1" applyAlignment="1">
      <alignment horizontal="center"/>
    </xf>
    <xf numFmtId="165" fontId="12" fillId="20" borderId="2" xfId="0" applyNumberFormat="1" applyFont="1" applyFill="1" applyBorder="1" applyAlignment="1">
      <alignment horizontal="center"/>
    </xf>
    <xf numFmtId="166" fontId="12" fillId="20" borderId="9" xfId="0" applyNumberFormat="1" applyFont="1" applyFill="1" applyBorder="1" applyProtection="1"/>
    <xf numFmtId="168" fontId="12" fillId="20" borderId="153" xfId="0" applyNumberFormat="1" applyFont="1" applyFill="1" applyBorder="1" applyAlignment="1">
      <alignment horizontal="center"/>
    </xf>
    <xf numFmtId="165" fontId="12" fillId="20" borderId="5" xfId="0" applyNumberFormat="1" applyFont="1" applyFill="1" applyBorder="1"/>
    <xf numFmtId="165" fontId="12" fillId="20" borderId="8" xfId="0" applyNumberFormat="1" applyFont="1" applyFill="1" applyBorder="1"/>
    <xf numFmtId="165" fontId="12" fillId="20" borderId="4" xfId="0" applyNumberFormat="1" applyFont="1" applyFill="1" applyBorder="1"/>
    <xf numFmtId="165" fontId="12" fillId="20" borderId="56" xfId="0" applyNumberFormat="1" applyFont="1" applyFill="1" applyBorder="1"/>
    <xf numFmtId="165" fontId="12" fillId="20" borderId="58" xfId="0" applyNumberFormat="1" applyFont="1" applyFill="1" applyBorder="1"/>
    <xf numFmtId="165" fontId="12" fillId="20" borderId="30" xfId="0" applyNumberFormat="1" applyFont="1" applyFill="1" applyBorder="1"/>
    <xf numFmtId="165" fontId="12" fillId="20" borderId="37" xfId="0" applyNumberFormat="1" applyFont="1" applyFill="1" applyBorder="1"/>
    <xf numFmtId="0" fontId="12" fillId="20" borderId="164" xfId="0" applyFont="1" applyFill="1" applyBorder="1"/>
    <xf numFmtId="0" fontId="12" fillId="20" borderId="160" xfId="0" applyFont="1" applyFill="1" applyBorder="1"/>
    <xf numFmtId="0" fontId="12" fillId="20" borderId="164" xfId="0" applyFont="1" applyFill="1" applyBorder="1" applyAlignment="1">
      <alignment horizontal="center"/>
    </xf>
    <xf numFmtId="0" fontId="12" fillId="20" borderId="160" xfId="0" applyFont="1" applyFill="1" applyBorder="1" applyAlignment="1">
      <alignment horizontal="center"/>
    </xf>
    <xf numFmtId="0" fontId="12" fillId="20" borderId="165" xfId="0" applyFont="1" applyFill="1" applyBorder="1" applyAlignment="1">
      <alignment horizontal="center"/>
    </xf>
    <xf numFmtId="166" fontId="12" fillId="20" borderId="10" xfId="0" applyNumberFormat="1" applyFont="1" applyFill="1" applyBorder="1" applyAlignment="1" applyProtection="1">
      <alignment horizontal="left" indent="1"/>
    </xf>
    <xf numFmtId="0" fontId="12" fillId="20" borderId="12" xfId="0" applyFont="1" applyFill="1" applyBorder="1"/>
    <xf numFmtId="165" fontId="12" fillId="20" borderId="15" xfId="0" applyNumberFormat="1" applyFont="1" applyFill="1" applyBorder="1"/>
    <xf numFmtId="165" fontId="12" fillId="20" borderId="159" xfId="0" applyNumberFormat="1" applyFont="1" applyFill="1" applyBorder="1"/>
    <xf numFmtId="0" fontId="12" fillId="20" borderId="179" xfId="0" applyFont="1" applyFill="1" applyBorder="1"/>
    <xf numFmtId="168" fontId="12" fillId="20" borderId="175" xfId="0" applyNumberFormat="1" applyFont="1" applyFill="1" applyBorder="1"/>
    <xf numFmtId="2" fontId="12" fillId="20" borderId="176" xfId="0" applyNumberFormat="1" applyFont="1" applyFill="1" applyBorder="1"/>
    <xf numFmtId="0" fontId="12" fillId="20" borderId="182" xfId="0" applyFont="1" applyFill="1" applyBorder="1"/>
    <xf numFmtId="0" fontId="12" fillId="20" borderId="178" xfId="0" applyFont="1" applyFill="1" applyBorder="1"/>
    <xf numFmtId="0" fontId="12" fillId="20" borderId="176" xfId="0" applyFont="1" applyFill="1" applyBorder="1"/>
    <xf numFmtId="0" fontId="12" fillId="20" borderId="180" xfId="0" applyFont="1" applyFill="1" applyBorder="1"/>
    <xf numFmtId="0" fontId="12" fillId="20" borderId="175" xfId="0" applyFont="1" applyFill="1" applyBorder="1"/>
    <xf numFmtId="166" fontId="12" fillId="20" borderId="27" xfId="0" applyNumberFormat="1" applyFont="1" applyFill="1" applyBorder="1" applyAlignment="1" applyProtection="1">
      <alignment horizontal="right" vertical="center"/>
    </xf>
    <xf numFmtId="0" fontId="12" fillId="20" borderId="22" xfId="0" applyFont="1" applyFill="1" applyBorder="1" applyAlignment="1">
      <alignment horizontal="centerContinuous" vertical="center" wrapText="1"/>
    </xf>
    <xf numFmtId="0" fontId="12" fillId="20" borderId="21" xfId="0" applyFont="1" applyFill="1" applyBorder="1" applyAlignment="1">
      <alignment horizontal="center" vertical="center"/>
    </xf>
    <xf numFmtId="0" fontId="12" fillId="20" borderId="21" xfId="0" applyFont="1" applyFill="1" applyBorder="1" applyAlignment="1">
      <alignment vertical="center" wrapText="1"/>
    </xf>
    <xf numFmtId="0" fontId="12" fillId="20" borderId="22" xfId="0" applyFont="1" applyFill="1" applyBorder="1" applyAlignment="1">
      <alignment vertical="center" wrapText="1"/>
    </xf>
    <xf numFmtId="0" fontId="12" fillId="20" borderId="172" xfId="0" applyFont="1" applyFill="1" applyBorder="1" applyAlignment="1">
      <alignment vertical="center" wrapText="1"/>
    </xf>
    <xf numFmtId="0" fontId="12" fillId="20" borderId="1" xfId="0" applyFont="1" applyFill="1" applyBorder="1"/>
    <xf numFmtId="165" fontId="12" fillId="20" borderId="28" xfId="0" applyNumberFormat="1" applyFont="1" applyFill="1" applyBorder="1"/>
    <xf numFmtId="165" fontId="12" fillId="20" borderId="17" xfId="0" applyNumberFormat="1" applyFont="1" applyFill="1" applyBorder="1"/>
    <xf numFmtId="0" fontId="14" fillId="20" borderId="9" xfId="0" applyFont="1" applyFill="1" applyBorder="1"/>
    <xf numFmtId="165" fontId="12" fillId="20" borderId="12" xfId="0" applyNumberFormat="1" applyFont="1" applyFill="1" applyBorder="1"/>
    <xf numFmtId="168" fontId="14" fillId="20" borderId="20" xfId="0" applyNumberFormat="1" applyFont="1" applyFill="1" applyBorder="1" applyAlignment="1">
      <alignment horizontal="right"/>
    </xf>
    <xf numFmtId="168" fontId="14" fillId="20" borderId="14" xfId="0" applyNumberFormat="1" applyFont="1" applyFill="1" applyBorder="1" applyAlignment="1">
      <alignment horizontal="right"/>
    </xf>
    <xf numFmtId="168" fontId="14" fillId="20" borderId="35" xfId="0" applyNumberFormat="1" applyFont="1" applyFill="1" applyBorder="1" applyAlignment="1">
      <alignment horizontal="center"/>
    </xf>
    <xf numFmtId="168" fontId="14" fillId="20" borderId="140" xfId="0" applyNumberFormat="1" applyFont="1" applyFill="1" applyBorder="1" applyAlignment="1">
      <alignment horizontal="center"/>
    </xf>
    <xf numFmtId="168" fontId="14" fillId="20" borderId="139" xfId="0" applyNumberFormat="1" applyFont="1" applyFill="1" applyBorder="1" applyAlignment="1">
      <alignment horizontal="center"/>
    </xf>
    <xf numFmtId="43" fontId="12" fillId="20" borderId="9" xfId="0" applyNumberFormat="1" applyFont="1" applyFill="1" applyBorder="1"/>
    <xf numFmtId="43" fontId="12" fillId="20" borderId="19" xfId="0" applyNumberFormat="1" applyFont="1" applyFill="1" applyBorder="1"/>
    <xf numFmtId="165" fontId="12" fillId="20" borderId="9" xfId="0" applyNumberFormat="1" applyFont="1" applyFill="1" applyBorder="1"/>
    <xf numFmtId="0" fontId="12" fillId="20" borderId="175" xfId="0" applyFont="1" applyFill="1" applyBorder="1" applyAlignment="1">
      <alignment horizontal="center"/>
    </xf>
    <xf numFmtId="168" fontId="12" fillId="20" borderId="175" xfId="0" applyNumberFormat="1" applyFont="1" applyFill="1" applyBorder="1" applyAlignment="1">
      <alignment horizontal="center"/>
    </xf>
    <xf numFmtId="168" fontId="12" fillId="20" borderId="18" xfId="0" applyNumberFormat="1" applyFont="1" applyFill="1" applyBorder="1" applyAlignment="1">
      <alignment horizontal="center"/>
    </xf>
    <xf numFmtId="0" fontId="12" fillId="20" borderId="18" xfId="0" applyFont="1" applyFill="1" applyBorder="1" applyAlignment="1">
      <alignment horizontal="center"/>
    </xf>
    <xf numFmtId="2" fontId="12" fillId="20" borderId="176" xfId="0" applyNumberFormat="1" applyFont="1" applyFill="1" applyBorder="1" applyAlignment="1">
      <alignment horizontal="center"/>
    </xf>
    <xf numFmtId="0" fontId="12" fillId="20" borderId="7" xfId="0" applyFont="1" applyFill="1" applyBorder="1" applyAlignment="1">
      <alignment horizontal="center"/>
    </xf>
    <xf numFmtId="0" fontId="12" fillId="20" borderId="153" xfId="0" applyFont="1" applyFill="1" applyBorder="1"/>
    <xf numFmtId="0" fontId="12" fillId="20" borderId="9" xfId="0" applyFont="1" applyFill="1" applyBorder="1" applyAlignment="1">
      <alignment horizontal="left" indent="1"/>
    </xf>
    <xf numFmtId="168" fontId="12" fillId="20" borderId="182" xfId="0" applyNumberFormat="1" applyFont="1" applyFill="1" applyBorder="1" applyAlignment="1">
      <alignment horizontal="center"/>
    </xf>
    <xf numFmtId="0" fontId="12" fillId="20" borderId="166" xfId="0" applyFont="1" applyFill="1" applyBorder="1"/>
    <xf numFmtId="0" fontId="12" fillId="20" borderId="182" xfId="0" applyFont="1" applyFill="1" applyBorder="1" applyAlignment="1">
      <alignment horizontal="center"/>
    </xf>
    <xf numFmtId="2" fontId="12" fillId="20" borderId="183" xfId="0" applyNumberFormat="1" applyFont="1" applyFill="1" applyBorder="1" applyAlignment="1">
      <alignment horizontal="center"/>
    </xf>
    <xf numFmtId="168" fontId="12" fillId="20" borderId="185" xfId="0" applyNumberFormat="1" applyFont="1" applyFill="1" applyBorder="1" applyAlignment="1">
      <alignment horizontal="center"/>
    </xf>
    <xf numFmtId="168" fontId="12" fillId="20" borderId="184" xfId="0" applyNumberFormat="1" applyFont="1" applyFill="1" applyBorder="1" applyAlignment="1">
      <alignment horizontal="center"/>
    </xf>
    <xf numFmtId="0" fontId="12" fillId="20" borderId="177" xfId="0" applyFont="1" applyFill="1" applyBorder="1" applyAlignment="1">
      <alignment horizontal="center"/>
    </xf>
    <xf numFmtId="168" fontId="12" fillId="20" borderId="187" xfId="0" applyNumberFormat="1" applyFont="1" applyFill="1" applyBorder="1" applyAlignment="1">
      <alignment horizontal="center"/>
    </xf>
    <xf numFmtId="168" fontId="12" fillId="20" borderId="188" xfId="0" applyNumberFormat="1" applyFont="1" applyFill="1" applyBorder="1" applyAlignment="1">
      <alignment horizontal="center"/>
    </xf>
    <xf numFmtId="168" fontId="12" fillId="20" borderId="189" xfId="0" applyNumberFormat="1" applyFont="1" applyFill="1" applyBorder="1" applyAlignment="1">
      <alignment horizontal="center"/>
    </xf>
    <xf numFmtId="168" fontId="12" fillId="20" borderId="190" xfId="0" applyNumberFormat="1" applyFont="1" applyFill="1" applyBorder="1" applyAlignment="1">
      <alignment horizontal="center"/>
    </xf>
    <xf numFmtId="168" fontId="12" fillId="20" borderId="154" xfId="0" applyNumberFormat="1" applyFont="1" applyFill="1" applyBorder="1" applyAlignment="1">
      <alignment horizontal="center"/>
    </xf>
    <xf numFmtId="168" fontId="12" fillId="20" borderId="191" xfId="0" applyNumberFormat="1" applyFont="1" applyFill="1" applyBorder="1" applyAlignment="1">
      <alignment horizontal="center"/>
    </xf>
    <xf numFmtId="0" fontId="14" fillId="20" borderId="132" xfId="0" applyFont="1" applyFill="1" applyBorder="1"/>
    <xf numFmtId="0" fontId="12" fillId="20" borderId="133" xfId="0" applyFont="1" applyFill="1" applyBorder="1"/>
    <xf numFmtId="165" fontId="12" fillId="20" borderId="133" xfId="0" applyNumberFormat="1" applyFont="1" applyFill="1" applyBorder="1"/>
    <xf numFmtId="165" fontId="12" fillId="20" borderId="141" xfId="0" applyNumberFormat="1" applyFont="1" applyFill="1" applyBorder="1"/>
    <xf numFmtId="0" fontId="12" fillId="20" borderId="39" xfId="0" applyFont="1" applyFill="1" applyBorder="1"/>
    <xf numFmtId="0" fontId="12" fillId="20" borderId="167" xfId="0" applyFont="1" applyFill="1" applyBorder="1"/>
    <xf numFmtId="168" fontId="14" fillId="20" borderId="167" xfId="0" applyNumberFormat="1" applyFont="1" applyFill="1" applyBorder="1"/>
    <xf numFmtId="168" fontId="14" fillId="20" borderId="168" xfId="0" applyNumberFormat="1" applyFont="1" applyFill="1" applyBorder="1"/>
    <xf numFmtId="168" fontId="14" fillId="20" borderId="172" xfId="0" applyNumberFormat="1" applyFont="1" applyFill="1" applyBorder="1"/>
    <xf numFmtId="0" fontId="0" fillId="0" borderId="0" xfId="0"/>
    <xf numFmtId="0" fontId="0" fillId="20" borderId="0" xfId="0" applyFill="1"/>
    <xf numFmtId="0" fontId="14" fillId="20" borderId="0" xfId="0" applyFont="1" applyFill="1" applyBorder="1" applyAlignment="1">
      <alignment horizontal="center"/>
    </xf>
    <xf numFmtId="0" fontId="0" fillId="20" borderId="0" xfId="0" applyFill="1" applyBorder="1"/>
    <xf numFmtId="0" fontId="7" fillId="20" borderId="0" xfId="0" applyFont="1" applyFill="1" applyBorder="1" applyAlignment="1">
      <alignment horizontal="center"/>
    </xf>
    <xf numFmtId="0" fontId="72" fillId="20" borderId="0" xfId="0" applyFont="1" applyFill="1" applyBorder="1"/>
    <xf numFmtId="0" fontId="21" fillId="20" borderId="161" xfId="0" applyFont="1" applyFill="1" applyBorder="1"/>
    <xf numFmtId="0" fontId="12" fillId="20" borderId="194" xfId="0" applyFont="1" applyFill="1" applyBorder="1"/>
    <xf numFmtId="168" fontId="14" fillId="20" borderId="193" xfId="0" applyNumberFormat="1" applyFont="1" applyFill="1" applyBorder="1" applyAlignment="1">
      <alignment horizontal="center"/>
    </xf>
    <xf numFmtId="168" fontId="14" fillId="20" borderId="194" xfId="0" applyNumberFormat="1" applyFont="1" applyFill="1" applyBorder="1" applyAlignment="1">
      <alignment horizontal="center"/>
    </xf>
    <xf numFmtId="168" fontId="12" fillId="20" borderId="193" xfId="0" applyNumberFormat="1" applyFont="1" applyFill="1" applyBorder="1" applyAlignment="1">
      <alignment horizontal="center"/>
    </xf>
    <xf numFmtId="168" fontId="12" fillId="20" borderId="194" xfId="0" applyNumberFormat="1" applyFont="1" applyFill="1" applyBorder="1" applyAlignment="1">
      <alignment horizontal="center"/>
    </xf>
    <xf numFmtId="168" fontId="12" fillId="20" borderId="159" xfId="0" applyNumberFormat="1" applyFont="1" applyFill="1" applyBorder="1" applyAlignment="1">
      <alignment horizontal="center"/>
    </xf>
    <xf numFmtId="0" fontId="0" fillId="0" borderId="0" xfId="0"/>
    <xf numFmtId="0" fontId="0" fillId="20" borderId="0" xfId="0" applyFill="1"/>
    <xf numFmtId="0" fontId="12" fillId="20" borderId="0" xfId="0" applyFont="1" applyFill="1" applyBorder="1"/>
    <xf numFmtId="0" fontId="0" fillId="20" borderId="0" xfId="0" applyFill="1" applyBorder="1"/>
    <xf numFmtId="0" fontId="21" fillId="20" borderId="0" xfId="0" applyFont="1" applyFill="1"/>
    <xf numFmtId="0" fontId="0" fillId="0" borderId="0" xfId="0"/>
    <xf numFmtId="0" fontId="12" fillId="20" borderId="0" xfId="0" applyFont="1" applyFill="1" applyBorder="1"/>
    <xf numFmtId="0" fontId="0" fillId="20" borderId="0" xfId="0" applyFill="1" applyBorder="1"/>
    <xf numFmtId="0" fontId="12" fillId="20" borderId="196" xfId="0" applyFont="1" applyFill="1" applyBorder="1" applyAlignment="1">
      <alignment horizontal="center"/>
    </xf>
    <xf numFmtId="168" fontId="12" fillId="20" borderId="196" xfId="0" applyNumberFormat="1" applyFont="1" applyFill="1" applyBorder="1" applyAlignment="1">
      <alignment horizontal="center"/>
    </xf>
    <xf numFmtId="0" fontId="12" fillId="20" borderId="196" xfId="0" applyFont="1" applyFill="1" applyBorder="1"/>
    <xf numFmtId="0" fontId="12" fillId="20" borderId="195" xfId="0" applyFont="1" applyFill="1" applyBorder="1"/>
    <xf numFmtId="168" fontId="14" fillId="20" borderId="21" xfId="0" applyNumberFormat="1" applyFont="1" applyFill="1" applyBorder="1"/>
    <xf numFmtId="0" fontId="14" fillId="20" borderId="15" xfId="0" applyFont="1" applyFill="1" applyBorder="1" applyAlignment="1">
      <alignment wrapText="1"/>
    </xf>
    <xf numFmtId="0" fontId="12" fillId="20" borderId="161" xfId="0" applyFont="1" applyFill="1" applyBorder="1" applyAlignment="1">
      <alignment horizontal="center"/>
    </xf>
    <xf numFmtId="0" fontId="12" fillId="20" borderId="171" xfId="0" applyFont="1" applyFill="1" applyBorder="1" applyAlignment="1">
      <alignment horizontal="center"/>
    </xf>
    <xf numFmtId="168" fontId="14" fillId="20" borderId="14" xfId="0" applyNumberFormat="1" applyFont="1" applyFill="1" applyBorder="1" applyAlignment="1">
      <alignment horizontal="center"/>
    </xf>
    <xf numFmtId="168" fontId="14" fillId="20" borderId="15" xfId="0" applyNumberFormat="1" applyFont="1" applyFill="1" applyBorder="1" applyAlignment="1">
      <alignment horizontal="center"/>
    </xf>
    <xf numFmtId="0" fontId="12" fillId="20" borderId="198" xfId="0" applyFont="1" applyFill="1" applyBorder="1" applyAlignment="1">
      <alignment horizontal="center"/>
    </xf>
    <xf numFmtId="0" fontId="12" fillId="20" borderId="155" xfId="0" applyFont="1" applyFill="1" applyBorder="1" applyAlignment="1">
      <alignment horizontal="center"/>
    </xf>
    <xf numFmtId="0" fontId="12" fillId="20" borderId="199" xfId="0" applyFont="1" applyFill="1" applyBorder="1" applyAlignment="1">
      <alignment horizontal="center"/>
    </xf>
    <xf numFmtId="0" fontId="12" fillId="20" borderId="200" xfId="0" applyFont="1" applyFill="1" applyBorder="1"/>
    <xf numFmtId="0" fontId="12" fillId="20" borderId="201" xfId="0" applyFont="1" applyFill="1" applyBorder="1" applyAlignment="1">
      <alignment horizontal="center"/>
    </xf>
    <xf numFmtId="168" fontId="12" fillId="20" borderId="201" xfId="0" applyNumberFormat="1" applyFont="1" applyFill="1" applyBorder="1" applyAlignment="1">
      <alignment horizontal="center"/>
    </xf>
    <xf numFmtId="168" fontId="12" fillId="20" borderId="161" xfId="0" applyNumberFormat="1" applyFont="1" applyFill="1" applyBorder="1"/>
    <xf numFmtId="168" fontId="12" fillId="20" borderId="161" xfId="0" applyNumberFormat="1" applyFont="1" applyFill="1" applyBorder="1" applyAlignment="1">
      <alignment horizontal="center"/>
    </xf>
    <xf numFmtId="0" fontId="8" fillId="20" borderId="172" xfId="0" applyFont="1" applyFill="1" applyBorder="1" applyAlignment="1"/>
    <xf numFmtId="168" fontId="9" fillId="20" borderId="166" xfId="0" applyNumberFormat="1" applyFont="1" applyFill="1" applyBorder="1" applyAlignment="1">
      <alignment horizontal="center" vertical="center"/>
    </xf>
    <xf numFmtId="168" fontId="0" fillId="20" borderId="166" xfId="0" applyNumberFormat="1" applyFill="1" applyBorder="1" applyAlignment="1">
      <alignment horizontal="center"/>
    </xf>
    <xf numFmtId="168" fontId="9" fillId="20" borderId="171" xfId="0" applyNumberFormat="1" applyFont="1" applyFill="1" applyBorder="1" applyAlignment="1">
      <alignment horizontal="center" vertical="center"/>
    </xf>
    <xf numFmtId="0" fontId="8" fillId="20" borderId="0" xfId="0" applyFont="1" applyFill="1" applyBorder="1" applyAlignment="1">
      <alignment vertical="center"/>
    </xf>
    <xf numFmtId="168" fontId="9" fillId="20" borderId="0" xfId="0" applyNumberFormat="1" applyFont="1" applyFill="1" applyBorder="1" applyAlignment="1">
      <alignment horizontal="center" vertical="center"/>
    </xf>
    <xf numFmtId="0" fontId="8" fillId="20" borderId="15" xfId="0" applyFont="1" applyFill="1" applyBorder="1" applyAlignment="1">
      <alignment wrapText="1"/>
    </xf>
    <xf numFmtId="168" fontId="8" fillId="20" borderId="18" xfId="0" applyNumberFormat="1" applyFont="1" applyFill="1" applyBorder="1" applyAlignment="1">
      <alignment horizontal="center" vertical="center"/>
    </xf>
    <xf numFmtId="168" fontId="0" fillId="20" borderId="18" xfId="0" applyNumberFormat="1" applyFill="1" applyBorder="1" applyAlignment="1">
      <alignment horizontal="center" vertical="center"/>
    </xf>
    <xf numFmtId="168" fontId="9" fillId="20" borderId="161" xfId="0" applyNumberFormat="1" applyFont="1" applyFill="1" applyBorder="1" applyAlignment="1">
      <alignment horizontal="center" vertical="center"/>
    </xf>
    <xf numFmtId="168" fontId="0" fillId="20" borderId="197" xfId="0" applyNumberFormat="1" applyFill="1" applyBorder="1" applyAlignment="1">
      <alignment horizontal="center" vertical="center"/>
    </xf>
    <xf numFmtId="168" fontId="0" fillId="3" borderId="0" xfId="0" applyNumberFormat="1" applyFill="1" applyBorder="1"/>
    <xf numFmtId="0" fontId="0" fillId="20" borderId="3" xfId="0" applyFill="1" applyBorder="1"/>
    <xf numFmtId="0" fontId="0" fillId="20" borderId="11" xfId="0" applyFill="1" applyBorder="1"/>
    <xf numFmtId="0" fontId="34" fillId="20" borderId="166" xfId="0" applyFont="1" applyFill="1" applyBorder="1" applyAlignment="1">
      <alignment vertical="center" wrapText="1"/>
    </xf>
    <xf numFmtId="0" fontId="34" fillId="20" borderId="0" xfId="0" applyFont="1" applyFill="1" applyBorder="1" applyAlignment="1">
      <alignment vertical="center" wrapText="1"/>
    </xf>
    <xf numFmtId="0" fontId="8" fillId="20" borderId="18" xfId="0" applyFont="1" applyFill="1" applyBorder="1" applyAlignment="1">
      <alignment horizontal="center" vertical="center" wrapText="1"/>
    </xf>
    <xf numFmtId="168" fontId="8" fillId="20" borderId="15" xfId="0" applyNumberFormat="1" applyFont="1" applyFill="1" applyBorder="1" applyAlignment="1">
      <alignment horizontal="center" vertical="center"/>
    </xf>
    <xf numFmtId="168" fontId="0" fillId="20" borderId="15" xfId="0" applyNumberFormat="1" applyFill="1" applyBorder="1" applyAlignment="1">
      <alignment horizontal="center"/>
    </xf>
    <xf numFmtId="168" fontId="12" fillId="0" borderId="0" xfId="0" applyNumberFormat="1" applyFont="1" applyFill="1" applyBorder="1" applyAlignment="1"/>
    <xf numFmtId="5" fontId="12" fillId="0" borderId="0" xfId="0" applyNumberFormat="1" applyFont="1" applyBorder="1" applyAlignment="1"/>
    <xf numFmtId="168" fontId="12" fillId="3" borderId="0" xfId="0" applyNumberFormat="1" applyFont="1" applyFill="1" applyBorder="1" applyAlignment="1"/>
    <xf numFmtId="168" fontId="12" fillId="0" borderId="0" xfId="0" applyNumberFormat="1" applyFont="1" applyBorder="1" applyAlignment="1"/>
    <xf numFmtId="0" fontId="12" fillId="0" borderId="0" xfId="0" applyFont="1" applyBorder="1" applyAlignment="1">
      <alignment horizontal="right" vertical="top"/>
    </xf>
    <xf numFmtId="168" fontId="12" fillId="0" borderId="160" xfId="0" applyNumberFormat="1" applyFont="1" applyFill="1" applyBorder="1" applyAlignment="1">
      <alignment horizontal="right"/>
    </xf>
    <xf numFmtId="181" fontId="12" fillId="0" borderId="0" xfId="1" applyNumberFormat="1" applyFont="1" applyFill="1" applyBorder="1" applyAlignment="1">
      <alignment horizontal="right"/>
    </xf>
    <xf numFmtId="181" fontId="12" fillId="0" borderId="0" xfId="1" applyNumberFormat="1" applyFont="1" applyBorder="1" applyAlignment="1">
      <alignment horizontal="center"/>
    </xf>
    <xf numFmtId="181" fontId="12" fillId="3" borderId="0" xfId="1" applyNumberFormat="1" applyFont="1" applyFill="1" applyBorder="1" applyAlignment="1">
      <alignment horizontal="center"/>
    </xf>
    <xf numFmtId="168" fontId="12" fillId="0" borderId="161" xfId="0" applyNumberFormat="1" applyFont="1" applyBorder="1"/>
    <xf numFmtId="0" fontId="12" fillId="20" borderId="0" xfId="0" applyFont="1" applyFill="1" applyAlignment="1">
      <alignment horizontal="right"/>
    </xf>
    <xf numFmtId="0" fontId="12" fillId="20" borderId="0" xfId="0" applyFont="1" applyFill="1" applyBorder="1" applyAlignment="1">
      <alignment horizontal="right"/>
    </xf>
    <xf numFmtId="5" fontId="12" fillId="20" borderId="0" xfId="0" applyNumberFormat="1" applyFont="1" applyFill="1" applyBorder="1" applyAlignment="1">
      <alignment horizontal="right"/>
    </xf>
    <xf numFmtId="168" fontId="12" fillId="20" borderId="0" xfId="0" applyNumberFormat="1" applyFont="1" applyFill="1" applyBorder="1" applyAlignment="1">
      <alignment horizontal="right" vertical="top"/>
    </xf>
    <xf numFmtId="181" fontId="12" fillId="20" borderId="0" xfId="1" applyNumberFormat="1" applyFont="1" applyFill="1" applyBorder="1" applyAlignment="1">
      <alignment horizontal="right" vertical="top"/>
    </xf>
    <xf numFmtId="181" fontId="12" fillId="20" borderId="0" xfId="1" applyNumberFormat="1" applyFont="1" applyFill="1" applyBorder="1" applyAlignment="1">
      <alignment horizontal="right"/>
    </xf>
    <xf numFmtId="0" fontId="12" fillId="20" borderId="0" xfId="0" applyFont="1" applyFill="1" applyBorder="1" applyAlignment="1">
      <alignment horizontal="right" vertical="center" wrapText="1"/>
    </xf>
    <xf numFmtId="0" fontId="12" fillId="0" borderId="172" xfId="0" applyFont="1" applyBorder="1"/>
    <xf numFmtId="0" fontId="12" fillId="0" borderId="172" xfId="0" applyFont="1" applyBorder="1" applyAlignment="1">
      <alignment horizontal="right"/>
    </xf>
    <xf numFmtId="0" fontId="14" fillId="0" borderId="172" xfId="0" applyFont="1" applyFill="1" applyBorder="1" applyAlignment="1">
      <alignment horizontal="center"/>
    </xf>
    <xf numFmtId="0" fontId="12" fillId="18" borderId="0" xfId="0" applyFont="1" applyFill="1" applyBorder="1"/>
    <xf numFmtId="0" fontId="0" fillId="20" borderId="0" xfId="0" applyFill="1" applyBorder="1"/>
    <xf numFmtId="0" fontId="0" fillId="20" borderId="160" xfId="0" applyFill="1" applyBorder="1"/>
    <xf numFmtId="0" fontId="80" fillId="0" borderId="0" xfId="0" applyFont="1"/>
    <xf numFmtId="168" fontId="12" fillId="20" borderId="183" xfId="0" applyNumberFormat="1" applyFont="1" applyFill="1" applyBorder="1" applyAlignment="1">
      <alignment horizontal="center"/>
    </xf>
    <xf numFmtId="168" fontId="12" fillId="20" borderId="186" xfId="0" applyNumberFormat="1" applyFont="1" applyFill="1" applyBorder="1" applyAlignment="1">
      <alignment horizontal="center"/>
    </xf>
    <xf numFmtId="168" fontId="12" fillId="20" borderId="192" xfId="0" applyNumberFormat="1" applyFont="1" applyFill="1" applyBorder="1" applyAlignment="1">
      <alignment horizontal="center"/>
    </xf>
    <xf numFmtId="168" fontId="14" fillId="20" borderId="39" xfId="0" applyNumberFormat="1" applyFont="1" applyFill="1" applyBorder="1" applyAlignment="1">
      <alignment horizontal="center"/>
    </xf>
    <xf numFmtId="0" fontId="0" fillId="20" borderId="0" xfId="0" applyFill="1"/>
    <xf numFmtId="0" fontId="12" fillId="20" borderId="0" xfId="0" applyFont="1" applyFill="1" applyBorder="1"/>
    <xf numFmtId="0" fontId="14" fillId="20" borderId="0" xfId="0" applyFont="1" applyFill="1" applyBorder="1" applyAlignment="1">
      <alignment horizontal="center"/>
    </xf>
    <xf numFmtId="0" fontId="12" fillId="20" borderId="0" xfId="0" applyFont="1" applyFill="1" applyBorder="1" applyAlignment="1">
      <alignment horizontal="left" wrapText="1"/>
    </xf>
    <xf numFmtId="0" fontId="8" fillId="20" borderId="161" xfId="0" applyFont="1" applyFill="1" applyBorder="1" applyAlignment="1">
      <alignment horizontal="center"/>
    </xf>
    <xf numFmtId="0" fontId="7" fillId="20" borderId="0" xfId="0" applyFont="1" applyFill="1" applyAlignment="1">
      <alignment horizontal="left" vertical="center" wrapText="1"/>
    </xf>
    <xf numFmtId="0" fontId="0" fillId="20" borderId="0" xfId="0" applyFill="1" applyBorder="1"/>
    <xf numFmtId="0" fontId="0" fillId="20" borderId="18" xfId="0" applyFill="1" applyBorder="1"/>
    <xf numFmtId="0" fontId="21" fillId="20" borderId="0" xfId="0" applyFont="1" applyFill="1"/>
    <xf numFmtId="0" fontId="0" fillId="0" borderId="0" xfId="0"/>
    <xf numFmtId="168" fontId="14" fillId="20" borderId="157" xfId="0" applyNumberFormat="1" applyFont="1" applyFill="1" applyBorder="1" applyAlignment="1">
      <alignment horizontal="center"/>
    </xf>
    <xf numFmtId="0" fontId="12" fillId="20" borderId="201" xfId="0" applyFont="1" applyFill="1" applyBorder="1"/>
    <xf numFmtId="0" fontId="14" fillId="20" borderId="201" xfId="0" applyFont="1" applyFill="1" applyBorder="1" applyAlignment="1">
      <alignment horizontal="center"/>
    </xf>
    <xf numFmtId="0" fontId="8" fillId="20" borderId="171" xfId="0" applyFont="1" applyFill="1" applyBorder="1" applyAlignment="1">
      <alignment horizontal="center"/>
    </xf>
    <xf numFmtId="0" fontId="8" fillId="20" borderId="201" xfId="0" applyFont="1" applyFill="1" applyBorder="1" applyAlignment="1">
      <alignment horizontal="center"/>
    </xf>
    <xf numFmtId="0" fontId="8" fillId="20" borderId="16" xfId="0" applyFont="1" applyFill="1" applyBorder="1" applyAlignment="1">
      <alignment horizontal="center"/>
    </xf>
    <xf numFmtId="0" fontId="0" fillId="20" borderId="0" xfId="0" applyFill="1" applyAlignment="1">
      <alignment horizontal="center"/>
    </xf>
    <xf numFmtId="0" fontId="12" fillId="20" borderId="172" xfId="0" applyFont="1" applyFill="1" applyBorder="1" applyAlignment="1">
      <alignment horizontal="right"/>
    </xf>
    <xf numFmtId="181" fontId="12" fillId="20" borderId="161" xfId="1" applyNumberFormat="1" applyFont="1" applyFill="1" applyBorder="1" applyAlignment="1">
      <alignment horizontal="right"/>
    </xf>
    <xf numFmtId="0" fontId="12" fillId="0" borderId="23" xfId="0" applyFont="1" applyFill="1" applyBorder="1" applyAlignment="1">
      <alignment horizontal="center"/>
    </xf>
    <xf numFmtId="0" fontId="9" fillId="20" borderId="0" xfId="0" applyFont="1" applyFill="1" applyAlignment="1">
      <alignment vertical="center"/>
    </xf>
    <xf numFmtId="168" fontId="12" fillId="20" borderId="197" xfId="0" applyNumberFormat="1" applyFont="1" applyFill="1" applyBorder="1" applyAlignment="1">
      <alignment horizontal="right"/>
    </xf>
    <xf numFmtId="0" fontId="12" fillId="0" borderId="0" xfId="0" applyFont="1" applyBorder="1" applyAlignment="1">
      <alignment horizontal="left" vertical="top"/>
    </xf>
    <xf numFmtId="168" fontId="12" fillId="2" borderId="0" xfId="0" applyNumberFormat="1" applyFont="1" applyFill="1" applyBorder="1" applyAlignment="1">
      <alignment horizontal="left"/>
    </xf>
    <xf numFmtId="0" fontId="0" fillId="0" borderId="0" xfId="0" applyBorder="1"/>
    <xf numFmtId="0" fontId="0" fillId="0" borderId="0" xfId="0"/>
    <xf numFmtId="0" fontId="8" fillId="20" borderId="202" xfId="0" applyFont="1" applyFill="1" applyBorder="1" applyAlignment="1">
      <alignment horizontal="center" vertical="center" wrapText="1"/>
    </xf>
    <xf numFmtId="17" fontId="7" fillId="20" borderId="202" xfId="0" applyNumberFormat="1" applyFont="1" applyFill="1" applyBorder="1" applyAlignment="1">
      <alignment horizontal="center" vertical="center"/>
    </xf>
    <xf numFmtId="0" fontId="7" fillId="20" borderId="202" xfId="0" applyFont="1" applyFill="1" applyBorder="1" applyAlignment="1">
      <alignment horizontal="center" vertical="center"/>
    </xf>
    <xf numFmtId="0" fontId="8" fillId="20" borderId="202" xfId="0" applyFont="1" applyFill="1" applyBorder="1" applyAlignment="1">
      <alignment horizontal="center" vertical="center"/>
    </xf>
    <xf numFmtId="0" fontId="8" fillId="20" borderId="0" xfId="0" applyFont="1" applyFill="1"/>
    <xf numFmtId="0" fontId="8" fillId="20" borderId="214" xfId="0" applyFont="1" applyFill="1" applyBorder="1" applyAlignment="1"/>
    <xf numFmtId="0" fontId="12" fillId="0" borderId="208" xfId="0" applyFont="1" applyBorder="1"/>
    <xf numFmtId="0" fontId="12" fillId="0" borderId="171" xfId="0" applyFont="1" applyBorder="1"/>
    <xf numFmtId="0" fontId="12" fillId="0" borderId="161" xfId="0" applyFont="1" applyBorder="1"/>
    <xf numFmtId="168" fontId="12" fillId="0" borderId="161" xfId="0" applyNumberFormat="1" applyFont="1" applyFill="1" applyBorder="1" applyAlignment="1">
      <alignment horizontal="right"/>
    </xf>
    <xf numFmtId="0" fontId="12" fillId="0" borderId="122" xfId="0" applyFont="1" applyBorder="1" applyAlignment="1">
      <alignment vertical="center" wrapText="1"/>
    </xf>
    <xf numFmtId="0" fontId="12" fillId="0" borderId="213" xfId="0" applyFont="1" applyBorder="1" applyAlignment="1">
      <alignment vertical="center" wrapText="1"/>
    </xf>
    <xf numFmtId="0" fontId="12" fillId="20" borderId="0" xfId="0" applyFont="1" applyFill="1" applyBorder="1"/>
    <xf numFmtId="0" fontId="12" fillId="0" borderId="0" xfId="0" applyFont="1"/>
    <xf numFmtId="0" fontId="12" fillId="0" borderId="0" xfId="0" applyFont="1" applyBorder="1" applyAlignment="1">
      <alignment horizontal="left" vertical="top" wrapText="1"/>
    </xf>
    <xf numFmtId="0" fontId="12" fillId="0" borderId="0" xfId="0" applyFont="1" applyBorder="1" applyAlignment="1">
      <alignment horizontal="left" vertical="center" wrapText="1"/>
    </xf>
    <xf numFmtId="168" fontId="12" fillId="0" borderId="161" xfId="0" applyNumberFormat="1" applyFont="1" applyBorder="1" applyAlignment="1">
      <alignment horizontal="right"/>
    </xf>
    <xf numFmtId="0" fontId="12" fillId="0" borderId="161" xfId="0" applyFont="1" applyBorder="1" applyAlignment="1">
      <alignment horizontal="right"/>
    </xf>
    <xf numFmtId="0" fontId="12" fillId="0" borderId="161" xfId="0" applyFont="1" applyBorder="1" applyAlignment="1"/>
    <xf numFmtId="168" fontId="12" fillId="20" borderId="223" xfId="0" applyNumberFormat="1" applyFont="1" applyFill="1" applyBorder="1" applyAlignment="1">
      <alignment horizontal="right"/>
    </xf>
    <xf numFmtId="0" fontId="12" fillId="0" borderId="224" xfId="0" applyFont="1" applyBorder="1"/>
    <xf numFmtId="0" fontId="12" fillId="20" borderId="223" xfId="0" applyFont="1" applyFill="1" applyBorder="1"/>
    <xf numFmtId="168" fontId="12" fillId="20" borderId="223" xfId="0" applyNumberFormat="1" applyFont="1" applyFill="1" applyBorder="1"/>
    <xf numFmtId="0" fontId="12" fillId="0" borderId="223" xfId="0" applyFont="1" applyBorder="1"/>
    <xf numFmtId="168" fontId="12" fillId="2" borderId="223" xfId="0" applyNumberFormat="1" applyFont="1" applyFill="1" applyBorder="1" applyAlignment="1">
      <alignment horizontal="right"/>
    </xf>
    <xf numFmtId="168" fontId="12" fillId="2" borderId="223" xfId="0" applyNumberFormat="1" applyFont="1" applyFill="1" applyBorder="1" applyAlignment="1">
      <alignment horizontal="left"/>
    </xf>
    <xf numFmtId="168" fontId="12" fillId="0" borderId="223" xfId="0" applyNumberFormat="1" applyFont="1" applyBorder="1" applyAlignment="1">
      <alignment horizontal="right"/>
    </xf>
    <xf numFmtId="0" fontId="12" fillId="0" borderId="223" xfId="0" applyFont="1" applyBorder="1" applyAlignment="1">
      <alignment horizontal="right"/>
    </xf>
    <xf numFmtId="0" fontId="12" fillId="0" borderId="223" xfId="0" applyFont="1" applyBorder="1" applyAlignment="1">
      <alignment horizontal="center"/>
    </xf>
    <xf numFmtId="168" fontId="12" fillId="0" borderId="223" xfId="0" applyNumberFormat="1" applyFont="1" applyFill="1" applyBorder="1" applyAlignment="1">
      <alignment horizontal="right"/>
    </xf>
    <xf numFmtId="5" fontId="12" fillId="0" borderId="223" xfId="0" applyNumberFormat="1" applyFont="1" applyBorder="1"/>
    <xf numFmtId="0" fontId="12" fillId="0" borderId="223" xfId="0" applyFont="1" applyBorder="1" applyAlignment="1">
      <alignment horizontal="left" vertical="top"/>
    </xf>
    <xf numFmtId="0" fontId="12" fillId="0" borderId="225" xfId="0" applyFont="1" applyBorder="1"/>
    <xf numFmtId="0" fontId="12" fillId="0" borderId="208" xfId="0" applyFont="1" applyBorder="1" applyAlignment="1">
      <alignment horizontal="right"/>
    </xf>
    <xf numFmtId="168" fontId="12" fillId="20" borderId="161" xfId="0" applyNumberFormat="1" applyFont="1" applyFill="1" applyBorder="1" applyAlignment="1">
      <alignment horizontal="right"/>
    </xf>
    <xf numFmtId="0" fontId="14" fillId="0" borderId="224" xfId="0" applyFont="1" applyBorder="1"/>
    <xf numFmtId="0" fontId="12" fillId="0" borderId="211" xfId="0" applyFont="1" applyBorder="1"/>
    <xf numFmtId="0" fontId="12" fillId="0" borderId="23" xfId="0" applyFont="1" applyFill="1" applyBorder="1" applyAlignment="1">
      <alignment horizontal="right"/>
    </xf>
    <xf numFmtId="0" fontId="0" fillId="0" borderId="0" xfId="0" applyBorder="1"/>
    <xf numFmtId="0" fontId="0" fillId="0" borderId="0" xfId="0"/>
    <xf numFmtId="0" fontId="0" fillId="0" borderId="0" xfId="0" applyBorder="1"/>
    <xf numFmtId="0" fontId="0" fillId="0" borderId="0" xfId="0"/>
    <xf numFmtId="0" fontId="7" fillId="20" borderId="0" xfId="0" applyFont="1" applyFill="1"/>
    <xf numFmtId="0" fontId="9" fillId="20" borderId="0" xfId="0" applyFont="1" applyFill="1" applyBorder="1" applyAlignment="1">
      <alignment horizontal="right" wrapText="1"/>
    </xf>
    <xf numFmtId="0" fontId="14" fillId="20" borderId="0" xfId="3" applyFont="1" applyFill="1" applyBorder="1" applyAlignment="1">
      <alignment horizontal="center" vertical="center" wrapText="1"/>
    </xf>
    <xf numFmtId="168" fontId="12" fillId="20" borderId="0" xfId="0" applyNumberFormat="1" applyFont="1" applyFill="1" applyBorder="1" applyAlignment="1">
      <alignment horizontal="center" vertical="center"/>
    </xf>
    <xf numFmtId="0" fontId="9" fillId="20" borderId="0" xfId="0" applyFont="1" applyFill="1" applyBorder="1" applyAlignment="1">
      <alignment wrapText="1"/>
    </xf>
    <xf numFmtId="0" fontId="8" fillId="20" borderId="0" xfId="0" applyFont="1" applyFill="1" applyBorder="1" applyAlignment="1">
      <alignment horizontal="center" vertical="center" wrapText="1"/>
    </xf>
    <xf numFmtId="2" fontId="27" fillId="20" borderId="9" xfId="4" applyNumberFormat="1" applyFont="1" applyFill="1" applyBorder="1" applyAlignment="1">
      <alignment horizontal="center" vertical="center"/>
    </xf>
    <xf numFmtId="168" fontId="7" fillId="20" borderId="202" xfId="0" applyNumberFormat="1" applyFont="1" applyFill="1" applyBorder="1" applyAlignment="1">
      <alignment horizontal="center" vertical="center"/>
    </xf>
    <xf numFmtId="168" fontId="7" fillId="20" borderId="202" xfId="1" applyNumberFormat="1" applyFont="1" applyFill="1" applyBorder="1" applyAlignment="1">
      <alignment horizontal="center" vertical="center"/>
    </xf>
    <xf numFmtId="168" fontId="7" fillId="20" borderId="222" xfId="1" applyNumberFormat="1" applyFont="1" applyFill="1" applyBorder="1" applyAlignment="1">
      <alignment horizontal="center" vertical="center"/>
    </xf>
    <xf numFmtId="168" fontId="7" fillId="20" borderId="222" xfId="0" applyNumberFormat="1" applyFont="1" applyFill="1" applyBorder="1" applyAlignment="1">
      <alignment horizontal="center" vertical="center"/>
    </xf>
    <xf numFmtId="168" fontId="7" fillId="20" borderId="218" xfId="1" applyNumberFormat="1" applyFont="1" applyFill="1" applyBorder="1" applyAlignment="1">
      <alignment horizontal="center" vertical="center"/>
    </xf>
    <xf numFmtId="168" fontId="7" fillId="20" borderId="218" xfId="0" applyNumberFormat="1" applyFont="1" applyFill="1" applyBorder="1" applyAlignment="1">
      <alignment horizontal="center" vertical="center"/>
    </xf>
    <xf numFmtId="168" fontId="7" fillId="20" borderId="231" xfId="1" applyNumberFormat="1" applyFont="1" applyFill="1" applyBorder="1" applyAlignment="1">
      <alignment horizontal="center" vertical="center"/>
    </xf>
    <xf numFmtId="0" fontId="54" fillId="20" borderId="0" xfId="13" applyFont="1" applyFill="1" applyBorder="1" applyAlignment="1">
      <alignment horizontal="right"/>
    </xf>
    <xf numFmtId="0" fontId="54" fillId="2" borderId="0" xfId="13" applyFont="1" applyFill="1"/>
    <xf numFmtId="168" fontId="54" fillId="0" borderId="0" xfId="13" applyNumberFormat="1" applyFont="1"/>
    <xf numFmtId="0" fontId="54" fillId="20" borderId="0" xfId="13" applyFont="1" applyFill="1" applyBorder="1" applyAlignment="1">
      <alignment horizontal="right" vertical="center" wrapText="1"/>
    </xf>
    <xf numFmtId="0" fontId="54" fillId="0" borderId="0" xfId="13" applyFont="1" applyAlignment="1">
      <alignment vertical="top"/>
    </xf>
    <xf numFmtId="0" fontId="54" fillId="0" borderId="0" xfId="13" applyFont="1" applyBorder="1" applyAlignment="1">
      <alignment vertical="top"/>
    </xf>
    <xf numFmtId="0" fontId="54" fillId="20" borderId="0" xfId="13" applyFont="1" applyFill="1" applyAlignment="1">
      <alignment horizontal="right"/>
    </xf>
    <xf numFmtId="0" fontId="0" fillId="0" borderId="0" xfId="0" applyBorder="1"/>
    <xf numFmtId="0" fontId="0" fillId="0" borderId="0" xfId="0"/>
    <xf numFmtId="0" fontId="0" fillId="0" borderId="0" xfId="0" applyBorder="1"/>
    <xf numFmtId="0" fontId="0" fillId="0" borderId="0" xfId="0"/>
    <xf numFmtId="0" fontId="0" fillId="0" borderId="0" xfId="0" applyBorder="1"/>
    <xf numFmtId="0" fontId="0" fillId="0" borderId="0" xfId="0"/>
    <xf numFmtId="0" fontId="90" fillId="20" borderId="0" xfId="16" applyFont="1" applyFill="1"/>
    <xf numFmtId="0" fontId="90" fillId="0" borderId="0" xfId="16" applyFont="1"/>
    <xf numFmtId="0" fontId="90" fillId="20" borderId="0" xfId="16" applyFont="1" applyFill="1" applyBorder="1"/>
    <xf numFmtId="165" fontId="91" fillId="20" borderId="233" xfId="16" applyNumberFormat="1" applyFont="1" applyFill="1" applyBorder="1" applyProtection="1"/>
    <xf numFmtId="165" fontId="91" fillId="20" borderId="228" xfId="16" applyNumberFormat="1" applyFont="1" applyFill="1" applyBorder="1" applyAlignment="1" applyProtection="1">
      <alignment horizontal="center"/>
    </xf>
    <xf numFmtId="0" fontId="90" fillId="20" borderId="233" xfId="16" applyFont="1" applyFill="1" applyBorder="1" applyAlignment="1">
      <alignment horizontal="center"/>
    </xf>
    <xf numFmtId="165" fontId="91" fillId="20" borderId="0" xfId="16" applyNumberFormat="1" applyFont="1" applyFill="1" applyBorder="1" applyAlignment="1" applyProtection="1">
      <alignment horizontal="center"/>
    </xf>
    <xf numFmtId="165" fontId="91" fillId="20" borderId="229" xfId="16" applyNumberFormat="1" applyFont="1" applyFill="1" applyBorder="1" applyAlignment="1" applyProtection="1">
      <alignment horizontal="center"/>
    </xf>
    <xf numFmtId="165" fontId="91" fillId="20" borderId="162" xfId="16" applyNumberFormat="1" applyFont="1" applyFill="1" applyBorder="1" applyAlignment="1" applyProtection="1">
      <alignment horizontal="center"/>
    </xf>
    <xf numFmtId="0" fontId="90" fillId="20" borderId="204" xfId="16" applyFont="1" applyFill="1" applyBorder="1"/>
    <xf numFmtId="0" fontId="90" fillId="20" borderId="219" xfId="16" applyFont="1" applyFill="1" applyBorder="1" applyAlignment="1">
      <alignment horizontal="center"/>
    </xf>
    <xf numFmtId="0" fontId="90" fillId="20" borderId="153" xfId="16" applyFont="1" applyFill="1" applyBorder="1" applyAlignment="1">
      <alignment horizontal="center" vertical="center"/>
    </xf>
    <xf numFmtId="0" fontId="90" fillId="20" borderId="0" xfId="16" applyFont="1" applyFill="1" applyAlignment="1">
      <alignment vertical="center"/>
    </xf>
    <xf numFmtId="0" fontId="90" fillId="0" borderId="0" xfId="16" applyFont="1" applyAlignment="1">
      <alignment vertical="center"/>
    </xf>
    <xf numFmtId="0" fontId="90" fillId="20" borderId="0" xfId="17" applyFont="1" applyFill="1"/>
    <xf numFmtId="0" fontId="90" fillId="0" borderId="0" xfId="17" applyFont="1"/>
    <xf numFmtId="165" fontId="90" fillId="20" borderId="0" xfId="17" applyNumberFormat="1" applyFont="1" applyFill="1" applyProtection="1"/>
    <xf numFmtId="165" fontId="90" fillId="0" borderId="0" xfId="17" applyNumberFormat="1" applyFont="1" applyProtection="1"/>
    <xf numFmtId="165" fontId="91" fillId="20" borderId="233" xfId="17" applyNumberFormat="1" applyFont="1" applyFill="1" applyBorder="1" applyProtection="1"/>
    <xf numFmtId="165" fontId="91" fillId="20" borderId="216" xfId="17" applyNumberFormat="1" applyFont="1" applyFill="1" applyBorder="1" applyProtection="1"/>
    <xf numFmtId="165" fontId="91" fillId="20" borderId="216" xfId="17" applyNumberFormat="1" applyFont="1" applyFill="1" applyBorder="1" applyAlignment="1" applyProtection="1">
      <alignment horizontal="center"/>
    </xf>
    <xf numFmtId="0" fontId="91" fillId="20" borderId="216" xfId="17" applyFont="1" applyFill="1" applyBorder="1" applyAlignment="1">
      <alignment horizontal="center"/>
    </xf>
    <xf numFmtId="0" fontId="91" fillId="20" borderId="229" xfId="17" applyFont="1" applyFill="1" applyBorder="1" applyAlignment="1">
      <alignment horizontal="center" wrapText="1"/>
    </xf>
    <xf numFmtId="165" fontId="91" fillId="20" borderId="229" xfId="17" applyNumberFormat="1" applyFont="1" applyFill="1" applyBorder="1" applyAlignment="1" applyProtection="1">
      <alignment horizontal="center"/>
    </xf>
    <xf numFmtId="165" fontId="91" fillId="20" borderId="4" xfId="17" applyNumberFormat="1" applyFont="1" applyFill="1" applyBorder="1" applyAlignment="1" applyProtection="1">
      <alignment horizontal="center"/>
    </xf>
    <xf numFmtId="165" fontId="91" fillId="20" borderId="162" xfId="17" applyNumberFormat="1" applyFont="1" applyFill="1" applyBorder="1" applyAlignment="1" applyProtection="1">
      <alignment horizontal="center"/>
    </xf>
    <xf numFmtId="0" fontId="91" fillId="20" borderId="4" xfId="17" applyFont="1" applyFill="1" applyBorder="1" applyAlignment="1">
      <alignment horizontal="center"/>
    </xf>
    <xf numFmtId="0" fontId="91" fillId="20" borderId="241" xfId="17" applyFont="1" applyFill="1" applyBorder="1" applyAlignment="1">
      <alignment horizontal="center" wrapText="1"/>
    </xf>
    <xf numFmtId="165" fontId="90" fillId="20" borderId="216" xfId="17" applyNumberFormat="1" applyFont="1" applyFill="1" applyBorder="1" applyAlignment="1" applyProtection="1">
      <alignment horizontal="center"/>
    </xf>
    <xf numFmtId="0" fontId="91" fillId="20" borderId="229" xfId="17" applyFont="1" applyFill="1" applyBorder="1" applyAlignment="1">
      <alignment horizontal="center"/>
    </xf>
    <xf numFmtId="0" fontId="90" fillId="20" borderId="229" xfId="17" applyFont="1" applyFill="1" applyBorder="1" applyAlignment="1">
      <alignment horizontal="center"/>
    </xf>
    <xf numFmtId="0" fontId="90" fillId="20" borderId="216" xfId="17" applyFont="1" applyFill="1" applyBorder="1" applyAlignment="1">
      <alignment horizontal="center"/>
    </xf>
    <xf numFmtId="0" fontId="90" fillId="20" borderId="219" xfId="17" applyFont="1" applyFill="1" applyBorder="1" applyAlignment="1">
      <alignment horizontal="center"/>
    </xf>
    <xf numFmtId="0" fontId="90" fillId="20" borderId="0" xfId="17" applyFont="1" applyFill="1" applyBorder="1"/>
    <xf numFmtId="0" fontId="90" fillId="0" borderId="0" xfId="17" applyFont="1" applyBorder="1"/>
    <xf numFmtId="0" fontId="91" fillId="20" borderId="219" xfId="17" applyFont="1" applyFill="1" applyBorder="1" applyAlignment="1">
      <alignment horizontal="center"/>
    </xf>
    <xf numFmtId="0" fontId="92" fillId="20" borderId="0" xfId="17" applyFont="1" applyFill="1"/>
    <xf numFmtId="0" fontId="92" fillId="0" borderId="0" xfId="17" applyFont="1"/>
    <xf numFmtId="165" fontId="90" fillId="20" borderId="0" xfId="17" applyNumberFormat="1" applyFont="1" applyFill="1"/>
    <xf numFmtId="168" fontId="90" fillId="20" borderId="0" xfId="17" applyNumberFormat="1" applyFont="1" applyFill="1"/>
    <xf numFmtId="168" fontId="90" fillId="20" borderId="0" xfId="17" applyNumberFormat="1" applyFont="1" applyFill="1" applyBorder="1"/>
    <xf numFmtId="0" fontId="90" fillId="0" borderId="161" xfId="17" applyFont="1" applyBorder="1"/>
    <xf numFmtId="0" fontId="90" fillId="0" borderId="150" xfId="17" applyFont="1" applyBorder="1"/>
    <xf numFmtId="0" fontId="90" fillId="20" borderId="242" xfId="17" applyFont="1" applyFill="1" applyBorder="1" applyAlignment="1">
      <alignment horizontal="center" vertical="center"/>
    </xf>
    <xf numFmtId="0" fontId="90" fillId="20" borderId="0" xfId="18" applyFont="1" applyFill="1"/>
    <xf numFmtId="165" fontId="91" fillId="20" borderId="0" xfId="18" applyNumberFormat="1" applyFont="1" applyFill="1" applyBorder="1" applyProtection="1"/>
    <xf numFmtId="165" fontId="90" fillId="0" borderId="0" xfId="18" applyNumberFormat="1" applyFont="1" applyProtection="1"/>
    <xf numFmtId="0" fontId="90" fillId="0" borderId="0" xfId="18" applyFont="1"/>
    <xf numFmtId="165" fontId="90" fillId="20" borderId="0" xfId="18" applyNumberFormat="1" applyFont="1" applyFill="1" applyProtection="1"/>
    <xf numFmtId="165" fontId="90" fillId="20" borderId="0" xfId="18" applyNumberFormat="1" applyFont="1" applyFill="1" applyBorder="1" applyProtection="1"/>
    <xf numFmtId="165" fontId="91" fillId="20" borderId="0" xfId="18" applyNumberFormat="1" applyFont="1" applyFill="1" applyProtection="1"/>
    <xf numFmtId="165" fontId="91" fillId="20" borderId="237" xfId="18" applyNumberFormat="1" applyFont="1" applyFill="1" applyBorder="1" applyProtection="1"/>
    <xf numFmtId="165" fontId="91" fillId="20" borderId="237" xfId="18" applyNumberFormat="1" applyFont="1" applyFill="1" applyBorder="1" applyAlignment="1" applyProtection="1">
      <alignment horizontal="right"/>
    </xf>
    <xf numFmtId="165" fontId="91" fillId="20" borderId="237" xfId="18" applyNumberFormat="1" applyFont="1" applyFill="1" applyBorder="1" applyAlignment="1" applyProtection="1">
      <alignment horizontal="center"/>
    </xf>
    <xf numFmtId="165" fontId="91" fillId="20" borderId="0" xfId="18" applyNumberFormat="1" applyFont="1" applyFill="1" applyBorder="1" applyAlignment="1" applyProtection="1">
      <alignment horizontal="center"/>
    </xf>
    <xf numFmtId="165" fontId="90" fillId="0" borderId="0" xfId="18" applyNumberFormat="1" applyFont="1" applyBorder="1" applyProtection="1"/>
    <xf numFmtId="165" fontId="91" fillId="20" borderId="246" xfId="18" applyNumberFormat="1" applyFont="1" applyFill="1" applyBorder="1" applyAlignment="1" applyProtection="1">
      <alignment horizontal="center"/>
    </xf>
    <xf numFmtId="0" fontId="90" fillId="0" borderId="0" xfId="18" applyFont="1" applyBorder="1"/>
    <xf numFmtId="0" fontId="90" fillId="20" borderId="0" xfId="18" applyFont="1" applyFill="1" applyBorder="1"/>
    <xf numFmtId="165" fontId="90" fillId="20" borderId="0" xfId="18" applyNumberFormat="1" applyFont="1" applyFill="1" applyBorder="1" applyAlignment="1" applyProtection="1">
      <alignment horizontal="center"/>
    </xf>
    <xf numFmtId="0" fontId="90" fillId="0" borderId="150" xfId="18" applyFont="1" applyBorder="1"/>
    <xf numFmtId="0" fontId="90" fillId="20" borderId="0" xfId="18" applyFont="1" applyFill="1" applyAlignment="1"/>
    <xf numFmtId="165" fontId="90" fillId="20" borderId="0" xfId="16" applyNumberFormat="1" applyFont="1" applyFill="1" applyProtection="1"/>
    <xf numFmtId="165" fontId="91" fillId="20" borderId="216" xfId="16" applyNumberFormat="1" applyFont="1" applyFill="1" applyBorder="1" applyProtection="1"/>
    <xf numFmtId="165" fontId="91" fillId="20" borderId="216" xfId="16" applyNumberFormat="1" applyFont="1" applyFill="1" applyBorder="1" applyAlignment="1" applyProtection="1">
      <alignment horizontal="center"/>
    </xf>
    <xf numFmtId="0" fontId="91" fillId="20" borderId="216" xfId="16" applyFont="1" applyFill="1" applyBorder="1" applyAlignment="1">
      <alignment horizontal="center"/>
    </xf>
    <xf numFmtId="0" fontId="91" fillId="20" borderId="229" xfId="16" applyFont="1" applyFill="1" applyBorder="1" applyAlignment="1">
      <alignment horizontal="center" wrapText="1"/>
    </xf>
    <xf numFmtId="0" fontId="91" fillId="20" borderId="4" xfId="16" applyFont="1" applyFill="1" applyBorder="1" applyAlignment="1">
      <alignment horizontal="center"/>
    </xf>
    <xf numFmtId="0" fontId="91" fillId="20" borderId="241" xfId="16" applyFont="1" applyFill="1" applyBorder="1" applyAlignment="1">
      <alignment horizontal="center" wrapText="1"/>
    </xf>
    <xf numFmtId="165" fontId="91" fillId="20" borderId="240" xfId="16" applyNumberFormat="1" applyFont="1" applyFill="1" applyBorder="1" applyAlignment="1" applyProtection="1">
      <alignment horizontal="center"/>
    </xf>
    <xf numFmtId="0" fontId="90" fillId="20" borderId="216" xfId="16" applyFont="1" applyFill="1" applyBorder="1" applyAlignment="1">
      <alignment horizontal="center"/>
    </xf>
    <xf numFmtId="0" fontId="90" fillId="20" borderId="216" xfId="16" applyFont="1" applyFill="1" applyBorder="1" applyAlignment="1">
      <alignment horizontal="center" vertical="center"/>
    </xf>
    <xf numFmtId="0" fontId="91" fillId="20" borderId="216" xfId="16" applyFont="1" applyFill="1" applyBorder="1" applyAlignment="1">
      <alignment horizontal="center" vertical="center"/>
    </xf>
    <xf numFmtId="0" fontId="90" fillId="0" borderId="0" xfId="16" applyFont="1" applyBorder="1"/>
    <xf numFmtId="0" fontId="91" fillId="20" borderId="242" xfId="16" applyFont="1" applyFill="1" applyBorder="1" applyAlignment="1">
      <alignment horizontal="center" vertical="center"/>
    </xf>
    <xf numFmtId="0" fontId="90" fillId="20" borderId="242" xfId="16" applyFont="1" applyFill="1" applyBorder="1" applyAlignment="1">
      <alignment horizontal="center" vertical="center"/>
    </xf>
    <xf numFmtId="0" fontId="91" fillId="20" borderId="242" xfId="16" applyFont="1" applyFill="1" applyBorder="1" applyAlignment="1">
      <alignment horizontal="center"/>
    </xf>
    <xf numFmtId="168" fontId="90" fillId="20" borderId="0" xfId="16" applyNumberFormat="1" applyFont="1" applyFill="1"/>
    <xf numFmtId="0" fontId="90" fillId="0" borderId="151" xfId="16" applyFont="1" applyBorder="1"/>
    <xf numFmtId="165" fontId="90" fillId="0" borderId="0" xfId="16" applyNumberFormat="1" applyFont="1" applyProtection="1"/>
    <xf numFmtId="0" fontId="90" fillId="20" borderId="219" xfId="16" applyFont="1" applyFill="1" applyBorder="1" applyAlignment="1">
      <alignment horizontal="center" vertical="center"/>
    </xf>
    <xf numFmtId="0" fontId="90" fillId="20" borderId="0" xfId="19" applyFont="1" applyFill="1"/>
    <xf numFmtId="0" fontId="90" fillId="0" borderId="0" xfId="19" applyFont="1"/>
    <xf numFmtId="165" fontId="91" fillId="20" borderId="229" xfId="19" applyNumberFormat="1" applyFont="1" applyFill="1" applyBorder="1" applyAlignment="1" applyProtection="1">
      <alignment horizontal="center"/>
    </xf>
    <xf numFmtId="165" fontId="91" fillId="20" borderId="239" xfId="19" applyNumberFormat="1" applyFont="1" applyFill="1" applyBorder="1" applyAlignment="1" applyProtection="1">
      <alignment horizontal="center"/>
    </xf>
    <xf numFmtId="0" fontId="90" fillId="0" borderId="0" xfId="19" applyFont="1" applyBorder="1"/>
    <xf numFmtId="165" fontId="91" fillId="20" borderId="0" xfId="19" applyNumberFormat="1" applyFont="1" applyFill="1" applyBorder="1" applyAlignment="1" applyProtection="1">
      <alignment horizontal="center"/>
    </xf>
    <xf numFmtId="0" fontId="91" fillId="20" borderId="229" xfId="19" applyFont="1" applyFill="1" applyBorder="1" applyAlignment="1">
      <alignment horizontal="center" wrapText="1"/>
    </xf>
    <xf numFmtId="0" fontId="90" fillId="0" borderId="150" xfId="19" applyFont="1" applyBorder="1"/>
    <xf numFmtId="0" fontId="90" fillId="20" borderId="0" xfId="20" applyFont="1" applyFill="1"/>
    <xf numFmtId="0" fontId="90" fillId="0" borderId="0" xfId="20" applyFont="1"/>
    <xf numFmtId="165" fontId="91" fillId="20" borderId="216" xfId="20" applyNumberFormat="1" applyFont="1" applyFill="1" applyBorder="1" applyAlignment="1" applyProtection="1">
      <alignment horizontal="center"/>
    </xf>
    <xf numFmtId="0" fontId="90" fillId="0" borderId="0" xfId="20" applyFont="1" applyBorder="1"/>
    <xf numFmtId="0" fontId="90" fillId="20" borderId="0" xfId="20" applyFont="1" applyFill="1" applyBorder="1" applyAlignment="1">
      <alignment wrapText="1"/>
    </xf>
    <xf numFmtId="0" fontId="90" fillId="20" borderId="219" xfId="19" applyFont="1" applyFill="1" applyBorder="1" applyAlignment="1">
      <alignment horizontal="center"/>
    </xf>
    <xf numFmtId="0" fontId="90" fillId="20" borderId="0" xfId="19" applyFont="1" applyFill="1" applyBorder="1" applyAlignment="1">
      <alignment horizontal="center"/>
    </xf>
    <xf numFmtId="0" fontId="90" fillId="20" borderId="0" xfId="21" applyFont="1" applyFill="1"/>
    <xf numFmtId="165" fontId="92" fillId="20" borderId="0" xfId="21" applyNumberFormat="1" applyFont="1" applyFill="1" applyProtection="1"/>
    <xf numFmtId="165" fontId="92" fillId="0" borderId="0" xfId="21" applyNumberFormat="1" applyFont="1" applyProtection="1"/>
    <xf numFmtId="165" fontId="92" fillId="0" borderId="0" xfId="21" applyNumberFormat="1" applyFont="1" applyAlignment="1" applyProtection="1">
      <alignment horizontal="right"/>
    </xf>
    <xf numFmtId="0" fontId="90" fillId="0" borderId="0" xfId="21" applyFont="1"/>
    <xf numFmtId="165" fontId="92" fillId="20" borderId="0" xfId="21" applyNumberFormat="1" applyFont="1" applyFill="1" applyBorder="1" applyProtection="1"/>
    <xf numFmtId="165" fontId="92" fillId="0" borderId="0" xfId="21" applyNumberFormat="1" applyFont="1" applyBorder="1" applyProtection="1"/>
    <xf numFmtId="0" fontId="90" fillId="20" borderId="0" xfId="21" applyFont="1" applyFill="1" applyBorder="1"/>
    <xf numFmtId="0" fontId="90" fillId="0" borderId="0" xfId="21" applyFont="1" applyBorder="1"/>
    <xf numFmtId="168" fontId="90" fillId="0" borderId="0" xfId="21" applyNumberFormat="1" applyFont="1" applyBorder="1"/>
    <xf numFmtId="165" fontId="95" fillId="20" borderId="229" xfId="21" applyNumberFormat="1" applyFont="1" applyFill="1" applyBorder="1" applyAlignment="1" applyProtection="1">
      <alignment horizontal="center"/>
    </xf>
    <xf numFmtId="0" fontId="90" fillId="0" borderId="0" xfId="21" applyFont="1" applyAlignment="1">
      <alignment horizontal="center"/>
    </xf>
    <xf numFmtId="165" fontId="92" fillId="0" borderId="0" xfId="21" applyNumberFormat="1" applyFont="1" applyAlignment="1" applyProtection="1">
      <alignment horizontal="center"/>
    </xf>
    <xf numFmtId="165" fontId="96" fillId="20" borderId="0" xfId="21" applyNumberFormat="1" applyFont="1" applyFill="1" applyProtection="1"/>
    <xf numFmtId="165" fontId="96" fillId="0" borderId="0" xfId="21" applyNumberFormat="1" applyFont="1" applyProtection="1"/>
    <xf numFmtId="165" fontId="96" fillId="0" borderId="0" xfId="21" applyNumberFormat="1" applyFont="1" applyAlignment="1" applyProtection="1">
      <alignment horizontal="center"/>
    </xf>
    <xf numFmtId="165" fontId="90" fillId="0" borderId="0" xfId="21" applyNumberFormat="1" applyFont="1"/>
    <xf numFmtId="0" fontId="90" fillId="0" borderId="234" xfId="21" applyFont="1" applyBorder="1"/>
    <xf numFmtId="168" fontId="90" fillId="0" borderId="0" xfId="21" applyNumberFormat="1" applyFont="1"/>
    <xf numFmtId="0" fontId="91" fillId="20" borderId="153" xfId="21" applyFont="1" applyFill="1" applyBorder="1" applyAlignment="1">
      <alignment horizontal="center"/>
    </xf>
    <xf numFmtId="184" fontId="90" fillId="0" borderId="0" xfId="21" applyNumberFormat="1" applyFont="1"/>
    <xf numFmtId="2" fontId="90" fillId="0" borderId="0" xfId="21" applyNumberFormat="1" applyFont="1"/>
    <xf numFmtId="175" fontId="90" fillId="0" borderId="0" xfId="21" applyNumberFormat="1" applyFont="1"/>
    <xf numFmtId="0" fontId="90" fillId="20" borderId="0" xfId="21" applyFont="1" applyFill="1" applyBorder="1" applyAlignment="1">
      <alignment horizontal="center"/>
    </xf>
    <xf numFmtId="175" fontId="90" fillId="0" borderId="0" xfId="21" applyNumberFormat="1" applyFont="1" applyBorder="1"/>
    <xf numFmtId="168" fontId="91" fillId="0" borderId="0" xfId="21" applyNumberFormat="1" applyFont="1"/>
    <xf numFmtId="16" fontId="90" fillId="0" borderId="0" xfId="21" applyNumberFormat="1" applyFont="1"/>
    <xf numFmtId="164" fontId="90" fillId="0" borderId="0" xfId="1" applyFont="1"/>
    <xf numFmtId="165" fontId="95" fillId="20" borderId="238" xfId="21" applyNumberFormat="1" applyFont="1" applyFill="1" applyBorder="1" applyAlignment="1" applyProtection="1">
      <alignment horizontal="center"/>
    </xf>
    <xf numFmtId="165" fontId="95" fillId="20" borderId="222" xfId="21" applyNumberFormat="1" applyFont="1" applyFill="1" applyBorder="1" applyAlignment="1" applyProtection="1">
      <alignment horizontal="center"/>
    </xf>
    <xf numFmtId="165" fontId="95" fillId="20" borderId="237" xfId="21" applyNumberFormat="1" applyFont="1" applyFill="1" applyBorder="1" applyAlignment="1" applyProtection="1">
      <alignment horizontal="center"/>
    </xf>
    <xf numFmtId="165" fontId="90" fillId="20" borderId="0" xfId="21" applyNumberFormat="1" applyFont="1" applyFill="1"/>
    <xf numFmtId="0" fontId="90" fillId="0" borderId="150" xfId="21" applyFont="1" applyBorder="1"/>
    <xf numFmtId="165" fontId="90" fillId="20" borderId="0" xfId="21" applyNumberFormat="1" applyFont="1" applyFill="1" applyBorder="1"/>
    <xf numFmtId="0" fontId="91" fillId="20" borderId="173" xfId="21" applyFont="1" applyFill="1" applyBorder="1" applyAlignment="1">
      <alignment horizontal="center"/>
    </xf>
    <xf numFmtId="0" fontId="91" fillId="20" borderId="206" xfId="21" applyFont="1" applyFill="1" applyBorder="1" applyAlignment="1">
      <alignment horizontal="center"/>
    </xf>
    <xf numFmtId="0" fontId="91" fillId="20" borderId="152" xfId="21" applyFont="1" applyFill="1" applyBorder="1" applyAlignment="1">
      <alignment horizontal="center"/>
    </xf>
    <xf numFmtId="0" fontId="90" fillId="0" borderId="0" xfId="21" applyFont="1" applyFill="1" applyBorder="1"/>
    <xf numFmtId="0" fontId="90" fillId="0" borderId="0" xfId="21" applyFont="1" applyFill="1"/>
    <xf numFmtId="165" fontId="95" fillId="20" borderId="247" xfId="21" applyNumberFormat="1" applyFont="1" applyFill="1" applyBorder="1" applyAlignment="1" applyProtection="1">
      <alignment horizontal="center"/>
    </xf>
    <xf numFmtId="2" fontId="90" fillId="20" borderId="0" xfId="21" applyNumberFormat="1" applyFont="1" applyFill="1"/>
    <xf numFmtId="165" fontId="90" fillId="20" borderId="0" xfId="0" applyNumberFormat="1" applyFont="1" applyFill="1"/>
    <xf numFmtId="165" fontId="90" fillId="20" borderId="0" xfId="0" applyNumberFormat="1" applyFont="1" applyFill="1" applyBorder="1"/>
    <xf numFmtId="165" fontId="90" fillId="20" borderId="229" xfId="0" applyNumberFormat="1" applyFont="1" applyFill="1" applyBorder="1" applyAlignment="1" applyProtection="1">
      <alignment horizontal="center"/>
    </xf>
    <xf numFmtId="165" fontId="90" fillId="20" borderId="229" xfId="0" applyNumberFormat="1" applyFont="1" applyFill="1" applyBorder="1" applyAlignment="1">
      <alignment horizontal="center"/>
    </xf>
    <xf numFmtId="165" fontId="95" fillId="20" borderId="240" xfId="0" applyNumberFormat="1" applyFont="1" applyFill="1" applyBorder="1" applyProtection="1"/>
    <xf numFmtId="165" fontId="95" fillId="20" borderId="229" xfId="0" applyNumberFormat="1" applyFont="1" applyFill="1" applyBorder="1" applyProtection="1"/>
    <xf numFmtId="165" fontId="95" fillId="20" borderId="229" xfId="0" applyNumberFormat="1" applyFont="1" applyFill="1" applyBorder="1" applyAlignment="1" applyProtection="1">
      <alignment horizontal="center"/>
    </xf>
    <xf numFmtId="165" fontId="95" fillId="20" borderId="256" xfId="0" applyNumberFormat="1" applyFont="1" applyFill="1" applyBorder="1" applyAlignment="1" applyProtection="1">
      <alignment horizontal="center"/>
    </xf>
    <xf numFmtId="165" fontId="95" fillId="20" borderId="257" xfId="0" applyNumberFormat="1" applyFont="1" applyFill="1" applyBorder="1" applyAlignment="1" applyProtection="1">
      <alignment horizontal="center"/>
    </xf>
    <xf numFmtId="165" fontId="95" fillId="20" borderId="235" xfId="0" applyNumberFormat="1" applyFont="1" applyFill="1" applyBorder="1" applyAlignment="1" applyProtection="1">
      <alignment horizontal="center"/>
    </xf>
    <xf numFmtId="165" fontId="95" fillId="20" borderId="228" xfId="0" applyNumberFormat="1" applyFont="1" applyFill="1" applyBorder="1" applyAlignment="1" applyProtection="1">
      <alignment horizontal="center"/>
    </xf>
    <xf numFmtId="165" fontId="95" fillId="20" borderId="242" xfId="0" applyNumberFormat="1" applyFont="1" applyFill="1" applyBorder="1" applyAlignment="1" applyProtection="1">
      <alignment horizontal="center"/>
    </xf>
    <xf numFmtId="165" fontId="95" fillId="20" borderId="153" xfId="0" applyNumberFormat="1" applyFont="1" applyFill="1" applyBorder="1" applyAlignment="1" applyProtection="1">
      <alignment horizontal="center"/>
    </xf>
    <xf numFmtId="165" fontId="95" fillId="20" borderId="7" xfId="0" applyNumberFormat="1" applyFont="1" applyFill="1" applyBorder="1" applyAlignment="1" applyProtection="1">
      <alignment horizontal="center"/>
    </xf>
    <xf numFmtId="165" fontId="95" fillId="20" borderId="253" xfId="0" applyNumberFormat="1" applyFont="1" applyFill="1" applyBorder="1" applyAlignment="1" applyProtection="1">
      <alignment horizontal="center"/>
    </xf>
    <xf numFmtId="165" fontId="92" fillId="20" borderId="229" xfId="0" applyNumberFormat="1" applyFont="1" applyFill="1" applyBorder="1" applyAlignment="1" applyProtection="1">
      <alignment horizontal="center"/>
    </xf>
    <xf numFmtId="165" fontId="92" fillId="20" borderId="228" xfId="0" applyNumberFormat="1" applyFont="1" applyFill="1" applyBorder="1" applyAlignment="1" applyProtection="1">
      <alignment horizontal="center"/>
    </xf>
    <xf numFmtId="165" fontId="90" fillId="20" borderId="228" xfId="0" applyNumberFormat="1" applyFont="1" applyFill="1" applyBorder="1" applyAlignment="1">
      <alignment horizontal="center"/>
    </xf>
    <xf numFmtId="165" fontId="95" fillId="20" borderId="34" xfId="21" applyNumberFormat="1" applyFont="1" applyFill="1" applyBorder="1" applyAlignment="1" applyProtection="1">
      <alignment horizontal="center"/>
    </xf>
    <xf numFmtId="165" fontId="91" fillId="20" borderId="259" xfId="20" applyNumberFormat="1" applyFont="1" applyFill="1" applyBorder="1" applyAlignment="1" applyProtection="1">
      <alignment horizontal="center"/>
    </xf>
    <xf numFmtId="165" fontId="91" fillId="20" borderId="34" xfId="20" applyNumberFormat="1" applyFont="1" applyFill="1" applyBorder="1" applyAlignment="1" applyProtection="1">
      <alignment horizontal="center"/>
    </xf>
    <xf numFmtId="165" fontId="91" fillId="20" borderId="261" xfId="16" applyNumberFormat="1" applyFont="1" applyFill="1" applyBorder="1" applyAlignment="1" applyProtection="1">
      <alignment horizontal="center"/>
    </xf>
    <xf numFmtId="165" fontId="91" fillId="20" borderId="7" xfId="16" applyNumberFormat="1" applyFont="1" applyFill="1" applyBorder="1" applyAlignment="1" applyProtection="1">
      <alignment horizontal="center"/>
    </xf>
    <xf numFmtId="165" fontId="91" fillId="20" borderId="261" xfId="19" applyNumberFormat="1" applyFont="1" applyFill="1" applyBorder="1" applyAlignment="1" applyProtection="1">
      <alignment horizontal="center"/>
    </xf>
    <xf numFmtId="165" fontId="91" fillId="20" borderId="261" xfId="20" applyNumberFormat="1" applyFont="1" applyFill="1" applyBorder="1" applyAlignment="1" applyProtection="1">
      <alignment horizontal="center"/>
    </xf>
    <xf numFmtId="165" fontId="91" fillId="20" borderId="7" xfId="20" applyNumberFormat="1" applyFont="1" applyFill="1" applyBorder="1" applyAlignment="1" applyProtection="1">
      <alignment horizontal="center"/>
    </xf>
    <xf numFmtId="165" fontId="91" fillId="20" borderId="262" xfId="18" applyNumberFormat="1" applyFont="1" applyFill="1" applyBorder="1" applyProtection="1"/>
    <xf numFmtId="165" fontId="91" fillId="20" borderId="261" xfId="18" applyNumberFormat="1" applyFont="1" applyFill="1" applyBorder="1" applyAlignment="1" applyProtection="1">
      <alignment horizontal="center"/>
    </xf>
    <xf numFmtId="0" fontId="90" fillId="20" borderId="0" xfId="19" applyFont="1" applyFill="1" applyBorder="1"/>
    <xf numFmtId="165" fontId="91" fillId="20" borderId="237" xfId="19" applyNumberFormat="1" applyFont="1" applyFill="1" applyBorder="1" applyAlignment="1" applyProtection="1">
      <alignment horizontal="center"/>
    </xf>
    <xf numFmtId="165" fontId="91" fillId="20" borderId="219" xfId="19" applyNumberFormat="1" applyFont="1" applyFill="1" applyBorder="1" applyAlignment="1" applyProtection="1">
      <alignment horizontal="center"/>
    </xf>
    <xf numFmtId="165" fontId="91" fillId="20" borderId="273" xfId="19" applyNumberFormat="1" applyFont="1" applyFill="1" applyBorder="1" applyAlignment="1" applyProtection="1">
      <alignment horizontal="center"/>
    </xf>
    <xf numFmtId="165" fontId="91" fillId="20" borderId="268" xfId="19" applyNumberFormat="1" applyFont="1" applyFill="1" applyBorder="1" applyAlignment="1" applyProtection="1">
      <alignment horizontal="center"/>
    </xf>
    <xf numFmtId="165" fontId="91" fillId="20" borderId="274" xfId="19" applyNumberFormat="1" applyFont="1" applyFill="1" applyBorder="1" applyAlignment="1" applyProtection="1">
      <alignment horizontal="center"/>
    </xf>
    <xf numFmtId="165" fontId="91" fillId="20" borderId="174" xfId="19" applyNumberFormat="1" applyFont="1" applyFill="1" applyBorder="1" applyAlignment="1" applyProtection="1">
      <alignment horizontal="center"/>
    </xf>
    <xf numFmtId="165" fontId="91" fillId="20" borderId="238" xfId="19" applyNumberFormat="1" applyFont="1" applyFill="1" applyBorder="1" applyAlignment="1" applyProtection="1">
      <alignment horizontal="center"/>
    </xf>
    <xf numFmtId="0" fontId="91" fillId="20" borderId="261" xfId="19" applyFont="1" applyFill="1" applyBorder="1" applyAlignment="1">
      <alignment horizontal="center"/>
    </xf>
    <xf numFmtId="165" fontId="91" fillId="20" borderId="279" xfId="19" applyNumberFormat="1" applyFont="1" applyFill="1" applyBorder="1" applyAlignment="1" applyProtection="1">
      <alignment horizontal="center"/>
    </xf>
    <xf numFmtId="165" fontId="91" fillId="20" borderId="251" xfId="19" applyNumberFormat="1" applyFont="1" applyFill="1" applyBorder="1" applyAlignment="1" applyProtection="1">
      <alignment horizontal="center"/>
    </xf>
    <xf numFmtId="165" fontId="91" fillId="20" borderId="258" xfId="19" applyNumberFormat="1" applyFont="1" applyFill="1" applyBorder="1" applyAlignment="1" applyProtection="1">
      <alignment horizontal="center"/>
    </xf>
    <xf numFmtId="0" fontId="91" fillId="20" borderId="258" xfId="19" applyFont="1" applyFill="1" applyBorder="1" applyAlignment="1">
      <alignment horizontal="center"/>
    </xf>
    <xf numFmtId="0" fontId="91" fillId="20" borderId="284" xfId="19" applyFont="1" applyFill="1" applyBorder="1" applyAlignment="1">
      <alignment horizontal="center" wrapText="1"/>
    </xf>
    <xf numFmtId="165" fontId="91" fillId="20" borderId="249" xfId="19" applyNumberFormat="1" applyFont="1" applyFill="1" applyBorder="1" applyAlignment="1" applyProtection="1">
      <alignment horizontal="center"/>
    </xf>
    <xf numFmtId="165" fontId="95" fillId="20" borderId="248" xfId="21" applyNumberFormat="1" applyFont="1" applyFill="1" applyBorder="1" applyAlignment="1" applyProtection="1">
      <alignment horizontal="center"/>
    </xf>
    <xf numFmtId="0" fontId="12" fillId="2" borderId="0" xfId="0" applyFont="1" applyFill="1" applyBorder="1" applyAlignment="1">
      <alignment horizontal="right"/>
    </xf>
    <xf numFmtId="0" fontId="12" fillId="2" borderId="0" xfId="0" applyFont="1" applyFill="1" applyBorder="1" applyAlignment="1">
      <alignment horizontal="center" vertical="center" wrapText="1"/>
    </xf>
    <xf numFmtId="173" fontId="12" fillId="2" borderId="0" xfId="0" applyNumberFormat="1" applyFont="1" applyFill="1" applyBorder="1" applyAlignment="1">
      <alignment horizontal="right" vertical="center"/>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165" fontId="91" fillId="20" borderId="160" xfId="19" applyNumberFormat="1" applyFont="1" applyFill="1" applyBorder="1" applyAlignment="1" applyProtection="1">
      <alignment horizontal="center"/>
    </xf>
    <xf numFmtId="165" fontId="95" fillId="20" borderId="255" xfId="0" applyNumberFormat="1" applyFont="1" applyFill="1" applyBorder="1" applyAlignment="1" applyProtection="1">
      <alignment horizontal="center"/>
    </xf>
    <xf numFmtId="0" fontId="0" fillId="0" borderId="0" xfId="0" applyBorder="1"/>
    <xf numFmtId="0" fontId="0" fillId="0" borderId="0" xfId="0"/>
    <xf numFmtId="0" fontId="90" fillId="0" borderId="0" xfId="17" applyFont="1" applyAlignment="1">
      <alignment horizontal="center"/>
    </xf>
    <xf numFmtId="165" fontId="91" fillId="20" borderId="283" xfId="19" applyNumberFormat="1" applyFont="1" applyFill="1" applyBorder="1" applyAlignment="1" applyProtection="1">
      <alignment horizontal="center"/>
    </xf>
    <xf numFmtId="0" fontId="90" fillId="0" borderId="0" xfId="19" applyFont="1" applyAlignment="1">
      <alignment horizontal="center"/>
    </xf>
    <xf numFmtId="165" fontId="92" fillId="20" borderId="0" xfId="21" applyNumberFormat="1" applyFont="1" applyFill="1" applyBorder="1" applyAlignment="1" applyProtection="1">
      <alignment horizontal="center"/>
    </xf>
    <xf numFmtId="0" fontId="90" fillId="20" borderId="0" xfId="21" applyFont="1" applyFill="1" applyAlignment="1">
      <alignment horizontal="center"/>
    </xf>
    <xf numFmtId="0" fontId="91" fillId="20" borderId="291" xfId="21" applyFont="1" applyFill="1" applyBorder="1" applyAlignment="1">
      <alignment horizontal="center"/>
    </xf>
    <xf numFmtId="0" fontId="90" fillId="20" borderId="291" xfId="21" applyFont="1" applyFill="1" applyBorder="1" applyAlignment="1">
      <alignment horizontal="center"/>
    </xf>
    <xf numFmtId="165" fontId="95" fillId="20" borderId="0" xfId="21" applyNumberFormat="1" applyFont="1" applyFill="1" applyBorder="1" applyAlignment="1" applyProtection="1">
      <alignment horizontal="center"/>
    </xf>
    <xf numFmtId="1" fontId="95" fillId="20" borderId="293" xfId="21" applyNumberFormat="1" applyFont="1" applyFill="1" applyBorder="1" applyAlignment="1" applyProtection="1">
      <alignment horizontal="center"/>
    </xf>
    <xf numFmtId="1" fontId="92" fillId="20" borderId="293" xfId="21" applyNumberFormat="1" applyFont="1" applyFill="1" applyBorder="1" applyAlignment="1" applyProtection="1">
      <alignment horizontal="center"/>
    </xf>
    <xf numFmtId="1" fontId="90" fillId="20" borderId="293" xfId="21" applyNumberFormat="1" applyFont="1" applyFill="1" applyBorder="1" applyAlignment="1">
      <alignment horizontal="center"/>
    </xf>
    <xf numFmtId="165" fontId="95" fillId="20" borderId="285" xfId="21" applyNumberFormat="1" applyFont="1" applyFill="1" applyBorder="1" applyAlignment="1" applyProtection="1">
      <alignment horizontal="center"/>
    </xf>
    <xf numFmtId="165" fontId="95" fillId="20" borderId="269" xfId="21" applyNumberFormat="1" applyFont="1" applyFill="1" applyBorder="1" applyAlignment="1" applyProtection="1">
      <alignment horizontal="center"/>
    </xf>
    <xf numFmtId="165" fontId="95" fillId="20" borderId="286" xfId="21" applyNumberFormat="1" applyFont="1" applyFill="1" applyBorder="1" applyAlignment="1" applyProtection="1">
      <alignment horizontal="center"/>
    </xf>
    <xf numFmtId="165" fontId="95" fillId="20" borderId="265" xfId="21" applyNumberFormat="1" applyFont="1" applyFill="1" applyBorder="1" applyAlignment="1" applyProtection="1">
      <alignment horizontal="center"/>
    </xf>
    <xf numFmtId="0" fontId="90" fillId="20" borderId="0" xfId="16" applyFont="1" applyFill="1" applyAlignment="1">
      <alignment horizontal="center"/>
    </xf>
    <xf numFmtId="165" fontId="90" fillId="20" borderId="229" xfId="16" applyNumberFormat="1" applyFont="1" applyFill="1" applyBorder="1" applyAlignment="1" applyProtection="1">
      <alignment horizontal="center"/>
    </xf>
    <xf numFmtId="165" fontId="90" fillId="20" borderId="222" xfId="16" applyNumberFormat="1" applyFont="1" applyFill="1" applyBorder="1" applyAlignment="1" applyProtection="1">
      <alignment horizontal="center"/>
    </xf>
    <xf numFmtId="165" fontId="90" fillId="20" borderId="153" xfId="16" applyNumberFormat="1" applyFont="1" applyFill="1" applyBorder="1" applyAlignment="1" applyProtection="1">
      <alignment horizontal="center"/>
    </xf>
    <xf numFmtId="2" fontId="90" fillId="0" borderId="0" xfId="16" applyNumberFormat="1" applyFont="1" applyAlignment="1">
      <alignment horizontal="center"/>
    </xf>
    <xf numFmtId="0" fontId="90" fillId="0" borderId="0" xfId="16" applyFont="1" applyAlignment="1">
      <alignment horizontal="center"/>
    </xf>
    <xf numFmtId="165" fontId="90" fillId="20" borderId="160" xfId="16" applyNumberFormat="1" applyFont="1" applyFill="1" applyBorder="1" applyAlignment="1" applyProtection="1">
      <alignment horizontal="center"/>
    </xf>
    <xf numFmtId="165" fontId="91" fillId="20" borderId="234" xfId="16" applyNumberFormat="1" applyFont="1" applyFill="1" applyBorder="1" applyAlignment="1" applyProtection="1">
      <alignment horizontal="center"/>
    </xf>
    <xf numFmtId="0" fontId="101" fillId="20" borderId="229" xfId="0" applyFont="1" applyFill="1" applyBorder="1" applyAlignment="1">
      <alignment horizontal="center"/>
    </xf>
    <xf numFmtId="0" fontId="90" fillId="20" borderId="235" xfId="16" applyFont="1" applyFill="1" applyBorder="1" applyAlignment="1">
      <alignment horizontal="center"/>
    </xf>
    <xf numFmtId="0" fontId="90" fillId="20" borderId="163" xfId="16" applyFont="1" applyFill="1" applyBorder="1" applyAlignment="1">
      <alignment horizontal="center"/>
    </xf>
    <xf numFmtId="0" fontId="90" fillId="20" borderId="0" xfId="17" applyFont="1" applyFill="1" applyAlignment="1">
      <alignment horizontal="center"/>
    </xf>
    <xf numFmtId="0" fontId="90" fillId="20" borderId="233" xfId="17" applyFont="1" applyFill="1" applyBorder="1" applyAlignment="1">
      <alignment horizontal="center"/>
    </xf>
    <xf numFmtId="165" fontId="90" fillId="20" borderId="222" xfId="17" applyNumberFormat="1" applyFont="1" applyFill="1" applyBorder="1" applyAlignment="1" applyProtection="1">
      <alignment horizontal="center"/>
    </xf>
    <xf numFmtId="165" fontId="90" fillId="20" borderId="229" xfId="17" applyNumberFormat="1" applyFont="1" applyFill="1" applyBorder="1" applyAlignment="1" applyProtection="1">
      <alignment horizontal="center"/>
    </xf>
    <xf numFmtId="165" fontId="90" fillId="20" borderId="160" xfId="17" applyNumberFormat="1" applyFont="1" applyFill="1" applyBorder="1" applyAlignment="1" applyProtection="1">
      <alignment horizontal="center"/>
    </xf>
    <xf numFmtId="165" fontId="91" fillId="20" borderId="234" xfId="17" applyNumberFormat="1" applyFont="1" applyFill="1" applyBorder="1" applyAlignment="1" applyProtection="1">
      <alignment horizontal="center"/>
    </xf>
    <xf numFmtId="165" fontId="91" fillId="20" borderId="240" xfId="17" applyNumberFormat="1" applyFont="1" applyFill="1" applyBorder="1" applyAlignment="1" applyProtection="1">
      <alignment horizontal="center"/>
    </xf>
    <xf numFmtId="0" fontId="90" fillId="0" borderId="229" xfId="17" applyFont="1" applyBorder="1" applyAlignment="1">
      <alignment horizontal="center"/>
    </xf>
    <xf numFmtId="0" fontId="90" fillId="20" borderId="222" xfId="17" applyFont="1" applyFill="1" applyBorder="1" applyAlignment="1">
      <alignment horizontal="center"/>
    </xf>
    <xf numFmtId="165" fontId="92" fillId="20" borderId="222" xfId="17" applyNumberFormat="1" applyFont="1" applyFill="1" applyBorder="1" applyAlignment="1">
      <alignment horizontal="center"/>
    </xf>
    <xf numFmtId="165" fontId="90" fillId="20" borderId="222" xfId="17" applyNumberFormat="1" applyFont="1" applyFill="1" applyBorder="1" applyAlignment="1">
      <alignment horizontal="center"/>
    </xf>
    <xf numFmtId="165" fontId="90" fillId="20" borderId="229" xfId="17" applyNumberFormat="1" applyFont="1" applyFill="1" applyBorder="1" applyAlignment="1">
      <alignment horizontal="center"/>
    </xf>
    <xf numFmtId="165" fontId="90" fillId="20" borderId="229" xfId="17" applyNumberFormat="1" applyFont="1" applyFill="1" applyBorder="1" applyAlignment="1">
      <alignment horizontal="center" vertical="center"/>
    </xf>
    <xf numFmtId="0" fontId="90" fillId="20" borderId="160" xfId="17" applyFont="1" applyFill="1" applyBorder="1" applyAlignment="1">
      <alignment horizontal="center"/>
    </xf>
    <xf numFmtId="0" fontId="91" fillId="20" borderId="234" xfId="17" applyFont="1" applyFill="1" applyBorder="1" applyAlignment="1">
      <alignment horizontal="center"/>
    </xf>
    <xf numFmtId="0" fontId="91" fillId="20" borderId="160" xfId="17" applyFont="1" applyFill="1" applyBorder="1" applyAlignment="1">
      <alignment horizontal="center"/>
    </xf>
    <xf numFmtId="165" fontId="90" fillId="20" borderId="216" xfId="17" applyNumberFormat="1" applyFont="1" applyFill="1" applyBorder="1" applyAlignment="1">
      <alignment horizontal="center"/>
    </xf>
    <xf numFmtId="165" fontId="91" fillId="20" borderId="0" xfId="17" applyNumberFormat="1" applyFont="1" applyFill="1" applyBorder="1" applyAlignment="1" applyProtection="1">
      <alignment horizontal="center"/>
    </xf>
    <xf numFmtId="165" fontId="90" fillId="20" borderId="0" xfId="17" applyNumberFormat="1" applyFont="1" applyFill="1" applyBorder="1" applyAlignment="1" applyProtection="1">
      <alignment horizontal="center"/>
    </xf>
    <xf numFmtId="165" fontId="90" fillId="20" borderId="220" xfId="17" applyNumberFormat="1" applyFont="1" applyFill="1" applyBorder="1" applyAlignment="1">
      <alignment horizontal="center"/>
    </xf>
    <xf numFmtId="165" fontId="90" fillId="20" borderId="209" xfId="17" applyNumberFormat="1" applyFont="1" applyFill="1" applyBorder="1" applyAlignment="1">
      <alignment horizontal="center"/>
    </xf>
    <xf numFmtId="165" fontId="91" fillId="20" borderId="240" xfId="17" applyNumberFormat="1" applyFont="1" applyFill="1" applyBorder="1" applyAlignment="1" applyProtection="1">
      <alignment horizontal="center" wrapText="1"/>
    </xf>
    <xf numFmtId="0" fontId="90" fillId="20" borderId="229" xfId="17" applyFont="1" applyFill="1" applyBorder="1" applyAlignment="1">
      <alignment horizontal="center" wrapText="1"/>
    </xf>
    <xf numFmtId="165" fontId="91" fillId="20" borderId="235" xfId="17" applyNumberFormat="1" applyFont="1" applyFill="1" applyBorder="1" applyAlignment="1" applyProtection="1">
      <alignment horizontal="center"/>
    </xf>
    <xf numFmtId="165" fontId="90" fillId="20" borderId="220" xfId="17" applyNumberFormat="1" applyFont="1" applyFill="1" applyBorder="1" applyAlignment="1" applyProtection="1">
      <alignment horizontal="center"/>
    </xf>
    <xf numFmtId="0" fontId="90" fillId="20" borderId="220" xfId="17" applyFont="1" applyFill="1" applyBorder="1" applyAlignment="1">
      <alignment horizontal="center"/>
    </xf>
    <xf numFmtId="165" fontId="92" fillId="20" borderId="220" xfId="17" applyNumberFormat="1" applyFont="1" applyFill="1" applyBorder="1" applyAlignment="1">
      <alignment horizontal="center"/>
    </xf>
    <xf numFmtId="0" fontId="90" fillId="20" borderId="0" xfId="18" applyFont="1" applyFill="1" applyAlignment="1">
      <alignment horizontal="center"/>
    </xf>
    <xf numFmtId="0" fontId="90" fillId="0" borderId="0" xfId="18" applyFont="1" applyAlignment="1">
      <alignment horizontal="center"/>
    </xf>
    <xf numFmtId="165" fontId="91" fillId="20" borderId="215" xfId="18" applyNumberFormat="1" applyFont="1" applyFill="1" applyBorder="1" applyAlignment="1" applyProtection="1">
      <alignment horizontal="center"/>
    </xf>
    <xf numFmtId="0" fontId="90" fillId="20" borderId="230" xfId="18" applyFont="1" applyFill="1" applyBorder="1" applyAlignment="1">
      <alignment horizontal="center"/>
    </xf>
    <xf numFmtId="165" fontId="90" fillId="20" borderId="222" xfId="18" applyNumberFormat="1" applyFont="1" applyFill="1" applyBorder="1" applyAlignment="1" applyProtection="1">
      <alignment horizontal="center"/>
    </xf>
    <xf numFmtId="0" fontId="90" fillId="20" borderId="233" xfId="18" applyFont="1" applyFill="1" applyBorder="1" applyAlignment="1">
      <alignment horizontal="center"/>
    </xf>
    <xf numFmtId="165" fontId="91" fillId="20" borderId="234" xfId="18" applyNumberFormat="1" applyFont="1" applyFill="1" applyBorder="1" applyAlignment="1" applyProtection="1">
      <alignment horizontal="center"/>
    </xf>
    <xf numFmtId="165" fontId="91" fillId="20" borderId="235" xfId="18" applyNumberFormat="1" applyFont="1" applyFill="1" applyBorder="1" applyAlignment="1" applyProtection="1">
      <alignment horizontal="center"/>
    </xf>
    <xf numFmtId="165" fontId="91" fillId="20" borderId="0" xfId="18" applyNumberFormat="1" applyFont="1" applyFill="1" applyAlignment="1" applyProtection="1">
      <alignment horizontal="center"/>
    </xf>
    <xf numFmtId="165" fontId="90" fillId="20" borderId="225" xfId="18" applyNumberFormat="1" applyFont="1" applyFill="1" applyBorder="1" applyAlignment="1" applyProtection="1">
      <alignment horizontal="center"/>
    </xf>
    <xf numFmtId="165" fontId="90" fillId="20" borderId="265" xfId="18" applyNumberFormat="1" applyFont="1" applyFill="1" applyBorder="1" applyAlignment="1" applyProtection="1">
      <alignment horizontal="center"/>
    </xf>
    <xf numFmtId="165" fontId="90" fillId="20" borderId="0" xfId="18" applyNumberFormat="1" applyFont="1" applyFill="1" applyBorder="1" applyAlignment="1" applyProtection="1"/>
    <xf numFmtId="165" fontId="91" fillId="20" borderId="215" xfId="18" applyNumberFormat="1" applyFont="1" applyFill="1" applyBorder="1" applyAlignment="1" applyProtection="1"/>
    <xf numFmtId="165" fontId="91" fillId="20" borderId="264" xfId="18" applyNumberFormat="1" applyFont="1" applyFill="1" applyBorder="1" applyAlignment="1" applyProtection="1"/>
    <xf numFmtId="165" fontId="91" fillId="20" borderId="260" xfId="18" applyNumberFormat="1" applyFont="1" applyFill="1" applyBorder="1" applyAlignment="1" applyProtection="1"/>
    <xf numFmtId="0" fontId="90" fillId="0" borderId="0" xfId="18" applyFont="1" applyAlignment="1"/>
    <xf numFmtId="0" fontId="90" fillId="20" borderId="160" xfId="16" applyFont="1" applyFill="1" applyBorder="1" applyAlignment="1">
      <alignment horizontal="center"/>
    </xf>
    <xf numFmtId="0" fontId="91" fillId="20" borderId="234" xfId="16" applyFont="1" applyFill="1" applyBorder="1" applyAlignment="1">
      <alignment horizontal="center"/>
    </xf>
    <xf numFmtId="165" fontId="91" fillId="20" borderId="235" xfId="16" applyNumberFormat="1" applyFont="1" applyFill="1" applyBorder="1" applyAlignment="1" applyProtection="1">
      <alignment horizontal="center"/>
    </xf>
    <xf numFmtId="0" fontId="91" fillId="20" borderId="160" xfId="16" applyFont="1" applyFill="1" applyBorder="1" applyAlignment="1">
      <alignment horizontal="center"/>
    </xf>
    <xf numFmtId="165" fontId="91" fillId="20" borderId="240" xfId="16" applyNumberFormat="1" applyFont="1" applyFill="1" applyBorder="1" applyAlignment="1" applyProtection="1">
      <alignment horizontal="center" wrapText="1"/>
    </xf>
    <xf numFmtId="0" fontId="90" fillId="20" borderId="229" xfId="16" applyFont="1" applyFill="1" applyBorder="1" applyAlignment="1">
      <alignment horizontal="center" wrapText="1"/>
    </xf>
    <xf numFmtId="165" fontId="90" fillId="20" borderId="220" xfId="16" applyNumberFormat="1" applyFont="1" applyFill="1" applyBorder="1" applyAlignment="1" applyProtection="1">
      <alignment horizontal="center"/>
    </xf>
    <xf numFmtId="165" fontId="90" fillId="20" borderId="239" xfId="16" applyNumberFormat="1" applyFont="1" applyFill="1" applyBorder="1" applyAlignment="1" applyProtection="1">
      <alignment horizontal="center"/>
    </xf>
    <xf numFmtId="0" fontId="90" fillId="20" borderId="0" xfId="19" applyFont="1" applyFill="1" applyAlignment="1">
      <alignment horizontal="center"/>
    </xf>
    <xf numFmtId="165" fontId="90" fillId="20" borderId="0" xfId="19" applyNumberFormat="1" applyFont="1" applyFill="1" applyBorder="1" applyAlignment="1" applyProtection="1">
      <alignment horizontal="center"/>
    </xf>
    <xf numFmtId="165" fontId="91" fillId="20" borderId="270" xfId="19" applyNumberFormat="1" applyFont="1" applyFill="1" applyBorder="1" applyAlignment="1" applyProtection="1">
      <alignment horizontal="center"/>
    </xf>
    <xf numFmtId="165" fontId="91" fillId="20" borderId="244" xfId="19" applyNumberFormat="1" applyFont="1" applyFill="1" applyBorder="1" applyAlignment="1" applyProtection="1">
      <alignment horizontal="center"/>
    </xf>
    <xf numFmtId="0" fontId="90" fillId="20" borderId="245" xfId="19" applyFont="1" applyFill="1" applyBorder="1" applyAlignment="1">
      <alignment horizontal="center"/>
    </xf>
    <xf numFmtId="0" fontId="90" fillId="20" borderId="272" xfId="19" applyFont="1" applyFill="1" applyBorder="1" applyAlignment="1">
      <alignment horizontal="center"/>
    </xf>
    <xf numFmtId="0" fontId="90" fillId="20" borderId="233" xfId="19" applyFont="1" applyFill="1" applyBorder="1" applyAlignment="1">
      <alignment horizontal="center"/>
    </xf>
    <xf numFmtId="165" fontId="91" fillId="20" borderId="260" xfId="19" applyNumberFormat="1" applyFont="1" applyFill="1" applyBorder="1" applyAlignment="1" applyProtection="1">
      <alignment horizontal="center"/>
    </xf>
    <xf numFmtId="0" fontId="90" fillId="20" borderId="230" xfId="19" applyFont="1" applyFill="1" applyBorder="1" applyAlignment="1">
      <alignment horizontal="center"/>
    </xf>
    <xf numFmtId="165" fontId="91" fillId="20" borderId="153" xfId="19" applyNumberFormat="1" applyFont="1" applyFill="1" applyBorder="1" applyAlignment="1" applyProtection="1">
      <alignment horizontal="center"/>
    </xf>
    <xf numFmtId="0" fontId="91" fillId="20" borderId="264" xfId="19" applyFont="1" applyFill="1" applyBorder="1" applyAlignment="1">
      <alignment horizontal="center"/>
    </xf>
    <xf numFmtId="165" fontId="91" fillId="20" borderId="272" xfId="19" applyNumberFormat="1" applyFont="1" applyFill="1" applyBorder="1" applyAlignment="1" applyProtection="1">
      <alignment horizontal="center"/>
    </xf>
    <xf numFmtId="0" fontId="90" fillId="20" borderId="229" xfId="19" applyFont="1" applyFill="1" applyBorder="1" applyAlignment="1">
      <alignment horizontal="center" wrapText="1"/>
    </xf>
    <xf numFmtId="0" fontId="91" fillId="20" borderId="0" xfId="20" applyFont="1" applyFill="1" applyAlignment="1">
      <alignment horizontal="center" wrapText="1"/>
    </xf>
    <xf numFmtId="0" fontId="90" fillId="20" borderId="0" xfId="20" applyFont="1" applyFill="1" applyAlignment="1">
      <alignment horizontal="center" wrapText="1"/>
    </xf>
    <xf numFmtId="165" fontId="90" fillId="20" borderId="160" xfId="20" applyNumberFormat="1" applyFont="1" applyFill="1" applyBorder="1" applyAlignment="1" applyProtection="1">
      <alignment horizontal="center"/>
    </xf>
    <xf numFmtId="0" fontId="90" fillId="20" borderId="0" xfId="20" applyFont="1" applyFill="1" applyAlignment="1">
      <alignment horizontal="center"/>
    </xf>
    <xf numFmtId="165" fontId="91" fillId="20" borderId="233" xfId="20" applyNumberFormat="1" applyFont="1" applyFill="1" applyBorder="1" applyAlignment="1" applyProtection="1">
      <alignment horizontal="center"/>
    </xf>
    <xf numFmtId="0" fontId="90" fillId="20" borderId="233" xfId="20" applyFont="1" applyFill="1" applyBorder="1" applyAlignment="1">
      <alignment horizontal="center"/>
    </xf>
    <xf numFmtId="165" fontId="91" fillId="20" borderId="234" xfId="20" applyNumberFormat="1" applyFont="1" applyFill="1" applyBorder="1" applyAlignment="1" applyProtection="1">
      <alignment horizontal="center"/>
    </xf>
    <xf numFmtId="0" fontId="90" fillId="20" borderId="235" xfId="20" applyFont="1" applyFill="1" applyBorder="1" applyAlignment="1">
      <alignment horizontal="center"/>
    </xf>
    <xf numFmtId="0" fontId="90" fillId="20" borderId="163" xfId="20" applyFont="1" applyFill="1" applyBorder="1" applyAlignment="1">
      <alignment horizontal="center"/>
    </xf>
    <xf numFmtId="165" fontId="91" fillId="20" borderId="0" xfId="20" applyNumberFormat="1" applyFont="1" applyFill="1" applyBorder="1" applyAlignment="1" applyProtection="1">
      <alignment horizontal="center"/>
    </xf>
    <xf numFmtId="165" fontId="91" fillId="20" borderId="246" xfId="20" applyNumberFormat="1" applyFont="1" applyFill="1" applyBorder="1" applyAlignment="1" applyProtection="1">
      <alignment horizontal="center"/>
    </xf>
    <xf numFmtId="165" fontId="91" fillId="20" borderId="240" xfId="20" applyNumberFormat="1" applyFont="1" applyFill="1" applyBorder="1" applyAlignment="1" applyProtection="1">
      <alignment horizontal="center"/>
    </xf>
    <xf numFmtId="0" fontId="90" fillId="20" borderId="220" xfId="20" applyFont="1" applyFill="1" applyBorder="1" applyAlignment="1">
      <alignment horizontal="center"/>
    </xf>
    <xf numFmtId="0" fontId="90" fillId="0" borderId="0" xfId="20" applyFont="1" applyAlignment="1">
      <alignment horizontal="center"/>
    </xf>
    <xf numFmtId="165" fontId="91" fillId="20" borderId="215" xfId="19" applyNumberFormat="1" applyFont="1" applyFill="1" applyBorder="1" applyAlignment="1" applyProtection="1">
      <alignment horizontal="center"/>
    </xf>
    <xf numFmtId="0" fontId="91" fillId="20" borderId="215" xfId="19" applyFont="1" applyFill="1" applyBorder="1" applyAlignment="1">
      <alignment horizontal="center"/>
    </xf>
    <xf numFmtId="165" fontId="91" fillId="20" borderId="225" xfId="19" applyNumberFormat="1" applyFont="1" applyFill="1" applyBorder="1" applyAlignment="1" applyProtection="1">
      <alignment horizontal="center"/>
    </xf>
    <xf numFmtId="0" fontId="90" fillId="20" borderId="282" xfId="19" applyFont="1" applyFill="1" applyBorder="1" applyAlignment="1">
      <alignment horizontal="center"/>
    </xf>
    <xf numFmtId="165" fontId="91" fillId="20" borderId="283" xfId="19" applyNumberFormat="1" applyFont="1" applyFill="1" applyBorder="1" applyAlignment="1" applyProtection="1">
      <alignment horizontal="center" wrapText="1"/>
    </xf>
    <xf numFmtId="0" fontId="90" fillId="20" borderId="239" xfId="19" applyFont="1" applyFill="1" applyBorder="1" applyAlignment="1">
      <alignment horizontal="center"/>
    </xf>
    <xf numFmtId="0" fontId="91" fillId="20" borderId="229" xfId="19" applyFont="1" applyFill="1" applyBorder="1" applyAlignment="1">
      <alignment horizontal="center"/>
    </xf>
    <xf numFmtId="165" fontId="90" fillId="20" borderId="160" xfId="19" applyNumberFormat="1" applyFont="1" applyFill="1" applyBorder="1" applyAlignment="1" applyProtection="1">
      <alignment horizontal="center"/>
    </xf>
    <xf numFmtId="165" fontId="91" fillId="20" borderId="285" xfId="19" applyNumberFormat="1" applyFont="1" applyFill="1" applyBorder="1" applyAlignment="1" applyProtection="1">
      <alignment horizontal="center"/>
    </xf>
    <xf numFmtId="165" fontId="91" fillId="20" borderId="286" xfId="19" applyNumberFormat="1" applyFont="1" applyFill="1" applyBorder="1" applyAlignment="1" applyProtection="1">
      <alignment horizontal="center"/>
    </xf>
    <xf numFmtId="165" fontId="91" fillId="20" borderId="234" xfId="19" applyNumberFormat="1" applyFont="1" applyFill="1" applyBorder="1" applyAlignment="1" applyProtection="1">
      <alignment horizontal="center"/>
    </xf>
    <xf numFmtId="0" fontId="90" fillId="20" borderId="235" xfId="19" applyFont="1" applyFill="1" applyBorder="1" applyAlignment="1">
      <alignment horizontal="center"/>
    </xf>
    <xf numFmtId="0" fontId="90" fillId="20" borderId="163" xfId="19" applyFont="1" applyFill="1" applyBorder="1" applyAlignment="1">
      <alignment horizontal="center"/>
    </xf>
    <xf numFmtId="0" fontId="90" fillId="20" borderId="209" xfId="19" applyFont="1" applyFill="1" applyBorder="1" applyAlignment="1">
      <alignment horizontal="center"/>
    </xf>
    <xf numFmtId="0" fontId="90" fillId="20" borderId="220" xfId="19" applyFont="1" applyFill="1" applyBorder="1" applyAlignment="1">
      <alignment horizontal="center"/>
    </xf>
    <xf numFmtId="168" fontId="90" fillId="0" borderId="0" xfId="21" applyNumberFormat="1" applyFont="1" applyAlignment="1">
      <alignment horizontal="center"/>
    </xf>
    <xf numFmtId="0" fontId="91" fillId="20" borderId="0" xfId="21" applyFont="1" applyFill="1" applyAlignment="1">
      <alignment horizontal="center"/>
    </xf>
    <xf numFmtId="0" fontId="91" fillId="20" borderId="205" xfId="21" applyFont="1" applyFill="1" applyBorder="1" applyAlignment="1">
      <alignment horizontal="center"/>
    </xf>
    <xf numFmtId="0" fontId="91" fillId="20" borderId="151" xfId="21" applyFont="1" applyFill="1" applyBorder="1" applyAlignment="1">
      <alignment horizontal="center"/>
    </xf>
    <xf numFmtId="0" fontId="91" fillId="20" borderId="207" xfId="21" applyFont="1" applyFill="1" applyBorder="1" applyAlignment="1">
      <alignment horizontal="center"/>
    </xf>
    <xf numFmtId="0" fontId="91" fillId="20" borderId="250" xfId="21" applyFont="1" applyFill="1" applyBorder="1" applyAlignment="1">
      <alignment horizontal="center"/>
    </xf>
    <xf numFmtId="0" fontId="91" fillId="20" borderId="150" xfId="21" applyFont="1" applyFill="1" applyBorder="1" applyAlignment="1">
      <alignment horizontal="center"/>
    </xf>
    <xf numFmtId="0" fontId="91" fillId="20" borderId="203" xfId="21" applyFont="1" applyFill="1" applyBorder="1" applyAlignment="1">
      <alignment horizontal="center"/>
    </xf>
    <xf numFmtId="0" fontId="91" fillId="20" borderId="204" xfId="21" applyFont="1" applyFill="1" applyBorder="1" applyAlignment="1">
      <alignment horizontal="center"/>
    </xf>
    <xf numFmtId="165" fontId="95" fillId="20" borderId="251" xfId="21" applyNumberFormat="1" applyFont="1" applyFill="1" applyBorder="1" applyAlignment="1" applyProtection="1">
      <alignment horizontal="left"/>
    </xf>
    <xf numFmtId="165" fontId="95" fillId="20" borderId="269" xfId="21" applyNumberFormat="1" applyFont="1" applyFill="1" applyBorder="1" applyAlignment="1" applyProtection="1">
      <alignment horizontal="left"/>
    </xf>
    <xf numFmtId="165" fontId="95" fillId="20" borderId="296" xfId="21" applyNumberFormat="1" applyFont="1" applyFill="1" applyBorder="1" applyAlignment="1" applyProtection="1">
      <alignment horizontal="center"/>
    </xf>
    <xf numFmtId="165" fontId="95" fillId="20" borderId="291" xfId="21" applyNumberFormat="1" applyFont="1" applyFill="1" applyBorder="1" applyAlignment="1" applyProtection="1">
      <alignment horizontal="center"/>
    </xf>
    <xf numFmtId="165" fontId="95" fillId="20" borderId="290" xfId="21" applyNumberFormat="1" applyFont="1" applyFill="1" applyBorder="1" applyAlignment="1" applyProtection="1">
      <alignment horizontal="center"/>
    </xf>
    <xf numFmtId="0" fontId="91" fillId="20" borderId="290" xfId="21" applyFont="1" applyFill="1" applyBorder="1" applyAlignment="1">
      <alignment horizontal="center"/>
    </xf>
    <xf numFmtId="0" fontId="91" fillId="20" borderId="294" xfId="21" applyFont="1" applyFill="1" applyBorder="1" applyAlignment="1">
      <alignment horizontal="center"/>
    </xf>
    <xf numFmtId="0" fontId="12" fillId="20" borderId="0" xfId="19" applyFont="1" applyFill="1" applyAlignment="1">
      <alignment vertical="top" wrapText="1"/>
    </xf>
    <xf numFmtId="165" fontId="91" fillId="20" borderId="263" xfId="19" applyNumberFormat="1" applyFont="1" applyFill="1" applyBorder="1" applyAlignment="1" applyProtection="1">
      <alignment horizontal="left"/>
    </xf>
    <xf numFmtId="165" fontId="91" fillId="20" borderId="160" xfId="20" applyNumberFormat="1" applyFont="1" applyFill="1" applyBorder="1" applyAlignment="1" applyProtection="1">
      <alignment horizontal="left"/>
    </xf>
    <xf numFmtId="165" fontId="90" fillId="20" borderId="0" xfId="19" applyNumberFormat="1" applyFont="1" applyFill="1" applyBorder="1" applyAlignment="1" applyProtection="1">
      <alignment horizontal="left"/>
    </xf>
    <xf numFmtId="165" fontId="91" fillId="20" borderId="0" xfId="0" applyNumberFormat="1" applyFont="1" applyFill="1" applyBorder="1" applyAlignment="1" applyProtection="1">
      <alignment horizontal="center" wrapText="1"/>
    </xf>
    <xf numFmtId="165" fontId="91" fillId="20" borderId="0" xfId="0" applyNumberFormat="1" applyFont="1" applyFill="1" applyBorder="1" applyAlignment="1" applyProtection="1">
      <alignment horizontal="center"/>
    </xf>
    <xf numFmtId="165" fontId="90" fillId="20" borderId="0" xfId="0" applyNumberFormat="1" applyFont="1" applyFill="1" applyAlignment="1">
      <alignment horizontal="center"/>
    </xf>
    <xf numFmtId="165" fontId="91" fillId="20" borderId="269" xfId="0" applyNumberFormat="1" applyFont="1" applyFill="1" applyBorder="1" applyAlignment="1" applyProtection="1">
      <alignment horizontal="center"/>
    </xf>
    <xf numFmtId="165" fontId="90" fillId="20" borderId="0" xfId="0" applyNumberFormat="1" applyFont="1" applyFill="1" applyBorder="1" applyAlignment="1">
      <alignment horizontal="center"/>
    </xf>
    <xf numFmtId="165" fontId="95" fillId="20" borderId="252" xfId="0" applyNumberFormat="1" applyFont="1" applyFill="1" applyBorder="1" applyAlignment="1" applyProtection="1">
      <alignment horizontal="center"/>
    </xf>
    <xf numFmtId="165" fontId="92" fillId="20" borderId="153" xfId="0" applyNumberFormat="1" applyFont="1" applyFill="1" applyBorder="1" applyAlignment="1" applyProtection="1">
      <alignment horizontal="center"/>
    </xf>
    <xf numFmtId="165" fontId="90" fillId="20" borderId="153" xfId="0" applyNumberFormat="1" applyFont="1" applyFill="1" applyBorder="1" applyAlignment="1">
      <alignment horizontal="center"/>
    </xf>
    <xf numFmtId="165" fontId="92" fillId="20" borderId="0" xfId="0" applyNumberFormat="1" applyFont="1" applyFill="1" applyAlignment="1" applyProtection="1">
      <alignment horizontal="center"/>
    </xf>
    <xf numFmtId="165" fontId="90" fillId="20" borderId="233" xfId="0" applyNumberFormat="1" applyFont="1" applyFill="1" applyBorder="1" applyAlignment="1">
      <alignment horizontal="center"/>
    </xf>
    <xf numFmtId="165" fontId="95" fillId="20" borderId="234" xfId="0" applyNumberFormat="1" applyFont="1" applyFill="1" applyBorder="1" applyAlignment="1" applyProtection="1">
      <alignment horizontal="center"/>
    </xf>
    <xf numFmtId="165" fontId="95" fillId="20" borderId="254" xfId="0" applyNumberFormat="1" applyFont="1" applyFill="1" applyBorder="1" applyAlignment="1" applyProtection="1">
      <alignment horizontal="center"/>
    </xf>
    <xf numFmtId="0" fontId="90" fillId="0" borderId="0" xfId="0" applyFont="1"/>
    <xf numFmtId="0" fontId="90" fillId="0" borderId="0" xfId="0" applyFont="1" applyBorder="1"/>
    <xf numFmtId="0" fontId="102" fillId="0" borderId="0" xfId="0" applyFont="1"/>
    <xf numFmtId="168" fontId="90" fillId="0" borderId="0" xfId="0" applyNumberFormat="1" applyFont="1" applyBorder="1"/>
    <xf numFmtId="0" fontId="90" fillId="20" borderId="0" xfId="0" applyFont="1" applyFill="1" applyBorder="1" applyAlignment="1">
      <alignment horizontal="center"/>
    </xf>
    <xf numFmtId="168" fontId="90" fillId="20" borderId="0" xfId="0" applyNumberFormat="1" applyFont="1" applyFill="1" applyBorder="1"/>
    <xf numFmtId="165" fontId="90" fillId="20" borderId="0" xfId="0" applyNumberFormat="1" applyFont="1" applyFill="1" applyBorder="1" applyProtection="1"/>
    <xf numFmtId="165" fontId="91" fillId="20" borderId="301" xfId="0" applyNumberFormat="1" applyFont="1" applyFill="1" applyBorder="1" applyAlignment="1" applyProtection="1">
      <alignment horizontal="center"/>
    </xf>
    <xf numFmtId="165" fontId="91" fillId="20" borderId="302" xfId="0" applyNumberFormat="1" applyFont="1" applyFill="1" applyBorder="1" applyAlignment="1" applyProtection="1">
      <alignment horizontal="center"/>
    </xf>
    <xf numFmtId="165" fontId="91" fillId="20" borderId="309" xfId="19" applyNumberFormat="1" applyFont="1" applyFill="1" applyBorder="1" applyAlignment="1" applyProtection="1">
      <alignment horizontal="center"/>
    </xf>
    <xf numFmtId="0" fontId="91" fillId="20" borderId="299" xfId="19" applyFont="1" applyFill="1" applyBorder="1" applyAlignment="1">
      <alignment horizontal="center"/>
    </xf>
    <xf numFmtId="165" fontId="91" fillId="20" borderId="300" xfId="19" applyNumberFormat="1" applyFont="1" applyFill="1" applyBorder="1" applyAlignment="1" applyProtection="1">
      <alignment horizontal="center"/>
    </xf>
    <xf numFmtId="0" fontId="90" fillId="20" borderId="314" xfId="19" applyFont="1" applyFill="1" applyBorder="1" applyAlignment="1">
      <alignment horizontal="center"/>
    </xf>
    <xf numFmtId="165" fontId="91" fillId="20" borderId="315" xfId="19" applyNumberFormat="1" applyFont="1" applyFill="1" applyBorder="1" applyAlignment="1" applyProtection="1">
      <alignment horizontal="center" wrapText="1"/>
    </xf>
    <xf numFmtId="165" fontId="91" fillId="20" borderId="221" xfId="19" applyNumberFormat="1" applyFont="1" applyFill="1" applyBorder="1" applyAlignment="1" applyProtection="1">
      <alignment horizontal="center"/>
    </xf>
    <xf numFmtId="0" fontId="90" fillId="20" borderId="261" xfId="19" applyFont="1" applyFill="1" applyBorder="1" applyAlignment="1">
      <alignment horizontal="center"/>
    </xf>
    <xf numFmtId="165" fontId="91" fillId="20" borderId="316" xfId="19" applyNumberFormat="1" applyFont="1" applyFill="1" applyBorder="1" applyAlignment="1" applyProtection="1">
      <alignment horizontal="center"/>
    </xf>
    <xf numFmtId="165" fontId="91" fillId="20" borderId="281" xfId="19" applyNumberFormat="1" applyFont="1" applyFill="1" applyBorder="1" applyAlignment="1" applyProtection="1">
      <alignment horizontal="center"/>
    </xf>
    <xf numFmtId="165" fontId="91" fillId="20" borderId="229" xfId="19" applyNumberFormat="1" applyFont="1" applyFill="1" applyBorder="1" applyAlignment="1" applyProtection="1">
      <alignment horizontal="center" wrapText="1"/>
    </xf>
    <xf numFmtId="165" fontId="91" fillId="20" borderId="317" xfId="19" applyNumberFormat="1" applyFont="1" applyFill="1" applyBorder="1" applyAlignment="1" applyProtection="1">
      <alignment horizontal="center"/>
    </xf>
    <xf numFmtId="0" fontId="91" fillId="20" borderId="317" xfId="19" applyFont="1" applyFill="1" applyBorder="1" applyAlignment="1">
      <alignment horizontal="center"/>
    </xf>
    <xf numFmtId="165" fontId="91" fillId="20" borderId="318" xfId="19" applyNumberFormat="1" applyFont="1" applyFill="1" applyBorder="1" applyAlignment="1" applyProtection="1">
      <alignment horizontal="center"/>
    </xf>
    <xf numFmtId="165" fontId="91" fillId="20" borderId="311" xfId="19" applyNumberFormat="1" applyFont="1" applyFill="1" applyBorder="1" applyAlignment="1" applyProtection="1">
      <alignment horizontal="center"/>
    </xf>
    <xf numFmtId="165" fontId="91" fillId="20" borderId="298" xfId="19" applyNumberFormat="1" applyFont="1" applyFill="1" applyBorder="1" applyAlignment="1" applyProtection="1">
      <alignment horizontal="center"/>
    </xf>
    <xf numFmtId="0" fontId="91" fillId="20" borderId="298" xfId="19" applyFont="1" applyFill="1" applyBorder="1" applyAlignment="1">
      <alignment horizontal="center"/>
    </xf>
    <xf numFmtId="0" fontId="91" fillId="20" borderId="298" xfId="19" applyFont="1" applyFill="1" applyBorder="1" applyAlignment="1">
      <alignment horizontal="center" wrapText="1"/>
    </xf>
    <xf numFmtId="165" fontId="91" fillId="20" borderId="312" xfId="19" applyNumberFormat="1" applyFont="1" applyFill="1" applyBorder="1" applyAlignment="1" applyProtection="1">
      <alignment horizontal="center"/>
    </xf>
    <xf numFmtId="168" fontId="0" fillId="0" borderId="0" xfId="0" applyNumberFormat="1" applyAlignment="1">
      <alignment horizontal="center"/>
    </xf>
    <xf numFmtId="165" fontId="104" fillId="20" borderId="0" xfId="21" applyNumberFormat="1" applyFont="1" applyFill="1"/>
    <xf numFmtId="165" fontId="95" fillId="20" borderId="261" xfId="21" applyNumberFormat="1" applyFont="1" applyFill="1" applyBorder="1" applyAlignment="1" applyProtection="1">
      <alignment horizontal="center"/>
    </xf>
    <xf numFmtId="165" fontId="95" fillId="20" borderId="319" xfId="21" applyNumberFormat="1" applyFont="1" applyFill="1" applyBorder="1" applyAlignment="1" applyProtection="1">
      <alignment horizontal="center"/>
    </xf>
    <xf numFmtId="165" fontId="95" fillId="20" borderId="314" xfId="21" applyNumberFormat="1" applyFont="1" applyFill="1" applyBorder="1" applyAlignment="1" applyProtection="1">
      <alignment horizontal="center"/>
    </xf>
    <xf numFmtId="165" fontId="95" fillId="20" borderId="320" xfId="21" applyNumberFormat="1" applyFont="1" applyFill="1" applyBorder="1" applyAlignment="1" applyProtection="1">
      <alignment horizontal="center"/>
    </xf>
    <xf numFmtId="165" fontId="95" fillId="20" borderId="321" xfId="21" applyNumberFormat="1" applyFont="1" applyFill="1" applyBorder="1" applyAlignment="1" applyProtection="1">
      <alignment horizontal="center"/>
    </xf>
    <xf numFmtId="165" fontId="95" fillId="20" borderId="302" xfId="21" applyNumberFormat="1" applyFont="1" applyFill="1" applyBorder="1" applyAlignment="1" applyProtection="1">
      <alignment horizontal="center"/>
    </xf>
    <xf numFmtId="165" fontId="95" fillId="20" borderId="303" xfId="21" applyNumberFormat="1" applyFont="1" applyFill="1" applyBorder="1" applyAlignment="1" applyProtection="1">
      <alignment horizontal="center"/>
    </xf>
    <xf numFmtId="0" fontId="90" fillId="20" borderId="281" xfId="17" applyFont="1" applyFill="1" applyBorder="1" applyAlignment="1">
      <alignment horizontal="center" vertical="center"/>
    </xf>
    <xf numFmtId="0" fontId="90" fillId="20" borderId="281" xfId="16" applyFont="1" applyFill="1" applyBorder="1" applyAlignment="1">
      <alignment horizontal="center" vertical="center"/>
    </xf>
    <xf numFmtId="168" fontId="7" fillId="20" borderId="281" xfId="1" applyNumberFormat="1" applyFont="1" applyFill="1" applyBorder="1" applyAlignment="1">
      <alignment horizontal="center" vertical="center"/>
    </xf>
    <xf numFmtId="0" fontId="0" fillId="0" borderId="0" xfId="0"/>
    <xf numFmtId="165" fontId="90" fillId="20" borderId="0" xfId="0" applyNumberFormat="1" applyFont="1" applyFill="1" applyBorder="1" applyAlignment="1" applyProtection="1">
      <alignment horizontal="center"/>
    </xf>
    <xf numFmtId="168" fontId="8" fillId="20" borderId="202" xfId="0" applyNumberFormat="1" applyFont="1" applyFill="1" applyBorder="1" applyAlignment="1">
      <alignment horizontal="center" vertical="center"/>
    </xf>
    <xf numFmtId="165" fontId="91" fillId="20" borderId="222" xfId="16" applyNumberFormat="1" applyFont="1" applyFill="1" applyBorder="1" applyAlignment="1" applyProtection="1">
      <alignment horizontal="center"/>
    </xf>
    <xf numFmtId="165" fontId="91" fillId="20" borderId="153" xfId="16" applyNumberFormat="1" applyFont="1" applyFill="1" applyBorder="1" applyAlignment="1" applyProtection="1">
      <alignment horizontal="center"/>
    </xf>
    <xf numFmtId="0" fontId="90" fillId="0" borderId="0" xfId="19" applyFont="1" applyFill="1"/>
    <xf numFmtId="0" fontId="90" fillId="0" borderId="0" xfId="19" applyFont="1" applyFill="1" applyBorder="1"/>
    <xf numFmtId="165" fontId="91" fillId="20" borderId="4" xfId="16" applyNumberFormat="1" applyFont="1" applyFill="1" applyBorder="1" applyAlignment="1" applyProtection="1">
      <alignment horizontal="center"/>
    </xf>
    <xf numFmtId="165" fontId="91" fillId="20" borderId="160" xfId="16" applyNumberFormat="1" applyFont="1" applyFill="1" applyBorder="1" applyAlignment="1" applyProtection="1">
      <alignment horizontal="center"/>
    </xf>
    <xf numFmtId="165" fontId="91" fillId="20" borderId="163" xfId="16" applyNumberFormat="1" applyFont="1" applyFill="1" applyBorder="1" applyAlignment="1" applyProtection="1">
      <alignment horizontal="center"/>
    </xf>
    <xf numFmtId="165" fontId="91" fillId="20" borderId="269" xfId="19" applyNumberFormat="1" applyFont="1" applyFill="1" applyBorder="1" applyAlignment="1" applyProtection="1">
      <alignment horizontal="left"/>
    </xf>
    <xf numFmtId="0" fontId="7" fillId="20" borderId="0" xfId="19" applyFont="1" applyFill="1" applyAlignment="1">
      <alignment vertical="top" wrapText="1"/>
    </xf>
    <xf numFmtId="165" fontId="95" fillId="20" borderId="255" xfId="0" applyNumberFormat="1" applyFont="1" applyFill="1" applyBorder="1" applyAlignment="1" applyProtection="1">
      <alignment horizontal="center" vertical="center"/>
    </xf>
    <xf numFmtId="165" fontId="90" fillId="20" borderId="222" xfId="0" applyNumberFormat="1" applyFont="1" applyFill="1" applyBorder="1" applyAlignment="1" applyProtection="1">
      <alignment horizontal="center" vertical="center"/>
    </xf>
    <xf numFmtId="165" fontId="90" fillId="20" borderId="281" xfId="0" applyNumberFormat="1" applyFont="1" applyFill="1" applyBorder="1" applyAlignment="1">
      <alignment horizontal="center" vertical="center"/>
    </xf>
    <xf numFmtId="168" fontId="7" fillId="20" borderId="195" xfId="1" applyNumberFormat="1" applyFont="1" applyFill="1" applyBorder="1" applyAlignment="1">
      <alignment horizontal="center" vertical="center"/>
    </xf>
    <xf numFmtId="0" fontId="90" fillId="20" borderId="0" xfId="21" applyFont="1" applyFill="1" applyBorder="1" applyAlignment="1">
      <alignment horizontal="center" vertical="center"/>
    </xf>
    <xf numFmtId="0" fontId="90" fillId="20" borderId="281" xfId="21" applyFont="1" applyFill="1" applyBorder="1" applyAlignment="1">
      <alignment horizontal="center" vertical="center"/>
    </xf>
    <xf numFmtId="0" fontId="90" fillId="20" borderId="222" xfId="21" applyFont="1" applyFill="1" applyBorder="1" applyAlignment="1">
      <alignment horizontal="center" vertical="center"/>
    </xf>
    <xf numFmtId="0" fontId="90" fillId="20" borderId="153" xfId="16" applyFont="1" applyFill="1" applyBorder="1" applyAlignment="1">
      <alignment horizontal="center" vertical="center" wrapText="1"/>
    </xf>
    <xf numFmtId="165" fontId="91" fillId="20" borderId="153" xfId="16" applyNumberFormat="1" applyFont="1" applyFill="1" applyBorder="1" applyAlignment="1" applyProtection="1">
      <alignment horizontal="center" vertical="center"/>
    </xf>
    <xf numFmtId="165" fontId="90" fillId="20" borderId="153" xfId="16" applyNumberFormat="1" applyFont="1" applyFill="1" applyBorder="1" applyAlignment="1">
      <alignment horizontal="center" vertical="center"/>
    </xf>
    <xf numFmtId="165" fontId="90" fillId="20" borderId="153" xfId="16" applyNumberFormat="1" applyFont="1" applyFill="1" applyBorder="1" applyAlignment="1" applyProtection="1">
      <alignment horizontal="center" vertical="center"/>
    </xf>
    <xf numFmtId="0" fontId="90" fillId="20" borderId="281" xfId="16" applyFont="1" applyFill="1" applyBorder="1" applyAlignment="1">
      <alignment horizontal="center" vertical="center" wrapText="1"/>
    </xf>
    <xf numFmtId="0" fontId="91" fillId="20" borderId="174" xfId="16" applyFont="1" applyFill="1" applyBorder="1" applyAlignment="1">
      <alignment horizontal="center" vertical="center"/>
    </xf>
    <xf numFmtId="0" fontId="90" fillId="20" borderId="204" xfId="16" applyFont="1" applyFill="1" applyBorder="1" applyAlignment="1">
      <alignment horizontal="center" vertical="center"/>
    </xf>
    <xf numFmtId="0" fontId="90" fillId="20" borderId="174" xfId="16" applyFont="1" applyFill="1" applyBorder="1" applyAlignment="1">
      <alignment horizontal="center" vertical="center"/>
    </xf>
    <xf numFmtId="165" fontId="91" fillId="20" borderId="222" xfId="16" applyNumberFormat="1" applyFont="1" applyFill="1" applyBorder="1" applyAlignment="1" applyProtection="1">
      <alignment horizontal="center" vertical="center"/>
    </xf>
    <xf numFmtId="165" fontId="90" fillId="20" borderId="222" xfId="16" applyNumberFormat="1" applyFont="1" applyFill="1" applyBorder="1" applyAlignment="1">
      <alignment horizontal="center" vertical="center"/>
    </xf>
    <xf numFmtId="165" fontId="90" fillId="20" borderId="222" xfId="16" applyNumberFormat="1" applyFont="1" applyFill="1" applyBorder="1" applyAlignment="1" applyProtection="1">
      <alignment horizontal="center" vertical="center"/>
    </xf>
    <xf numFmtId="165" fontId="90" fillId="20" borderId="174" xfId="16" applyNumberFormat="1" applyFont="1" applyFill="1" applyBorder="1" applyAlignment="1">
      <alignment horizontal="center" vertical="center"/>
    </xf>
    <xf numFmtId="165" fontId="90" fillId="20" borderId="238" xfId="16" applyNumberFormat="1" applyFont="1" applyFill="1" applyBorder="1" applyAlignment="1">
      <alignment horizontal="center" vertical="center"/>
    </xf>
    <xf numFmtId="0" fontId="90" fillId="20" borderId="237" xfId="16" applyFont="1" applyFill="1" applyBorder="1" applyAlignment="1">
      <alignment horizontal="center" vertical="center"/>
    </xf>
    <xf numFmtId="0" fontId="90" fillId="20" borderId="222" xfId="16" applyFont="1" applyFill="1" applyBorder="1" applyAlignment="1">
      <alignment horizontal="center" vertical="center"/>
    </xf>
    <xf numFmtId="0" fontId="91" fillId="20" borderId="153" xfId="16" applyFont="1" applyFill="1" applyBorder="1" applyAlignment="1">
      <alignment horizontal="center" vertical="center"/>
    </xf>
    <xf numFmtId="0" fontId="91" fillId="20" borderId="153" xfId="16" applyFont="1" applyFill="1" applyBorder="1" applyAlignment="1">
      <alignment horizontal="center" vertical="center" wrapText="1"/>
    </xf>
    <xf numFmtId="0" fontId="91" fillId="20" borderId="229" xfId="17" applyFont="1" applyFill="1" applyBorder="1" applyAlignment="1">
      <alignment horizontal="center" vertical="center"/>
    </xf>
    <xf numFmtId="0" fontId="90" fillId="20" borderId="229" xfId="17" applyFont="1" applyFill="1" applyBorder="1" applyAlignment="1">
      <alignment horizontal="center" vertical="center"/>
    </xf>
    <xf numFmtId="0" fontId="90" fillId="20" borderId="216" xfId="17" applyFont="1" applyFill="1" applyBorder="1" applyAlignment="1">
      <alignment horizontal="center" vertical="center"/>
    </xf>
    <xf numFmtId="0" fontId="90" fillId="20" borderId="219" xfId="17" applyFont="1" applyFill="1" applyBorder="1" applyAlignment="1">
      <alignment horizontal="center" vertical="center"/>
    </xf>
    <xf numFmtId="0" fontId="91" fillId="20" borderId="216" xfId="17" applyFont="1" applyFill="1" applyBorder="1" applyAlignment="1">
      <alignment horizontal="center" vertical="center"/>
    </xf>
    <xf numFmtId="0" fontId="91" fillId="20" borderId="242" xfId="17" applyFont="1" applyFill="1" applyBorder="1" applyAlignment="1">
      <alignment horizontal="center" vertical="center"/>
    </xf>
    <xf numFmtId="0" fontId="91" fillId="20" borderId="237" xfId="18" applyFont="1" applyFill="1" applyBorder="1" applyAlignment="1">
      <alignment horizontal="center" vertical="center"/>
    </xf>
    <xf numFmtId="165" fontId="90" fillId="20" borderId="238" xfId="18" applyNumberFormat="1" applyFont="1" applyFill="1" applyBorder="1" applyAlignment="1">
      <alignment horizontal="center" vertical="center"/>
    </xf>
    <xf numFmtId="165" fontId="90" fillId="20" borderId="222" xfId="18" applyNumberFormat="1" applyFont="1" applyFill="1" applyBorder="1" applyAlignment="1" applyProtection="1">
      <alignment horizontal="center" vertical="center"/>
    </xf>
    <xf numFmtId="165" fontId="90" fillId="20" borderId="222" xfId="18" applyNumberFormat="1" applyFont="1" applyFill="1" applyBorder="1" applyAlignment="1">
      <alignment horizontal="center" vertical="center"/>
    </xf>
    <xf numFmtId="0" fontId="90" fillId="0" borderId="237" xfId="18" applyFont="1" applyBorder="1" applyAlignment="1">
      <alignment horizontal="center" vertical="center"/>
    </xf>
    <xf numFmtId="165" fontId="91" fillId="20" borderId="153" xfId="18" applyNumberFormat="1" applyFont="1" applyFill="1" applyBorder="1" applyAlignment="1" applyProtection="1">
      <alignment horizontal="center" vertical="center"/>
    </xf>
    <xf numFmtId="0" fontId="90" fillId="20" borderId="237" xfId="18" applyFont="1" applyFill="1" applyBorder="1" applyAlignment="1">
      <alignment horizontal="center" vertical="center"/>
    </xf>
    <xf numFmtId="0" fontId="90" fillId="20" borderId="174" xfId="18" applyFont="1" applyFill="1" applyBorder="1" applyAlignment="1">
      <alignment horizontal="center" vertical="center"/>
    </xf>
    <xf numFmtId="165" fontId="90" fillId="20" borderId="281" xfId="18" applyNumberFormat="1" applyFont="1" applyFill="1" applyBorder="1" applyAlignment="1" applyProtection="1">
      <alignment horizontal="center" vertical="center"/>
    </xf>
    <xf numFmtId="165" fontId="90" fillId="20" borderId="281" xfId="18" applyNumberFormat="1" applyFont="1" applyFill="1" applyBorder="1" applyAlignment="1">
      <alignment horizontal="center" vertical="center"/>
    </xf>
    <xf numFmtId="0" fontId="91" fillId="20" borderId="281" xfId="18" applyFont="1" applyFill="1" applyBorder="1" applyAlignment="1">
      <alignment horizontal="center" vertical="center"/>
    </xf>
    <xf numFmtId="0" fontId="90" fillId="20" borderId="281" xfId="18" applyFont="1" applyFill="1" applyBorder="1" applyAlignment="1">
      <alignment horizontal="center" vertical="center"/>
    </xf>
    <xf numFmtId="0" fontId="91" fillId="20" borderId="237" xfId="19" applyFont="1" applyFill="1" applyBorder="1" applyAlignment="1">
      <alignment horizontal="center" vertical="center"/>
    </xf>
    <xf numFmtId="0" fontId="90" fillId="20" borderId="153" xfId="19" applyFont="1" applyFill="1" applyBorder="1" applyAlignment="1">
      <alignment horizontal="center" vertical="center"/>
    </xf>
    <xf numFmtId="0" fontId="90" fillId="20" borderId="0" xfId="19" applyFont="1" applyFill="1" applyBorder="1" applyAlignment="1">
      <alignment horizontal="center" vertical="center"/>
    </xf>
    <xf numFmtId="0" fontId="90" fillId="20" borderId="207" xfId="19" applyFont="1" applyFill="1" applyBorder="1" applyAlignment="1">
      <alignment horizontal="center" vertical="center"/>
    </xf>
    <xf numFmtId="0" fontId="90" fillId="20" borderId="275" xfId="19" applyFont="1" applyFill="1" applyBorder="1" applyAlignment="1">
      <alignment horizontal="center" vertical="center"/>
    </xf>
    <xf numFmtId="0" fontId="90" fillId="20" borderId="237" xfId="19" applyFont="1" applyFill="1" applyBorder="1" applyAlignment="1">
      <alignment horizontal="center" vertical="center"/>
    </xf>
    <xf numFmtId="0" fontId="93" fillId="20" borderId="237" xfId="19" applyFont="1" applyFill="1" applyBorder="1" applyAlignment="1">
      <alignment horizontal="center" vertical="center"/>
    </xf>
    <xf numFmtId="0" fontId="83" fillId="20" borderId="174" xfId="19" applyFont="1" applyFill="1" applyBorder="1" applyAlignment="1">
      <alignment horizontal="center" vertical="center"/>
    </xf>
    <xf numFmtId="0" fontId="90" fillId="20" borderId="204" xfId="19" applyFont="1" applyFill="1" applyBorder="1" applyAlignment="1">
      <alignment horizontal="center" vertical="center"/>
    </xf>
    <xf numFmtId="0" fontId="93" fillId="20" borderId="174" xfId="19" applyFont="1" applyFill="1" applyBorder="1" applyAlignment="1">
      <alignment horizontal="center" vertical="center"/>
    </xf>
    <xf numFmtId="0" fontId="83" fillId="20" borderId="281" xfId="19" applyFont="1" applyFill="1" applyBorder="1" applyAlignment="1">
      <alignment horizontal="center" vertical="center"/>
    </xf>
    <xf numFmtId="168" fontId="90" fillId="20" borderId="281" xfId="19" applyNumberFormat="1" applyFont="1" applyFill="1" applyBorder="1" applyAlignment="1">
      <alignment horizontal="center" vertical="center"/>
    </xf>
    <xf numFmtId="0" fontId="93" fillId="20" borderId="281" xfId="19" applyFont="1" applyFill="1" applyBorder="1" applyAlignment="1">
      <alignment horizontal="center" vertical="center"/>
    </xf>
    <xf numFmtId="0" fontId="91" fillId="20" borderId="281" xfId="19" applyFont="1" applyFill="1" applyBorder="1" applyAlignment="1">
      <alignment horizontal="center" vertical="center"/>
    </xf>
    <xf numFmtId="0" fontId="90" fillId="20" borderId="281" xfId="19" applyFont="1" applyFill="1" applyBorder="1" applyAlignment="1">
      <alignment horizontal="center" vertical="center"/>
    </xf>
    <xf numFmtId="165" fontId="90" fillId="20" borderId="281" xfId="19" applyNumberFormat="1" applyFont="1" applyFill="1" applyBorder="1" applyAlignment="1" applyProtection="1">
      <alignment horizontal="center" vertical="center"/>
    </xf>
    <xf numFmtId="0" fontId="90" fillId="20" borderId="279" xfId="19" applyFont="1" applyFill="1" applyBorder="1" applyAlignment="1">
      <alignment horizontal="center" vertical="center"/>
    </xf>
    <xf numFmtId="0" fontId="90" fillId="20" borderId="174" xfId="19" applyFont="1" applyFill="1" applyBorder="1" applyAlignment="1">
      <alignment horizontal="center" vertical="center"/>
    </xf>
    <xf numFmtId="0" fontId="91" fillId="20" borderId="217" xfId="20" applyFont="1" applyFill="1" applyBorder="1" applyAlignment="1">
      <alignment horizontal="center" vertical="center"/>
    </xf>
    <xf numFmtId="0" fontId="90" fillId="20" borderId="217" xfId="20" applyFont="1" applyFill="1" applyBorder="1" applyAlignment="1">
      <alignment horizontal="center" vertical="center"/>
    </xf>
    <xf numFmtId="0" fontId="90" fillId="20" borderId="281" xfId="20" applyFont="1" applyFill="1" applyBorder="1" applyAlignment="1">
      <alignment horizontal="center" vertical="center"/>
    </xf>
    <xf numFmtId="0" fontId="91" fillId="20" borderId="281" xfId="20" applyFont="1" applyFill="1" applyBorder="1" applyAlignment="1">
      <alignment horizontal="center" vertical="center"/>
    </xf>
    <xf numFmtId="0" fontId="91" fillId="20" borderId="216" xfId="19" applyFont="1" applyFill="1" applyBorder="1" applyAlignment="1">
      <alignment horizontal="center" vertical="center"/>
    </xf>
    <xf numFmtId="0" fontId="90" fillId="20" borderId="239" xfId="19" applyFont="1" applyFill="1" applyBorder="1" applyAlignment="1">
      <alignment horizontal="center" vertical="center"/>
    </xf>
    <xf numFmtId="0" fontId="90" fillId="20" borderId="216" xfId="19" applyFont="1" applyFill="1" applyBorder="1" applyAlignment="1">
      <alignment horizontal="center" vertical="center"/>
    </xf>
    <xf numFmtId="0" fontId="90" fillId="20" borderId="242" xfId="19" applyFont="1" applyFill="1" applyBorder="1" applyAlignment="1">
      <alignment horizontal="center" vertical="center"/>
    </xf>
    <xf numFmtId="0" fontId="90" fillId="20" borderId="152" xfId="19" applyFont="1" applyFill="1" applyBorder="1" applyAlignment="1">
      <alignment horizontal="center" vertical="center"/>
    </xf>
    <xf numFmtId="0" fontId="90" fillId="20" borderId="219" xfId="19" applyFont="1" applyFill="1" applyBorder="1" applyAlignment="1">
      <alignment horizontal="center" vertical="center"/>
    </xf>
    <xf numFmtId="0" fontId="91" fillId="20" borderId="219" xfId="19" applyFont="1" applyFill="1" applyBorder="1" applyAlignment="1">
      <alignment horizontal="center" vertical="center"/>
    </xf>
    <xf numFmtId="0" fontId="91" fillId="20" borderId="152" xfId="19" applyFont="1" applyFill="1" applyBorder="1" applyAlignment="1">
      <alignment horizontal="center" vertical="center"/>
    </xf>
    <xf numFmtId="0" fontId="90" fillId="20" borderId="229" xfId="19" applyFont="1" applyFill="1" applyBorder="1" applyAlignment="1">
      <alignment horizontal="center" vertical="center"/>
    </xf>
    <xf numFmtId="0" fontId="90" fillId="20" borderId="222" xfId="19" applyFont="1" applyFill="1" applyBorder="1" applyAlignment="1">
      <alignment horizontal="center" vertical="center"/>
    </xf>
    <xf numFmtId="0" fontId="90" fillId="20" borderId="154" xfId="19" applyFont="1" applyFill="1" applyBorder="1" applyAlignment="1">
      <alignment horizontal="center" vertical="center"/>
    </xf>
    <xf numFmtId="0" fontId="91" fillId="20" borderId="222" xfId="19" applyFont="1" applyFill="1" applyBorder="1" applyAlignment="1">
      <alignment horizontal="center" vertical="center"/>
    </xf>
    <xf numFmtId="0" fontId="90" fillId="20" borderId="202" xfId="19" applyFont="1" applyFill="1" applyBorder="1" applyAlignment="1">
      <alignment horizontal="center" vertical="center"/>
    </xf>
    <xf numFmtId="0" fontId="91" fillId="20" borderId="174" xfId="19" applyFont="1" applyFill="1" applyBorder="1" applyAlignment="1">
      <alignment horizontal="center" vertical="center"/>
    </xf>
    <xf numFmtId="0" fontId="90" fillId="20" borderId="230" xfId="19" applyFont="1" applyFill="1" applyBorder="1" applyAlignment="1">
      <alignment horizontal="center" vertical="center"/>
    </xf>
    <xf numFmtId="168" fontId="90" fillId="20" borderId="230" xfId="19" applyNumberFormat="1" applyFont="1" applyFill="1" applyBorder="1" applyAlignment="1">
      <alignment horizontal="center" vertical="center"/>
    </xf>
    <xf numFmtId="0" fontId="91"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vertical="center"/>
    </xf>
    <xf numFmtId="0" fontId="90" fillId="20" borderId="291" xfId="21" applyFont="1" applyFill="1" applyBorder="1" applyAlignment="1">
      <alignment horizontal="center" vertical="center"/>
    </xf>
    <xf numFmtId="0" fontId="91" fillId="20" borderId="229" xfId="21" applyFont="1" applyFill="1" applyBorder="1" applyAlignment="1">
      <alignment horizontal="center" vertical="center"/>
    </xf>
    <xf numFmtId="0" fontId="90" fillId="20" borderId="229" xfId="21" applyFont="1" applyFill="1" applyBorder="1" applyAlignment="1">
      <alignment horizontal="center" vertical="center"/>
    </xf>
    <xf numFmtId="0" fontId="91" fillId="20" borderId="153" xfId="21" applyFont="1" applyFill="1" applyBorder="1" applyAlignment="1">
      <alignment horizontal="center" vertical="center"/>
    </xf>
    <xf numFmtId="0" fontId="90" fillId="20" borderId="153" xfId="21" applyFont="1" applyFill="1" applyBorder="1" applyAlignment="1">
      <alignment horizontal="center" vertical="center"/>
    </xf>
    <xf numFmtId="0" fontId="91" fillId="20" borderId="152" xfId="21" applyFont="1" applyFill="1" applyBorder="1" applyAlignment="1">
      <alignment horizontal="center" vertical="center"/>
    </xf>
    <xf numFmtId="0" fontId="90" fillId="20" borderId="152" xfId="21" applyFont="1" applyFill="1" applyBorder="1" applyAlignment="1">
      <alignment horizontal="center" vertical="center"/>
    </xf>
    <xf numFmtId="0" fontId="91" fillId="20" borderId="222" xfId="21" applyFont="1" applyFill="1" applyBorder="1" applyAlignment="1">
      <alignment horizontal="center" vertical="center"/>
    </xf>
    <xf numFmtId="167" fontId="91" fillId="20" borderId="153" xfId="0" applyNumberFormat="1" applyFont="1" applyFill="1" applyBorder="1" applyAlignment="1">
      <alignment horizontal="center" vertical="center"/>
    </xf>
    <xf numFmtId="165" fontId="90" fillId="20" borderId="153" xfId="0" applyNumberFormat="1" applyFont="1" applyFill="1" applyBorder="1" applyAlignment="1">
      <alignment horizontal="center" vertical="center"/>
    </xf>
    <xf numFmtId="0" fontId="7" fillId="20" borderId="281" xfId="0" applyFont="1" applyFill="1" applyBorder="1" applyAlignment="1">
      <alignment horizontal="center" vertical="center"/>
    </xf>
    <xf numFmtId="1" fontId="91" fillId="20" borderId="222" xfId="0" applyNumberFormat="1" applyFont="1" applyFill="1" applyBorder="1" applyAlignment="1" applyProtection="1">
      <alignment horizontal="center" vertical="center"/>
    </xf>
    <xf numFmtId="49" fontId="7" fillId="20" borderId="202" xfId="0" applyNumberFormat="1" applyFont="1" applyFill="1" applyBorder="1" applyAlignment="1">
      <alignment horizontal="center" vertical="center" wrapText="1"/>
    </xf>
    <xf numFmtId="49" fontId="7" fillId="20" borderId="222" xfId="0" applyNumberFormat="1" applyFont="1" applyFill="1" applyBorder="1" applyAlignment="1">
      <alignment horizontal="center" vertical="center" wrapText="1"/>
    </xf>
    <xf numFmtId="0" fontId="7" fillId="20" borderId="222" xfId="0" applyFont="1" applyFill="1" applyBorder="1" applyAlignment="1">
      <alignment horizontal="center" vertical="center"/>
    </xf>
    <xf numFmtId="0" fontId="7" fillId="20" borderId="218" xfId="0" applyFont="1" applyFill="1" applyBorder="1" applyAlignment="1">
      <alignment horizontal="center" vertical="center"/>
    </xf>
    <xf numFmtId="168" fontId="7" fillId="20" borderId="231" xfId="0" applyNumberFormat="1" applyFont="1" applyFill="1" applyBorder="1" applyAlignment="1">
      <alignment horizontal="center" vertical="center"/>
    </xf>
    <xf numFmtId="0" fontId="7" fillId="20" borderId="231" xfId="0" applyFont="1" applyFill="1" applyBorder="1" applyAlignment="1">
      <alignment horizontal="center" vertical="center"/>
    </xf>
    <xf numFmtId="168" fontId="7" fillId="20" borderId="281" xfId="0" applyNumberFormat="1" applyFont="1" applyFill="1" applyBorder="1" applyAlignment="1">
      <alignment horizontal="center" vertical="center"/>
    </xf>
    <xf numFmtId="0" fontId="8" fillId="20" borderId="222" xfId="0" applyFont="1" applyFill="1" applyBorder="1" applyAlignment="1">
      <alignment horizontal="center" vertical="center"/>
    </xf>
    <xf numFmtId="165" fontId="90" fillId="20" borderId="0" xfId="18" applyNumberFormat="1" applyFont="1" applyFill="1" applyBorder="1" applyAlignment="1">
      <alignment horizontal="center" vertical="center"/>
    </xf>
    <xf numFmtId="0" fontId="7" fillId="20" borderId="0" xfId="0" applyFont="1" applyFill="1" applyAlignment="1">
      <alignment horizontal="center"/>
    </xf>
    <xf numFmtId="0" fontId="0" fillId="0" borderId="0" xfId="0"/>
    <xf numFmtId="0" fontId="0" fillId="0" borderId="0" xfId="0"/>
    <xf numFmtId="165" fontId="91" fillId="20" borderId="233" xfId="16" applyNumberFormat="1" applyFont="1" applyFill="1" applyBorder="1" applyAlignment="1" applyProtection="1">
      <alignment horizontal="center" vertical="center"/>
    </xf>
    <xf numFmtId="165" fontId="91" fillId="20" borderId="228" xfId="16" applyNumberFormat="1" applyFont="1" applyFill="1" applyBorder="1" applyAlignment="1" applyProtection="1">
      <alignment horizontal="center" vertical="center"/>
    </xf>
    <xf numFmtId="165" fontId="91" fillId="20" borderId="4" xfId="16" applyNumberFormat="1" applyFont="1" applyFill="1" applyBorder="1" applyAlignment="1" applyProtection="1">
      <alignment horizontal="center" vertical="center"/>
    </xf>
    <xf numFmtId="0" fontId="90" fillId="20" borderId="7" xfId="16" applyFont="1" applyFill="1" applyBorder="1" applyAlignment="1">
      <alignment horizontal="center" vertical="center"/>
    </xf>
    <xf numFmtId="165" fontId="91" fillId="20" borderId="236" xfId="16" applyNumberFormat="1" applyFont="1" applyFill="1" applyBorder="1" applyAlignment="1" applyProtection="1">
      <alignment horizontal="center" vertical="center"/>
    </xf>
    <xf numFmtId="165" fontId="91" fillId="20" borderId="0" xfId="16" applyNumberFormat="1" applyFont="1" applyFill="1" applyBorder="1" applyAlignment="1" applyProtection="1">
      <alignment horizontal="center" vertical="center"/>
    </xf>
    <xf numFmtId="165" fontId="91" fillId="20" borderId="7" xfId="16" applyNumberFormat="1" applyFont="1" applyFill="1" applyBorder="1" applyAlignment="1" applyProtection="1">
      <alignment horizontal="center" vertical="center"/>
    </xf>
    <xf numFmtId="0" fontId="90" fillId="20" borderId="220" xfId="16" applyFont="1" applyFill="1" applyBorder="1" applyAlignment="1">
      <alignment horizontal="center" vertical="center"/>
    </xf>
    <xf numFmtId="165" fontId="91" fillId="20" borderId="254" xfId="16" applyNumberFormat="1" applyFont="1" applyFill="1" applyBorder="1" applyAlignment="1" applyProtection="1">
      <alignment horizontal="center" vertical="center"/>
    </xf>
    <xf numFmtId="0" fontId="91" fillId="20" borderId="237" xfId="16" applyFont="1" applyFill="1" applyBorder="1" applyAlignment="1">
      <alignment horizontal="center" vertical="center"/>
    </xf>
    <xf numFmtId="165" fontId="90" fillId="20" borderId="229" xfId="16" applyNumberFormat="1" applyFont="1" applyFill="1" applyBorder="1" applyAlignment="1" applyProtection="1">
      <alignment horizontal="center" vertical="center"/>
    </xf>
    <xf numFmtId="165" fontId="90" fillId="20" borderId="0" xfId="16" applyNumberFormat="1" applyFont="1" applyFill="1" applyBorder="1" applyAlignment="1" applyProtection="1">
      <alignment horizontal="center" vertical="center"/>
    </xf>
    <xf numFmtId="165" fontId="90" fillId="20" borderId="229" xfId="16" applyNumberFormat="1" applyFont="1" applyFill="1" applyBorder="1" applyAlignment="1">
      <alignment horizontal="center" vertical="center"/>
    </xf>
    <xf numFmtId="165" fontId="90" fillId="20" borderId="0" xfId="16" applyNumberFormat="1" applyFont="1" applyFill="1" applyBorder="1" applyAlignment="1">
      <alignment horizontal="center" vertical="center"/>
    </xf>
    <xf numFmtId="0" fontId="90" fillId="20" borderId="230" xfId="16" applyFont="1" applyFill="1" applyBorder="1" applyAlignment="1">
      <alignment horizontal="center" vertical="center"/>
    </xf>
    <xf numFmtId="0" fontId="91" fillId="20" borderId="222" xfId="16" applyFont="1" applyFill="1" applyBorder="1" applyAlignment="1">
      <alignment horizontal="center" vertical="center"/>
    </xf>
    <xf numFmtId="0" fontId="90" fillId="20" borderId="0" xfId="16" applyFont="1" applyFill="1" applyBorder="1" applyAlignment="1">
      <alignment horizontal="center" vertical="center"/>
    </xf>
    <xf numFmtId="165" fontId="90" fillId="20" borderId="238" xfId="16" applyNumberFormat="1" applyFont="1" applyFill="1" applyBorder="1" applyAlignment="1" applyProtection="1">
      <alignment horizontal="center" vertical="center"/>
    </xf>
    <xf numFmtId="49" fontId="90" fillId="20" borderId="222" xfId="16" applyNumberFormat="1" applyFont="1" applyFill="1" applyBorder="1" applyAlignment="1">
      <alignment horizontal="center" vertical="center"/>
    </xf>
    <xf numFmtId="49" fontId="90" fillId="20" borderId="238" xfId="16" applyNumberFormat="1" applyFont="1" applyFill="1" applyBorder="1" applyAlignment="1">
      <alignment horizontal="center" vertical="center"/>
    </xf>
    <xf numFmtId="0" fontId="91" fillId="20" borderId="219" xfId="16" applyFont="1" applyFill="1" applyBorder="1" applyAlignment="1">
      <alignment horizontal="center" vertical="center"/>
    </xf>
    <xf numFmtId="0" fontId="90" fillId="20" borderId="229" xfId="16" applyFont="1" applyFill="1" applyBorder="1" applyAlignment="1">
      <alignment horizontal="center" vertical="center"/>
    </xf>
    <xf numFmtId="0" fontId="91" fillId="20" borderId="152" xfId="16" applyFont="1" applyFill="1" applyBorder="1" applyAlignment="1">
      <alignment horizontal="center" vertical="center"/>
    </xf>
    <xf numFmtId="0" fontId="90" fillId="20" borderId="152" xfId="16" applyFont="1" applyFill="1" applyBorder="1" applyAlignment="1">
      <alignment horizontal="center" vertical="center"/>
    </xf>
    <xf numFmtId="165" fontId="91" fillId="20" borderId="281" xfId="18" applyNumberFormat="1" applyFont="1" applyFill="1" applyBorder="1" applyAlignment="1" applyProtection="1">
      <alignment horizontal="center"/>
    </xf>
    <xf numFmtId="165" fontId="91" fillId="20" borderId="281" xfId="18" applyNumberFormat="1" applyFont="1" applyFill="1" applyBorder="1" applyAlignment="1" applyProtection="1"/>
    <xf numFmtId="165" fontId="91" fillId="20" borderId="7" xfId="18" applyNumberFormat="1" applyFont="1" applyFill="1" applyBorder="1" applyAlignment="1" applyProtection="1">
      <alignment horizontal="center" vertical="center"/>
    </xf>
    <xf numFmtId="165" fontId="90" fillId="20" borderId="229" xfId="18" applyNumberFormat="1" applyFont="1" applyFill="1" applyBorder="1" applyAlignment="1" applyProtection="1">
      <alignment horizontal="center" vertical="center"/>
    </xf>
    <xf numFmtId="0" fontId="91" fillId="20" borderId="222" xfId="18" applyFont="1" applyFill="1" applyBorder="1" applyAlignment="1">
      <alignment horizontal="center" vertical="center"/>
    </xf>
    <xf numFmtId="0" fontId="90" fillId="20" borderId="222" xfId="18" applyFont="1" applyFill="1" applyBorder="1" applyAlignment="1">
      <alignment horizontal="center" vertical="center"/>
    </xf>
    <xf numFmtId="165" fontId="91" fillId="20" borderId="238" xfId="18" applyNumberFormat="1" applyFont="1" applyFill="1" applyBorder="1" applyAlignment="1" applyProtection="1">
      <alignment horizontal="center" vertical="center"/>
    </xf>
    <xf numFmtId="49" fontId="91" fillId="20" borderId="238" xfId="18" applyNumberFormat="1" applyFont="1" applyFill="1" applyBorder="1" applyAlignment="1">
      <alignment horizontal="center" vertical="center"/>
    </xf>
    <xf numFmtId="49" fontId="90" fillId="20" borderId="222" xfId="18" applyNumberFormat="1" applyFont="1" applyFill="1" applyBorder="1" applyAlignment="1">
      <alignment horizontal="center" vertical="center"/>
    </xf>
    <xf numFmtId="0" fontId="91" fillId="20" borderId="279" xfId="18" applyFont="1" applyFill="1" applyBorder="1" applyAlignment="1">
      <alignment horizontal="center" vertical="center"/>
    </xf>
    <xf numFmtId="165" fontId="90" fillId="20" borderId="325" xfId="18" applyNumberFormat="1" applyFont="1" applyFill="1" applyBorder="1" applyAlignment="1">
      <alignment horizontal="center" vertical="center"/>
    </xf>
    <xf numFmtId="165" fontId="90" fillId="20" borderId="0" xfId="18" applyNumberFormat="1" applyFont="1" applyFill="1" applyBorder="1" applyAlignment="1" applyProtection="1">
      <alignment horizontal="center" vertical="center"/>
    </xf>
    <xf numFmtId="49" fontId="90" fillId="20" borderId="238" xfId="18" applyNumberFormat="1" applyFont="1" applyFill="1" applyBorder="1" applyAlignment="1">
      <alignment horizontal="center" vertical="center"/>
    </xf>
    <xf numFmtId="165" fontId="91" fillId="20" borderId="261" xfId="18" applyNumberFormat="1" applyFont="1" applyFill="1" applyBorder="1" applyAlignment="1" applyProtection="1">
      <alignment horizontal="center" vertical="center"/>
    </xf>
    <xf numFmtId="165" fontId="91" fillId="20" borderId="222" xfId="18" applyNumberFormat="1" applyFont="1" applyFill="1" applyBorder="1" applyAlignment="1" applyProtection="1">
      <alignment horizontal="center" vertical="center"/>
    </xf>
    <xf numFmtId="165" fontId="91" fillId="20" borderId="263" xfId="18" applyNumberFormat="1" applyFont="1" applyFill="1" applyBorder="1" applyAlignment="1" applyProtection="1">
      <alignment horizontal="center" vertical="center"/>
    </xf>
    <xf numFmtId="165" fontId="91" fillId="20" borderId="267" xfId="18" applyNumberFormat="1" applyFont="1" applyFill="1" applyBorder="1" applyAlignment="1" applyProtection="1">
      <alignment horizontal="center" vertical="center"/>
    </xf>
    <xf numFmtId="165" fontId="91" fillId="20" borderId="237" xfId="18" applyNumberFormat="1" applyFont="1" applyFill="1" applyBorder="1" applyAlignment="1" applyProtection="1">
      <alignment horizontal="center" vertical="center"/>
    </xf>
    <xf numFmtId="0" fontId="91" fillId="20" borderId="237" xfId="16" applyNumberFormat="1" applyFont="1" applyFill="1" applyBorder="1" applyAlignment="1">
      <alignment horizontal="center" vertical="center"/>
    </xf>
    <xf numFmtId="165" fontId="91" fillId="20" borderId="229" xfId="16" applyNumberFormat="1" applyFont="1" applyFill="1" applyBorder="1" applyAlignment="1" applyProtection="1">
      <alignment horizontal="center" vertical="center"/>
    </xf>
    <xf numFmtId="49" fontId="91" fillId="20" borderId="222" xfId="16" applyNumberFormat="1" applyFont="1" applyFill="1" applyBorder="1" applyAlignment="1">
      <alignment horizontal="center" vertical="center"/>
    </xf>
    <xf numFmtId="165" fontId="91" fillId="20" borderId="238" xfId="16" applyNumberFormat="1" applyFont="1" applyFill="1" applyBorder="1" applyAlignment="1" applyProtection="1">
      <alignment horizontal="center" vertical="center"/>
    </xf>
    <xf numFmtId="165" fontId="91" fillId="20" borderId="222" xfId="17" applyNumberFormat="1" applyFont="1" applyFill="1" applyBorder="1" applyAlignment="1" applyProtection="1">
      <alignment horizontal="center"/>
    </xf>
    <xf numFmtId="168" fontId="90" fillId="20" borderId="0" xfId="16" applyNumberFormat="1" applyFont="1" applyFill="1" applyBorder="1"/>
    <xf numFmtId="165" fontId="90" fillId="20" borderId="0" xfId="16" applyNumberFormat="1" applyFont="1" applyFill="1"/>
    <xf numFmtId="165" fontId="90" fillId="20" borderId="0" xfId="0" applyNumberFormat="1" applyFont="1" applyFill="1" applyProtection="1"/>
    <xf numFmtId="0" fontId="90" fillId="20" borderId="0" xfId="0" applyFont="1" applyFill="1" applyBorder="1" applyAlignment="1">
      <alignment wrapText="1"/>
    </xf>
    <xf numFmtId="0" fontId="90" fillId="20" borderId="0" xfId="0" applyFont="1" applyFill="1" applyBorder="1"/>
    <xf numFmtId="168" fontId="90" fillId="20" borderId="229" xfId="0" applyNumberFormat="1" applyFont="1" applyFill="1" applyBorder="1" applyAlignment="1">
      <alignment horizontal="center" vertical="center"/>
    </xf>
    <xf numFmtId="168" fontId="90" fillId="20" borderId="0" xfId="0" applyNumberFormat="1" applyFont="1" applyFill="1" applyBorder="1" applyAlignment="1">
      <alignment horizontal="center" vertical="center"/>
    </xf>
    <xf numFmtId="168" fontId="90" fillId="20" borderId="222" xfId="0" applyNumberFormat="1" applyFont="1" applyFill="1" applyBorder="1" applyAlignment="1">
      <alignment horizontal="center" vertical="center"/>
    </xf>
    <xf numFmtId="168" fontId="90" fillId="20" borderId="222" xfId="0" applyNumberFormat="1" applyFont="1" applyFill="1" applyBorder="1" applyAlignment="1" applyProtection="1">
      <alignment horizontal="center" vertical="center"/>
    </xf>
    <xf numFmtId="0" fontId="91" fillId="0" borderId="0" xfId="0" applyFont="1"/>
    <xf numFmtId="165" fontId="7" fillId="20" borderId="0" xfId="0" applyNumberFormat="1" applyFont="1" applyFill="1" applyProtection="1"/>
    <xf numFmtId="165" fontId="7" fillId="20" borderId="0" xfId="0" applyNumberFormat="1" applyFont="1" applyFill="1" applyBorder="1" applyProtection="1"/>
    <xf numFmtId="0" fontId="0" fillId="20" borderId="0" xfId="0" applyFill="1" applyBorder="1" applyAlignment="1">
      <alignment wrapText="1"/>
    </xf>
    <xf numFmtId="168" fontId="90" fillId="20" borderId="327" xfId="0" applyNumberFormat="1" applyFont="1" applyFill="1" applyBorder="1" applyAlignment="1" applyProtection="1">
      <alignment horizontal="center" vertical="center"/>
    </xf>
    <xf numFmtId="165" fontId="91" fillId="20" borderId="264" xfId="19" applyNumberFormat="1" applyFont="1" applyFill="1" applyBorder="1" applyAlignment="1" applyProtection="1">
      <alignment horizontal="center"/>
    </xf>
    <xf numFmtId="165" fontId="91" fillId="20" borderId="0" xfId="19" applyNumberFormat="1" applyFont="1" applyFill="1" applyBorder="1" applyAlignment="1" applyProtection="1">
      <alignment horizontal="left"/>
    </xf>
    <xf numFmtId="0" fontId="0" fillId="20" borderId="0" xfId="0" applyFill="1"/>
    <xf numFmtId="0" fontId="14" fillId="2" borderId="0" xfId="0" applyFont="1" applyFill="1" applyBorder="1" applyAlignment="1">
      <alignment horizontal="center" vertical="center" wrapText="1"/>
    </xf>
    <xf numFmtId="0" fontId="12" fillId="0" borderId="0" xfId="0" applyFont="1"/>
    <xf numFmtId="172" fontId="91"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lignment horizontal="center" vertical="center"/>
    </xf>
    <xf numFmtId="172" fontId="90" fillId="20" borderId="279" xfId="0" applyNumberFormat="1" applyFont="1" applyFill="1" applyBorder="1" applyAlignment="1">
      <alignment horizontal="center" vertical="center"/>
    </xf>
    <xf numFmtId="172" fontId="90" fillId="20" borderId="281" xfId="0" applyNumberFormat="1" applyFont="1" applyFill="1" applyBorder="1" applyAlignment="1">
      <alignment horizontal="center" vertical="center"/>
    </xf>
    <xf numFmtId="168" fontId="91" fillId="20" borderId="229" xfId="0" applyNumberFormat="1" applyFont="1" applyFill="1" applyBorder="1" applyAlignment="1" applyProtection="1">
      <alignment horizontal="center" vertical="center"/>
    </xf>
    <xf numFmtId="168" fontId="90" fillId="20" borderId="229" xfId="0" applyNumberFormat="1" applyFont="1" applyFill="1" applyBorder="1" applyAlignment="1" applyProtection="1">
      <alignment horizontal="center" vertical="center"/>
    </xf>
    <xf numFmtId="168" fontId="90" fillId="20" borderId="221" xfId="0" applyNumberFormat="1" applyFont="1" applyFill="1" applyBorder="1" applyAlignment="1">
      <alignment horizontal="center" vertical="center"/>
    </xf>
    <xf numFmtId="165" fontId="91" fillId="20" borderId="300" xfId="0" applyNumberFormat="1" applyFont="1" applyFill="1" applyBorder="1" applyProtection="1"/>
    <xf numFmtId="172" fontId="91" fillId="20" borderId="222" xfId="16" applyNumberFormat="1" applyFont="1" applyFill="1" applyBorder="1" applyAlignment="1" applyProtection="1">
      <alignment horizontal="center" vertical="center"/>
    </xf>
    <xf numFmtId="172" fontId="90" fillId="20" borderId="222" xfId="16" applyNumberFormat="1" applyFont="1" applyFill="1" applyBorder="1" applyAlignment="1">
      <alignment horizontal="center" vertical="center"/>
    </xf>
    <xf numFmtId="172" fontId="90" fillId="20" borderId="222" xfId="16" applyNumberFormat="1" applyFont="1" applyFill="1" applyBorder="1" applyAlignment="1" applyProtection="1">
      <alignment horizontal="center" vertical="center"/>
    </xf>
    <xf numFmtId="172" fontId="90" fillId="20" borderId="174" xfId="16" applyNumberFormat="1" applyFont="1" applyFill="1" applyBorder="1" applyAlignment="1">
      <alignment horizontal="center" vertical="center"/>
    </xf>
    <xf numFmtId="172" fontId="90" fillId="20" borderId="238" xfId="16" applyNumberFormat="1" applyFont="1" applyFill="1" applyBorder="1" applyAlignment="1">
      <alignment horizontal="center" vertical="center"/>
    </xf>
    <xf numFmtId="172" fontId="91" fillId="20" borderId="153" xfId="16" applyNumberFormat="1" applyFont="1" applyFill="1" applyBorder="1" applyAlignment="1">
      <alignment horizontal="center" vertical="center"/>
    </xf>
    <xf numFmtId="172" fontId="90" fillId="20" borderId="153" xfId="16" applyNumberFormat="1" applyFont="1" applyFill="1" applyBorder="1" applyAlignment="1">
      <alignment horizontal="center" vertical="center"/>
    </xf>
    <xf numFmtId="172" fontId="90" fillId="20" borderId="204" xfId="16" applyNumberFormat="1" applyFont="1" applyFill="1" applyBorder="1" applyAlignment="1">
      <alignment horizontal="center" vertical="center"/>
    </xf>
    <xf numFmtId="172" fontId="90" fillId="20" borderId="153" xfId="16" applyNumberFormat="1" applyFont="1" applyFill="1" applyBorder="1" applyAlignment="1" applyProtection="1">
      <alignment horizontal="center" vertical="center"/>
    </xf>
    <xf numFmtId="172" fontId="91" fillId="20" borderId="281" xfId="16" applyNumberFormat="1" applyFont="1" applyFill="1" applyBorder="1" applyAlignment="1" applyProtection="1">
      <alignment horizontal="center" vertical="center"/>
    </xf>
    <xf numFmtId="172" fontId="90" fillId="20" borderId="281" xfId="16" applyNumberFormat="1" applyFont="1" applyFill="1" applyBorder="1" applyAlignment="1">
      <alignment horizontal="center" vertical="center"/>
    </xf>
    <xf numFmtId="172" fontId="90" fillId="20" borderId="288" xfId="16" applyNumberFormat="1" applyFont="1" applyFill="1" applyBorder="1" applyAlignment="1">
      <alignment horizontal="center" vertical="center"/>
    </xf>
    <xf numFmtId="172" fontId="91" fillId="20" borderId="153" xfId="16" applyNumberFormat="1" applyFont="1" applyFill="1" applyBorder="1" applyAlignment="1" applyProtection="1">
      <alignment horizontal="center" vertical="center"/>
    </xf>
    <xf numFmtId="172" fontId="90" fillId="20" borderId="154" xfId="16" applyNumberFormat="1" applyFont="1" applyFill="1" applyBorder="1" applyAlignment="1">
      <alignment horizontal="center" vertical="center"/>
    </xf>
    <xf numFmtId="172" fontId="90" fillId="20" borderId="281" xfId="16" applyNumberFormat="1" applyFont="1" applyFill="1" applyBorder="1" applyAlignment="1" applyProtection="1">
      <alignment horizontal="center" vertical="center"/>
    </xf>
    <xf numFmtId="172" fontId="91" fillId="20" borderId="229" xfId="17" applyNumberFormat="1" applyFont="1" applyFill="1" applyBorder="1" applyAlignment="1" applyProtection="1">
      <alignment horizontal="center" vertical="center"/>
    </xf>
    <xf numFmtId="172" fontId="90" fillId="20" borderId="229" xfId="17" applyNumberFormat="1" applyFont="1" applyFill="1" applyBorder="1" applyAlignment="1">
      <alignment horizontal="center" vertical="center"/>
    </xf>
    <xf numFmtId="172" fontId="91" fillId="20" borderId="237" xfId="17" applyNumberFormat="1" applyFont="1" applyFill="1" applyBorder="1" applyAlignment="1" applyProtection="1">
      <alignment horizontal="center" vertical="center"/>
    </xf>
    <xf numFmtId="172" fontId="90" fillId="20" borderId="237" xfId="17" applyNumberFormat="1" applyFont="1" applyFill="1" applyBorder="1" applyAlignment="1">
      <alignment horizontal="center" vertical="center"/>
    </xf>
    <xf numFmtId="172" fontId="90" fillId="20" borderId="220" xfId="17" applyNumberFormat="1" applyFont="1" applyFill="1" applyBorder="1" applyAlignment="1">
      <alignment horizontal="center" vertical="center"/>
    </xf>
    <xf numFmtId="172" fontId="90" fillId="20" borderId="216" xfId="17" applyNumberFormat="1" applyFont="1" applyFill="1" applyBorder="1" applyAlignment="1">
      <alignment horizontal="center" vertical="center"/>
    </xf>
    <xf numFmtId="172" fontId="90" fillId="20" borderId="222" xfId="17" applyNumberFormat="1" applyFont="1" applyFill="1" applyBorder="1" applyAlignment="1">
      <alignment horizontal="center" vertical="center"/>
    </xf>
    <xf numFmtId="172" fontId="91" fillId="20" borderId="152" xfId="17" applyNumberFormat="1" applyFont="1" applyFill="1" applyBorder="1" applyAlignment="1">
      <alignment horizontal="center" vertical="center"/>
    </xf>
    <xf numFmtId="172" fontId="90" fillId="20" borderId="152" xfId="17" applyNumberFormat="1" applyFont="1" applyFill="1" applyBorder="1" applyAlignment="1">
      <alignment horizontal="center" vertical="center"/>
    </xf>
    <xf numFmtId="172" fontId="90" fillId="20" borderId="153" xfId="17" applyNumberFormat="1" applyFont="1" applyFill="1" applyBorder="1" applyAlignment="1">
      <alignment horizontal="center" vertical="center"/>
    </xf>
    <xf numFmtId="172" fontId="90" fillId="20" borderId="0" xfId="17" applyNumberFormat="1" applyFont="1" applyFill="1" applyBorder="1" applyAlignment="1">
      <alignment horizontal="center" vertical="center"/>
    </xf>
    <xf numFmtId="172" fontId="90" fillId="20" borderId="239" xfId="17" applyNumberFormat="1" applyFont="1" applyFill="1" applyBorder="1" applyAlignment="1">
      <alignment horizontal="center" vertical="center"/>
    </xf>
    <xf numFmtId="172" fontId="90" fillId="20" borderId="174" xfId="17" applyNumberFormat="1" applyFont="1" applyFill="1" applyBorder="1" applyAlignment="1">
      <alignment horizontal="center" vertical="center"/>
    </xf>
    <xf numFmtId="172" fontId="91" fillId="20" borderId="153" xfId="17" applyNumberFormat="1" applyFont="1" applyFill="1" applyBorder="1" applyAlignment="1" applyProtection="1">
      <alignment horizontal="center" vertical="center"/>
    </xf>
    <xf numFmtId="172" fontId="91" fillId="0" borderId="153" xfId="17" applyNumberFormat="1" applyFont="1" applyBorder="1" applyAlignment="1">
      <alignment horizontal="center" vertical="center"/>
    </xf>
    <xf numFmtId="172" fontId="90" fillId="0" borderId="153" xfId="17" applyNumberFormat="1" applyFont="1" applyBorder="1" applyAlignment="1">
      <alignment horizontal="center" vertical="center"/>
    </xf>
    <xf numFmtId="172" fontId="90" fillId="0" borderId="239" xfId="17" applyNumberFormat="1" applyFont="1" applyBorder="1" applyAlignment="1">
      <alignment horizontal="center" vertical="center"/>
    </xf>
    <xf numFmtId="172" fontId="91" fillId="20" borderId="281" xfId="17" applyNumberFormat="1" applyFont="1" applyFill="1" applyBorder="1" applyAlignment="1" applyProtection="1">
      <alignment horizontal="center" vertical="center"/>
    </xf>
    <xf numFmtId="172" fontId="90" fillId="20" borderId="281" xfId="17" applyNumberFormat="1" applyFont="1" applyFill="1" applyBorder="1" applyAlignment="1">
      <alignment horizontal="center" vertical="center"/>
    </xf>
    <xf numFmtId="172" fontId="91" fillId="20" borderId="153" xfId="18" applyNumberFormat="1" applyFont="1" applyFill="1" applyBorder="1" applyAlignment="1" applyProtection="1">
      <alignment horizontal="center" vertical="center"/>
    </xf>
    <xf numFmtId="172" fontId="90" fillId="20" borderId="238" xfId="18" applyNumberFormat="1" applyFont="1" applyFill="1" applyBorder="1" applyAlignment="1">
      <alignment horizontal="center" vertical="center"/>
    </xf>
    <xf numFmtId="172" fontId="90" fillId="20" borderId="222" xfId="18" applyNumberFormat="1" applyFont="1" applyFill="1" applyBorder="1" applyAlignment="1" applyProtection="1">
      <alignment horizontal="center" vertical="center"/>
    </xf>
    <xf numFmtId="172" fontId="90" fillId="20" borderId="222" xfId="18" applyNumberFormat="1" applyFont="1" applyFill="1" applyBorder="1" applyAlignment="1">
      <alignment horizontal="center" vertical="center"/>
    </xf>
    <xf numFmtId="172" fontId="90" fillId="20" borderId="0" xfId="18" applyNumberFormat="1" applyFont="1" applyFill="1" applyBorder="1" applyAlignment="1">
      <alignment horizontal="center" vertical="center"/>
    </xf>
    <xf numFmtId="172" fontId="90" fillId="20" borderId="237" xfId="18" applyNumberFormat="1" applyFont="1" applyFill="1" applyBorder="1" applyAlignment="1" applyProtection="1">
      <alignment horizontal="center" vertical="center"/>
    </xf>
    <xf numFmtId="172" fontId="90" fillId="20" borderId="174" xfId="18" applyNumberFormat="1" applyFont="1" applyFill="1" applyBorder="1" applyAlignment="1">
      <alignment horizontal="center" vertical="center"/>
    </xf>
    <xf numFmtId="172" fontId="90" fillId="20" borderId="152" xfId="18" applyNumberFormat="1" applyFont="1" applyFill="1" applyBorder="1" applyAlignment="1">
      <alignment horizontal="center" vertical="center"/>
    </xf>
    <xf numFmtId="172" fontId="90" fillId="20" borderId="153" xfId="18" applyNumberFormat="1" applyFont="1" applyFill="1" applyBorder="1" applyAlignment="1">
      <alignment horizontal="center" vertical="center"/>
    </xf>
    <xf numFmtId="172" fontId="90" fillId="20" borderId="154" xfId="18" applyNumberFormat="1" applyFont="1" applyFill="1" applyBorder="1" applyAlignment="1">
      <alignment horizontal="center" vertical="center"/>
    </xf>
    <xf numFmtId="172" fontId="90" fillId="0" borderId="204" xfId="18" applyNumberFormat="1" applyFont="1" applyBorder="1" applyAlignment="1">
      <alignment horizontal="center" vertical="center"/>
    </xf>
    <xf numFmtId="172" fontId="90" fillId="0" borderId="153" xfId="18" applyNumberFormat="1" applyFont="1" applyBorder="1" applyAlignment="1">
      <alignment horizontal="center" vertical="center"/>
    </xf>
    <xf numFmtId="172" fontId="90" fillId="0" borderId="154" xfId="18" applyNumberFormat="1" applyFont="1" applyBorder="1" applyAlignment="1">
      <alignment horizontal="center" vertical="center"/>
    </xf>
    <xf numFmtId="172" fontId="90" fillId="20" borderId="153" xfId="18" applyNumberFormat="1" applyFont="1" applyFill="1" applyBorder="1" applyAlignment="1" applyProtection="1">
      <alignment horizontal="center" vertical="center"/>
    </xf>
    <xf numFmtId="172" fontId="90" fillId="20" borderId="281" xfId="18" applyNumberFormat="1" applyFont="1" applyFill="1" applyBorder="1" applyAlignment="1" applyProtection="1">
      <alignment horizontal="center" vertical="center"/>
    </xf>
    <xf numFmtId="172" fontId="90" fillId="20" borderId="281" xfId="18" applyNumberFormat="1" applyFont="1" applyFill="1" applyBorder="1" applyAlignment="1">
      <alignment horizontal="center" vertical="center"/>
    </xf>
    <xf numFmtId="172" fontId="91" fillId="20" borderId="281" xfId="18" applyNumberFormat="1" applyFont="1" applyFill="1" applyBorder="1" applyAlignment="1" applyProtection="1">
      <alignment horizontal="center" vertical="center"/>
    </xf>
    <xf numFmtId="172" fontId="90" fillId="20" borderId="239" xfId="16" applyNumberFormat="1" applyFont="1" applyFill="1" applyBorder="1" applyAlignment="1" applyProtection="1">
      <alignment horizontal="center" vertical="center"/>
    </xf>
    <xf numFmtId="172" fontId="91" fillId="20" borderId="237" xfId="16" applyNumberFormat="1" applyFont="1" applyFill="1" applyBorder="1" applyAlignment="1" applyProtection="1">
      <alignment horizontal="center" vertical="center"/>
    </xf>
    <xf numFmtId="172" fontId="90" fillId="20" borderId="237" xfId="16" applyNumberFormat="1" applyFont="1" applyFill="1" applyBorder="1" applyAlignment="1" applyProtection="1">
      <alignment horizontal="center" vertical="center"/>
    </xf>
    <xf numFmtId="172" fontId="91" fillId="20" borderId="238" xfId="16" applyNumberFormat="1" applyFont="1" applyFill="1" applyBorder="1" applyAlignment="1" applyProtection="1">
      <alignment horizontal="center" vertical="center"/>
    </xf>
    <xf numFmtId="172" fontId="90" fillId="20" borderId="154" xfId="16" applyNumberFormat="1" applyFont="1" applyFill="1" applyBorder="1" applyAlignment="1" applyProtection="1">
      <alignment horizontal="center" vertical="center"/>
    </xf>
    <xf numFmtId="172" fontId="90" fillId="20" borderId="204" xfId="16" applyNumberFormat="1" applyFont="1" applyFill="1" applyBorder="1" applyAlignment="1" applyProtection="1">
      <alignment horizontal="center" vertical="center"/>
    </xf>
    <xf numFmtId="172" fontId="91" fillId="20" borderId="153" xfId="19" applyNumberFormat="1" applyFont="1" applyFill="1" applyBorder="1" applyAlignment="1">
      <alignment horizontal="center" vertical="center"/>
    </xf>
    <xf numFmtId="172" fontId="90" fillId="20" borderId="0" xfId="19" applyNumberFormat="1" applyFont="1" applyFill="1" applyBorder="1" applyAlignment="1">
      <alignment horizontal="center" vertical="center"/>
    </xf>
    <xf numFmtId="172" fontId="90" fillId="20" borderId="153" xfId="19" applyNumberFormat="1" applyFont="1" applyFill="1" applyBorder="1" applyAlignment="1">
      <alignment horizontal="center" vertical="center"/>
    </xf>
    <xf numFmtId="172" fontId="90" fillId="20" borderId="204" xfId="19" applyNumberFormat="1" applyFont="1" applyFill="1" applyBorder="1" applyAlignment="1">
      <alignment horizontal="center" vertical="center"/>
    </xf>
    <xf numFmtId="172" fontId="90" fillId="20" borderId="238" xfId="19" applyNumberFormat="1" applyFont="1" applyFill="1" applyBorder="1" applyAlignment="1">
      <alignment horizontal="center" vertical="center"/>
    </xf>
    <xf numFmtId="172" fontId="93" fillId="20" borderId="0" xfId="19" applyNumberFormat="1" applyFont="1" applyFill="1" applyBorder="1" applyAlignment="1">
      <alignment horizontal="center" vertical="center"/>
    </xf>
    <xf numFmtId="172" fontId="93" fillId="20" borderId="153" xfId="19" applyNumberFormat="1" applyFont="1" applyFill="1" applyBorder="1" applyAlignment="1">
      <alignment horizontal="center" vertical="center"/>
    </xf>
    <xf numFmtId="172" fontId="93" fillId="20" borderId="204" xfId="19" applyNumberFormat="1" applyFont="1" applyFill="1" applyBorder="1" applyAlignment="1">
      <alignment horizontal="center" vertical="center"/>
    </xf>
    <xf numFmtId="172" fontId="93" fillId="0" borderId="153" xfId="19" applyNumberFormat="1" applyFont="1" applyBorder="1" applyAlignment="1">
      <alignment horizontal="center" vertical="center"/>
    </xf>
    <xf numFmtId="172" fontId="93" fillId="0" borderId="152" xfId="19" applyNumberFormat="1" applyFont="1" applyBorder="1" applyAlignment="1">
      <alignment horizontal="center" vertical="center"/>
    </xf>
    <xf numFmtId="172" fontId="90" fillId="0" borderId="204" xfId="19" applyNumberFormat="1" applyFont="1" applyBorder="1" applyAlignment="1">
      <alignment horizontal="center" vertical="center"/>
    </xf>
    <xf numFmtId="172" fontId="90" fillId="0" borderId="154" xfId="19" applyNumberFormat="1" applyFont="1" applyBorder="1" applyAlignment="1">
      <alignment horizontal="center" vertical="center"/>
    </xf>
    <xf numFmtId="172" fontId="93" fillId="20" borderId="152" xfId="19" applyNumberFormat="1" applyFont="1" applyFill="1" applyBorder="1" applyAlignment="1">
      <alignment horizontal="center" vertical="center"/>
    </xf>
    <xf numFmtId="172" fontId="90" fillId="20" borderId="154" xfId="19" applyNumberFormat="1" applyFont="1" applyFill="1" applyBorder="1" applyAlignment="1">
      <alignment horizontal="center" vertical="center"/>
    </xf>
    <xf numFmtId="172" fontId="91" fillId="20" borderId="281" xfId="19" applyNumberFormat="1" applyFont="1" applyFill="1" applyBorder="1" applyAlignment="1">
      <alignment horizontal="center" vertical="center"/>
    </xf>
    <xf numFmtId="172" fontId="93" fillId="20" borderId="281" xfId="19" applyNumberFormat="1" applyFont="1" applyFill="1" applyBorder="1" applyAlignment="1">
      <alignment horizontal="center" vertical="center"/>
    </xf>
    <xf numFmtId="172" fontId="90" fillId="20" borderId="281" xfId="19" applyNumberFormat="1" applyFont="1" applyFill="1" applyBorder="1" applyAlignment="1">
      <alignment horizontal="center" vertical="center"/>
    </xf>
    <xf numFmtId="172" fontId="90" fillId="20" borderId="281" xfId="19" applyNumberFormat="1" applyFont="1" applyFill="1" applyBorder="1" applyAlignment="1" applyProtection="1">
      <alignment horizontal="center" vertical="center"/>
    </xf>
    <xf numFmtId="172" fontId="90" fillId="20" borderId="324" xfId="19" applyNumberFormat="1" applyFont="1" applyFill="1" applyBorder="1" applyAlignment="1">
      <alignment horizontal="center" vertical="center"/>
    </xf>
    <xf numFmtId="172" fontId="90" fillId="20" borderId="323" xfId="19" applyNumberFormat="1" applyFont="1" applyFill="1" applyBorder="1" applyAlignment="1">
      <alignment horizontal="center" vertical="center"/>
    </xf>
    <xf numFmtId="172" fontId="91" fillId="20" borderId="217" xfId="20" applyNumberFormat="1" applyFont="1" applyFill="1" applyBorder="1" applyAlignment="1">
      <alignment horizontal="center" vertical="center"/>
    </xf>
    <xf numFmtId="172" fontId="90" fillId="20" borderId="217" xfId="20" applyNumberFormat="1" applyFont="1" applyFill="1" applyBorder="1" applyAlignment="1">
      <alignment horizontal="center" vertical="center"/>
    </xf>
    <xf numFmtId="172" fontId="91" fillId="20" borderId="281" xfId="20" applyNumberFormat="1" applyFont="1" applyFill="1" applyBorder="1" applyAlignment="1">
      <alignment horizontal="center" vertical="center"/>
    </xf>
    <xf numFmtId="172" fontId="90" fillId="20" borderId="281" xfId="20" applyNumberFormat="1" applyFont="1" applyFill="1" applyBorder="1" applyAlignment="1">
      <alignment horizontal="center" vertical="center"/>
    </xf>
    <xf numFmtId="172" fontId="90" fillId="20" borderId="239" xfId="19" applyNumberFormat="1" applyFont="1" applyFill="1" applyBorder="1" applyAlignment="1">
      <alignment horizontal="center" vertical="center"/>
    </xf>
    <xf numFmtId="172" fontId="90" fillId="20" borderId="152" xfId="19" applyNumberFormat="1" applyFont="1" applyFill="1" applyBorder="1" applyAlignment="1">
      <alignment horizontal="center" vertical="center"/>
    </xf>
    <xf numFmtId="172" fontId="91" fillId="20" borderId="222" xfId="19" applyNumberFormat="1" applyFont="1" applyFill="1" applyBorder="1" applyAlignment="1">
      <alignment horizontal="center" vertical="center"/>
    </xf>
    <xf numFmtId="172" fontId="90" fillId="20" borderId="222" xfId="19" applyNumberFormat="1" applyFont="1" applyFill="1" applyBorder="1" applyAlignment="1">
      <alignment horizontal="center" vertical="center"/>
    </xf>
    <xf numFmtId="172" fontId="90" fillId="20" borderId="220" xfId="19" applyNumberFormat="1" applyFont="1" applyFill="1" applyBorder="1" applyAlignment="1">
      <alignment horizontal="center" vertical="center"/>
    </xf>
    <xf numFmtId="172" fontId="90" fillId="20" borderId="229" xfId="19" applyNumberFormat="1" applyFont="1" applyFill="1" applyBorder="1" applyAlignment="1">
      <alignment horizontal="center" vertical="center"/>
    </xf>
    <xf numFmtId="172" fontId="90" fillId="20" borderId="0" xfId="19" applyNumberFormat="1" applyFont="1" applyFill="1" applyAlignment="1">
      <alignment horizontal="center" vertical="center"/>
    </xf>
    <xf numFmtId="172" fontId="90" fillId="20" borderId="237" xfId="19" applyNumberFormat="1" applyFont="1" applyFill="1" applyBorder="1" applyAlignment="1">
      <alignment horizontal="center" vertical="center"/>
    </xf>
    <xf numFmtId="172" fontId="90" fillId="20" borderId="202" xfId="19" applyNumberFormat="1" applyFont="1" applyFill="1" applyBorder="1" applyAlignment="1">
      <alignment horizontal="center" vertical="center"/>
    </xf>
    <xf numFmtId="172" fontId="90" fillId="20" borderId="279" xfId="19" applyNumberFormat="1" applyFont="1" applyFill="1" applyBorder="1" applyAlignment="1">
      <alignment horizontal="center" vertical="center"/>
    </xf>
    <xf numFmtId="172" fontId="90" fillId="20" borderId="288" xfId="19" applyNumberFormat="1" applyFont="1" applyFill="1" applyBorder="1" applyAlignment="1">
      <alignment horizontal="center" vertical="center"/>
    </xf>
    <xf numFmtId="172" fontId="91" fillId="20" borderId="204" xfId="19" applyNumberFormat="1" applyFont="1" applyFill="1" applyBorder="1" applyAlignment="1">
      <alignment horizontal="center" vertical="center"/>
    </xf>
    <xf numFmtId="172" fontId="90" fillId="20" borderId="310" xfId="19" applyNumberFormat="1" applyFont="1" applyFill="1" applyBorder="1" applyAlignment="1">
      <alignment horizontal="center" vertical="center"/>
    </xf>
    <xf numFmtId="172" fontId="91" fillId="20" borderId="229" xfId="19" applyNumberFormat="1" applyFont="1" applyFill="1" applyBorder="1" applyAlignment="1">
      <alignment horizontal="center" vertical="center"/>
    </xf>
    <xf numFmtId="172" fontId="90" fillId="20" borderId="221" xfId="19" applyNumberFormat="1" applyFont="1" applyFill="1" applyBorder="1" applyAlignment="1">
      <alignment horizontal="center" vertical="center"/>
    </xf>
    <xf numFmtId="172" fontId="91" fillId="20" borderId="229" xfId="0" applyNumberFormat="1" applyFont="1" applyFill="1" applyBorder="1" applyAlignment="1">
      <alignment horizontal="center" vertical="center"/>
    </xf>
    <xf numFmtId="172" fontId="90" fillId="20" borderId="229" xfId="0" applyNumberFormat="1" applyFont="1" applyFill="1" applyBorder="1" applyAlignment="1">
      <alignment horizontal="center" vertical="center"/>
    </xf>
    <xf numFmtId="172" fontId="90" fillId="20" borderId="221" xfId="0" applyNumberFormat="1" applyFont="1" applyFill="1" applyBorder="1" applyAlignment="1">
      <alignment horizontal="center" vertical="center"/>
    </xf>
    <xf numFmtId="172" fontId="8" fillId="20" borderId="229" xfId="0" applyNumberFormat="1" applyFont="1" applyFill="1" applyBorder="1" applyAlignment="1">
      <alignment horizontal="center" vertical="center"/>
    </xf>
    <xf numFmtId="172" fontId="7" fillId="20" borderId="229" xfId="0" applyNumberFormat="1" applyFont="1" applyFill="1" applyBorder="1" applyAlignment="1">
      <alignment horizontal="center" vertical="center"/>
    </xf>
    <xf numFmtId="172" fontId="7" fillId="20" borderId="221" xfId="0" applyNumberFormat="1" applyFont="1" applyFill="1" applyBorder="1" applyAlignment="1">
      <alignment horizontal="center" vertical="center"/>
    </xf>
    <xf numFmtId="172" fontId="91" fillId="20" borderId="229" xfId="0" applyNumberFormat="1" applyFont="1" applyFill="1" applyBorder="1" applyAlignment="1" applyProtection="1">
      <alignment horizontal="center" vertical="center"/>
    </xf>
    <xf numFmtId="172" fontId="95" fillId="20" borderId="291" xfId="21" applyNumberFormat="1" applyFont="1" applyFill="1" applyBorder="1" applyAlignment="1" applyProtection="1">
      <alignment horizontal="center" vertical="center"/>
    </xf>
    <xf numFmtId="172" fontId="92" fillId="20" borderId="291" xfId="21" applyNumberFormat="1" applyFont="1" applyFill="1" applyBorder="1" applyAlignment="1" applyProtection="1">
      <alignment horizontal="center" vertical="center"/>
    </xf>
    <xf numFmtId="172" fontId="90" fillId="20" borderId="291" xfId="21" applyNumberFormat="1" applyFont="1" applyFill="1" applyBorder="1" applyAlignment="1">
      <alignment horizontal="center" vertical="center"/>
    </xf>
    <xf numFmtId="172" fontId="95" fillId="20" borderId="153" xfId="21" applyNumberFormat="1" applyFont="1" applyFill="1" applyBorder="1" applyAlignment="1" applyProtection="1">
      <alignment horizontal="center" vertical="center"/>
    </xf>
    <xf numFmtId="172" fontId="90" fillId="20" borderId="153" xfId="21" applyNumberFormat="1" applyFont="1" applyFill="1" applyBorder="1" applyAlignment="1">
      <alignment horizontal="center" vertical="center"/>
    </xf>
    <xf numFmtId="172" fontId="92" fillId="20" borderId="153" xfId="21" applyNumberFormat="1" applyFont="1" applyFill="1" applyBorder="1" applyAlignment="1" applyProtection="1">
      <alignment horizontal="center" vertical="center"/>
    </xf>
    <xf numFmtId="172" fontId="95" fillId="20" borderId="238" xfId="21" applyNumberFormat="1" applyFont="1" applyFill="1" applyBorder="1" applyAlignment="1" applyProtection="1">
      <alignment horizontal="center" vertical="center"/>
    </xf>
    <xf numFmtId="172" fontId="90" fillId="20" borderId="222" xfId="21" applyNumberFormat="1" applyFont="1" applyFill="1" applyBorder="1" applyAlignment="1">
      <alignment horizontal="center" vertical="center"/>
    </xf>
    <xf numFmtId="172" fontId="90" fillId="20" borderId="237" xfId="21" applyNumberFormat="1" applyFont="1" applyFill="1" applyBorder="1" applyAlignment="1">
      <alignment horizontal="center" vertical="center"/>
    </xf>
    <xf numFmtId="172" fontId="90" fillId="20" borderId="229" xfId="21" applyNumberFormat="1" applyFont="1" applyFill="1" applyBorder="1" applyAlignment="1">
      <alignment horizontal="center" vertical="center"/>
    </xf>
    <xf numFmtId="172" fontId="91" fillId="20" borderId="229" xfId="21" applyNumberFormat="1" applyFont="1" applyFill="1" applyBorder="1" applyAlignment="1">
      <alignment horizontal="center" vertical="center"/>
    </xf>
    <xf numFmtId="172" fontId="91" fillId="20" borderId="153" xfId="21" applyNumberFormat="1" applyFont="1" applyFill="1" applyBorder="1" applyAlignment="1">
      <alignment horizontal="center" vertical="center"/>
    </xf>
    <xf numFmtId="172" fontId="95" fillId="20" borderId="295" xfId="21" applyNumberFormat="1" applyFont="1" applyFill="1" applyBorder="1" applyAlignment="1" applyProtection="1">
      <alignment horizontal="center" vertical="center"/>
    </xf>
    <xf numFmtId="172" fontId="90" fillId="20" borderId="279" xfId="21" applyNumberFormat="1" applyFont="1" applyFill="1" applyBorder="1" applyAlignment="1">
      <alignment horizontal="center" vertical="center"/>
    </xf>
    <xf numFmtId="172" fontId="95" fillId="20" borderId="281" xfId="21" applyNumberFormat="1" applyFont="1" applyFill="1" applyBorder="1" applyAlignment="1" applyProtection="1">
      <alignment horizontal="center" vertical="center"/>
    </xf>
    <xf numFmtId="172" fontId="90" fillId="20" borderId="281" xfId="21" applyNumberFormat="1" applyFont="1" applyFill="1" applyBorder="1" applyAlignment="1">
      <alignment horizontal="center" vertical="center"/>
    </xf>
    <xf numFmtId="172" fontId="90" fillId="20" borderId="0" xfId="21" applyNumberFormat="1" applyFont="1" applyFill="1" applyBorder="1" applyAlignment="1">
      <alignment horizontal="center" vertical="center"/>
    </xf>
    <xf numFmtId="172" fontId="90" fillId="20" borderId="0" xfId="21" applyNumberFormat="1" applyFont="1" applyFill="1" applyAlignment="1">
      <alignment horizontal="center" vertical="center"/>
    </xf>
    <xf numFmtId="172" fontId="90" fillId="20" borderId="204" xfId="21" applyNumberFormat="1" applyFont="1" applyFill="1" applyBorder="1" applyAlignment="1">
      <alignment horizontal="center" vertical="center"/>
    </xf>
    <xf numFmtId="172" fontId="91" fillId="20" borderId="222" xfId="21" applyNumberFormat="1" applyFont="1" applyFill="1" applyBorder="1" applyAlignment="1">
      <alignment horizontal="center" vertical="center"/>
    </xf>
    <xf numFmtId="172" fontId="91" fillId="20" borderId="281" xfId="21" applyNumberFormat="1" applyFont="1" applyFill="1" applyBorder="1" applyAlignment="1">
      <alignment horizontal="center" vertical="center"/>
    </xf>
    <xf numFmtId="172" fontId="90" fillId="0" borderId="0" xfId="21" applyNumberFormat="1" applyFont="1"/>
    <xf numFmtId="172" fontId="95" fillId="20" borderId="153" xfId="0" applyNumberFormat="1" applyFont="1" applyFill="1" applyBorder="1" applyAlignment="1" applyProtection="1">
      <alignment horizontal="center" vertical="center"/>
    </xf>
    <xf numFmtId="172" fontId="90" fillId="20" borderId="153" xfId="0" applyNumberFormat="1" applyFont="1" applyFill="1" applyBorder="1" applyAlignment="1">
      <alignment horizontal="center" vertical="center"/>
    </xf>
    <xf numFmtId="172" fontId="92" fillId="20" borderId="153" xfId="0" applyNumberFormat="1" applyFont="1" applyFill="1" applyBorder="1" applyAlignment="1" applyProtection="1">
      <alignment horizontal="center" vertical="center"/>
    </xf>
    <xf numFmtId="172" fontId="95" fillId="20" borderId="281" xfId="0" applyNumberFormat="1" applyFont="1" applyFill="1" applyBorder="1" applyAlignment="1" applyProtection="1">
      <alignment horizontal="center" vertical="center"/>
    </xf>
    <xf numFmtId="172" fontId="92" fillId="20" borderId="281" xfId="0" applyNumberFormat="1" applyFont="1" applyFill="1" applyBorder="1" applyAlignment="1" applyProtection="1">
      <alignment horizontal="center" vertical="center"/>
    </xf>
    <xf numFmtId="172" fontId="90" fillId="20" borderId="174" xfId="0" applyNumberFormat="1" applyFont="1" applyFill="1" applyBorder="1" applyAlignment="1">
      <alignment horizontal="center" vertical="center"/>
    </xf>
    <xf numFmtId="172" fontId="8" fillId="20" borderId="202" xfId="0" applyNumberFormat="1" applyFont="1" applyFill="1" applyBorder="1" applyAlignment="1">
      <alignment horizontal="center" vertical="center"/>
    </xf>
    <xf numFmtId="172" fontId="7" fillId="20" borderId="202" xfId="0" applyNumberFormat="1" applyFont="1" applyFill="1" applyBorder="1" applyAlignment="1">
      <alignment horizontal="center" vertical="center"/>
    </xf>
    <xf numFmtId="172" fontId="7" fillId="20" borderId="0" xfId="0" applyNumberFormat="1" applyFont="1" applyFill="1" applyBorder="1" applyAlignment="1">
      <alignment horizontal="center" vertical="center"/>
    </xf>
    <xf numFmtId="172" fontId="7" fillId="20" borderId="212" xfId="0" applyNumberFormat="1" applyFont="1" applyFill="1" applyBorder="1" applyAlignment="1">
      <alignment horizontal="center" vertical="center"/>
    </xf>
    <xf numFmtId="172" fontId="8" fillId="20" borderId="202" xfId="1" applyNumberFormat="1" applyFont="1" applyFill="1" applyBorder="1" applyAlignment="1">
      <alignment horizontal="center" vertical="center"/>
    </xf>
    <xf numFmtId="172" fontId="7" fillId="20" borderId="202" xfId="1" applyNumberFormat="1" applyFont="1" applyFill="1" applyBorder="1" applyAlignment="1">
      <alignment horizontal="center" vertical="center"/>
    </xf>
    <xf numFmtId="172" fontId="7" fillId="20" borderId="212" xfId="1" applyNumberFormat="1" applyFont="1" applyFill="1" applyBorder="1" applyAlignment="1">
      <alignment horizontal="center" vertical="center"/>
    </xf>
    <xf numFmtId="172" fontId="8" fillId="20" borderId="222" xfId="1" applyNumberFormat="1" applyFont="1" applyFill="1" applyBorder="1" applyAlignment="1">
      <alignment horizontal="center" vertical="center"/>
    </xf>
    <xf numFmtId="172" fontId="7" fillId="20" borderId="222" xfId="1" applyNumberFormat="1" applyFont="1" applyFill="1" applyBorder="1" applyAlignment="1">
      <alignment horizontal="center" vertical="center"/>
    </xf>
    <xf numFmtId="172" fontId="8" fillId="20" borderId="218" xfId="1" applyNumberFormat="1" applyFont="1" applyFill="1" applyBorder="1" applyAlignment="1">
      <alignment horizontal="center" vertical="center"/>
    </xf>
    <xf numFmtId="172" fontId="7" fillId="20" borderId="218" xfId="1" applyNumberFormat="1" applyFont="1" applyFill="1" applyBorder="1" applyAlignment="1">
      <alignment horizontal="center" vertical="center"/>
    </xf>
    <xf numFmtId="172" fontId="8" fillId="20" borderId="231" xfId="1" applyNumberFormat="1" applyFont="1" applyFill="1" applyBorder="1" applyAlignment="1">
      <alignment horizontal="center" vertical="center"/>
    </xf>
    <xf numFmtId="172" fontId="7" fillId="20" borderId="231" xfId="1" applyNumberFormat="1" applyFont="1" applyFill="1" applyBorder="1" applyAlignment="1">
      <alignment horizontal="center" vertical="center"/>
    </xf>
    <xf numFmtId="172" fontId="0" fillId="20" borderId="231" xfId="0" applyNumberFormat="1" applyFill="1" applyBorder="1" applyAlignment="1">
      <alignment horizontal="center" vertical="center"/>
    </xf>
    <xf numFmtId="172" fontId="0" fillId="20" borderId="202" xfId="0" applyNumberFormat="1" applyFill="1" applyBorder="1" applyAlignment="1">
      <alignment horizontal="center" vertical="center"/>
    </xf>
    <xf numFmtId="172" fontId="8" fillId="20" borderId="281" xfId="1" applyNumberFormat="1" applyFont="1" applyFill="1" applyBorder="1" applyAlignment="1">
      <alignment horizontal="center" vertical="center"/>
    </xf>
    <xf numFmtId="172" fontId="7" fillId="20" borderId="281" xfId="1" applyNumberFormat="1" applyFont="1" applyFill="1" applyBorder="1" applyAlignment="1">
      <alignment horizontal="center" vertical="center"/>
    </xf>
    <xf numFmtId="172" fontId="0" fillId="20" borderId="281" xfId="0" applyNumberFormat="1" applyFill="1" applyBorder="1" applyAlignment="1">
      <alignment horizontal="center" vertical="center"/>
    </xf>
    <xf numFmtId="172" fontId="7" fillId="20" borderId="222" xfId="0" applyNumberFormat="1" applyFont="1" applyFill="1" applyBorder="1" applyAlignment="1">
      <alignment horizontal="center" vertical="center"/>
    </xf>
    <xf numFmtId="172" fontId="7" fillId="20" borderId="218" xfId="0" applyNumberFormat="1" applyFont="1" applyFill="1" applyBorder="1" applyAlignment="1">
      <alignment horizontal="center" vertical="center"/>
    </xf>
    <xf numFmtId="2" fontId="9" fillId="0" borderId="0" xfId="0" applyNumberFormat="1" applyFont="1" applyAlignment="1">
      <alignment vertical="center"/>
    </xf>
    <xf numFmtId="0" fontId="14" fillId="2" borderId="0" xfId="0" applyFont="1" applyFill="1" applyBorder="1" applyAlignment="1"/>
    <xf numFmtId="173" fontId="12" fillId="2" borderId="0" xfId="0" applyNumberFormat="1" applyFont="1" applyFill="1" applyBorder="1" applyAlignment="1">
      <alignment horizontal="center" vertical="center"/>
    </xf>
    <xf numFmtId="172" fontId="12" fillId="2" borderId="0" xfId="0" applyNumberFormat="1" applyFont="1" applyFill="1" applyBorder="1" applyAlignment="1">
      <alignment horizontal="center" vertical="center"/>
    </xf>
    <xf numFmtId="172" fontId="12" fillId="0" borderId="0" xfId="0" applyNumberFormat="1" applyFont="1" applyBorder="1" applyAlignment="1">
      <alignment horizontal="center" vertical="center"/>
    </xf>
    <xf numFmtId="0" fontId="7" fillId="0" borderId="0" xfId="0" applyFont="1" applyFill="1" applyBorder="1" applyAlignment="1">
      <alignment horizontal="right" wrapText="1"/>
    </xf>
    <xf numFmtId="0" fontId="8" fillId="0" borderId="0" xfId="0"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0" fontId="90" fillId="20" borderId="229" xfId="19" applyFont="1" applyFill="1" applyBorder="1" applyAlignment="1">
      <alignment horizontal="center"/>
    </xf>
    <xf numFmtId="2" fontId="90" fillId="20" borderId="0" xfId="19" applyNumberFormat="1" applyFont="1" applyFill="1"/>
    <xf numFmtId="0" fontId="91" fillId="20" borderId="230" xfId="19" applyFont="1" applyFill="1" applyBorder="1" applyAlignment="1">
      <alignment horizontal="center" vertical="center"/>
    </xf>
    <xf numFmtId="165" fontId="0" fillId="20" borderId="0" xfId="0" applyNumberFormat="1" applyFill="1"/>
    <xf numFmtId="0" fontId="0" fillId="20" borderId="153" xfId="0" applyFill="1" applyBorder="1" applyAlignment="1">
      <alignment horizontal="center"/>
    </xf>
    <xf numFmtId="0" fontId="0" fillId="20" borderId="153" xfId="0" applyFill="1" applyBorder="1" applyAlignment="1">
      <alignment horizontal="center" vertical="center"/>
    </xf>
    <xf numFmtId="172" fontId="8" fillId="20" borderId="153" xfId="0" applyNumberFormat="1" applyFont="1" applyFill="1" applyBorder="1" applyAlignment="1">
      <alignment horizontal="center" vertical="center"/>
    </xf>
    <xf numFmtId="172" fontId="0" fillId="20" borderId="153" xfId="0" applyNumberFormat="1" applyFill="1" applyBorder="1" applyAlignment="1">
      <alignment horizontal="center" vertical="center"/>
    </xf>
    <xf numFmtId="0" fontId="90" fillId="20" borderId="0" xfId="20" applyFont="1" applyFill="1" applyBorder="1"/>
    <xf numFmtId="0" fontId="90" fillId="20" borderId="152" xfId="19" applyFont="1" applyFill="1" applyBorder="1"/>
    <xf numFmtId="166" fontId="14" fillId="20" borderId="0" xfId="0" applyNumberFormat="1" applyFont="1" applyFill="1" applyBorder="1"/>
    <xf numFmtId="166" fontId="84" fillId="20" borderId="0" xfId="0" applyNumberFormat="1" applyFont="1" applyFill="1" applyBorder="1"/>
    <xf numFmtId="0" fontId="90" fillId="20" borderId="327" xfId="16" applyFont="1" applyFill="1" applyBorder="1" applyAlignment="1">
      <alignment horizontal="center" vertical="center" wrapText="1"/>
    </xf>
    <xf numFmtId="172" fontId="91" fillId="20" borderId="327" xfId="16" applyNumberFormat="1" applyFont="1" applyFill="1" applyBorder="1" applyAlignment="1" applyProtection="1">
      <alignment horizontal="center" vertical="center"/>
    </xf>
    <xf numFmtId="172" fontId="90" fillId="20" borderId="327" xfId="16" applyNumberFormat="1" applyFont="1" applyFill="1" applyBorder="1" applyAlignment="1">
      <alignment horizontal="center" vertical="center"/>
    </xf>
    <xf numFmtId="172" fontId="90" fillId="20" borderId="327" xfId="16" applyNumberFormat="1" applyFont="1" applyFill="1" applyBorder="1" applyAlignment="1" applyProtection="1">
      <alignment horizontal="center" vertical="center"/>
    </xf>
    <xf numFmtId="0" fontId="90" fillId="20" borderId="327" xfId="17" applyFont="1" applyFill="1" applyBorder="1" applyAlignment="1">
      <alignment horizontal="center" vertical="center"/>
    </xf>
    <xf numFmtId="172" fontId="91" fillId="20" borderId="327" xfId="17" applyNumberFormat="1" applyFont="1" applyFill="1" applyBorder="1" applyAlignment="1" applyProtection="1">
      <alignment horizontal="center" vertical="center"/>
    </xf>
    <xf numFmtId="172" fontId="90" fillId="20" borderId="327" xfId="17" applyNumberFormat="1" applyFont="1" applyFill="1" applyBorder="1" applyAlignment="1">
      <alignment horizontal="center" vertical="center"/>
    </xf>
    <xf numFmtId="0" fontId="90" fillId="20" borderId="327" xfId="18" applyFont="1" applyFill="1" applyBorder="1" applyAlignment="1">
      <alignment horizontal="center" vertical="center"/>
    </xf>
    <xf numFmtId="172" fontId="91" fillId="20" borderId="327" xfId="18" applyNumberFormat="1" applyFont="1" applyFill="1" applyBorder="1" applyAlignment="1" applyProtection="1">
      <alignment horizontal="center" vertical="center"/>
    </xf>
    <xf numFmtId="172" fontId="90" fillId="20" borderId="327" xfId="18" applyNumberFormat="1" applyFont="1" applyFill="1" applyBorder="1" applyAlignment="1">
      <alignment horizontal="center" vertical="center"/>
    </xf>
    <xf numFmtId="172" fontId="90" fillId="20" borderId="327" xfId="18" applyNumberFormat="1" applyFont="1" applyFill="1" applyBorder="1" applyAlignment="1" applyProtection="1">
      <alignment horizontal="center" vertical="center"/>
    </xf>
    <xf numFmtId="0" fontId="90" fillId="20" borderId="327" xfId="16" applyFont="1" applyFill="1" applyBorder="1" applyAlignment="1">
      <alignment horizontal="center" vertical="center"/>
    </xf>
    <xf numFmtId="0" fontId="93" fillId="20" borderId="327" xfId="19" applyFont="1" applyFill="1" applyBorder="1" applyAlignment="1">
      <alignment horizontal="center" vertical="center"/>
    </xf>
    <xf numFmtId="172" fontId="91" fillId="20" borderId="327" xfId="19" applyNumberFormat="1" applyFont="1" applyFill="1" applyBorder="1" applyAlignment="1">
      <alignment horizontal="center" vertical="center"/>
    </xf>
    <xf numFmtId="172" fontId="93" fillId="20" borderId="327" xfId="19" applyNumberFormat="1" applyFont="1" applyFill="1" applyBorder="1" applyAlignment="1">
      <alignment horizontal="center" vertical="center"/>
    </xf>
    <xf numFmtId="172" fontId="90" fillId="20" borderId="327" xfId="19" applyNumberFormat="1" applyFont="1" applyFill="1" applyBorder="1" applyAlignment="1">
      <alignment horizontal="center" vertical="center"/>
    </xf>
    <xf numFmtId="0" fontId="90" fillId="20" borderId="327" xfId="19" applyFont="1" applyFill="1" applyBorder="1" applyAlignment="1">
      <alignment horizontal="center" vertical="center"/>
    </xf>
    <xf numFmtId="0" fontId="90" fillId="20" borderId="327" xfId="20" applyFont="1" applyFill="1" applyBorder="1" applyAlignment="1">
      <alignment horizontal="center" vertical="center"/>
    </xf>
    <xf numFmtId="172" fontId="91" fillId="20" borderId="327" xfId="20" applyNumberFormat="1" applyFont="1" applyFill="1" applyBorder="1" applyAlignment="1">
      <alignment horizontal="center" vertical="center"/>
    </xf>
    <xf numFmtId="172" fontId="90" fillId="20" borderId="327" xfId="20" applyNumberFormat="1" applyFont="1" applyFill="1" applyBorder="1" applyAlignment="1">
      <alignment horizontal="center" vertical="center"/>
    </xf>
    <xf numFmtId="168" fontId="90" fillId="20" borderId="327" xfId="19" applyNumberFormat="1" applyFont="1" applyFill="1" applyBorder="1" applyAlignment="1">
      <alignment horizontal="center" vertical="center"/>
    </xf>
    <xf numFmtId="172" fontId="90" fillId="20" borderId="327" xfId="0" applyNumberFormat="1" applyFont="1" applyFill="1" applyBorder="1" applyAlignment="1" applyProtection="1">
      <alignment horizontal="center" vertical="center"/>
    </xf>
    <xf numFmtId="172" fontId="90" fillId="20" borderId="327" xfId="0" applyNumberFormat="1" applyFont="1" applyFill="1" applyBorder="1" applyAlignment="1">
      <alignment horizontal="center" vertical="center"/>
    </xf>
    <xf numFmtId="0" fontId="7" fillId="20" borderId="327" xfId="0" applyFont="1" applyFill="1" applyBorder="1" applyAlignment="1">
      <alignment horizontal="center" vertical="center"/>
    </xf>
    <xf numFmtId="172" fontId="8" fillId="20" borderId="327" xfId="1" applyNumberFormat="1" applyFont="1" applyFill="1" applyBorder="1" applyAlignment="1">
      <alignment horizontal="center" vertical="center"/>
    </xf>
    <xf numFmtId="172" fontId="7" fillId="20" borderId="327" xfId="1" applyNumberFormat="1" applyFont="1" applyFill="1" applyBorder="1" applyAlignment="1">
      <alignment horizontal="center" vertical="center"/>
    </xf>
    <xf numFmtId="172" fontId="0" fillId="20" borderId="327" xfId="0" applyNumberFormat="1" applyFill="1" applyBorder="1" applyAlignment="1">
      <alignment horizontal="center" vertical="center"/>
    </xf>
    <xf numFmtId="168" fontId="7" fillId="20" borderId="327" xfId="0" applyNumberFormat="1" applyFont="1" applyFill="1" applyBorder="1" applyAlignment="1">
      <alignment horizontal="center" vertical="center"/>
    </xf>
    <xf numFmtId="168" fontId="7" fillId="20" borderId="327" xfId="1" applyNumberFormat="1" applyFont="1" applyFill="1" applyBorder="1" applyAlignment="1">
      <alignment horizontal="center" vertical="center"/>
    </xf>
    <xf numFmtId="0" fontId="0" fillId="0" borderId="0" xfId="0"/>
    <xf numFmtId="0" fontId="90" fillId="20" borderId="327" xfId="21" applyFont="1" applyFill="1" applyBorder="1" applyAlignment="1">
      <alignment horizontal="center" vertical="center"/>
    </xf>
    <xf numFmtId="172" fontId="95" fillId="20" borderId="327" xfId="21" applyNumberFormat="1" applyFont="1" applyFill="1" applyBorder="1" applyAlignment="1" applyProtection="1">
      <alignment horizontal="center" vertical="center"/>
    </xf>
    <xf numFmtId="172" fontId="90" fillId="20" borderId="327" xfId="21" applyNumberFormat="1" applyFont="1" applyFill="1" applyBorder="1" applyAlignment="1">
      <alignment horizontal="center" vertical="center"/>
    </xf>
    <xf numFmtId="172" fontId="91" fillId="20" borderId="327" xfId="21" applyNumberFormat="1" applyFont="1" applyFill="1" applyBorder="1" applyAlignment="1">
      <alignment horizontal="center" vertical="center"/>
    </xf>
    <xf numFmtId="165" fontId="90" fillId="20" borderId="327" xfId="0" applyNumberFormat="1" applyFont="1" applyFill="1" applyBorder="1" applyAlignment="1">
      <alignment horizontal="center" vertical="center"/>
    </xf>
    <xf numFmtId="172" fontId="95" fillId="20" borderId="327" xfId="0" applyNumberFormat="1" applyFont="1" applyFill="1" applyBorder="1" applyAlignment="1" applyProtection="1">
      <alignment horizontal="center" vertical="center"/>
    </xf>
    <xf numFmtId="172" fontId="92" fillId="20" borderId="327" xfId="0" applyNumberFormat="1" applyFont="1" applyFill="1" applyBorder="1" applyAlignment="1" applyProtection="1">
      <alignment horizontal="center" vertical="center"/>
    </xf>
    <xf numFmtId="165" fontId="91" fillId="20" borderId="0" xfId="0" applyNumberFormat="1" applyFont="1" applyFill="1" applyBorder="1" applyProtection="1"/>
    <xf numFmtId="165" fontId="91" fillId="20" borderId="285" xfId="0" applyNumberFormat="1" applyFont="1" applyFill="1" applyBorder="1" applyAlignment="1" applyProtection="1">
      <alignment horizontal="center"/>
    </xf>
    <xf numFmtId="165" fontId="91" fillId="20" borderId="286" xfId="0" applyNumberFormat="1" applyFont="1" applyFill="1" applyBorder="1" applyProtection="1"/>
    <xf numFmtId="165" fontId="91" fillId="20" borderId="261" xfId="0" applyNumberFormat="1" applyFont="1" applyFill="1" applyBorder="1" applyProtection="1"/>
    <xf numFmtId="165" fontId="91" fillId="20" borderId="221" xfId="0" applyNumberFormat="1" applyFont="1" applyFill="1" applyBorder="1" applyProtection="1"/>
    <xf numFmtId="165" fontId="91" fillId="20" borderId="261" xfId="0" applyNumberFormat="1" applyFont="1" applyFill="1" applyBorder="1" applyAlignment="1" applyProtection="1">
      <alignment horizontal="center"/>
    </xf>
    <xf numFmtId="165" fontId="91" fillId="20" borderId="221" xfId="0" applyNumberFormat="1" applyFont="1" applyFill="1" applyBorder="1" applyAlignment="1" applyProtection="1">
      <alignment horizontal="center"/>
    </xf>
    <xf numFmtId="165" fontId="91" fillId="20" borderId="305" xfId="0" applyNumberFormat="1" applyFont="1" applyFill="1" applyBorder="1" applyAlignment="1" applyProtection="1">
      <alignment horizontal="center" wrapText="1"/>
    </xf>
    <xf numFmtId="165" fontId="91" fillId="20" borderId="312" xfId="0" applyNumberFormat="1" applyFont="1" applyFill="1" applyBorder="1" applyAlignment="1" applyProtection="1">
      <alignment horizontal="center" vertical="center" wrapText="1"/>
    </xf>
    <xf numFmtId="168" fontId="90" fillId="20" borderId="261" xfId="0" applyNumberFormat="1" applyFont="1" applyFill="1" applyBorder="1" applyAlignment="1">
      <alignment horizontal="center" vertical="center"/>
    </xf>
    <xf numFmtId="0" fontId="90" fillId="20" borderId="230" xfId="0" applyFont="1" applyFill="1" applyBorder="1" applyAlignment="1">
      <alignment horizontal="center"/>
    </xf>
    <xf numFmtId="0" fontId="90" fillId="20" borderId="222" xfId="0" applyFont="1" applyFill="1" applyBorder="1" applyAlignment="1">
      <alignment horizontal="center"/>
    </xf>
    <xf numFmtId="168" fontId="91" fillId="20" borderId="222" xfId="0" applyNumberFormat="1" applyFont="1" applyFill="1" applyBorder="1" applyAlignment="1" applyProtection="1">
      <alignment horizontal="center" vertical="center"/>
    </xf>
    <xf numFmtId="0" fontId="91" fillId="20" borderId="222" xfId="0" applyFont="1" applyFill="1" applyBorder="1" applyAlignment="1">
      <alignment horizontal="center"/>
    </xf>
    <xf numFmtId="168" fontId="90" fillId="20" borderId="327" xfId="0" applyNumberFormat="1" applyFont="1" applyFill="1" applyBorder="1" applyAlignment="1">
      <alignment horizontal="center" vertical="center"/>
    </xf>
    <xf numFmtId="168" fontId="91" fillId="20" borderId="330" xfId="0" applyNumberFormat="1" applyFont="1" applyFill="1" applyBorder="1" applyAlignment="1" applyProtection="1">
      <alignment horizontal="center" vertical="center"/>
    </xf>
    <xf numFmtId="172" fontId="91" fillId="20" borderId="330" xfId="0" applyNumberFormat="1" applyFont="1" applyFill="1" applyBorder="1" applyAlignment="1" applyProtection="1">
      <alignment horizontal="center" vertical="center"/>
    </xf>
    <xf numFmtId="0" fontId="90" fillId="20" borderId="222" xfId="0" applyFont="1" applyFill="1" applyBorder="1" applyAlignment="1">
      <alignment horizontal="center" vertical="top"/>
    </xf>
    <xf numFmtId="0" fontId="91" fillId="20" borderId="222" xfId="0" applyFont="1" applyFill="1" applyBorder="1" applyAlignment="1">
      <alignment horizontal="center" vertical="top"/>
    </xf>
    <xf numFmtId="0" fontId="90" fillId="20" borderId="222" xfId="0" applyFont="1" applyFill="1" applyBorder="1" applyAlignment="1">
      <alignment horizontal="center" vertical="center"/>
    </xf>
    <xf numFmtId="0" fontId="91" fillId="20" borderId="222" xfId="0" applyFont="1" applyFill="1" applyBorder="1" applyAlignment="1">
      <alignment horizontal="center" vertical="center"/>
    </xf>
    <xf numFmtId="0" fontId="91" fillId="20" borderId="230" xfId="0" applyFont="1" applyFill="1" applyBorder="1" applyAlignment="1">
      <alignment horizontal="center" vertical="center"/>
    </xf>
    <xf numFmtId="0" fontId="91" fillId="20" borderId="230" xfId="0" applyFont="1" applyFill="1" applyBorder="1" applyAlignment="1">
      <alignment horizontal="center"/>
    </xf>
    <xf numFmtId="168" fontId="90" fillId="20" borderId="221" xfId="0" applyNumberFormat="1" applyFont="1" applyFill="1" applyBorder="1" applyAlignment="1" applyProtection="1">
      <alignment horizontal="center" vertical="center"/>
    </xf>
    <xf numFmtId="165" fontId="90" fillId="20" borderId="285" xfId="0" applyNumberFormat="1" applyFont="1" applyFill="1" applyBorder="1" applyAlignment="1" applyProtection="1">
      <alignment horizontal="center"/>
    </xf>
    <xf numFmtId="165" fontId="90" fillId="20" borderId="286" xfId="0" applyNumberFormat="1" applyFont="1" applyFill="1" applyBorder="1" applyAlignment="1" applyProtection="1">
      <alignment horizontal="center"/>
    </xf>
    <xf numFmtId="0" fontId="14" fillId="20" borderId="0" xfId="0" applyFont="1" applyFill="1" applyBorder="1" applyAlignment="1">
      <alignment vertical="center"/>
    </xf>
    <xf numFmtId="0" fontId="0" fillId="0" borderId="0" xfId="0"/>
    <xf numFmtId="0" fontId="90" fillId="20" borderId="327" xfId="0" applyFont="1" applyFill="1" applyBorder="1" applyAlignment="1">
      <alignment horizontal="center" vertical="center"/>
    </xf>
    <xf numFmtId="0" fontId="90" fillId="20" borderId="327" xfId="21" applyFont="1" applyFill="1" applyBorder="1" applyAlignment="1">
      <alignment horizontal="center"/>
    </xf>
    <xf numFmtId="0" fontId="12" fillId="20" borderId="327" xfId="0" applyNumberFormat="1" applyFont="1" applyFill="1" applyBorder="1" applyAlignment="1">
      <alignment horizontal="center" vertical="center"/>
    </xf>
    <xf numFmtId="0" fontId="90" fillId="20" borderId="331" xfId="0" applyFont="1" applyFill="1" applyBorder="1" applyAlignment="1">
      <alignment horizontal="center"/>
    </xf>
    <xf numFmtId="165" fontId="91" fillId="20" borderId="221" xfId="18" applyNumberFormat="1" applyFont="1" applyFill="1" applyBorder="1" applyAlignment="1" applyProtection="1"/>
    <xf numFmtId="165" fontId="91" fillId="20" borderId="327" xfId="18" applyNumberFormat="1" applyFont="1" applyFill="1" applyBorder="1" applyAlignment="1" applyProtection="1">
      <alignment horizontal="center" vertical="center"/>
    </xf>
    <xf numFmtId="165" fontId="91" fillId="20" borderId="301" xfId="18" applyNumberFormat="1" applyFont="1" applyFill="1" applyBorder="1" applyAlignment="1" applyProtection="1">
      <alignment horizontal="center" vertical="center"/>
    </xf>
    <xf numFmtId="165" fontId="91" fillId="20" borderId="322" xfId="18" applyNumberFormat="1" applyFont="1" applyFill="1" applyBorder="1" applyAlignment="1" applyProtection="1">
      <alignment horizontal="center" vertical="center"/>
    </xf>
    <xf numFmtId="0" fontId="8" fillId="20" borderId="269" xfId="0" applyFont="1" applyFill="1" applyBorder="1" applyAlignment="1">
      <alignment horizontal="center" vertical="center"/>
    </xf>
    <xf numFmtId="0" fontId="8" fillId="20" borderId="327" xfId="0" applyFont="1" applyFill="1" applyBorder="1"/>
    <xf numFmtId="0" fontId="7" fillId="20" borderId="327" xfId="0" applyFont="1" applyFill="1" applyBorder="1"/>
    <xf numFmtId="0" fontId="0" fillId="0" borderId="0" xfId="0" applyProtection="1">
      <protection locked="0"/>
    </xf>
    <xf numFmtId="165" fontId="90" fillId="20" borderId="0" xfId="0" applyNumberFormat="1" applyFont="1" applyFill="1" applyProtection="1">
      <protection locked="0"/>
    </xf>
    <xf numFmtId="165" fontId="91" fillId="20" borderId="0" xfId="0" applyNumberFormat="1" applyFont="1" applyFill="1" applyBorder="1" applyAlignment="1" applyProtection="1">
      <alignment horizontal="center"/>
      <protection locked="0"/>
    </xf>
    <xf numFmtId="165" fontId="91" fillId="20" borderId="0" xfId="0" applyNumberFormat="1" applyFont="1" applyFill="1" applyAlignment="1" applyProtection="1">
      <alignment horizontal="center"/>
      <protection locked="0"/>
    </xf>
    <xf numFmtId="0" fontId="0" fillId="20" borderId="0" xfId="0" applyFill="1" applyProtection="1">
      <protection locked="0"/>
    </xf>
    <xf numFmtId="165" fontId="91" fillId="20" borderId="276" xfId="0" applyNumberFormat="1" applyFont="1" applyFill="1" applyBorder="1" applyAlignment="1" applyProtection="1">
      <alignment horizontal="center"/>
      <protection locked="0"/>
    </xf>
    <xf numFmtId="165" fontId="91" fillId="20" borderId="244" xfId="0" applyNumberFormat="1" applyFont="1" applyFill="1" applyBorder="1" applyAlignment="1" applyProtection="1">
      <alignment horizontal="center"/>
      <protection locked="0"/>
    </xf>
    <xf numFmtId="165" fontId="91" fillId="20" borderId="245" xfId="0" applyNumberFormat="1" applyFont="1" applyFill="1" applyBorder="1" applyAlignment="1" applyProtection="1">
      <alignment horizontal="center"/>
      <protection locked="0"/>
    </xf>
    <xf numFmtId="165" fontId="91" fillId="20" borderId="220" xfId="0" applyNumberFormat="1" applyFont="1" applyFill="1" applyBorder="1" applyAlignment="1" applyProtection="1">
      <alignment horizontal="center"/>
      <protection locked="0"/>
    </xf>
    <xf numFmtId="165" fontId="91" fillId="20" borderId="258" xfId="0" applyNumberFormat="1" applyFont="1" applyFill="1" applyBorder="1" applyAlignment="1" applyProtection="1">
      <alignment horizontal="center"/>
      <protection locked="0"/>
    </xf>
    <xf numFmtId="165" fontId="91" fillId="20" borderId="269" xfId="0" applyNumberFormat="1" applyFont="1" applyFill="1" applyBorder="1" applyAlignment="1" applyProtection="1">
      <alignment horizontal="center"/>
      <protection locked="0"/>
    </xf>
    <xf numFmtId="165" fontId="91" fillId="20" borderId="265" xfId="0" applyNumberFormat="1" applyFont="1" applyFill="1" applyBorder="1" applyAlignment="1" applyProtection="1">
      <alignment horizontal="center"/>
      <protection locked="0"/>
    </xf>
    <xf numFmtId="165" fontId="91" fillId="20" borderId="209" xfId="0" applyNumberFormat="1" applyFont="1" applyFill="1" applyBorder="1" applyAlignment="1" applyProtection="1">
      <alignment horizontal="center"/>
      <protection locked="0"/>
    </xf>
    <xf numFmtId="165" fontId="90" fillId="20" borderId="0" xfId="0" applyNumberFormat="1" applyFont="1" applyFill="1" applyBorder="1" applyAlignment="1" applyProtection="1">
      <alignment horizontal="center"/>
      <protection locked="0"/>
    </xf>
    <xf numFmtId="165" fontId="90" fillId="20" borderId="209" xfId="0" applyNumberFormat="1" applyFont="1" applyFill="1" applyBorder="1" applyAlignment="1" applyProtection="1">
      <alignment horizontal="center"/>
      <protection locked="0"/>
    </xf>
    <xf numFmtId="165" fontId="91" fillId="20" borderId="229" xfId="0" applyNumberFormat="1" applyFont="1" applyFill="1" applyBorder="1" applyAlignment="1" applyProtection="1">
      <alignment horizontal="center"/>
      <protection locked="0"/>
    </xf>
    <xf numFmtId="165" fontId="91" fillId="20" borderId="240" xfId="0" applyNumberFormat="1" applyFont="1" applyFill="1" applyBorder="1" applyAlignment="1" applyProtection="1">
      <alignment horizontal="center"/>
      <protection locked="0"/>
    </xf>
    <xf numFmtId="165" fontId="91" fillId="20" borderId="273" xfId="0" applyNumberFormat="1" applyFont="1" applyFill="1" applyBorder="1" applyAlignment="1" applyProtection="1">
      <alignment horizontal="center"/>
      <protection locked="0"/>
    </xf>
    <xf numFmtId="165" fontId="91" fillId="20" borderId="163" xfId="0" applyNumberFormat="1" applyFont="1" applyFill="1" applyBorder="1" applyAlignment="1" applyProtection="1">
      <alignment horizontal="center"/>
      <protection locked="0"/>
    </xf>
    <xf numFmtId="165" fontId="91" fillId="20" borderId="268" xfId="0" applyNumberFormat="1" applyFont="1" applyFill="1" applyBorder="1" applyAlignment="1" applyProtection="1">
      <alignment horizontal="center"/>
      <protection locked="0"/>
    </xf>
    <xf numFmtId="165" fontId="90" fillId="20" borderId="279" xfId="0" applyNumberFormat="1" applyFont="1" applyFill="1" applyBorder="1" applyAlignment="1" applyProtection="1">
      <alignment horizontal="center"/>
      <protection locked="0"/>
    </xf>
    <xf numFmtId="165" fontId="90" fillId="20" borderId="222" xfId="0" applyNumberFormat="1" applyFont="1" applyFill="1" applyBorder="1" applyAlignment="1" applyProtection="1">
      <alignment horizontal="center"/>
      <protection locked="0"/>
    </xf>
    <xf numFmtId="165" fontId="90" fillId="20" borderId="219" xfId="0" applyNumberFormat="1" applyFont="1" applyFill="1" applyBorder="1" applyAlignment="1" applyProtection="1">
      <alignment horizontal="center"/>
      <protection locked="0"/>
    </xf>
    <xf numFmtId="165" fontId="90" fillId="20" borderId="229" xfId="0" applyNumberFormat="1" applyFont="1" applyFill="1" applyBorder="1" applyAlignment="1" applyProtection="1">
      <alignment horizontal="center"/>
      <protection locked="0"/>
    </xf>
    <xf numFmtId="165" fontId="90" fillId="20" borderId="220" xfId="0" applyNumberFormat="1" applyFont="1" applyFill="1" applyBorder="1" applyAlignment="1" applyProtection="1">
      <alignment horizontal="center"/>
      <protection locked="0"/>
    </xf>
    <xf numFmtId="165" fontId="90" fillId="20" borderId="0" xfId="0" applyNumberFormat="1" applyFont="1" applyFill="1" applyBorder="1" applyProtection="1">
      <protection locked="0"/>
    </xf>
    <xf numFmtId="165" fontId="90" fillId="20" borderId="280" xfId="0" applyNumberFormat="1" applyFon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280" xfId="0" applyFill="1" applyBorder="1" applyAlignment="1" applyProtection="1">
      <alignment horizontal="center"/>
      <protection locked="0"/>
    </xf>
    <xf numFmtId="167" fontId="91" fillId="20" borderId="222" xfId="0" applyNumberFormat="1" applyFont="1" applyFill="1" applyBorder="1" applyAlignment="1" applyProtection="1">
      <alignment horizontal="center" vertical="center"/>
      <protection locked="0"/>
    </xf>
    <xf numFmtId="0" fontId="0" fillId="20" borderId="222" xfId="0" applyFill="1" applyBorder="1" applyAlignment="1" applyProtection="1">
      <alignment horizontal="center" vertical="center"/>
      <protection locked="0"/>
    </xf>
    <xf numFmtId="165" fontId="90" fillId="20" borderId="222" xfId="0" applyNumberFormat="1" applyFont="1" applyFill="1" applyBorder="1" applyAlignment="1" applyProtection="1">
      <alignment horizontal="center" vertical="center"/>
      <protection locked="0"/>
    </xf>
    <xf numFmtId="172" fontId="91" fillId="20" borderId="222" xfId="0" applyNumberFormat="1" applyFont="1" applyFill="1" applyBorder="1" applyAlignment="1" applyProtection="1">
      <alignment horizontal="center" vertical="center"/>
      <protection locked="0"/>
    </xf>
    <xf numFmtId="172" fontId="90" fillId="20" borderId="222" xfId="0" applyNumberFormat="1" applyFont="1" applyFill="1" applyBorder="1" applyAlignment="1" applyProtection="1">
      <alignment horizontal="center" vertical="center"/>
      <protection locked="0"/>
    </xf>
    <xf numFmtId="167" fontId="91" fillId="20" borderId="279" xfId="0" applyNumberFormat="1" applyFont="1" applyFill="1" applyBorder="1" applyAlignment="1" applyProtection="1">
      <alignment horizontal="center" vertical="center"/>
      <protection locked="0"/>
    </xf>
    <xf numFmtId="172" fontId="8" fillId="20" borderId="222" xfId="0" applyNumberFormat="1" applyFont="1" applyFill="1" applyBorder="1" applyAlignment="1" applyProtection="1">
      <alignment horizontal="center" vertical="center"/>
      <protection locked="0"/>
    </xf>
    <xf numFmtId="172" fontId="0" fillId="20" borderId="222" xfId="0" applyNumberFormat="1" applyFill="1" applyBorder="1" applyAlignment="1" applyProtection="1">
      <alignment horizontal="center" vertical="center"/>
      <protection locked="0"/>
    </xf>
    <xf numFmtId="165" fontId="90" fillId="20" borderId="279" xfId="0" applyNumberFormat="1" applyFont="1" applyFill="1" applyBorder="1" applyAlignment="1" applyProtection="1">
      <alignment horizontal="center" vertical="center"/>
      <protection locked="0"/>
    </xf>
    <xf numFmtId="165" fontId="90" fillId="20" borderId="281" xfId="0" applyNumberFormat="1" applyFont="1" applyFill="1" applyBorder="1" applyAlignment="1" applyProtection="1">
      <alignment horizontal="center" vertical="center"/>
      <protection locked="0"/>
    </xf>
    <xf numFmtId="172" fontId="91" fillId="20" borderId="281" xfId="0" applyNumberFormat="1" applyFont="1" applyFill="1" applyBorder="1" applyAlignment="1" applyProtection="1">
      <alignment horizontal="center" vertical="center"/>
      <protection locked="0"/>
    </xf>
    <xf numFmtId="172" fontId="90" fillId="20" borderId="281" xfId="0" applyNumberFormat="1" applyFont="1" applyFill="1" applyBorder="1" applyAlignment="1" applyProtection="1">
      <alignment horizontal="center" vertical="center"/>
      <protection locked="0"/>
    </xf>
    <xf numFmtId="165" fontId="90" fillId="20" borderId="327" xfId="0" applyNumberFormat="1" applyFont="1" applyFill="1" applyBorder="1" applyAlignment="1" applyProtection="1">
      <alignment horizontal="center" vertical="center"/>
      <protection locked="0"/>
    </xf>
    <xf numFmtId="172" fontId="91" fillId="20" borderId="327" xfId="0" applyNumberFormat="1" applyFont="1" applyFill="1" applyBorder="1" applyAlignment="1" applyProtection="1">
      <alignment horizontal="center" vertical="center"/>
      <protection locked="0"/>
    </xf>
    <xf numFmtId="172" fontId="90" fillId="20" borderId="327"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165" fontId="91" fillId="20" borderId="327" xfId="19" applyNumberFormat="1" applyFont="1" applyFill="1" applyBorder="1" applyAlignment="1" applyProtection="1">
      <alignment horizontal="center"/>
    </xf>
    <xf numFmtId="165" fontId="91" fillId="20" borderId="269" xfId="19" applyNumberFormat="1" applyFont="1" applyFill="1" applyBorder="1" applyAlignment="1" applyProtection="1">
      <alignment horizontal="center"/>
    </xf>
    <xf numFmtId="165" fontId="91" fillId="20" borderId="334" xfId="19" applyNumberFormat="1" applyFont="1" applyFill="1" applyBorder="1" applyAlignment="1" applyProtection="1">
      <alignment horizontal="center"/>
    </xf>
    <xf numFmtId="0" fontId="91" fillId="20" borderId="334" xfId="19" applyFont="1" applyFill="1" applyBorder="1" applyAlignment="1">
      <alignment horizontal="center"/>
    </xf>
    <xf numFmtId="0" fontId="91" fillId="20" borderId="335" xfId="19" applyFont="1" applyFill="1" applyBorder="1" applyAlignment="1">
      <alignment horizontal="center" wrapText="1"/>
    </xf>
    <xf numFmtId="165" fontId="91" fillId="20" borderId="336" xfId="19" applyNumberFormat="1" applyFont="1" applyFill="1" applyBorder="1" applyAlignment="1" applyProtection="1">
      <alignment horizontal="center"/>
    </xf>
    <xf numFmtId="0" fontId="0" fillId="0" borderId="0" xfId="0"/>
    <xf numFmtId="172" fontId="91" fillId="20" borderId="327" xfId="0" applyNumberFormat="1" applyFont="1" applyFill="1" applyBorder="1" applyAlignment="1" applyProtection="1">
      <alignment horizontal="center" vertical="center"/>
    </xf>
    <xf numFmtId="0" fontId="0" fillId="20" borderId="0" xfId="0" applyFill="1" applyBorder="1"/>
    <xf numFmtId="0" fontId="0" fillId="0" borderId="0" xfId="0"/>
    <xf numFmtId="0" fontId="7" fillId="20" borderId="337" xfId="0" applyFont="1" applyFill="1" applyBorder="1"/>
    <xf numFmtId="0" fontId="8" fillId="20" borderId="0" xfId="0" applyFont="1" applyFill="1" applyBorder="1"/>
    <xf numFmtId="0" fontId="0" fillId="0" borderId="0" xfId="0"/>
    <xf numFmtId="0" fontId="12" fillId="20" borderId="281" xfId="0" applyNumberFormat="1" applyFont="1" applyFill="1" applyBorder="1" applyAlignment="1">
      <alignment horizontal="center" vertical="center"/>
    </xf>
    <xf numFmtId="0" fontId="12" fillId="20" borderId="287" xfId="0" applyNumberFormat="1" applyFont="1" applyFill="1" applyBorder="1" applyAlignment="1">
      <alignment horizontal="center" vertical="center"/>
    </xf>
    <xf numFmtId="0" fontId="12" fillId="20" borderId="222" xfId="0" applyNumberFormat="1" applyFont="1" applyFill="1" applyBorder="1" applyAlignment="1">
      <alignment horizontal="center" vertical="center"/>
    </xf>
    <xf numFmtId="0" fontId="12" fillId="20" borderId="226" xfId="0" applyNumberFormat="1" applyFont="1" applyFill="1" applyBorder="1" applyAlignment="1">
      <alignment horizontal="center" vertical="center"/>
    </xf>
    <xf numFmtId="0" fontId="12" fillId="20" borderId="0" xfId="0" applyNumberFormat="1" applyFont="1" applyFill="1" applyBorder="1" applyAlignment="1">
      <alignment horizontal="center" vertical="center"/>
    </xf>
    <xf numFmtId="0" fontId="12" fillId="20" borderId="328" xfId="0" applyNumberFormat="1" applyFont="1" applyFill="1" applyBorder="1" applyAlignment="1">
      <alignment horizontal="center" vertical="center"/>
    </xf>
    <xf numFmtId="0" fontId="12" fillId="20" borderId="269" xfId="0" applyNumberFormat="1" applyFont="1" applyFill="1" applyBorder="1" applyAlignment="1">
      <alignment horizontal="center" vertical="center"/>
    </xf>
    <xf numFmtId="0" fontId="12" fillId="20" borderId="329" xfId="0" applyNumberFormat="1" applyFont="1" applyFill="1" applyBorder="1" applyAlignment="1">
      <alignment horizontal="center" vertical="center"/>
    </xf>
    <xf numFmtId="0" fontId="12" fillId="20" borderId="337" xfId="0" applyNumberFormat="1" applyFont="1" applyFill="1" applyBorder="1" applyAlignment="1">
      <alignment horizontal="center" vertical="center"/>
    </xf>
    <xf numFmtId="0" fontId="12" fillId="20" borderId="210" xfId="0" applyNumberFormat="1" applyFont="1" applyFill="1" applyBorder="1" applyAlignment="1">
      <alignment horizontal="center" vertical="center"/>
    </xf>
    <xf numFmtId="0" fontId="12" fillId="20" borderId="23" xfId="0" applyNumberFormat="1" applyFont="1" applyFill="1" applyBorder="1" applyAlignment="1">
      <alignment horizontal="center" vertical="center"/>
    </xf>
    <xf numFmtId="0" fontId="8" fillId="20" borderId="341" xfId="0" applyFont="1" applyFill="1" applyBorder="1" applyAlignment="1">
      <alignment horizontal="center" vertical="center"/>
    </xf>
    <xf numFmtId="181" fontId="8" fillId="20" borderId="0" xfId="1" applyNumberFormat="1" applyFont="1" applyFill="1" applyBorder="1" applyAlignment="1">
      <alignment horizontal="center" vertical="center"/>
    </xf>
    <xf numFmtId="181" fontId="8" fillId="20" borderId="279" xfId="1" applyNumberFormat="1" applyFont="1" applyFill="1" applyBorder="1" applyAlignment="1">
      <alignment horizontal="center" vertical="center"/>
    </xf>
    <xf numFmtId="176" fontId="8" fillId="20" borderId="317" xfId="1" applyNumberFormat="1" applyFont="1" applyFill="1" applyBorder="1" applyAlignment="1">
      <alignment horizontal="center" vertical="center"/>
    </xf>
    <xf numFmtId="176" fontId="8" fillId="20" borderId="340" xfId="1" applyNumberFormat="1" applyFont="1" applyFill="1" applyBorder="1" applyAlignment="1">
      <alignment horizontal="center" vertical="center"/>
    </xf>
    <xf numFmtId="176" fontId="7" fillId="20" borderId="0" xfId="1" applyNumberFormat="1" applyFont="1" applyFill="1" applyBorder="1" applyAlignment="1">
      <alignment horizontal="center" vertical="center"/>
    </xf>
    <xf numFmtId="176" fontId="7" fillId="20" borderId="279" xfId="1" applyNumberFormat="1" applyFont="1" applyFill="1" applyBorder="1" applyAlignment="1">
      <alignment horizontal="center" vertical="center"/>
    </xf>
    <xf numFmtId="176" fontId="8" fillId="20" borderId="0" xfId="1" applyNumberFormat="1" applyFont="1" applyFill="1" applyBorder="1" applyAlignment="1">
      <alignment horizontal="center" vertical="center"/>
    </xf>
    <xf numFmtId="176" fontId="8" fillId="20" borderId="279" xfId="1" applyNumberFormat="1" applyFont="1" applyFill="1" applyBorder="1" applyAlignment="1">
      <alignment horizontal="center" vertical="center"/>
    </xf>
    <xf numFmtId="176" fontId="7" fillId="20" borderId="269" xfId="1" applyNumberFormat="1" applyFont="1" applyFill="1" applyBorder="1" applyAlignment="1">
      <alignment horizontal="center" vertical="center"/>
    </xf>
    <xf numFmtId="176" fontId="7" fillId="20" borderId="341" xfId="1" applyNumberFormat="1" applyFont="1" applyFill="1" applyBorder="1" applyAlignment="1">
      <alignment horizontal="center" vertical="center"/>
    </xf>
    <xf numFmtId="176" fontId="8" fillId="20" borderId="0" xfId="24" applyNumberFormat="1" applyFont="1" applyFill="1" applyBorder="1" applyAlignment="1">
      <alignment horizontal="center" vertical="center"/>
    </xf>
    <xf numFmtId="176" fontId="7" fillId="20" borderId="0" xfId="24" applyNumberFormat="1" applyFont="1" applyFill="1" applyBorder="1" applyAlignment="1">
      <alignment horizontal="center" vertical="center"/>
    </xf>
    <xf numFmtId="176" fontId="7" fillId="20" borderId="269" xfId="24" applyNumberFormat="1" applyFont="1" applyFill="1" applyBorder="1" applyAlignment="1">
      <alignment horizontal="center" vertical="center"/>
    </xf>
    <xf numFmtId="0" fontId="0" fillId="0" borderId="0" xfId="0" applyBorder="1"/>
    <xf numFmtId="0" fontId="0" fillId="0" borderId="0" xfId="0"/>
    <xf numFmtId="0" fontId="91" fillId="20" borderId="327" xfId="16" applyFont="1" applyFill="1" applyBorder="1" applyAlignment="1">
      <alignment horizontal="center" vertical="center" wrapText="1"/>
    </xf>
    <xf numFmtId="0" fontId="91" fillId="20" borderId="327" xfId="17" applyFont="1" applyFill="1" applyBorder="1" applyAlignment="1">
      <alignment horizontal="center" vertical="center"/>
    </xf>
    <xf numFmtId="0" fontId="91" fillId="20" borderId="327" xfId="18" applyFont="1" applyFill="1" applyBorder="1" applyAlignment="1">
      <alignment horizontal="center" vertical="center"/>
    </xf>
    <xf numFmtId="0" fontId="91" fillId="20" borderId="327" xfId="16" applyFont="1" applyFill="1" applyBorder="1" applyAlignment="1">
      <alignment horizontal="center" vertical="center"/>
    </xf>
    <xf numFmtId="0" fontId="83" fillId="20" borderId="327" xfId="19" applyFont="1" applyFill="1" applyBorder="1" applyAlignment="1">
      <alignment horizontal="center" vertical="center"/>
    </xf>
    <xf numFmtId="0" fontId="91" fillId="20" borderId="327" xfId="19" applyFont="1" applyFill="1" applyBorder="1" applyAlignment="1">
      <alignment horizontal="center" vertical="center"/>
    </xf>
    <xf numFmtId="0" fontId="91" fillId="20" borderId="327" xfId="20" applyFont="1" applyFill="1" applyBorder="1" applyAlignment="1">
      <alignment horizontal="center" vertical="center"/>
    </xf>
    <xf numFmtId="0" fontId="91" fillId="20" borderId="327" xfId="19" applyFont="1" applyFill="1" applyBorder="1" applyAlignment="1">
      <alignment horizontal="center"/>
    </xf>
    <xf numFmtId="0" fontId="90" fillId="20" borderId="327" xfId="19" applyFont="1" applyFill="1" applyBorder="1" applyAlignment="1">
      <alignment horizontal="center"/>
    </xf>
    <xf numFmtId="167" fontId="91" fillId="20" borderId="327" xfId="0" applyNumberFormat="1" applyFont="1" applyFill="1" applyBorder="1" applyAlignment="1" applyProtection="1">
      <alignment horizontal="center" vertical="center"/>
      <protection locked="0"/>
    </xf>
    <xf numFmtId="0" fontId="0" fillId="20" borderId="327" xfId="0" applyFill="1" applyBorder="1" applyAlignment="1" applyProtection="1">
      <alignment horizontal="center"/>
      <protection locked="0"/>
    </xf>
    <xf numFmtId="0" fontId="14" fillId="20" borderId="0" xfId="0" applyFont="1" applyFill="1"/>
    <xf numFmtId="0" fontId="91" fillId="20" borderId="327" xfId="0" applyFont="1" applyFill="1" applyBorder="1" applyAlignment="1">
      <alignment horizontal="center" vertical="center"/>
    </xf>
    <xf numFmtId="0" fontId="7" fillId="20" borderId="327" xfId="0" applyFont="1" applyFill="1" applyBorder="1" applyAlignment="1">
      <alignment horizontal="center"/>
    </xf>
    <xf numFmtId="0" fontId="8" fillId="20" borderId="327" xfId="0" applyFont="1" applyFill="1" applyBorder="1" applyAlignment="1">
      <alignment horizontal="center"/>
    </xf>
    <xf numFmtId="0" fontId="0" fillId="20" borderId="327" xfId="0" applyFill="1" applyBorder="1"/>
    <xf numFmtId="0" fontId="8" fillId="20" borderId="327" xfId="0" applyFont="1" applyFill="1" applyBorder="1" applyAlignment="1">
      <alignment horizontal="center" vertical="center"/>
    </xf>
    <xf numFmtId="0" fontId="0" fillId="20" borderId="327" xfId="0" applyFill="1" applyBorder="1" applyAlignment="1">
      <alignment horizontal="center"/>
    </xf>
    <xf numFmtId="164" fontId="8" fillId="20" borderId="317" xfId="1" applyFont="1" applyFill="1" applyBorder="1" applyAlignment="1">
      <alignment horizontal="center" vertical="center"/>
    </xf>
    <xf numFmtId="164" fontId="8" fillId="20" borderId="340" xfId="1" applyFont="1" applyFill="1" applyBorder="1" applyAlignment="1">
      <alignment horizontal="center" vertical="center"/>
    </xf>
    <xf numFmtId="176" fontId="8" fillId="20" borderId="279" xfId="24" applyNumberFormat="1" applyFont="1" applyFill="1" applyBorder="1" applyAlignment="1">
      <alignment horizontal="center" vertical="center"/>
    </xf>
    <xf numFmtId="176" fontId="7" fillId="20" borderId="279" xfId="24" applyNumberFormat="1" applyFont="1" applyFill="1" applyBorder="1" applyAlignment="1">
      <alignment horizontal="center" vertical="center"/>
    </xf>
    <xf numFmtId="176" fontId="7" fillId="20" borderId="341" xfId="24" applyNumberFormat="1" applyFont="1" applyFill="1" applyBorder="1" applyAlignment="1">
      <alignment horizontal="center" vertical="center"/>
    </xf>
    <xf numFmtId="0" fontId="91" fillId="20" borderId="327" xfId="21" applyFont="1" applyFill="1" applyBorder="1" applyAlignment="1">
      <alignment horizontal="center" vertical="center"/>
    </xf>
    <xf numFmtId="0" fontId="91" fillId="20" borderId="327" xfId="21" applyFont="1" applyFill="1" applyBorder="1" applyAlignment="1">
      <alignment horizontal="center"/>
    </xf>
    <xf numFmtId="176" fontId="8" fillId="20" borderId="285" xfId="1" applyNumberFormat="1" applyFont="1" applyFill="1" applyBorder="1" applyAlignment="1">
      <alignment horizontal="center" vertical="center"/>
    </xf>
    <xf numFmtId="176" fontId="7" fillId="20" borderId="302" xfId="1" applyNumberFormat="1" applyFont="1" applyFill="1" applyBorder="1" applyAlignment="1">
      <alignment horizontal="center" vertical="center"/>
    </xf>
    <xf numFmtId="164" fontId="8" fillId="20" borderId="285" xfId="1" applyFont="1" applyFill="1" applyBorder="1" applyAlignment="1">
      <alignment horizontal="center" vertical="center"/>
    </xf>
    <xf numFmtId="176" fontId="7" fillId="20" borderId="302" xfId="24" applyNumberFormat="1" applyFont="1" applyFill="1" applyBorder="1" applyAlignment="1">
      <alignment horizontal="center" vertical="center"/>
    </xf>
    <xf numFmtId="0" fontId="12" fillId="20" borderId="342" xfId="0" applyNumberFormat="1" applyFont="1" applyFill="1" applyBorder="1" applyAlignment="1">
      <alignment horizontal="center" vertical="center"/>
    </xf>
    <xf numFmtId="0" fontId="91" fillId="20" borderId="242" xfId="19" applyFont="1" applyFill="1" applyBorder="1" applyAlignment="1">
      <alignment horizontal="center" vertical="center"/>
    </xf>
    <xf numFmtId="0" fontId="91" fillId="20" borderId="154" xfId="19" applyFont="1" applyFill="1" applyBorder="1" applyAlignment="1">
      <alignment horizontal="center" vertical="center"/>
    </xf>
    <xf numFmtId="0" fontId="83" fillId="20" borderId="237" xfId="19" applyFont="1" applyFill="1" applyBorder="1" applyAlignment="1">
      <alignment horizontal="center" vertical="center"/>
    </xf>
    <xf numFmtId="176" fontId="7" fillId="20" borderId="343" xfId="1" applyNumberFormat="1" applyFont="1" applyFill="1" applyBorder="1" applyAlignment="1">
      <alignment horizontal="center" vertical="center"/>
    </xf>
    <xf numFmtId="176" fontId="7" fillId="20" borderId="343" xfId="24" applyNumberFormat="1" applyFont="1" applyFill="1" applyBorder="1" applyAlignment="1">
      <alignment horizontal="center" vertical="center"/>
    </xf>
    <xf numFmtId="0" fontId="90" fillId="20" borderId="173" xfId="21" applyFont="1" applyFill="1" applyBorder="1" applyAlignment="1">
      <alignment horizontal="center" vertical="center"/>
    </xf>
    <xf numFmtId="172" fontId="95" fillId="20" borderId="173" xfId="21" applyNumberFormat="1" applyFont="1" applyFill="1" applyBorder="1" applyAlignment="1" applyProtection="1">
      <alignment horizontal="center" vertical="center"/>
    </xf>
    <xf numFmtId="172" fontId="90" fillId="20" borderId="173" xfId="21" applyNumberFormat="1" applyFont="1" applyFill="1" applyBorder="1" applyAlignment="1">
      <alignment horizontal="center" vertical="center"/>
    </xf>
    <xf numFmtId="172" fontId="92" fillId="20" borderId="173" xfId="21" applyNumberFormat="1" applyFont="1" applyFill="1" applyBorder="1" applyAlignment="1" applyProtection="1">
      <alignment horizontal="center" vertical="center"/>
    </xf>
    <xf numFmtId="164" fontId="8" fillId="20" borderId="0" xfId="1" applyFont="1" applyFill="1" applyBorder="1" applyAlignment="1">
      <alignment horizontal="center" vertical="center"/>
    </xf>
    <xf numFmtId="0" fontId="0" fillId="20" borderId="0" xfId="0" applyFill="1" applyAlignment="1">
      <alignment vertical="top" wrapText="1"/>
    </xf>
    <xf numFmtId="0" fontId="54" fillId="0" borderId="0" xfId="13" applyFont="1" applyBorder="1" applyAlignment="1">
      <alignment horizontal="left" vertical="center" wrapText="1"/>
    </xf>
    <xf numFmtId="0" fontId="54" fillId="0" borderId="0" xfId="13" applyFont="1" applyBorder="1"/>
    <xf numFmtId="0" fontId="54" fillId="0" borderId="0" xfId="13" applyFont="1"/>
    <xf numFmtId="0" fontId="54" fillId="0" borderId="279" xfId="13" applyFont="1" applyFill="1" applyBorder="1"/>
    <xf numFmtId="0" fontId="85" fillId="0" borderId="279" xfId="13" applyFont="1" applyFill="1" applyBorder="1"/>
    <xf numFmtId="0" fontId="54" fillId="0" borderId="346" xfId="13" applyFont="1" applyFill="1" applyBorder="1"/>
    <xf numFmtId="166" fontId="54" fillId="0" borderId="279" xfId="0" applyNumberFormat="1" applyFont="1" applyFill="1" applyBorder="1" applyAlignment="1">
      <alignment horizontal="left" indent="2"/>
    </xf>
    <xf numFmtId="166" fontId="54" fillId="0" borderId="279" xfId="0" applyNumberFormat="1" applyFont="1" applyFill="1" applyBorder="1" applyAlignment="1">
      <alignment horizontal="left" indent="3"/>
    </xf>
    <xf numFmtId="166" fontId="54" fillId="0" borderId="279" xfId="0" applyNumberFormat="1" applyFont="1" applyFill="1" applyBorder="1" applyAlignment="1">
      <alignment horizontal="left" indent="4"/>
    </xf>
    <xf numFmtId="0" fontId="54" fillId="0" borderId="341" xfId="13" applyFont="1" applyFill="1" applyBorder="1"/>
    <xf numFmtId="166" fontId="54" fillId="20" borderId="279" xfId="0" applyNumberFormat="1" applyFont="1" applyFill="1" applyBorder="1" applyAlignment="1">
      <alignment horizontal="left" indent="3"/>
    </xf>
    <xf numFmtId="0" fontId="85" fillId="0" borderId="208" xfId="13" applyFont="1" applyFill="1" applyBorder="1" applyAlignment="1">
      <alignment horizontal="left"/>
    </xf>
    <xf numFmtId="165" fontId="90" fillId="20" borderId="0" xfId="16" applyNumberFormat="1" applyFont="1" applyFill="1" applyAlignment="1">
      <alignment horizontal="center"/>
    </xf>
    <xf numFmtId="168" fontId="90" fillId="20" borderId="0" xfId="21" applyNumberFormat="1" applyFont="1" applyFill="1" applyAlignment="1">
      <alignment horizontal="center"/>
    </xf>
    <xf numFmtId="0" fontId="90" fillId="20" borderId="0" xfId="21" quotePrefix="1" applyNumberFormat="1" applyFont="1" applyFill="1" applyAlignment="1">
      <alignment horizontal="center"/>
    </xf>
    <xf numFmtId="176" fontId="7" fillId="20" borderId="344" xfId="1" applyNumberFormat="1" applyFont="1" applyFill="1" applyBorder="1" applyAlignment="1">
      <alignment horizontal="center" vertical="center"/>
    </xf>
    <xf numFmtId="176" fontId="7" fillId="20" borderId="344" xfId="24" applyNumberFormat="1" applyFont="1" applyFill="1" applyBorder="1" applyAlignment="1">
      <alignment horizontal="center" vertical="center"/>
    </xf>
    <xf numFmtId="0" fontId="88" fillId="20" borderId="0" xfId="0" applyFont="1" applyFill="1" applyBorder="1" applyAlignment="1">
      <alignment vertical="center"/>
    </xf>
    <xf numFmtId="2" fontId="12" fillId="20" borderId="281" xfId="0" applyNumberFormat="1" applyFont="1" applyFill="1" applyBorder="1" applyAlignment="1">
      <alignment horizontal="center" vertical="center"/>
    </xf>
    <xf numFmtId="2" fontId="12" fillId="20" borderId="327" xfId="0" applyNumberFormat="1" applyFont="1" applyFill="1" applyBorder="1" applyAlignment="1">
      <alignment horizontal="center" vertical="center"/>
    </xf>
    <xf numFmtId="166" fontId="12" fillId="20" borderId="0" xfId="0" applyNumberFormat="1" applyFont="1" applyFill="1" applyBorder="1" applyAlignment="1">
      <alignment vertical="center" wrapText="1"/>
    </xf>
    <xf numFmtId="166" fontId="14" fillId="20" borderId="210" xfId="0" applyNumberFormat="1" applyFont="1" applyFill="1" applyBorder="1" applyAlignment="1" applyProtection="1">
      <alignment vertical="center"/>
    </xf>
    <xf numFmtId="166" fontId="14" fillId="20" borderId="23" xfId="0" applyNumberFormat="1" applyFont="1" applyFill="1" applyBorder="1" applyAlignment="1" applyProtection="1">
      <alignment vertical="center"/>
    </xf>
    <xf numFmtId="166" fontId="14" fillId="20" borderId="247" xfId="0" applyNumberFormat="1" applyFont="1" applyFill="1" applyBorder="1" applyAlignment="1" applyProtection="1">
      <alignment vertical="center"/>
    </xf>
    <xf numFmtId="166" fontId="14" fillId="20" borderId="337" xfId="0" applyNumberFormat="1" applyFont="1" applyFill="1" applyBorder="1" applyAlignment="1" applyProtection="1">
      <alignment horizontal="center" vertical="center"/>
    </xf>
    <xf numFmtId="166" fontId="14" fillId="20" borderId="210" xfId="0" applyNumberFormat="1" applyFont="1" applyFill="1" applyBorder="1" applyAlignment="1">
      <alignment horizontal="center" vertical="center"/>
    </xf>
    <xf numFmtId="166" fontId="14" fillId="20" borderId="227" xfId="0" applyNumberFormat="1" applyFont="1" applyFill="1" applyBorder="1" applyAlignment="1">
      <alignment horizontal="center" vertical="center"/>
    </xf>
    <xf numFmtId="166" fontId="14" fillId="20" borderId="333" xfId="0" applyNumberFormat="1" applyFont="1" applyFill="1" applyBorder="1" applyAlignment="1">
      <alignment horizontal="center" vertical="center"/>
    </xf>
    <xf numFmtId="166" fontId="12" fillId="20" borderId="327" xfId="0" applyNumberFormat="1" applyFont="1" applyFill="1" applyBorder="1" applyAlignment="1" applyProtection="1">
      <alignment vertical="center"/>
    </xf>
    <xf numFmtId="166" fontId="12" fillId="20" borderId="339" xfId="0" applyNumberFormat="1" applyFont="1" applyFill="1" applyBorder="1" applyAlignment="1">
      <alignment vertical="center" wrapText="1"/>
    </xf>
    <xf numFmtId="165" fontId="12" fillId="20" borderId="339" xfId="0" applyNumberFormat="1" applyFont="1" applyFill="1" applyBorder="1" applyAlignment="1" applyProtection="1">
      <alignment horizontal="center" vertical="center"/>
    </xf>
    <xf numFmtId="168" fontId="12" fillId="20" borderId="339" xfId="0" applyNumberFormat="1" applyFont="1" applyFill="1" applyBorder="1" applyAlignment="1">
      <alignment horizontal="center" vertical="center"/>
    </xf>
    <xf numFmtId="168" fontId="12" fillId="20" borderId="339" xfId="0" applyNumberFormat="1" applyFont="1" applyFill="1" applyBorder="1" applyAlignment="1" applyProtection="1">
      <alignment horizontal="center" vertical="center"/>
    </xf>
    <xf numFmtId="168" fontId="12" fillId="20" borderId="338" xfId="0" applyNumberFormat="1" applyFont="1" applyFill="1" applyBorder="1" applyAlignment="1" applyProtection="1">
      <alignment horizontal="center" vertical="center"/>
    </xf>
    <xf numFmtId="166" fontId="12" fillId="20" borderId="210" xfId="0" applyNumberFormat="1" applyFont="1" applyFill="1" applyBorder="1" applyAlignment="1" applyProtection="1">
      <alignment vertical="center"/>
    </xf>
    <xf numFmtId="2" fontId="12" fillId="20" borderId="23" xfId="0" applyNumberFormat="1" applyFont="1" applyFill="1" applyBorder="1" applyAlignment="1" applyProtection="1">
      <alignment horizontal="center" vertical="center"/>
    </xf>
    <xf numFmtId="2" fontId="12" fillId="20" borderId="210" xfId="0" applyNumberFormat="1" applyFont="1" applyFill="1" applyBorder="1" applyAlignment="1">
      <alignment horizontal="center" vertical="center"/>
    </xf>
    <xf numFmtId="165" fontId="95" fillId="20" borderId="291" xfId="21" applyNumberFormat="1" applyFont="1" applyFill="1" applyBorder="1" applyAlignment="1" applyProtection="1">
      <alignment horizontal="center" vertical="center"/>
    </xf>
    <xf numFmtId="0" fontId="90"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xf>
    <xf numFmtId="49" fontId="95" fillId="20" borderId="291" xfId="21" applyNumberFormat="1" applyFont="1" applyFill="1" applyBorder="1" applyAlignment="1" applyProtection="1">
      <alignment horizontal="center"/>
    </xf>
    <xf numFmtId="165" fontId="91" fillId="20" borderId="222" xfId="0" applyNumberFormat="1" applyFont="1" applyFill="1" applyBorder="1" applyAlignment="1" applyProtection="1">
      <alignment horizontal="center"/>
      <protection locked="0"/>
    </xf>
    <xf numFmtId="0" fontId="8" fillId="20" borderId="0" xfId="0" applyFont="1" applyFill="1" applyBorder="1" applyAlignment="1" applyProtection="1">
      <alignment horizontal="center"/>
      <protection locked="0"/>
    </xf>
    <xf numFmtId="165" fontId="92" fillId="20" borderId="195" xfId="0" applyNumberFormat="1" applyFont="1" applyFill="1" applyBorder="1" applyAlignment="1" applyProtection="1">
      <alignment horizontal="center"/>
    </xf>
    <xf numFmtId="165" fontId="95" fillId="20" borderId="195" xfId="0" applyNumberFormat="1" applyFont="1" applyFill="1" applyBorder="1" applyAlignment="1" applyProtection="1">
      <alignment horizontal="center"/>
    </xf>
    <xf numFmtId="165" fontId="91" fillId="20" borderId="229" xfId="0" applyNumberFormat="1" applyFont="1" applyFill="1" applyBorder="1" applyAlignment="1" applyProtection="1">
      <alignment horizontal="center"/>
    </xf>
    <xf numFmtId="0" fontId="8" fillId="20" borderId="153" xfId="0" applyFont="1" applyFill="1" applyBorder="1" applyAlignment="1">
      <alignment horizontal="center"/>
    </xf>
    <xf numFmtId="165" fontId="91" fillId="20" borderId="195" xfId="0" applyNumberFormat="1" applyFont="1" applyFill="1" applyBorder="1" applyAlignment="1" applyProtection="1">
      <alignment horizontal="center"/>
    </xf>
    <xf numFmtId="165" fontId="90" fillId="20" borderId="195" xfId="0" applyNumberFormat="1" applyFont="1" applyFill="1" applyBorder="1" applyAlignment="1">
      <alignment horizontal="center"/>
    </xf>
    <xf numFmtId="165" fontId="91" fillId="20" borderId="195" xfId="0" applyNumberFormat="1" applyFont="1" applyFill="1" applyBorder="1" applyAlignment="1">
      <alignment horizontal="center"/>
    </xf>
    <xf numFmtId="165" fontId="91" fillId="20" borderId="261" xfId="0" applyNumberFormat="1" applyFont="1" applyFill="1" applyBorder="1" applyAlignment="1" applyProtection="1">
      <alignment horizontal="center" wrapText="1"/>
    </xf>
    <xf numFmtId="0" fontId="90" fillId="20" borderId="195" xfId="0" applyFont="1" applyFill="1" applyBorder="1" applyAlignment="1">
      <alignment horizontal="center" vertical="center"/>
    </xf>
    <xf numFmtId="172" fontId="91"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lignment horizontal="center" vertical="center"/>
    </xf>
    <xf numFmtId="0" fontId="93" fillId="20" borderId="195" xfId="19" applyFont="1" applyFill="1" applyBorder="1" applyAlignment="1">
      <alignment horizontal="center" vertical="center"/>
    </xf>
    <xf numFmtId="172" fontId="91" fillId="20" borderId="195" xfId="19" applyNumberFormat="1" applyFont="1" applyFill="1" applyBorder="1" applyAlignment="1">
      <alignment horizontal="center" vertical="center"/>
    </xf>
    <xf numFmtId="172" fontId="93" fillId="20" borderId="195" xfId="19" applyNumberFormat="1" applyFont="1" applyFill="1" applyBorder="1" applyAlignment="1">
      <alignment horizontal="center" vertical="center"/>
    </xf>
    <xf numFmtId="172" fontId="90" fillId="20" borderId="195" xfId="19" applyNumberFormat="1" applyFont="1" applyFill="1" applyBorder="1" applyAlignment="1">
      <alignment horizontal="center" vertical="center"/>
    </xf>
    <xf numFmtId="0" fontId="90" fillId="20" borderId="195" xfId="19" applyFont="1" applyFill="1" applyBorder="1" applyAlignment="1">
      <alignment horizontal="center" vertical="center"/>
    </xf>
    <xf numFmtId="0" fontId="7" fillId="20" borderId="195" xfId="0" applyFont="1" applyFill="1" applyBorder="1" applyAlignment="1">
      <alignment horizontal="center"/>
    </xf>
    <xf numFmtId="172" fontId="8" fillId="20" borderId="195" xfId="1" applyNumberFormat="1" applyFont="1" applyFill="1" applyBorder="1" applyAlignment="1">
      <alignment horizontal="center" vertical="center"/>
    </xf>
    <xf numFmtId="172" fontId="7" fillId="20" borderId="195" xfId="1" applyNumberFormat="1" applyFont="1" applyFill="1" applyBorder="1" applyAlignment="1">
      <alignment horizontal="center" vertical="center"/>
    </xf>
    <xf numFmtId="172" fontId="0" fillId="20" borderId="195" xfId="0" applyNumberFormat="1" applyFill="1" applyBorder="1" applyAlignment="1">
      <alignment horizontal="center" vertical="center"/>
    </xf>
    <xf numFmtId="168" fontId="7" fillId="20" borderId="195" xfId="0" applyNumberFormat="1" applyFont="1" applyFill="1" applyBorder="1" applyAlignment="1">
      <alignment horizontal="center" vertical="center"/>
    </xf>
    <xf numFmtId="0" fontId="7" fillId="20" borderId="195" xfId="0" applyFont="1" applyFill="1" applyBorder="1" applyAlignment="1">
      <alignment horizontal="center" vertical="center"/>
    </xf>
    <xf numFmtId="164" fontId="8" fillId="20" borderId="157" xfId="1" applyFont="1" applyFill="1" applyBorder="1" applyAlignment="1">
      <alignment horizontal="center" vertical="center"/>
    </xf>
    <xf numFmtId="176" fontId="7" fillId="20" borderId="348" xfId="24" applyNumberFormat="1" applyFont="1" applyFill="1" applyBorder="1" applyAlignment="1">
      <alignment horizontal="center" vertical="center"/>
    </xf>
    <xf numFmtId="176" fontId="7" fillId="20" borderId="348" xfId="1" applyNumberFormat="1" applyFont="1" applyFill="1" applyBorder="1" applyAlignment="1">
      <alignment horizontal="center" vertical="center"/>
    </xf>
    <xf numFmtId="49" fontId="7" fillId="20" borderId="202" xfId="0" applyNumberFormat="1" applyFont="1" applyFill="1" applyBorder="1" applyAlignment="1">
      <alignment horizontal="center" vertical="center"/>
    </xf>
    <xf numFmtId="1" fontId="95" fillId="20" borderId="293" xfId="21" applyNumberFormat="1" applyFont="1" applyFill="1" applyBorder="1" applyAlignment="1" applyProtection="1">
      <alignment horizontal="center" vertical="center"/>
    </xf>
    <xf numFmtId="1" fontId="91" fillId="20" borderId="293" xfId="21" applyNumberFormat="1" applyFont="1" applyFill="1" applyBorder="1" applyAlignment="1">
      <alignment horizontal="center" vertical="center"/>
    </xf>
    <xf numFmtId="165" fontId="92" fillId="20" borderId="293" xfId="21" applyNumberFormat="1" applyFont="1" applyFill="1" applyBorder="1" applyAlignment="1" applyProtection="1">
      <alignment horizontal="center" vertical="center"/>
    </xf>
    <xf numFmtId="0" fontId="95" fillId="20" borderId="293" xfId="21" applyNumberFormat="1" applyFont="1" applyFill="1" applyBorder="1" applyAlignment="1" applyProtection="1">
      <alignment horizontal="center" vertical="center"/>
    </xf>
    <xf numFmtId="0" fontId="91" fillId="20" borderId="293" xfId="21" applyNumberFormat="1" applyFont="1" applyFill="1" applyBorder="1" applyAlignment="1">
      <alignment horizontal="center" vertical="center"/>
    </xf>
    <xf numFmtId="0" fontId="95" fillId="20" borderId="229" xfId="21" applyNumberFormat="1" applyFont="1" applyFill="1" applyBorder="1" applyAlignment="1" applyProtection="1">
      <alignment horizontal="center" vertical="center"/>
    </xf>
    <xf numFmtId="165" fontId="92" fillId="20" borderId="229" xfId="21" applyNumberFormat="1" applyFont="1" applyFill="1" applyBorder="1" applyAlignment="1" applyProtection="1">
      <alignment horizontal="center" vertical="center"/>
    </xf>
    <xf numFmtId="167" fontId="95" fillId="20" borderId="229" xfId="21" applyNumberFormat="1" applyFont="1" applyFill="1" applyBorder="1" applyAlignment="1" applyProtection="1">
      <alignment horizontal="center" vertical="center"/>
    </xf>
    <xf numFmtId="165" fontId="90" fillId="20" borderId="220" xfId="0" applyNumberFormat="1" applyFont="1" applyFill="1" applyBorder="1" applyAlignment="1" applyProtection="1">
      <alignment horizontal="center" vertical="center"/>
      <protection locked="0"/>
    </xf>
    <xf numFmtId="167" fontId="91" fillId="20" borderId="220" xfId="0" applyNumberFormat="1" applyFont="1" applyFill="1" applyBorder="1" applyAlignment="1" applyProtection="1">
      <alignment horizontal="center" vertical="center"/>
      <protection locked="0"/>
    </xf>
    <xf numFmtId="167" fontId="91" fillId="20" borderId="174" xfId="0" applyNumberFormat="1" applyFont="1" applyFill="1" applyBorder="1" applyAlignment="1" applyProtection="1">
      <alignment horizontal="center" vertical="center"/>
      <protection locked="0"/>
    </xf>
    <xf numFmtId="0" fontId="95" fillId="20" borderId="229" xfId="0" applyNumberFormat="1" applyFont="1" applyFill="1" applyBorder="1" applyAlignment="1" applyProtection="1">
      <alignment horizontal="center" vertical="center"/>
    </xf>
    <xf numFmtId="0" fontId="91" fillId="20" borderId="229" xfId="0" applyNumberFormat="1" applyFont="1" applyFill="1" applyBorder="1" applyAlignment="1">
      <alignment horizontal="center" vertical="center"/>
    </xf>
    <xf numFmtId="0" fontId="91" fillId="20" borderId="195" xfId="0" applyNumberFormat="1" applyFont="1" applyFill="1" applyBorder="1" applyAlignment="1">
      <alignment horizontal="center" vertical="center"/>
    </xf>
    <xf numFmtId="165" fontId="92" fillId="20" borderId="195" xfId="0" applyNumberFormat="1" applyFont="1" applyFill="1" applyBorder="1" applyAlignment="1" applyProtection="1">
      <alignment horizontal="center" vertical="center"/>
    </xf>
    <xf numFmtId="165" fontId="90" fillId="20" borderId="195" xfId="0" applyNumberFormat="1" applyFont="1" applyFill="1" applyBorder="1" applyAlignment="1">
      <alignment horizontal="center" vertical="center"/>
    </xf>
    <xf numFmtId="167" fontId="91" fillId="20" borderId="195" xfId="0" applyNumberFormat="1" applyFont="1" applyFill="1" applyBorder="1" applyAlignment="1">
      <alignment horizontal="center" vertical="center"/>
    </xf>
    <xf numFmtId="0" fontId="100" fillId="20" borderId="153" xfId="0" applyNumberFormat="1" applyFont="1" applyFill="1" applyBorder="1" applyAlignment="1" applyProtection="1">
      <alignment horizontal="center" vertical="center"/>
    </xf>
    <xf numFmtId="0" fontId="95" fillId="20" borderId="153" xfId="0" applyNumberFormat="1" applyFont="1" applyFill="1" applyBorder="1" applyAlignment="1" applyProtection="1">
      <alignment horizontal="center" vertical="center"/>
    </xf>
    <xf numFmtId="0" fontId="91" fillId="20" borderId="153" xfId="0" applyNumberFormat="1" applyFont="1" applyFill="1" applyBorder="1" applyAlignment="1">
      <alignment horizontal="center" vertical="center"/>
    </xf>
    <xf numFmtId="0" fontId="90" fillId="20" borderId="153" xfId="0" applyNumberFormat="1" applyFont="1" applyFill="1" applyBorder="1" applyAlignment="1">
      <alignment horizontal="center" vertical="center"/>
    </xf>
    <xf numFmtId="165" fontId="90" fillId="20" borderId="291" xfId="21" applyNumberFormat="1" applyFont="1" applyFill="1" applyBorder="1" applyAlignment="1">
      <alignment horizontal="center" vertical="center"/>
    </xf>
    <xf numFmtId="49" fontId="92" fillId="20" borderId="291" xfId="21" applyNumberFormat="1" applyFont="1" applyFill="1" applyBorder="1" applyAlignment="1" applyProtection="1">
      <alignment horizontal="center" vertical="center"/>
    </xf>
    <xf numFmtId="165" fontId="95" fillId="20" borderId="238" xfId="21" applyNumberFormat="1" applyFont="1" applyFill="1" applyBorder="1" applyAlignment="1" applyProtection="1">
      <alignment horizontal="center" vertical="center"/>
    </xf>
    <xf numFmtId="165" fontId="92" fillId="20" borderId="222" xfId="21" applyNumberFormat="1" applyFont="1" applyFill="1" applyBorder="1" applyAlignment="1" applyProtection="1">
      <alignment horizontal="center" vertical="center"/>
    </xf>
    <xf numFmtId="165" fontId="92" fillId="20" borderId="237" xfId="21" applyNumberFormat="1" applyFont="1" applyFill="1" applyBorder="1" applyAlignment="1" applyProtection="1">
      <alignment horizontal="center" vertical="center"/>
    </xf>
    <xf numFmtId="165" fontId="90" fillId="20" borderId="229" xfId="21" applyNumberFormat="1" applyFont="1" applyFill="1" applyBorder="1" applyAlignment="1">
      <alignment horizontal="center" vertical="center"/>
    </xf>
    <xf numFmtId="165" fontId="90" fillId="20" borderId="222" xfId="21" applyNumberFormat="1" applyFont="1" applyFill="1" applyBorder="1" applyAlignment="1">
      <alignment horizontal="center" vertical="center"/>
    </xf>
    <xf numFmtId="165" fontId="90" fillId="20" borderId="237" xfId="21" applyNumberFormat="1" applyFont="1" applyFill="1" applyBorder="1" applyAlignment="1">
      <alignment horizontal="center" vertical="center"/>
    </xf>
    <xf numFmtId="165" fontId="91" fillId="20" borderId="230" xfId="20" applyNumberFormat="1" applyFont="1" applyFill="1" applyBorder="1" applyAlignment="1" applyProtection="1">
      <alignment horizontal="center"/>
    </xf>
    <xf numFmtId="165" fontId="91" fillId="20" borderId="209" xfId="20" applyNumberFormat="1" applyFont="1" applyFill="1" applyBorder="1" applyAlignment="1" applyProtection="1">
      <alignment horizontal="center"/>
    </xf>
    <xf numFmtId="0" fontId="90" fillId="20" borderId="209" xfId="20" applyFont="1" applyFill="1" applyBorder="1" applyAlignment="1">
      <alignment horizontal="center"/>
    </xf>
    <xf numFmtId="165" fontId="91" fillId="20" borderId="349" xfId="20" applyNumberFormat="1" applyFont="1" applyFill="1" applyBorder="1" applyAlignment="1" applyProtection="1">
      <alignment horizontal="center"/>
    </xf>
    <xf numFmtId="165" fontId="91" fillId="20" borderId="350" xfId="20" applyNumberFormat="1" applyFont="1" applyFill="1" applyBorder="1" applyAlignment="1" applyProtection="1">
      <alignment horizontal="center"/>
    </xf>
    <xf numFmtId="165" fontId="91" fillId="20" borderId="351" xfId="20" applyNumberFormat="1" applyFont="1" applyFill="1" applyBorder="1" applyAlignment="1" applyProtection="1">
      <alignment horizontal="center"/>
    </xf>
    <xf numFmtId="2" fontId="12" fillId="20" borderId="337" xfId="0" applyNumberFormat="1" applyFont="1" applyFill="1" applyBorder="1" applyAlignment="1">
      <alignment horizontal="center" vertical="center"/>
    </xf>
    <xf numFmtId="0" fontId="14" fillId="20" borderId="0" xfId="0" applyFont="1" applyFill="1" applyAlignment="1">
      <alignment vertical="center" wrapText="1"/>
    </xf>
    <xf numFmtId="176" fontId="7" fillId="20" borderId="354" xfId="24" applyNumberFormat="1" applyFont="1" applyFill="1" applyBorder="1" applyAlignment="1">
      <alignment horizontal="center" vertical="center"/>
    </xf>
    <xf numFmtId="176" fontId="7" fillId="20" borderId="354" xfId="1" applyNumberFormat="1" applyFont="1" applyFill="1" applyBorder="1" applyAlignment="1">
      <alignment horizontal="center" vertical="center"/>
    </xf>
    <xf numFmtId="165" fontId="91" fillId="20" borderId="349" xfId="19" applyNumberFormat="1" applyFont="1" applyFill="1" applyBorder="1" applyAlignment="1" applyProtection="1">
      <alignment horizontal="center"/>
    </xf>
    <xf numFmtId="0" fontId="0" fillId="20" borderId="0" xfId="0" applyFill="1"/>
    <xf numFmtId="0" fontId="0" fillId="20" borderId="0" xfId="0" applyFill="1"/>
    <xf numFmtId="0" fontId="85" fillId="20" borderId="0" xfId="4" applyFont="1" applyFill="1" applyBorder="1" applyAlignment="1" applyProtection="1">
      <alignment vertical="center"/>
    </xf>
    <xf numFmtId="0" fontId="34" fillId="0" borderId="210" xfId="0" applyFont="1" applyFill="1" applyBorder="1" applyAlignment="1">
      <alignment horizontal="center" vertical="center"/>
    </xf>
    <xf numFmtId="0" fontId="34" fillId="20" borderId="347" xfId="4" applyFont="1" applyFill="1" applyBorder="1" applyAlignment="1" applyProtection="1">
      <alignment vertical="center"/>
    </xf>
    <xf numFmtId="0" fontId="34" fillId="20" borderId="327" xfId="4" applyFont="1" applyFill="1" applyBorder="1" applyAlignment="1" applyProtection="1">
      <alignment vertical="center"/>
    </xf>
    <xf numFmtId="0" fontId="60" fillId="20" borderId="327" xfId="4" applyFont="1" applyFill="1" applyBorder="1" applyAlignment="1" applyProtection="1">
      <alignment horizontal="left" vertical="center"/>
    </xf>
    <xf numFmtId="0" fontId="60" fillId="20" borderId="327" xfId="4" applyFont="1" applyFill="1" applyBorder="1" applyAlignment="1">
      <alignment horizontal="left" vertical="center"/>
    </xf>
    <xf numFmtId="0" fontId="60" fillId="20" borderId="279" xfId="4" applyFont="1" applyFill="1" applyBorder="1" applyAlignment="1" applyProtection="1">
      <alignment horizontal="left" vertical="center"/>
    </xf>
    <xf numFmtId="0" fontId="34" fillId="20" borderId="279" xfId="4" applyFont="1" applyFill="1" applyBorder="1" applyAlignment="1" applyProtection="1">
      <alignment horizontal="left" vertical="center"/>
    </xf>
    <xf numFmtId="0" fontId="27" fillId="20" borderId="327" xfId="0" applyFont="1" applyFill="1" applyBorder="1" applyAlignment="1">
      <alignment horizontal="center" vertical="center"/>
    </xf>
    <xf numFmtId="0" fontId="34" fillId="20" borderId="327" xfId="4" applyFont="1" applyFill="1" applyBorder="1" applyAlignment="1" applyProtection="1">
      <alignment horizontal="left" vertical="center"/>
    </xf>
    <xf numFmtId="0" fontId="34" fillId="20" borderId="279" xfId="4" applyFont="1" applyFill="1" applyBorder="1" applyAlignment="1" applyProtection="1">
      <alignment vertical="center"/>
    </xf>
    <xf numFmtId="0" fontId="34" fillId="20" borderId="355" xfId="4" applyFont="1" applyFill="1" applyBorder="1" applyAlignment="1" applyProtection="1">
      <alignment horizontal="left" vertical="center"/>
    </xf>
    <xf numFmtId="0" fontId="34" fillId="20" borderId="327" xfId="4" applyFont="1" applyFill="1" applyBorder="1" applyAlignment="1" applyProtection="1"/>
    <xf numFmtId="0" fontId="34" fillId="20" borderId="327" xfId="4" applyFont="1" applyFill="1" applyBorder="1" applyAlignment="1" applyProtection="1">
      <alignment horizontal="left"/>
    </xf>
    <xf numFmtId="0" fontId="34" fillId="20" borderId="279" xfId="4" applyFont="1" applyFill="1" applyBorder="1" applyAlignment="1" applyProtection="1">
      <alignment horizontal="left"/>
    </xf>
    <xf numFmtId="0" fontId="60" fillId="20" borderId="279" xfId="4" applyFont="1" applyFill="1" applyBorder="1" applyAlignment="1">
      <alignment horizontal="left" vertical="center"/>
    </xf>
    <xf numFmtId="2" fontId="27" fillId="20" borderId="347" xfId="0" applyNumberFormat="1" applyFont="1" applyFill="1" applyBorder="1" applyAlignment="1">
      <alignment horizontal="center" vertical="center"/>
    </xf>
    <xf numFmtId="0" fontId="60" fillId="20" borderId="327" xfId="0" applyFont="1" applyFill="1" applyBorder="1" applyAlignment="1">
      <alignment horizontal="center" vertical="center"/>
    </xf>
    <xf numFmtId="2" fontId="27" fillId="20" borderId="327" xfId="0" applyNumberFormat="1" applyFont="1" applyFill="1" applyBorder="1" applyAlignment="1">
      <alignment horizontal="center" vertical="center"/>
    </xf>
    <xf numFmtId="0" fontId="27" fillId="20" borderId="356" xfId="0" applyFont="1" applyFill="1" applyBorder="1" applyAlignment="1">
      <alignment horizontal="center" vertical="center"/>
    </xf>
    <xf numFmtId="0" fontId="27" fillId="20" borderId="357" xfId="0" applyFont="1" applyFill="1" applyBorder="1" applyAlignment="1">
      <alignment horizontal="center" vertical="center"/>
    </xf>
    <xf numFmtId="0" fontId="0" fillId="20" borderId="0" xfId="0" applyFill="1"/>
    <xf numFmtId="0" fontId="34" fillId="0" borderId="357" xfId="0" applyFont="1" applyFill="1" applyBorder="1" applyAlignment="1">
      <alignment horizontal="center" vertical="center"/>
    </xf>
    <xf numFmtId="0" fontId="34" fillId="20" borderId="357" xfId="4" applyFont="1" applyFill="1" applyBorder="1" applyAlignment="1" applyProtection="1">
      <alignment vertical="center"/>
    </xf>
    <xf numFmtId="2" fontId="27" fillId="20" borderId="356" xfId="0" applyNumberFormat="1" applyFont="1" applyFill="1" applyBorder="1" applyAlignment="1">
      <alignment horizontal="center" vertical="center"/>
    </xf>
    <xf numFmtId="2" fontId="27" fillId="20" borderId="357" xfId="0" applyNumberFormat="1" applyFont="1" applyFill="1" applyBorder="1" applyAlignment="1">
      <alignment horizontal="center" vertical="center"/>
    </xf>
    <xf numFmtId="0" fontId="8" fillId="20" borderId="169" xfId="0" applyFont="1" applyFill="1" applyBorder="1" applyAlignment="1">
      <alignment horizontal="center" vertical="center" wrapText="1"/>
    </xf>
    <xf numFmtId="173" fontId="9" fillId="0" borderId="0" xfId="0" applyNumberFormat="1" applyFont="1" applyFill="1" applyAlignment="1">
      <alignment vertical="center"/>
    </xf>
    <xf numFmtId="168" fontId="9" fillId="0" borderId="0" xfId="0" applyNumberFormat="1" applyFont="1" applyFill="1" applyBorder="1" applyAlignment="1">
      <alignment horizontal="center"/>
    </xf>
    <xf numFmtId="1" fontId="8" fillId="0" borderId="0" xfId="1" applyNumberFormat="1" applyFont="1" applyFill="1" applyAlignment="1">
      <alignment vertical="center"/>
    </xf>
    <xf numFmtId="1" fontId="8" fillId="0" borderId="0" xfId="1" applyNumberFormat="1" applyFont="1" applyFill="1" applyBorder="1"/>
    <xf numFmtId="173" fontId="7" fillId="0" borderId="0" xfId="0" applyNumberFormat="1" applyFont="1" applyFill="1" applyAlignment="1">
      <alignment vertical="center"/>
    </xf>
    <xf numFmtId="0" fontId="8" fillId="0" borderId="0" xfId="1" applyNumberFormat="1" applyFont="1" applyFill="1" applyAlignment="1">
      <alignment vertical="center"/>
    </xf>
    <xf numFmtId="17" fontId="8" fillId="0" borderId="0" xfId="1" applyNumberFormat="1" applyFont="1" applyFill="1" applyAlignment="1">
      <alignment vertical="center"/>
    </xf>
    <xf numFmtId="0" fontId="9" fillId="0" borderId="0" xfId="1" applyNumberFormat="1" applyFont="1" applyFill="1" applyAlignment="1">
      <alignment vertical="center"/>
    </xf>
    <xf numFmtId="2" fontId="9" fillId="0" borderId="0" xfId="0" applyNumberFormat="1" applyFont="1" applyFill="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8" fillId="20" borderId="358" xfId="0" applyFont="1" applyFill="1" applyBorder="1" applyAlignment="1">
      <alignment horizontal="center" vertical="center"/>
    </xf>
    <xf numFmtId="49" fontId="63" fillId="20" borderId="209" xfId="0" applyNumberFormat="1" applyFont="1" applyFill="1" applyBorder="1" applyAlignment="1">
      <alignment horizontal="center" vertical="center"/>
    </xf>
    <xf numFmtId="49" fontId="63" fillId="20" borderId="0" xfId="0" applyNumberFormat="1" applyFont="1" applyFill="1" applyBorder="1" applyAlignment="1">
      <alignment horizontal="center" vertical="center"/>
    </xf>
    <xf numFmtId="0" fontId="63" fillId="20" borderId="0" xfId="0" applyFont="1" applyFill="1" applyBorder="1" applyAlignment="1">
      <alignment vertical="top" wrapText="1"/>
    </xf>
    <xf numFmtId="2" fontId="27" fillId="20" borderId="347" xfId="4" applyNumberFormat="1" applyFont="1" applyFill="1" applyBorder="1" applyAlignment="1" applyProtection="1">
      <alignment horizontal="center" vertical="center"/>
    </xf>
    <xf numFmtId="2" fontId="27" fillId="21" borderId="327" xfId="0" applyNumberFormat="1" applyFont="1" applyFill="1" applyBorder="1" applyAlignment="1">
      <alignment horizontal="center" vertical="center"/>
    </xf>
    <xf numFmtId="168" fontId="27" fillId="20" borderId="9" xfId="4" applyNumberFormat="1" applyFont="1" applyFill="1" applyBorder="1" applyAlignment="1">
      <alignment horizontal="center" vertical="center"/>
    </xf>
    <xf numFmtId="168" fontId="27" fillId="20" borderId="359" xfId="4" applyNumberFormat="1" applyFont="1" applyFill="1" applyBorder="1" applyAlignment="1">
      <alignment horizontal="center" vertical="center"/>
    </xf>
    <xf numFmtId="2" fontId="27" fillId="20" borderId="327" xfId="4" applyNumberFormat="1" applyFont="1" applyFill="1" applyBorder="1" applyAlignment="1" applyProtection="1">
      <alignment horizontal="center" vertical="center"/>
    </xf>
    <xf numFmtId="2" fontId="27" fillId="20" borderId="356" xfId="4" applyNumberFormat="1" applyFont="1" applyFill="1" applyBorder="1" applyAlignment="1" applyProtection="1">
      <alignment horizontal="center" vertical="center"/>
    </xf>
    <xf numFmtId="0" fontId="0" fillId="20" borderId="0" xfId="0" applyFill="1"/>
    <xf numFmtId="0" fontId="60" fillId="20" borderId="359" xfId="4" applyFont="1" applyFill="1" applyBorder="1" applyAlignment="1" applyProtection="1">
      <alignment horizontal="left" vertical="center"/>
    </xf>
    <xf numFmtId="0" fontId="60" fillId="20" borderId="0" xfId="4" applyFont="1" applyFill="1" applyBorder="1" applyAlignment="1" applyProtection="1">
      <alignment horizontal="left" vertical="top"/>
    </xf>
    <xf numFmtId="0" fontId="27" fillId="20" borderId="279" xfId="0" applyFont="1" applyFill="1" applyBorder="1" applyAlignment="1">
      <alignment horizontal="left" vertical="center"/>
    </xf>
    <xf numFmtId="0" fontId="27" fillId="20" borderId="279" xfId="0" applyFont="1" applyFill="1" applyBorder="1" applyAlignment="1">
      <alignment horizontal="left" vertical="center" wrapText="1"/>
    </xf>
    <xf numFmtId="0" fontId="27" fillId="20" borderId="358" xfId="0" applyFont="1" applyFill="1" applyBorder="1" applyAlignment="1">
      <alignment horizontal="left" vertical="center"/>
    </xf>
    <xf numFmtId="0" fontId="72" fillId="20" borderId="361" xfId="0" applyFont="1" applyFill="1" applyBorder="1" applyAlignment="1">
      <alignment horizontal="left" vertical="center"/>
    </xf>
    <xf numFmtId="0" fontId="109" fillId="20" borderId="361" xfId="0" applyFont="1" applyFill="1" applyBorder="1" applyAlignment="1">
      <alignment horizontal="center" vertical="center"/>
    </xf>
    <xf numFmtId="0" fontId="109" fillId="20" borderId="360" xfId="0" applyFont="1" applyFill="1" applyBorder="1" applyAlignment="1">
      <alignment horizontal="center" vertical="center"/>
    </xf>
    <xf numFmtId="2" fontId="105" fillId="20" borderId="359"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xf>
    <xf numFmtId="2" fontId="105" fillId="20" borderId="327"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wrapText="1"/>
    </xf>
    <xf numFmtId="1" fontId="105" fillId="20" borderId="327" xfId="0" applyNumberFormat="1" applyFont="1" applyFill="1" applyBorder="1" applyAlignment="1">
      <alignment horizontal="center" vertical="center"/>
    </xf>
    <xf numFmtId="0" fontId="85" fillId="0" borderId="345" xfId="13" applyFont="1" applyFill="1" applyBorder="1" applyAlignment="1">
      <alignment horizontal="right" vertical="center"/>
    </xf>
    <xf numFmtId="172" fontId="54" fillId="0" borderId="0" xfId="1" applyNumberFormat="1" applyFont="1" applyFill="1" applyBorder="1" applyAlignment="1">
      <alignment horizontal="right" vertical="center"/>
    </xf>
    <xf numFmtId="172" fontId="54" fillId="0" borderId="0" xfId="1" applyNumberFormat="1" applyFont="1" applyBorder="1" applyAlignment="1">
      <alignment horizontal="right" vertical="center"/>
    </xf>
    <xf numFmtId="172" fontId="54" fillId="2" borderId="0" xfId="1" applyNumberFormat="1" applyFont="1" applyFill="1" applyBorder="1" applyAlignment="1">
      <alignment horizontal="right" vertical="center"/>
    </xf>
    <xf numFmtId="172" fontId="54" fillId="20" borderId="0" xfId="1" applyNumberFormat="1" applyFont="1" applyFill="1" applyBorder="1" applyAlignment="1">
      <alignment horizontal="right" vertical="center"/>
    </xf>
    <xf numFmtId="172" fontId="54" fillId="0" borderId="157" xfId="1" applyNumberFormat="1" applyFont="1" applyFill="1" applyBorder="1" applyAlignment="1">
      <alignment horizontal="right" vertical="center"/>
    </xf>
    <xf numFmtId="172" fontId="54" fillId="20" borderId="157" xfId="1" applyNumberFormat="1" applyFont="1" applyFill="1" applyBorder="1" applyAlignment="1">
      <alignment horizontal="right" vertical="center"/>
    </xf>
    <xf numFmtId="172" fontId="54" fillId="0" borderId="0" xfId="1" applyNumberFormat="1" applyFont="1" applyBorder="1" applyAlignment="1">
      <alignment horizontal="right" vertical="center" wrapText="1"/>
    </xf>
    <xf numFmtId="172" fontId="54" fillId="0" borderId="343" xfId="1" applyNumberFormat="1" applyFont="1" applyFill="1" applyBorder="1" applyAlignment="1">
      <alignment horizontal="right" vertical="center"/>
    </xf>
    <xf numFmtId="172" fontId="54" fillId="0" borderId="344" xfId="1" applyNumberFormat="1" applyFont="1" applyBorder="1" applyAlignment="1">
      <alignment horizontal="right" vertical="center" wrapText="1"/>
    </xf>
    <xf numFmtId="0" fontId="34" fillId="22" borderId="357" xfId="0" applyFont="1" applyFill="1" applyBorder="1" applyAlignment="1">
      <alignment horizontal="center" vertical="center"/>
    </xf>
    <xf numFmtId="168" fontId="27" fillId="22" borderId="9" xfId="4" applyNumberFormat="1" applyFont="1" applyFill="1" applyBorder="1" applyAlignment="1">
      <alignment horizontal="center" vertical="center"/>
    </xf>
    <xf numFmtId="0" fontId="27" fillId="22" borderId="327" xfId="0" applyFont="1" applyFill="1" applyBorder="1" applyAlignment="1">
      <alignment horizontal="center" vertical="center"/>
    </xf>
    <xf numFmtId="2" fontId="27" fillId="22" borderId="327" xfId="0" applyNumberFormat="1" applyFont="1" applyFill="1" applyBorder="1" applyAlignment="1">
      <alignment horizontal="center" vertical="center"/>
    </xf>
    <xf numFmtId="2" fontId="27" fillId="22" borderId="356" xfId="0" applyNumberFormat="1" applyFont="1" applyFill="1" applyBorder="1" applyAlignment="1">
      <alignment horizontal="center" vertical="center"/>
    </xf>
    <xf numFmtId="165" fontId="112" fillId="20" borderId="0" xfId="0" applyNumberFormat="1" applyFont="1" applyFill="1" applyBorder="1" applyProtection="1"/>
    <xf numFmtId="165" fontId="113" fillId="20" borderId="348" xfId="0" applyNumberFormat="1" applyFont="1" applyFill="1" applyBorder="1" applyAlignment="1" applyProtection="1"/>
    <xf numFmtId="165" fontId="113" fillId="20" borderId="364" xfId="0" applyNumberFormat="1" applyFont="1" applyFill="1" applyBorder="1" applyAlignment="1" applyProtection="1"/>
    <xf numFmtId="165" fontId="15" fillId="20" borderId="348" xfId="0" applyNumberFormat="1" applyFont="1" applyFill="1" applyBorder="1" applyAlignment="1" applyProtection="1"/>
    <xf numFmtId="0" fontId="90" fillId="20" borderId="365" xfId="19" applyFont="1" applyFill="1" applyBorder="1" applyAlignment="1"/>
    <xf numFmtId="165" fontId="15" fillId="20" borderId="365" xfId="19" applyNumberFormat="1" applyFont="1" applyFill="1" applyBorder="1" applyAlignment="1" applyProtection="1"/>
    <xf numFmtId="165" fontId="114" fillId="20" borderId="365" xfId="21" applyNumberFormat="1" applyFont="1" applyFill="1" applyBorder="1" applyAlignment="1" applyProtection="1"/>
    <xf numFmtId="165" fontId="15" fillId="20" borderId="365" xfId="0" applyNumberFormat="1" applyFont="1" applyFill="1" applyBorder="1" applyAlignment="1" applyProtection="1">
      <protection locked="0"/>
    </xf>
    <xf numFmtId="0" fontId="8" fillId="20" borderId="365" xfId="0" applyFont="1" applyFill="1" applyBorder="1" applyAlignment="1">
      <alignment horizontal="center" vertical="center"/>
    </xf>
    <xf numFmtId="0" fontId="8" fillId="20" borderId="23" xfId="0" applyFont="1" applyFill="1" applyBorder="1" applyAlignment="1">
      <alignment horizontal="center" vertical="center"/>
    </xf>
    <xf numFmtId="176" fontId="8" fillId="20" borderId="366" xfId="1" applyNumberFormat="1" applyFont="1" applyFill="1" applyBorder="1" applyAlignment="1">
      <alignment horizontal="center" vertical="center"/>
    </xf>
    <xf numFmtId="176" fontId="7" fillId="20" borderId="366" xfId="1" applyNumberFormat="1" applyFont="1" applyFill="1" applyBorder="1" applyAlignment="1">
      <alignment horizontal="center" vertical="center"/>
    </xf>
    <xf numFmtId="0" fontId="8" fillId="20" borderId="232" xfId="0" applyFont="1" applyFill="1" applyBorder="1" applyAlignment="1">
      <alignment horizontal="center" vertical="center"/>
    </xf>
    <xf numFmtId="176" fontId="7" fillId="20" borderId="365" xfId="1" applyNumberFormat="1" applyFont="1" applyFill="1" applyBorder="1" applyAlignment="1">
      <alignment horizontal="center" vertical="center"/>
    </xf>
    <xf numFmtId="176" fontId="7" fillId="20" borderId="365" xfId="24" applyNumberFormat="1" applyFont="1" applyFill="1" applyBorder="1" applyAlignment="1">
      <alignment horizontal="center" vertical="center"/>
    </xf>
    <xf numFmtId="176" fontId="8" fillId="20" borderId="286" xfId="1" applyNumberFormat="1" applyFont="1" applyFill="1" applyBorder="1" applyAlignment="1">
      <alignment horizontal="center" vertical="center"/>
    </xf>
    <xf numFmtId="164" fontId="8" fillId="20" borderId="286" xfId="1" applyFont="1" applyFill="1" applyBorder="1" applyAlignment="1">
      <alignment horizontal="center" vertical="center"/>
    </xf>
    <xf numFmtId="176" fontId="8" fillId="20" borderId="366" xfId="24" applyNumberFormat="1" applyFont="1" applyFill="1" applyBorder="1" applyAlignment="1">
      <alignment horizontal="center" vertical="center"/>
    </xf>
    <xf numFmtId="176" fontId="7" fillId="20" borderId="366" xfId="24" applyNumberFormat="1" applyFont="1" applyFill="1" applyBorder="1" applyAlignment="1">
      <alignment horizontal="center" vertical="center"/>
    </xf>
    <xf numFmtId="165" fontId="107" fillId="20" borderId="365" xfId="0" applyNumberFormat="1" applyFont="1" applyFill="1" applyBorder="1" applyAlignment="1" applyProtection="1">
      <protection locked="0"/>
    </xf>
    <xf numFmtId="168" fontId="7"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7" fillId="0" borderId="0" xfId="0" applyFont="1" applyFill="1" applyAlignment="1">
      <alignment vertical="center"/>
    </xf>
    <xf numFmtId="167" fontId="91" fillId="20" borderId="327" xfId="0" applyNumberFormat="1" applyFont="1" applyFill="1" applyBorder="1" applyAlignment="1">
      <alignment horizontal="center" vertical="center"/>
    </xf>
    <xf numFmtId="176" fontId="8" fillId="20" borderId="346" xfId="1" applyNumberFormat="1" applyFont="1" applyFill="1" applyBorder="1" applyAlignment="1">
      <alignment horizontal="center" vertical="center"/>
    </xf>
    <xf numFmtId="176" fontId="7" fillId="20" borderId="369" xfId="1" applyNumberFormat="1" applyFont="1" applyFill="1" applyBorder="1" applyAlignment="1">
      <alignment horizontal="center" vertical="center"/>
    </xf>
    <xf numFmtId="164" fontId="8" fillId="20" borderId="346" xfId="1" applyFont="1" applyFill="1" applyBorder="1" applyAlignment="1">
      <alignment horizontal="center" vertical="center"/>
    </xf>
    <xf numFmtId="176" fontId="7" fillId="20" borderId="369" xfId="24" applyNumberFormat="1" applyFont="1" applyFill="1" applyBorder="1" applyAlignment="1">
      <alignment horizontal="center" vertical="center"/>
    </xf>
    <xf numFmtId="0" fontId="90" fillId="20" borderId="327" xfId="21" applyFont="1" applyFill="1" applyBorder="1"/>
    <xf numFmtId="172" fontId="90" fillId="0" borderId="0" xfId="19" applyNumberFormat="1" applyFont="1"/>
    <xf numFmtId="0" fontId="8" fillId="20" borderId="369" xfId="0" applyFont="1" applyFill="1" applyBorder="1" applyAlignment="1">
      <alignment horizontal="center" vertical="center"/>
    </xf>
    <xf numFmtId="0" fontId="85" fillId="0" borderId="373" xfId="13" applyFont="1" applyFill="1" applyBorder="1" applyAlignment="1">
      <alignment horizontal="right" vertical="center"/>
    </xf>
    <xf numFmtId="0" fontId="85" fillId="0" borderId="372" xfId="13" applyFont="1" applyFill="1" applyBorder="1" applyAlignment="1">
      <alignment horizontal="right" vertical="center"/>
    </xf>
    <xf numFmtId="172" fontId="54" fillId="20" borderId="348" xfId="1" applyNumberFormat="1" applyFont="1" applyFill="1" applyBorder="1" applyAlignment="1">
      <alignment horizontal="right" vertical="center" wrapText="1"/>
    </xf>
    <xf numFmtId="0" fontId="85" fillId="20" borderId="232" xfId="13" applyFont="1" applyFill="1" applyBorder="1" applyAlignment="1">
      <alignment horizontal="right" vertical="center"/>
    </xf>
    <xf numFmtId="172" fontId="54" fillId="20" borderId="343" xfId="1" applyNumberFormat="1" applyFont="1" applyFill="1" applyBorder="1" applyAlignment="1">
      <alignment horizontal="right" vertical="center"/>
    </xf>
    <xf numFmtId="0" fontId="54" fillId="20" borderId="0" xfId="13" applyFont="1" applyFill="1"/>
    <xf numFmtId="172" fontId="85" fillId="0" borderId="371" xfId="1" applyNumberFormat="1" applyFont="1" applyFill="1" applyBorder="1" applyAlignment="1">
      <alignment horizontal="right" vertical="center"/>
    </xf>
    <xf numFmtId="0" fontId="85" fillId="20" borderId="371" xfId="13" applyFont="1" applyFill="1" applyBorder="1" applyAlignment="1">
      <alignment horizontal="right"/>
    </xf>
    <xf numFmtId="172" fontId="85" fillId="20" borderId="371" xfId="1" applyNumberFormat="1" applyFont="1" applyFill="1" applyBorder="1" applyAlignment="1">
      <alignment horizontal="right"/>
    </xf>
    <xf numFmtId="168" fontId="85" fillId="20" borderId="371" xfId="13" applyNumberFormat="1" applyFont="1" applyFill="1" applyBorder="1" applyAlignment="1">
      <alignment horizontal="right"/>
    </xf>
    <xf numFmtId="0" fontId="54" fillId="20" borderId="0" xfId="13" applyFont="1" applyFill="1" applyBorder="1" applyAlignment="1">
      <alignment horizontal="right" vertical="center"/>
    </xf>
    <xf numFmtId="0" fontId="54" fillId="0" borderId="0" xfId="13" applyFont="1" applyFill="1" applyBorder="1" applyAlignment="1">
      <alignment horizontal="right" vertical="center"/>
    </xf>
    <xf numFmtId="0" fontId="54" fillId="0" borderId="0" xfId="13" applyFont="1" applyBorder="1" applyAlignment="1">
      <alignment horizontal="right" vertical="center"/>
    </xf>
    <xf numFmtId="0" fontId="85" fillId="0" borderId="157" xfId="13" applyFont="1" applyBorder="1" applyAlignment="1">
      <alignment horizontal="right" vertical="center"/>
    </xf>
    <xf numFmtId="0" fontId="54" fillId="2" borderId="371" xfId="13" applyFont="1" applyFill="1" applyBorder="1" applyAlignment="1">
      <alignment horizontal="right"/>
    </xf>
    <xf numFmtId="0" fontId="54" fillId="20" borderId="0" xfId="13" applyNumberFormat="1" applyFont="1" applyFill="1" applyBorder="1" applyAlignment="1">
      <alignment horizontal="right" vertical="center"/>
    </xf>
    <xf numFmtId="0" fontId="54" fillId="0" borderId="0" xfId="13" applyNumberFormat="1" applyFont="1" applyFill="1" applyBorder="1" applyAlignment="1">
      <alignment horizontal="right" vertical="center"/>
    </xf>
    <xf numFmtId="5" fontId="54" fillId="0" borderId="0" xfId="13" applyNumberFormat="1" applyFont="1" applyBorder="1" applyAlignment="1">
      <alignment horizontal="right" vertical="center"/>
    </xf>
    <xf numFmtId="5" fontId="85" fillId="0" borderId="0" xfId="13" applyNumberFormat="1" applyFont="1" applyBorder="1" applyAlignment="1">
      <alignment horizontal="right" vertical="center"/>
    </xf>
    <xf numFmtId="0" fontId="85" fillId="2" borderId="371" xfId="13" applyFont="1" applyFill="1" applyBorder="1" applyAlignment="1">
      <alignment horizontal="right"/>
    </xf>
    <xf numFmtId="168" fontId="85" fillId="2" borderId="371" xfId="13" applyNumberFormat="1" applyFont="1" applyFill="1" applyBorder="1" applyAlignment="1">
      <alignment horizontal="right"/>
    </xf>
    <xf numFmtId="176" fontId="8" fillId="20" borderId="157" xfId="1" applyNumberFormat="1" applyFont="1" applyFill="1" applyBorder="1" applyAlignment="1">
      <alignment horizontal="center" vertical="center"/>
    </xf>
    <xf numFmtId="43" fontId="54" fillId="0" borderId="0" xfId="13" applyNumberFormat="1" applyFont="1"/>
    <xf numFmtId="0" fontId="85" fillId="20" borderId="371" xfId="13" applyNumberFormat="1" applyFont="1" applyFill="1" applyBorder="1" applyAlignment="1">
      <alignment horizontal="right"/>
    </xf>
    <xf numFmtId="176" fontId="85" fillId="20" borderId="371" xfId="13" applyNumberFormat="1" applyFont="1" applyFill="1" applyBorder="1" applyAlignment="1">
      <alignment horizontal="right"/>
    </xf>
    <xf numFmtId="176" fontId="85" fillId="20" borderId="370" xfId="13" applyNumberFormat="1" applyFont="1" applyFill="1" applyBorder="1" applyAlignment="1">
      <alignment horizontal="right"/>
    </xf>
    <xf numFmtId="0" fontId="8" fillId="20" borderId="348" xfId="0" applyFont="1" applyFill="1" applyBorder="1" applyAlignment="1">
      <alignment horizontal="center" vertical="center"/>
    </xf>
    <xf numFmtId="0" fontId="8" fillId="20" borderId="374" xfId="0" applyFont="1" applyFill="1" applyBorder="1" applyAlignment="1">
      <alignment horizontal="center" vertical="center"/>
    </xf>
    <xf numFmtId="0" fontId="54" fillId="0" borderId="0" xfId="13" applyFont="1" applyBorder="1"/>
    <xf numFmtId="0" fontId="0" fillId="20" borderId="0" xfId="0" applyFill="1"/>
    <xf numFmtId="165" fontId="91" fillId="20" borderId="376" xfId="20" applyNumberFormat="1" applyFont="1" applyFill="1" applyBorder="1" applyAlignment="1" applyProtection="1">
      <alignment horizontal="center"/>
    </xf>
    <xf numFmtId="165" fontId="91" fillId="20" borderId="377" xfId="20" applyNumberFormat="1" applyFont="1" applyFill="1" applyBorder="1" applyAlignment="1" applyProtection="1">
      <alignment horizontal="center"/>
    </xf>
    <xf numFmtId="0" fontId="91" fillId="0" borderId="229" xfId="0" applyFont="1" applyBorder="1" applyAlignment="1">
      <alignment wrapText="1"/>
    </xf>
    <xf numFmtId="165" fontId="91" fillId="20" borderId="225" xfId="20" applyNumberFormat="1" applyFont="1" applyFill="1" applyBorder="1" applyAlignment="1" applyProtection="1">
      <alignment horizontal="center"/>
    </xf>
    <xf numFmtId="0" fontId="90" fillId="20" borderId="378" xfId="20" applyFont="1" applyFill="1" applyBorder="1" applyAlignment="1">
      <alignment horizontal="center" vertical="center"/>
    </xf>
    <xf numFmtId="172" fontId="91" fillId="20" borderId="378" xfId="20" applyNumberFormat="1" applyFont="1" applyFill="1" applyBorder="1" applyAlignment="1">
      <alignment horizontal="center" vertical="center"/>
    </xf>
    <xf numFmtId="172" fontId="90" fillId="20" borderId="378" xfId="20" applyNumberFormat="1" applyFont="1" applyFill="1" applyBorder="1" applyAlignment="1">
      <alignment horizontal="center" vertical="center"/>
    </xf>
    <xf numFmtId="0" fontId="90" fillId="20" borderId="378" xfId="19" applyFont="1" applyFill="1" applyBorder="1" applyAlignment="1">
      <alignment horizontal="center"/>
    </xf>
    <xf numFmtId="172" fontId="91" fillId="20" borderId="378" xfId="19" applyNumberFormat="1" applyFont="1" applyFill="1" applyBorder="1" applyAlignment="1">
      <alignment horizontal="center" vertical="center"/>
    </xf>
    <xf numFmtId="172" fontId="90" fillId="20" borderId="378" xfId="19" applyNumberFormat="1" applyFont="1" applyFill="1" applyBorder="1" applyAlignment="1">
      <alignment horizontal="center" vertical="center"/>
    </xf>
    <xf numFmtId="0" fontId="90" fillId="20" borderId="378" xfId="19" applyFont="1" applyFill="1" applyBorder="1" applyAlignment="1">
      <alignment horizontal="center" vertical="center"/>
    </xf>
    <xf numFmtId="0" fontId="90" fillId="20" borderId="378" xfId="21" applyFont="1" applyFill="1" applyBorder="1" applyAlignment="1">
      <alignment horizontal="center" vertical="center"/>
    </xf>
    <xf numFmtId="172" fontId="95" fillId="20" borderId="378" xfId="21" applyNumberFormat="1" applyFont="1" applyFill="1" applyBorder="1" applyAlignment="1" applyProtection="1">
      <alignment horizontal="center" vertical="center"/>
    </xf>
    <xf numFmtId="172" fontId="90" fillId="20" borderId="378" xfId="21" applyNumberFormat="1" applyFont="1" applyFill="1" applyBorder="1" applyAlignment="1">
      <alignment horizontal="center" vertical="center"/>
    </xf>
    <xf numFmtId="172" fontId="91" fillId="20" borderId="378" xfId="21" applyNumberFormat="1" applyFont="1" applyFill="1" applyBorder="1" applyAlignment="1">
      <alignment horizontal="center" vertical="center"/>
    </xf>
    <xf numFmtId="0" fontId="90" fillId="20" borderId="378" xfId="21" applyFont="1" applyFill="1" applyBorder="1" applyAlignment="1">
      <alignment horizontal="center"/>
    </xf>
    <xf numFmtId="165" fontId="90" fillId="20" borderId="378" xfId="0" applyNumberFormat="1" applyFont="1" applyFill="1" applyBorder="1" applyAlignment="1" applyProtection="1">
      <alignment horizontal="center" vertical="center"/>
      <protection locked="0"/>
    </xf>
    <xf numFmtId="172" fontId="91" fillId="20" borderId="378" xfId="0" applyNumberFormat="1" applyFont="1" applyFill="1" applyBorder="1" applyAlignment="1" applyProtection="1">
      <alignment horizontal="center" vertical="center"/>
      <protection locked="0"/>
    </xf>
    <xf numFmtId="172" fontId="90" fillId="20" borderId="378" xfId="0" applyNumberFormat="1" applyFont="1" applyFill="1" applyBorder="1" applyAlignment="1" applyProtection="1">
      <alignment horizontal="center" vertical="center"/>
      <protection locked="0"/>
    </xf>
    <xf numFmtId="165" fontId="90" fillId="20" borderId="378" xfId="0" applyNumberFormat="1" applyFont="1" applyFill="1" applyBorder="1" applyAlignment="1">
      <alignment horizontal="center" vertical="center"/>
    </xf>
    <xf numFmtId="172" fontId="95" fillId="20" borderId="378" xfId="0" applyNumberFormat="1" applyFont="1" applyFill="1" applyBorder="1" applyAlignment="1" applyProtection="1">
      <alignment horizontal="center" vertical="center"/>
    </xf>
    <xf numFmtId="172" fontId="90" fillId="20" borderId="378" xfId="0" applyNumberFormat="1" applyFont="1" applyFill="1" applyBorder="1" applyAlignment="1">
      <alignment horizontal="center" vertical="center"/>
    </xf>
    <xf numFmtId="172" fontId="92" fillId="20" borderId="378" xfId="0" applyNumberFormat="1" applyFont="1" applyFill="1" applyBorder="1" applyAlignment="1" applyProtection="1">
      <alignment horizontal="center" vertical="center"/>
    </xf>
    <xf numFmtId="0" fontId="7" fillId="20" borderId="378" xfId="0" applyFont="1" applyFill="1" applyBorder="1" applyAlignment="1">
      <alignment horizontal="center"/>
    </xf>
    <xf numFmtId="172" fontId="8" fillId="20" borderId="378" xfId="1" applyNumberFormat="1" applyFont="1" applyFill="1" applyBorder="1" applyAlignment="1">
      <alignment horizontal="center" vertical="center"/>
    </xf>
    <xf numFmtId="172" fontId="7" fillId="20" borderId="378" xfId="1" applyNumberFormat="1" applyFont="1" applyFill="1" applyBorder="1" applyAlignment="1">
      <alignment horizontal="center" vertical="center"/>
    </xf>
    <xf numFmtId="172" fontId="0" fillId="20" borderId="378" xfId="0" applyNumberFormat="1" applyFill="1" applyBorder="1" applyAlignment="1">
      <alignment horizontal="center" vertical="center"/>
    </xf>
    <xf numFmtId="168" fontId="7" fillId="20" borderId="378" xfId="0" applyNumberFormat="1" applyFont="1" applyFill="1" applyBorder="1" applyAlignment="1">
      <alignment horizontal="center" vertical="center"/>
    </xf>
    <xf numFmtId="0" fontId="7" fillId="20" borderId="378" xfId="0" applyFont="1" applyFill="1" applyBorder="1" applyAlignment="1">
      <alignment horizontal="center" vertical="center"/>
    </xf>
    <xf numFmtId="168" fontId="7" fillId="20" borderId="378" xfId="1" applyNumberFormat="1" applyFont="1" applyFill="1" applyBorder="1" applyAlignment="1">
      <alignment horizontal="center" vertical="center"/>
    </xf>
    <xf numFmtId="0" fontId="8" fillId="20" borderId="157" xfId="0" applyFont="1" applyFill="1" applyBorder="1" applyAlignment="1">
      <alignment horizontal="center" vertical="center"/>
    </xf>
    <xf numFmtId="0" fontId="64" fillId="20" borderId="360" xfId="0" applyFont="1" applyFill="1" applyBorder="1" applyAlignment="1">
      <alignment horizontal="center" vertical="center" wrapText="1"/>
    </xf>
    <xf numFmtId="49" fontId="63" fillId="20" borderId="379" xfId="0" applyNumberFormat="1" applyFont="1" applyFill="1" applyBorder="1" applyAlignment="1">
      <alignment horizontal="center" vertical="center"/>
    </xf>
    <xf numFmtId="0" fontId="63" fillId="20" borderId="378" xfId="0" applyFont="1" applyFill="1" applyBorder="1" applyAlignment="1">
      <alignment horizontal="center" vertical="center"/>
    </xf>
    <xf numFmtId="0" fontId="64" fillId="20" borderId="378" xfId="0" applyNumberFormat="1" applyFont="1" applyFill="1" applyBorder="1" applyAlignment="1">
      <alignment horizontal="center" vertical="center"/>
    </xf>
    <xf numFmtId="0" fontId="63" fillId="20" borderId="378" xfId="0" quotePrefix="1" applyNumberFormat="1" applyFont="1" applyFill="1" applyBorder="1" applyAlignment="1">
      <alignment horizontal="center" vertical="center"/>
    </xf>
    <xf numFmtId="0" fontId="63" fillId="20" borderId="378" xfId="0" applyNumberFormat="1" applyFont="1" applyFill="1" applyBorder="1" applyAlignment="1">
      <alignment horizontal="center" vertical="center"/>
    </xf>
    <xf numFmtId="0" fontId="18" fillId="20" borderId="0" xfId="0" applyFont="1" applyFill="1" applyAlignment="1">
      <alignment horizontal="center"/>
    </xf>
    <xf numFmtId="0" fontId="18" fillId="20" borderId="0" xfId="0" applyFont="1" applyFill="1" applyBorder="1" applyAlignment="1">
      <alignment horizontal="center"/>
    </xf>
    <xf numFmtId="0" fontId="18" fillId="0" borderId="0" xfId="0" applyFont="1" applyAlignment="1">
      <alignment horizontal="center"/>
    </xf>
    <xf numFmtId="0" fontId="63" fillId="20" borderId="379" xfId="0" applyFont="1" applyFill="1" applyBorder="1" applyAlignment="1">
      <alignment horizontal="center" vertical="center"/>
    </xf>
    <xf numFmtId="174" fontId="28" fillId="8" borderId="0" xfId="0" applyNumberFormat="1" applyFont="1" applyFill="1" applyBorder="1"/>
    <xf numFmtId="0" fontId="63" fillId="20" borderId="381" xfId="0" applyFont="1" applyFill="1" applyBorder="1" applyAlignment="1">
      <alignment horizontal="center" vertical="center"/>
    </xf>
    <xf numFmtId="0" fontId="63" fillId="20" borderId="382" xfId="0" applyFont="1" applyFill="1" applyBorder="1" applyAlignment="1">
      <alignment horizontal="center" vertical="center"/>
    </xf>
    <xf numFmtId="0" fontId="63" fillId="20" borderId="378" xfId="0" applyNumberFormat="1" applyFont="1" applyFill="1" applyBorder="1" applyAlignment="1">
      <alignment horizontal="center" vertical="center" wrapText="1"/>
    </xf>
    <xf numFmtId="0" fontId="63" fillId="20" borderId="383" xfId="0" applyNumberFormat="1" applyFont="1" applyFill="1" applyBorder="1" applyAlignment="1">
      <alignment horizontal="center" vertical="center" wrapText="1"/>
    </xf>
    <xf numFmtId="0" fontId="64" fillId="20" borderId="383" xfId="0" applyNumberFormat="1" applyFont="1" applyFill="1" applyBorder="1" applyAlignment="1">
      <alignment horizontal="center" vertical="center" wrapText="1"/>
    </xf>
    <xf numFmtId="0" fontId="63" fillId="20" borderId="383" xfId="0" applyFont="1" applyFill="1" applyBorder="1" applyAlignment="1">
      <alignment horizontal="center" vertical="center"/>
    </xf>
    <xf numFmtId="0" fontId="18" fillId="20" borderId="383" xfId="0" applyNumberFormat="1" applyFont="1" applyFill="1" applyBorder="1" applyAlignment="1">
      <alignment horizontal="center" vertical="center" wrapText="1"/>
    </xf>
    <xf numFmtId="49" fontId="63" fillId="20" borderId="383" xfId="0" applyNumberFormat="1" applyFont="1" applyFill="1" applyBorder="1" applyAlignment="1">
      <alignment horizontal="center" vertical="center" wrapText="1"/>
    </xf>
    <xf numFmtId="0" fontId="17" fillId="20" borderId="383" xfId="0" applyNumberFormat="1" applyFont="1" applyFill="1" applyBorder="1" applyAlignment="1">
      <alignment horizontal="center" vertical="center" wrapText="1"/>
    </xf>
    <xf numFmtId="49" fontId="63" fillId="20" borderId="383" xfId="0" applyNumberFormat="1" applyFont="1" applyFill="1" applyBorder="1" applyAlignment="1">
      <alignment horizontal="center" vertical="center"/>
    </xf>
    <xf numFmtId="0" fontId="63" fillId="20" borderId="383" xfId="0" applyNumberFormat="1" applyFont="1" applyFill="1" applyBorder="1" applyAlignment="1">
      <alignment horizontal="center" vertical="center"/>
    </xf>
    <xf numFmtId="0" fontId="63" fillId="20" borderId="384" xfId="0" applyNumberFormat="1" applyFont="1" applyFill="1" applyBorder="1" applyAlignment="1">
      <alignment horizontal="center" vertical="center"/>
    </xf>
    <xf numFmtId="0" fontId="64" fillId="20" borderId="383" xfId="0" applyNumberFormat="1" applyFont="1" applyFill="1" applyBorder="1" applyAlignment="1">
      <alignment horizontal="center" vertical="center"/>
    </xf>
    <xf numFmtId="49" fontId="64" fillId="20" borderId="383" xfId="0" applyNumberFormat="1" applyFont="1" applyFill="1" applyBorder="1" applyAlignment="1">
      <alignment horizontal="center" vertical="center"/>
    </xf>
    <xf numFmtId="49" fontId="64" fillId="20" borderId="360" xfId="0" applyNumberFormat="1" applyFont="1" applyFill="1" applyBorder="1" applyAlignment="1">
      <alignment horizontal="center" vertical="center"/>
    </xf>
    <xf numFmtId="181" fontId="0" fillId="20" borderId="391" xfId="1" applyNumberFormat="1" applyFont="1" applyFill="1" applyBorder="1"/>
    <xf numFmtId="181" fontId="7" fillId="20" borderId="391" xfId="1" applyNumberFormat="1" applyFont="1" applyFill="1" applyBorder="1" applyAlignment="1">
      <alignment horizontal="center" vertical="center"/>
    </xf>
    <xf numFmtId="180" fontId="7" fillId="0" borderId="0" xfId="1" applyNumberFormat="1" applyFont="1"/>
    <xf numFmtId="0" fontId="12" fillId="0" borderId="0" xfId="27" applyFont="1" applyBorder="1"/>
    <xf numFmtId="0" fontId="14" fillId="0" borderId="0" xfId="27" applyFont="1"/>
    <xf numFmtId="0" fontId="12" fillId="0" borderId="0" xfId="27" applyFont="1"/>
    <xf numFmtId="0" fontId="12" fillId="0" borderId="0" xfId="27" applyFont="1" applyFill="1"/>
    <xf numFmtId="0" fontId="12" fillId="20" borderId="0" xfId="27" applyFont="1" applyFill="1"/>
    <xf numFmtId="168" fontId="12" fillId="20" borderId="0" xfId="27" applyNumberFormat="1" applyFont="1" applyFill="1"/>
    <xf numFmtId="168" fontId="12" fillId="0" borderId="0" xfId="27" applyNumberFormat="1" applyFont="1"/>
    <xf numFmtId="0" fontId="14" fillId="20" borderId="360" xfId="27" applyFont="1" applyFill="1" applyBorder="1" applyAlignment="1"/>
    <xf numFmtId="0" fontId="12" fillId="0" borderId="0" xfId="27" applyFont="1" applyBorder="1" applyAlignment="1">
      <alignment horizontal="center"/>
    </xf>
    <xf numFmtId="0" fontId="14" fillId="20" borderId="395" xfId="27" applyFont="1" applyFill="1" applyBorder="1" applyAlignment="1"/>
    <xf numFmtId="0" fontId="14" fillId="20" borderId="390" xfId="27" applyFont="1" applyFill="1" applyBorder="1" applyAlignment="1">
      <alignment horizontal="right"/>
    </xf>
    <xf numFmtId="0" fontId="12" fillId="20" borderId="390" xfId="27" applyFont="1" applyFill="1" applyBorder="1" applyAlignment="1">
      <alignment horizontal="right"/>
    </xf>
    <xf numFmtId="0" fontId="12" fillId="0" borderId="0" xfId="27" applyFont="1" applyFill="1" applyBorder="1" applyAlignment="1">
      <alignment horizontal="center"/>
    </xf>
    <xf numFmtId="0" fontId="12" fillId="20" borderId="383" xfId="27" applyFont="1" applyFill="1" applyBorder="1"/>
    <xf numFmtId="0" fontId="12" fillId="0" borderId="383" xfId="27" applyFont="1" applyBorder="1"/>
    <xf numFmtId="168" fontId="14" fillId="0" borderId="0" xfId="27" applyNumberFormat="1" applyFont="1" applyBorder="1"/>
    <xf numFmtId="0" fontId="14" fillId="0" borderId="0" xfId="27" applyFont="1" applyFill="1"/>
    <xf numFmtId="168" fontId="12" fillId="0" borderId="0" xfId="27" applyNumberFormat="1" applyFont="1" applyBorder="1"/>
    <xf numFmtId="168" fontId="12" fillId="0" borderId="0" xfId="27" applyNumberFormat="1" applyFont="1" applyBorder="1" applyAlignment="1">
      <alignment horizontal="right"/>
    </xf>
    <xf numFmtId="168" fontId="14" fillId="20" borderId="0" xfId="27" applyNumberFormat="1" applyFont="1" applyFill="1" applyBorder="1" applyAlignment="1">
      <alignment horizontal="right" vertical="center"/>
    </xf>
    <xf numFmtId="0" fontId="14" fillId="20" borderId="383" xfId="27" applyFont="1" applyFill="1" applyBorder="1"/>
    <xf numFmtId="0" fontId="14" fillId="0" borderId="0" xfId="27" applyFont="1" applyBorder="1"/>
    <xf numFmtId="168" fontId="12" fillId="0" borderId="0" xfId="27" applyNumberFormat="1" applyFont="1" applyFill="1" applyBorder="1"/>
    <xf numFmtId="0" fontId="30" fillId="0" borderId="0" xfId="27" applyFont="1" applyFill="1"/>
    <xf numFmtId="168" fontId="12" fillId="0" borderId="0" xfId="27" applyNumberFormat="1" applyFont="1" applyBorder="1" applyAlignment="1">
      <alignment horizontal="center" vertical="center" wrapText="1"/>
    </xf>
    <xf numFmtId="1" fontId="12" fillId="0" borderId="0" xfId="27" applyNumberFormat="1" applyFont="1" applyFill="1"/>
    <xf numFmtId="0" fontId="12" fillId="0" borderId="0" xfId="27" applyFont="1" applyFill="1" applyBorder="1"/>
    <xf numFmtId="168" fontId="12" fillId="20" borderId="0" xfId="29" applyNumberFormat="1" applyFont="1" applyFill="1" applyProtection="1">
      <protection hidden="1"/>
    </xf>
    <xf numFmtId="168" fontId="12" fillId="20" borderId="0" xfId="29" applyNumberFormat="1" applyFont="1" applyFill="1" applyBorder="1" applyProtection="1">
      <protection hidden="1"/>
    </xf>
    <xf numFmtId="168" fontId="12" fillId="20" borderId="0" xfId="30" applyNumberFormat="1" applyFont="1" applyFill="1"/>
    <xf numFmtId="168" fontId="12" fillId="20" borderId="0" xfId="27" applyNumberFormat="1" applyFont="1" applyFill="1" applyBorder="1"/>
    <xf numFmtId="168" fontId="14" fillId="20" borderId="0" xfId="27" applyNumberFormat="1" applyFont="1" applyFill="1" applyBorder="1"/>
    <xf numFmtId="168" fontId="14" fillId="20" borderId="384" xfId="27" applyNumberFormat="1" applyFont="1" applyFill="1" applyBorder="1"/>
    <xf numFmtId="0" fontId="12" fillId="20" borderId="384" xfId="27" applyFont="1" applyFill="1" applyBorder="1"/>
    <xf numFmtId="2" fontId="12" fillId="0" borderId="0" xfId="27" applyNumberFormat="1" applyFont="1"/>
    <xf numFmtId="168" fontId="12" fillId="0" borderId="0" xfId="27" applyNumberFormat="1" applyFont="1" applyFill="1"/>
    <xf numFmtId="0" fontId="12" fillId="0" borderId="0" xfId="27" applyNumberFormat="1" applyFont="1"/>
    <xf numFmtId="0" fontId="12" fillId="0" borderId="0" xfId="27" applyNumberFormat="1" applyFont="1" applyFill="1"/>
    <xf numFmtId="0" fontId="12" fillId="0" borderId="0" xfId="27" applyFont="1" applyAlignment="1">
      <alignment horizontal="center"/>
    </xf>
    <xf numFmtId="0" fontId="14" fillId="0" borderId="0" xfId="27" applyFont="1" applyAlignment="1">
      <alignment horizontal="center"/>
    </xf>
    <xf numFmtId="1" fontId="14" fillId="0" borderId="0" xfId="27" applyNumberFormat="1" applyFont="1" applyAlignment="1">
      <alignment horizontal="center"/>
    </xf>
    <xf numFmtId="0" fontId="12" fillId="0" borderId="0" xfId="27" applyFont="1" applyBorder="1" applyAlignment="1"/>
    <xf numFmtId="0" fontId="12" fillId="0" borderId="0" xfId="27" applyFont="1" applyAlignment="1"/>
    <xf numFmtId="0" fontId="12" fillId="0" borderId="0" xfId="27" quotePrefix="1" applyFont="1" applyAlignment="1">
      <alignment vertical="center"/>
    </xf>
    <xf numFmtId="0" fontId="12" fillId="0" borderId="0" xfId="27" applyNumberFormat="1" applyFont="1" applyBorder="1"/>
    <xf numFmtId="172" fontId="56" fillId="0" borderId="0" xfId="32" applyNumberFormat="1" applyFont="1"/>
    <xf numFmtId="168" fontId="56" fillId="0" borderId="0" xfId="32" applyNumberFormat="1" applyFont="1"/>
    <xf numFmtId="168" fontId="14" fillId="0" borderId="0" xfId="27" applyNumberFormat="1" applyFont="1"/>
    <xf numFmtId="16" fontId="12" fillId="0" borderId="0" xfId="27" quotePrefix="1" applyNumberFormat="1" applyFont="1" applyBorder="1"/>
    <xf numFmtId="0" fontId="14" fillId="0" borderId="0" xfId="27" applyNumberFormat="1" applyFont="1" applyBorder="1" applyAlignment="1">
      <alignment horizontal="center"/>
    </xf>
    <xf numFmtId="16" fontId="14" fillId="0" borderId="0" xfId="27" applyNumberFormat="1" applyFont="1" applyBorder="1" applyAlignment="1">
      <alignment horizontal="center"/>
    </xf>
    <xf numFmtId="0" fontId="14" fillId="0" borderId="0" xfId="27" applyFont="1" applyBorder="1" applyAlignment="1"/>
    <xf numFmtId="1" fontId="12" fillId="0" borderId="0" xfId="27" applyNumberFormat="1" applyFont="1" applyFill="1" applyBorder="1" applyAlignment="1">
      <alignment horizontal="right"/>
    </xf>
    <xf numFmtId="1" fontId="12" fillId="0" borderId="0" xfId="27" applyNumberFormat="1" applyFont="1" applyFill="1" applyBorder="1"/>
    <xf numFmtId="0" fontId="30" fillId="0" borderId="0" xfId="27" applyFont="1" applyFill="1" applyBorder="1"/>
    <xf numFmtId="0" fontId="12" fillId="0" borderId="0" xfId="27" applyFont="1" applyFill="1" applyBorder="1" applyAlignment="1">
      <alignment vertical="center"/>
    </xf>
    <xf numFmtId="1" fontId="12" fillId="0" borderId="0" xfId="27" applyNumberFormat="1" applyFont="1" applyBorder="1"/>
    <xf numFmtId="0" fontId="30" fillId="0" borderId="0" xfId="27" applyNumberFormat="1" applyFont="1" applyFill="1"/>
    <xf numFmtId="0" fontId="12" fillId="0" borderId="0" xfId="27" applyFont="1" applyFill="1" applyBorder="1" applyAlignment="1">
      <alignment horizontal="center" vertical="center" wrapText="1"/>
    </xf>
    <xf numFmtId="0" fontId="12" fillId="0" borderId="0" xfId="27" applyFont="1" applyFill="1" applyBorder="1" applyAlignment="1">
      <alignment vertical="center" wrapText="1"/>
    </xf>
    <xf numFmtId="0" fontId="12" fillId="0" borderId="0" xfId="27" applyFont="1" applyBorder="1" applyAlignment="1">
      <alignment vertical="center" wrapText="1"/>
    </xf>
    <xf numFmtId="168" fontId="12" fillId="0" borderId="0" xfId="27" applyNumberFormat="1" applyFont="1" applyBorder="1" applyAlignment="1">
      <alignment wrapText="1"/>
    </xf>
    <xf numFmtId="0" fontId="54" fillId="0" borderId="0" xfId="13" applyFont="1" applyBorder="1" applyAlignment="1">
      <alignment horizontal="left" vertical="top"/>
    </xf>
    <xf numFmtId="0" fontId="54" fillId="0" borderId="0" xfId="13" applyFont="1" applyFill="1"/>
    <xf numFmtId="0" fontId="54" fillId="0" borderId="0" xfId="13" applyFont="1" applyFill="1" applyBorder="1"/>
    <xf numFmtId="0" fontId="12" fillId="0" borderId="0" xfId="0" applyFont="1" applyFill="1" applyAlignment="1">
      <alignment vertical="center"/>
    </xf>
    <xf numFmtId="0" fontId="12" fillId="0" borderId="0" xfId="0" applyFont="1" applyFill="1" applyBorder="1" applyAlignment="1">
      <alignment vertical="center"/>
    </xf>
    <xf numFmtId="0" fontId="14" fillId="0" borderId="0" xfId="0" applyFont="1" applyFill="1" applyBorder="1" applyAlignment="1">
      <alignment vertical="center"/>
    </xf>
    <xf numFmtId="0" fontId="56" fillId="0" borderId="0" xfId="0" applyFont="1" applyFill="1" applyBorder="1" applyAlignment="1">
      <alignment vertical="center"/>
    </xf>
    <xf numFmtId="168" fontId="77" fillId="0" borderId="0" xfId="0" applyNumberFormat="1" applyFont="1" applyFill="1" applyBorder="1" applyAlignment="1">
      <alignment vertical="center"/>
    </xf>
    <xf numFmtId="0" fontId="77" fillId="0" borderId="0" xfId="0" applyFont="1" applyFill="1" applyBorder="1" applyAlignment="1">
      <alignment vertical="center"/>
    </xf>
    <xf numFmtId="0" fontId="78" fillId="0" borderId="0" xfId="0" applyFont="1" applyFill="1" applyBorder="1" applyAlignment="1">
      <alignment horizontal="center" vertical="center"/>
    </xf>
    <xf numFmtId="0" fontId="56" fillId="0" borderId="0" xfId="0" applyFont="1" applyFill="1" applyBorder="1" applyAlignment="1">
      <alignment horizontal="center" vertical="center"/>
    </xf>
    <xf numFmtId="17" fontId="77" fillId="0" borderId="0" xfId="0" applyNumberFormat="1" applyFont="1" applyFill="1" applyBorder="1" applyAlignment="1">
      <alignment vertical="center"/>
    </xf>
    <xf numFmtId="0" fontId="77" fillId="0" borderId="0" xfId="0" applyFont="1" applyFill="1" applyBorder="1" applyAlignment="1">
      <alignment horizontal="center" vertical="center"/>
    </xf>
    <xf numFmtId="168" fontId="14" fillId="0" borderId="0" xfId="0" applyNumberFormat="1" applyFont="1" applyFill="1" applyBorder="1" applyAlignment="1">
      <alignment vertical="center"/>
    </xf>
    <xf numFmtId="165" fontId="90" fillId="0" borderId="0" xfId="16" applyNumberFormat="1" applyFont="1" applyBorder="1" applyProtection="1"/>
    <xf numFmtId="0" fontId="90" fillId="0" borderId="0" xfId="21" applyFont="1" applyFill="1" applyAlignment="1">
      <alignment horizontal="center"/>
    </xf>
    <xf numFmtId="168" fontId="90" fillId="0" borderId="0" xfId="21" applyNumberFormat="1" applyFont="1" applyFill="1"/>
    <xf numFmtId="0" fontId="54" fillId="20" borderId="0" xfId="27" applyFont="1" applyFill="1" applyBorder="1"/>
    <xf numFmtId="0" fontId="54" fillId="0" borderId="0" xfId="27" applyFont="1" applyFill="1" applyBorder="1"/>
    <xf numFmtId="0" fontId="54" fillId="20" borderId="0" xfId="27" applyFont="1" applyFill="1" applyBorder="1" applyAlignment="1">
      <alignment horizontal="center"/>
    </xf>
    <xf numFmtId="0" fontId="54" fillId="0" borderId="0" xfId="27" applyFont="1" applyFill="1" applyBorder="1" applyAlignment="1">
      <alignment horizontal="center"/>
    </xf>
    <xf numFmtId="166" fontId="123" fillId="20" borderId="0" xfId="27" applyNumberFormat="1" applyFont="1" applyFill="1" applyBorder="1" applyAlignment="1" applyProtection="1">
      <alignment horizontal="left"/>
    </xf>
    <xf numFmtId="0" fontId="54" fillId="20" borderId="390" xfId="27" applyFont="1" applyFill="1" applyBorder="1" applyAlignment="1">
      <alignment horizontal="center"/>
    </xf>
    <xf numFmtId="0" fontId="85" fillId="20" borderId="0" xfId="27" applyFont="1" applyFill="1" applyBorder="1" applyAlignment="1">
      <alignment horizontal="center" vertical="center"/>
    </xf>
    <xf numFmtId="0" fontId="85" fillId="0" borderId="0" xfId="27" applyFont="1" applyFill="1" applyBorder="1" applyAlignment="1">
      <alignment horizontal="center" vertical="center"/>
    </xf>
    <xf numFmtId="0" fontId="85" fillId="0" borderId="0" xfId="27" applyFont="1" applyFill="1" applyBorder="1" applyAlignment="1">
      <alignment horizontal="center"/>
    </xf>
    <xf numFmtId="168" fontId="85" fillId="20" borderId="0" xfId="27" applyNumberFormat="1" applyFont="1" applyFill="1" applyBorder="1"/>
    <xf numFmtId="168" fontId="85" fillId="20" borderId="383" xfId="27" applyNumberFormat="1" applyFont="1" applyFill="1" applyBorder="1" applyProtection="1"/>
    <xf numFmtId="168" fontId="85" fillId="20" borderId="383" xfId="27" applyNumberFormat="1" applyFont="1" applyFill="1" applyBorder="1"/>
    <xf numFmtId="168" fontId="85" fillId="20" borderId="384" xfId="27" applyNumberFormat="1" applyFont="1" applyFill="1" applyBorder="1" applyAlignment="1">
      <alignment horizontal="right"/>
    </xf>
    <xf numFmtId="168" fontId="85" fillId="20" borderId="0" xfId="27" applyNumberFormat="1" applyFont="1" applyFill="1" applyBorder="1" applyAlignment="1">
      <alignment horizontal="right"/>
    </xf>
    <xf numFmtId="176" fontId="85" fillId="20" borderId="0" xfId="28" applyNumberFormat="1" applyFont="1" applyFill="1" applyBorder="1" applyAlignment="1">
      <alignment horizontal="right"/>
    </xf>
    <xf numFmtId="176" fontId="85" fillId="20" borderId="0" xfId="28" applyNumberFormat="1" applyFont="1" applyFill="1" applyBorder="1" applyAlignment="1">
      <alignment horizontal="center"/>
    </xf>
    <xf numFmtId="176" fontId="85" fillId="20" borderId="157" xfId="28" applyNumberFormat="1" applyFont="1" applyFill="1" applyBorder="1" applyAlignment="1">
      <alignment horizontal="center"/>
    </xf>
    <xf numFmtId="176" fontId="85" fillId="20" borderId="384" xfId="28" applyNumberFormat="1" applyFont="1" applyFill="1" applyBorder="1" applyAlignment="1">
      <alignment horizontal="center"/>
    </xf>
    <xf numFmtId="168" fontId="85" fillId="0" borderId="0" xfId="27" applyNumberFormat="1" applyFont="1" applyFill="1" applyBorder="1"/>
    <xf numFmtId="166" fontId="54" fillId="20" borderId="383" xfId="27" applyNumberFormat="1" applyFont="1" applyFill="1" applyBorder="1" applyAlignment="1" applyProtection="1">
      <alignment horizontal="right"/>
    </xf>
    <xf numFmtId="168" fontId="54" fillId="20" borderId="0" xfId="27" applyNumberFormat="1" applyFont="1" applyFill="1" applyBorder="1" applyAlignment="1">
      <alignment horizontal="right"/>
    </xf>
    <xf numFmtId="176" fontId="54" fillId="20" borderId="0" xfId="28" applyNumberFormat="1" applyFont="1" applyFill="1" applyBorder="1" applyAlignment="1">
      <alignment horizontal="right"/>
    </xf>
    <xf numFmtId="176" fontId="54" fillId="20" borderId="0" xfId="28" applyNumberFormat="1" applyFont="1" applyFill="1" applyBorder="1" applyAlignment="1">
      <alignment horizontal="center"/>
    </xf>
    <xf numFmtId="176" fontId="54" fillId="20" borderId="0" xfId="28" applyNumberFormat="1" applyFont="1" applyFill="1" applyBorder="1"/>
    <xf numFmtId="176" fontId="54" fillId="20" borderId="384" xfId="28" applyNumberFormat="1" applyFont="1" applyFill="1" applyBorder="1"/>
    <xf numFmtId="168" fontId="54" fillId="20" borderId="0" xfId="27" applyNumberFormat="1" applyFont="1" applyFill="1" applyBorder="1"/>
    <xf numFmtId="168" fontId="54" fillId="20" borderId="383" xfId="27" applyNumberFormat="1" applyFont="1" applyFill="1" applyBorder="1" applyAlignment="1" applyProtection="1">
      <alignment horizontal="left" indent="1"/>
    </xf>
    <xf numFmtId="176" fontId="54" fillId="20" borderId="384" xfId="28" applyNumberFormat="1" applyFont="1" applyFill="1" applyBorder="1" applyAlignment="1">
      <alignment horizontal="center"/>
    </xf>
    <xf numFmtId="168" fontId="54" fillId="0" borderId="0" xfId="27" applyNumberFormat="1" applyFont="1" applyFill="1" applyBorder="1"/>
    <xf numFmtId="168" fontId="54" fillId="20" borderId="383" xfId="27" applyNumberFormat="1" applyFont="1" applyFill="1" applyBorder="1" applyProtection="1"/>
    <xf numFmtId="168" fontId="54" fillId="20" borderId="390" xfId="27" applyNumberFormat="1" applyFont="1" applyFill="1" applyBorder="1" applyAlignment="1">
      <alignment horizontal="right"/>
    </xf>
    <xf numFmtId="0" fontId="54" fillId="20" borderId="383" xfId="27" applyFont="1" applyFill="1" applyBorder="1" applyAlignment="1">
      <alignment horizontal="right"/>
    </xf>
    <xf numFmtId="168" fontId="54" fillId="20" borderId="383" xfId="27" applyNumberFormat="1" applyFont="1" applyFill="1" applyBorder="1" applyAlignment="1">
      <alignment horizontal="left" indent="1"/>
    </xf>
    <xf numFmtId="168" fontId="126" fillId="20" borderId="0" xfId="27" applyNumberFormat="1" applyFont="1" applyFill="1" applyBorder="1" applyAlignment="1">
      <alignment horizontal="right"/>
    </xf>
    <xf numFmtId="176" fontId="126" fillId="20" borderId="0" xfId="28" applyNumberFormat="1" applyFont="1" applyFill="1" applyBorder="1" applyAlignment="1">
      <alignment horizontal="right"/>
    </xf>
    <xf numFmtId="176" fontId="126" fillId="20" borderId="0" xfId="28" applyNumberFormat="1" applyFont="1" applyFill="1" applyBorder="1" applyAlignment="1">
      <alignment horizontal="center"/>
    </xf>
    <xf numFmtId="176" fontId="126" fillId="20" borderId="0" xfId="28" applyNumberFormat="1" applyFont="1" applyFill="1" applyBorder="1"/>
    <xf numFmtId="176" fontId="54" fillId="20" borderId="390" xfId="27" applyNumberFormat="1" applyFont="1" applyFill="1" applyBorder="1" applyAlignment="1">
      <alignment horizontal="right"/>
    </xf>
    <xf numFmtId="176" fontId="54" fillId="20" borderId="390" xfId="27" applyNumberFormat="1" applyFont="1" applyFill="1" applyBorder="1" applyAlignment="1">
      <alignment horizontal="center"/>
    </xf>
    <xf numFmtId="176" fontId="54" fillId="20" borderId="390" xfId="27" applyNumberFormat="1" applyFont="1" applyFill="1" applyBorder="1"/>
    <xf numFmtId="176" fontId="54" fillId="20" borderId="0" xfId="27" applyNumberFormat="1" applyFont="1" applyFill="1" applyBorder="1"/>
    <xf numFmtId="176" fontId="54" fillId="20" borderId="390" xfId="28" applyNumberFormat="1" applyFont="1" applyFill="1" applyBorder="1"/>
    <xf numFmtId="176" fontId="54" fillId="20" borderId="388" xfId="28" applyNumberFormat="1" applyFont="1" applyFill="1" applyBorder="1"/>
    <xf numFmtId="166" fontId="54" fillId="20" borderId="385" xfId="27" applyNumberFormat="1" applyFont="1" applyFill="1" applyBorder="1" applyAlignment="1" applyProtection="1">
      <alignment horizontal="left" indent="1"/>
    </xf>
    <xf numFmtId="168" fontId="54" fillId="20" borderId="386" xfId="27" applyNumberFormat="1" applyFont="1" applyFill="1" applyBorder="1" applyAlignment="1">
      <alignment horizontal="right"/>
    </xf>
    <xf numFmtId="168" fontId="54" fillId="20" borderId="157" xfId="27" applyNumberFormat="1" applyFont="1" applyFill="1" applyBorder="1" applyAlignment="1">
      <alignment horizontal="right"/>
    </xf>
    <xf numFmtId="168" fontId="126" fillId="20" borderId="157" xfId="27" applyNumberFormat="1" applyFont="1" applyFill="1" applyBorder="1" applyAlignment="1">
      <alignment horizontal="right"/>
    </xf>
    <xf numFmtId="0" fontId="126" fillId="20" borderId="157" xfId="27" applyFont="1" applyFill="1" applyBorder="1"/>
    <xf numFmtId="43" fontId="126" fillId="20" borderId="157" xfId="28" applyFont="1" applyFill="1" applyBorder="1"/>
    <xf numFmtId="43" fontId="126" fillId="20" borderId="0" xfId="28" applyFont="1" applyFill="1" applyBorder="1"/>
    <xf numFmtId="43" fontId="126" fillId="20" borderId="384" xfId="28" applyFont="1" applyFill="1" applyBorder="1"/>
    <xf numFmtId="176" fontId="85" fillId="20" borderId="0" xfId="27" applyNumberFormat="1" applyFont="1" applyFill="1" applyBorder="1" applyAlignment="1">
      <alignment horizontal="right"/>
    </xf>
    <xf numFmtId="176" fontId="85" fillId="20" borderId="0" xfId="27" applyNumberFormat="1" applyFont="1" applyFill="1" applyBorder="1" applyAlignment="1">
      <alignment horizontal="center"/>
    </xf>
    <xf numFmtId="0" fontId="85" fillId="20" borderId="387" xfId="27" applyFont="1" applyFill="1" applyBorder="1"/>
    <xf numFmtId="0" fontId="54" fillId="20" borderId="390" xfId="27" applyFont="1" applyFill="1" applyBorder="1" applyAlignment="1">
      <alignment horizontal="right"/>
    </xf>
    <xf numFmtId="168" fontId="85" fillId="20" borderId="388" xfId="27" applyNumberFormat="1" applyFont="1" applyFill="1" applyBorder="1" applyAlignment="1">
      <alignment horizontal="right"/>
    </xf>
    <xf numFmtId="168" fontId="85" fillId="20" borderId="390" xfId="27" applyNumberFormat="1" applyFont="1" applyFill="1" applyBorder="1" applyAlignment="1">
      <alignment horizontal="right"/>
    </xf>
    <xf numFmtId="0" fontId="54" fillId="20" borderId="0" xfId="27" applyFont="1" applyFill="1" applyBorder="1" applyAlignment="1">
      <alignment vertical="center"/>
    </xf>
    <xf numFmtId="2" fontId="85" fillId="20" borderId="395" xfId="27" applyNumberFormat="1" applyFont="1" applyFill="1" applyBorder="1" applyAlignment="1">
      <alignment vertical="center"/>
    </xf>
    <xf numFmtId="2" fontId="54" fillId="20" borderId="394" xfId="27" applyNumberFormat="1" applyFont="1" applyFill="1" applyBorder="1" applyAlignment="1">
      <alignment horizontal="right" vertical="center"/>
    </xf>
    <xf numFmtId="2" fontId="54" fillId="20" borderId="397" xfId="27" applyNumberFormat="1" applyFont="1" applyFill="1" applyBorder="1" applyAlignment="1">
      <alignment horizontal="right" vertical="center"/>
    </xf>
    <xf numFmtId="176" fontId="54" fillId="20" borderId="397" xfId="27" applyNumberFormat="1" applyFont="1" applyFill="1" applyBorder="1" applyAlignment="1">
      <alignment horizontal="right" vertical="center"/>
    </xf>
    <xf numFmtId="176" fontId="54" fillId="20" borderId="397" xfId="27" applyNumberFormat="1" applyFont="1" applyFill="1" applyBorder="1" applyAlignment="1">
      <alignment horizontal="center" vertical="center"/>
    </xf>
    <xf numFmtId="176" fontId="54" fillId="20" borderId="394" xfId="27" applyNumberFormat="1" applyFont="1" applyFill="1" applyBorder="1" applyAlignment="1">
      <alignment horizontal="center" vertical="center"/>
    </xf>
    <xf numFmtId="176" fontId="54" fillId="20" borderId="390" xfId="27" applyNumberFormat="1" applyFont="1" applyFill="1" applyBorder="1" applyAlignment="1">
      <alignment horizontal="center" vertical="center"/>
    </xf>
    <xf numFmtId="0" fontId="54" fillId="0" borderId="0" xfId="27" applyFont="1" applyFill="1" applyBorder="1" applyAlignment="1">
      <alignment vertical="center"/>
    </xf>
    <xf numFmtId="0" fontId="85" fillId="20" borderId="385" xfId="27" applyFont="1" applyFill="1" applyBorder="1"/>
    <xf numFmtId="0" fontId="54" fillId="20" borderId="384" xfId="27" applyFont="1" applyFill="1" applyBorder="1" applyAlignment="1">
      <alignment horizontal="right"/>
    </xf>
    <xf numFmtId="0" fontId="54" fillId="20" borderId="0" xfId="27" applyFont="1" applyFill="1" applyBorder="1" applyAlignment="1">
      <alignment horizontal="right"/>
    </xf>
    <xf numFmtId="168" fontId="85" fillId="20" borderId="157" xfId="27" applyNumberFormat="1" applyFont="1" applyFill="1" applyBorder="1" applyAlignment="1">
      <alignment horizontal="right"/>
    </xf>
    <xf numFmtId="0" fontId="54" fillId="20" borderId="157" xfId="27" applyFont="1" applyFill="1" applyBorder="1" applyAlignment="1">
      <alignment horizontal="right"/>
    </xf>
    <xf numFmtId="0" fontId="54" fillId="20" borderId="157" xfId="27" applyFont="1" applyFill="1" applyBorder="1"/>
    <xf numFmtId="0" fontId="54" fillId="20" borderId="384" xfId="27" applyFont="1" applyFill="1" applyBorder="1"/>
    <xf numFmtId="0" fontId="85" fillId="20" borderId="383" xfId="27" applyFont="1" applyFill="1" applyBorder="1" applyAlignment="1">
      <alignment horizontal="left" indent="2"/>
    </xf>
    <xf numFmtId="168" fontId="85" fillId="20" borderId="0" xfId="27" applyNumberFormat="1" applyFont="1" applyFill="1" applyBorder="1" applyAlignment="1"/>
    <xf numFmtId="0" fontId="54" fillId="20" borderId="383" xfId="27" applyFont="1" applyFill="1" applyBorder="1" applyAlignment="1">
      <alignment horizontal="left" indent="4"/>
    </xf>
    <xf numFmtId="0" fontId="54" fillId="20" borderId="387" xfId="27" applyFont="1" applyFill="1" applyBorder="1" applyAlignment="1">
      <alignment horizontal="left" indent="4"/>
    </xf>
    <xf numFmtId="168" fontId="85" fillId="20" borderId="390" xfId="27" applyNumberFormat="1" applyFont="1" applyFill="1" applyBorder="1" applyAlignment="1"/>
    <xf numFmtId="0" fontId="85" fillId="20" borderId="385" xfId="27" applyFont="1" applyFill="1" applyBorder="1" applyAlignment="1">
      <alignment vertical="center" wrapText="1"/>
    </xf>
    <xf numFmtId="168" fontId="85" fillId="20" borderId="386" xfId="27" applyNumberFormat="1" applyFont="1" applyFill="1" applyBorder="1" applyAlignment="1">
      <alignment horizontal="right"/>
    </xf>
    <xf numFmtId="168" fontId="85" fillId="20" borderId="157" xfId="27" applyNumberFormat="1" applyFont="1" applyFill="1" applyBorder="1" applyAlignment="1"/>
    <xf numFmtId="168" fontId="85" fillId="20" borderId="386" xfId="27" applyNumberFormat="1" applyFont="1" applyFill="1" applyBorder="1" applyAlignment="1"/>
    <xf numFmtId="168" fontId="54" fillId="20" borderId="0" xfId="27" applyNumberFormat="1" applyFont="1" applyFill="1" applyBorder="1" applyAlignment="1"/>
    <xf numFmtId="168" fontId="54" fillId="20" borderId="157" xfId="27" applyNumberFormat="1" applyFont="1" applyFill="1" applyBorder="1" applyAlignment="1"/>
    <xf numFmtId="0" fontId="21" fillId="20" borderId="157" xfId="27" applyFont="1" applyFill="1" applyBorder="1" applyAlignment="1"/>
    <xf numFmtId="0" fontId="21" fillId="20" borderId="157" xfId="27" applyFont="1" applyFill="1" applyBorder="1" applyAlignment="1">
      <alignment vertical="top"/>
    </xf>
    <xf numFmtId="0" fontId="21" fillId="20" borderId="0" xfId="27" applyFont="1" applyFill="1" applyBorder="1" applyAlignment="1">
      <alignment vertical="top"/>
    </xf>
    <xf numFmtId="0" fontId="21" fillId="20" borderId="0" xfId="27" applyFont="1" applyFill="1" applyBorder="1" applyAlignment="1">
      <alignment vertical="top" wrapText="1"/>
    </xf>
    <xf numFmtId="0" fontId="12" fillId="20" borderId="0" xfId="27" applyFont="1" applyFill="1" applyBorder="1" applyAlignment="1">
      <alignment vertical="top" wrapText="1"/>
    </xf>
    <xf numFmtId="43" fontId="54" fillId="0" borderId="0" xfId="28" applyFont="1" applyFill="1" applyBorder="1"/>
    <xf numFmtId="0" fontId="3" fillId="0" borderId="0" xfId="27"/>
    <xf numFmtId="4" fontId="54" fillId="0" borderId="0" xfId="27" applyNumberFormat="1" applyFont="1" applyFill="1" applyBorder="1"/>
    <xf numFmtId="3" fontId="54" fillId="0" borderId="0" xfId="27" applyNumberFormat="1" applyFont="1" applyFill="1" applyBorder="1"/>
    <xf numFmtId="0" fontId="0" fillId="0" borderId="0" xfId="33" applyFont="1"/>
    <xf numFmtId="0" fontId="0" fillId="0" borderId="0" xfId="33" applyFont="1" applyFill="1"/>
    <xf numFmtId="0" fontId="0" fillId="20" borderId="0" xfId="33" applyFont="1" applyFill="1"/>
    <xf numFmtId="0" fontId="0" fillId="0" borderId="0" xfId="33" applyFont="1" applyBorder="1"/>
    <xf numFmtId="0" fontId="0" fillId="20" borderId="0" xfId="33" applyFont="1" applyFill="1" applyBorder="1"/>
    <xf numFmtId="0" fontId="12" fillId="20" borderId="0" xfId="34" applyFont="1" applyFill="1" applyBorder="1" applyAlignment="1" applyProtection="1">
      <alignment horizontal="left"/>
    </xf>
    <xf numFmtId="0" fontId="14" fillId="20" borderId="395" xfId="34" applyFont="1" applyFill="1" applyBorder="1" applyAlignment="1" applyProtection="1">
      <alignment horizontal="left" vertical="center"/>
    </xf>
    <xf numFmtId="0" fontId="12" fillId="20" borderId="383" xfId="34" applyFont="1" applyFill="1" applyBorder="1" applyAlignment="1" applyProtection="1">
      <alignment horizontal="left"/>
    </xf>
    <xf numFmtId="185" fontId="12" fillId="20" borderId="0" xfId="35" applyNumberFormat="1" applyFont="1" applyFill="1" applyBorder="1" applyAlignment="1" applyProtection="1">
      <alignment horizontal="center" vertical="center"/>
    </xf>
    <xf numFmtId="0" fontId="12" fillId="20" borderId="383" xfId="33" applyFont="1" applyFill="1" applyBorder="1" applyAlignment="1">
      <alignment horizontal="left"/>
    </xf>
    <xf numFmtId="0" fontId="12" fillId="20" borderId="383" xfId="36" applyFont="1" applyFill="1" applyBorder="1" applyAlignment="1" applyProtection="1">
      <alignment horizontal="left"/>
    </xf>
    <xf numFmtId="0" fontId="14" fillId="20" borderId="380" xfId="33" applyFont="1" applyFill="1" applyBorder="1" applyAlignment="1">
      <alignment horizontal="center" vertical="center"/>
    </xf>
    <xf numFmtId="49" fontId="14" fillId="20" borderId="0" xfId="33" applyNumberFormat="1" applyFont="1" applyFill="1" applyBorder="1" applyAlignment="1">
      <alignment horizontal="center" vertical="center" wrapText="1"/>
    </xf>
    <xf numFmtId="0" fontId="3" fillId="20" borderId="0" xfId="27" applyFill="1"/>
    <xf numFmtId="166" fontId="14" fillId="20" borderId="394" xfId="27" applyNumberFormat="1" applyFont="1" applyFill="1" applyBorder="1" applyAlignment="1" applyProtection="1">
      <alignment vertical="center"/>
    </xf>
    <xf numFmtId="166" fontId="14" fillId="20" borderId="380" xfId="27" applyNumberFormat="1" applyFont="1" applyFill="1" applyBorder="1" applyAlignment="1" applyProtection="1">
      <alignment vertical="center"/>
    </xf>
    <xf numFmtId="166" fontId="14" fillId="20" borderId="387" xfId="27" applyNumberFormat="1" applyFont="1" applyFill="1" applyBorder="1" applyAlignment="1">
      <alignment horizontal="center" vertical="center"/>
    </xf>
    <xf numFmtId="166" fontId="12" fillId="20" borderId="385" xfId="27" applyNumberFormat="1" applyFont="1" applyFill="1" applyBorder="1" applyAlignment="1" applyProtection="1">
      <alignment vertical="center"/>
    </xf>
    <xf numFmtId="165" fontId="12" fillId="20" borderId="375" xfId="27" applyNumberFormat="1" applyFont="1" applyFill="1" applyBorder="1" applyAlignment="1" applyProtection="1">
      <alignment horizontal="center" vertical="center"/>
    </xf>
    <xf numFmtId="168" fontId="12" fillId="20" borderId="225" xfId="27" applyNumberFormat="1" applyFont="1" applyFill="1" applyBorder="1" applyAlignment="1">
      <alignment horizontal="center"/>
    </xf>
    <xf numFmtId="168" fontId="76" fillId="20" borderId="385" xfId="27" applyNumberFormat="1" applyFont="1" applyFill="1" applyBorder="1" applyAlignment="1">
      <alignment horizontal="center"/>
    </xf>
    <xf numFmtId="166" fontId="12" fillId="20" borderId="383" xfId="27" applyNumberFormat="1" applyFont="1" applyFill="1" applyBorder="1" applyAlignment="1" applyProtection="1">
      <alignment vertical="center"/>
    </xf>
    <xf numFmtId="168" fontId="12" fillId="20" borderId="375" xfId="27" applyNumberFormat="1" applyFont="1" applyFill="1" applyBorder="1" applyAlignment="1">
      <alignment horizontal="center"/>
    </xf>
    <xf numFmtId="168" fontId="76" fillId="20" borderId="383" xfId="27" applyNumberFormat="1" applyFont="1" applyFill="1" applyBorder="1" applyAlignment="1">
      <alignment horizontal="center"/>
    </xf>
    <xf numFmtId="166" fontId="12" fillId="20" borderId="387" xfId="27" applyNumberFormat="1" applyFont="1" applyFill="1" applyBorder="1" applyAlignment="1" applyProtection="1">
      <alignment vertical="center"/>
    </xf>
    <xf numFmtId="168" fontId="12" fillId="20" borderId="387" xfId="27" applyNumberFormat="1" applyFont="1" applyFill="1" applyBorder="1" applyAlignment="1">
      <alignment horizontal="center"/>
    </xf>
    <xf numFmtId="168" fontId="76" fillId="20" borderId="387" xfId="27" applyNumberFormat="1" applyFont="1" applyFill="1" applyBorder="1" applyAlignment="1">
      <alignment horizontal="center"/>
    </xf>
    <xf numFmtId="166" fontId="82" fillId="20" borderId="157" xfId="27" applyNumberFormat="1" applyFont="1" applyFill="1" applyBorder="1" applyAlignment="1">
      <alignment horizontal="left"/>
    </xf>
    <xf numFmtId="2" fontId="12" fillId="20" borderId="0" xfId="27" applyNumberFormat="1" applyFont="1" applyFill="1" applyBorder="1" applyAlignment="1" applyProtection="1">
      <alignment horizontal="center" vertical="center"/>
    </xf>
    <xf numFmtId="166" fontId="14" fillId="20" borderId="395" xfId="27" applyNumberFormat="1" applyFont="1" applyFill="1" applyBorder="1" applyAlignment="1" applyProtection="1">
      <alignment vertical="center"/>
    </xf>
    <xf numFmtId="166" fontId="14" fillId="20" borderId="389" xfId="27" applyNumberFormat="1" applyFont="1" applyFill="1" applyBorder="1" applyAlignment="1">
      <alignment horizontal="center" vertical="center"/>
    </xf>
    <xf numFmtId="172" fontId="12" fillId="20" borderId="385" xfId="27" applyNumberFormat="1" applyFont="1" applyFill="1" applyBorder="1" applyAlignment="1">
      <alignment horizontal="center"/>
    </xf>
    <xf numFmtId="172" fontId="12" fillId="20" borderId="383" xfId="27" applyNumberFormat="1" applyFont="1" applyFill="1" applyBorder="1" applyAlignment="1">
      <alignment horizontal="center"/>
    </xf>
    <xf numFmtId="172" fontId="12" fillId="20" borderId="0" xfId="27" applyNumberFormat="1" applyFont="1" applyFill="1" applyBorder="1" applyAlignment="1">
      <alignment horizontal="center"/>
    </xf>
    <xf numFmtId="172" fontId="12" fillId="20" borderId="387" xfId="27" applyNumberFormat="1" applyFont="1" applyFill="1" applyBorder="1" applyAlignment="1">
      <alignment horizontal="center"/>
    </xf>
    <xf numFmtId="166" fontId="82" fillId="20" borderId="157" xfId="27" applyNumberFormat="1" applyFont="1" applyFill="1" applyBorder="1" applyAlignment="1"/>
    <xf numFmtId="165" fontId="91" fillId="20" borderId="4" xfId="17"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4" xfId="20" applyNumberFormat="1" applyFont="1" applyFill="1" applyBorder="1" applyAlignment="1" applyProtection="1">
      <alignment horizontal="center"/>
    </xf>
    <xf numFmtId="0" fontId="85" fillId="20" borderId="0" xfId="27" applyFont="1" applyFill="1" applyBorder="1" applyAlignment="1">
      <alignment horizontal="center"/>
    </xf>
    <xf numFmtId="0" fontId="21" fillId="20" borderId="0" xfId="27" applyFont="1" applyFill="1" applyBorder="1" applyAlignment="1">
      <alignment horizontal="left" vertical="top" wrapText="1"/>
    </xf>
    <xf numFmtId="0" fontId="14" fillId="20" borderId="395" xfId="33" applyFont="1" applyFill="1" applyBorder="1" applyAlignment="1">
      <alignment horizontal="center" vertical="center"/>
    </xf>
    <xf numFmtId="0" fontId="9" fillId="20" borderId="0" xfId="0" applyFont="1" applyFill="1" applyAlignment="1"/>
    <xf numFmtId="173" fontId="12" fillId="0" borderId="0" xfId="0" applyNumberFormat="1" applyFont="1" applyFill="1" applyAlignment="1">
      <alignment vertical="center"/>
    </xf>
    <xf numFmtId="2" fontId="12" fillId="0" borderId="0" xfId="0" applyNumberFormat="1" applyFont="1" applyFill="1" applyAlignment="1">
      <alignment vertical="center"/>
    </xf>
    <xf numFmtId="43" fontId="12" fillId="0" borderId="0" xfId="0" applyNumberFormat="1" applyFont="1" applyFill="1" applyAlignment="1">
      <alignment vertical="center"/>
    </xf>
    <xf numFmtId="0" fontId="90" fillId="20" borderId="154" xfId="16" applyFont="1" applyFill="1" applyBorder="1" applyAlignment="1">
      <alignment horizontal="center" vertical="center"/>
    </xf>
    <xf numFmtId="0" fontId="90" fillId="20" borderId="242" xfId="16" applyFont="1" applyFill="1" applyBorder="1" applyAlignment="1">
      <alignment horizontal="center"/>
    </xf>
    <xf numFmtId="165" fontId="91" fillId="20" borderId="383" xfId="19" applyNumberFormat="1" applyFont="1" applyFill="1" applyBorder="1" applyAlignment="1" applyProtection="1">
      <alignment horizontal="center"/>
    </xf>
    <xf numFmtId="0" fontId="91" fillId="20" borderId="383" xfId="19" applyFont="1" applyFill="1" applyBorder="1" applyAlignment="1">
      <alignment horizontal="center" vertical="center"/>
    </xf>
    <xf numFmtId="165" fontId="91" fillId="20" borderId="399" xfId="19" applyNumberFormat="1" applyFont="1" applyFill="1" applyBorder="1" applyAlignment="1" applyProtection="1">
      <alignment horizontal="center"/>
    </xf>
    <xf numFmtId="0" fontId="85" fillId="20" borderId="0" xfId="19" applyFont="1" applyFill="1" applyAlignment="1">
      <alignment vertical="center" wrapText="1"/>
    </xf>
    <xf numFmtId="0" fontId="92" fillId="20" borderId="293" xfId="21" applyNumberFormat="1" applyFont="1" applyFill="1" applyBorder="1" applyAlignment="1" applyProtection="1">
      <alignment horizontal="center" vertical="center"/>
    </xf>
    <xf numFmtId="0" fontId="90" fillId="20" borderId="293" xfId="21" applyNumberFormat="1" applyFont="1" applyFill="1" applyBorder="1" applyAlignment="1">
      <alignment horizontal="center" vertical="center"/>
    </xf>
    <xf numFmtId="165" fontId="95" fillId="20" borderId="229" xfId="21" applyNumberFormat="1" applyFont="1" applyFill="1" applyBorder="1" applyAlignment="1" applyProtection="1">
      <alignment horizontal="center" vertical="center"/>
    </xf>
    <xf numFmtId="165" fontId="90" fillId="0" borderId="0" xfId="21" applyNumberFormat="1" applyFont="1" applyFill="1" applyBorder="1"/>
    <xf numFmtId="0" fontId="90" fillId="0" borderId="0" xfId="21" applyFont="1" applyFill="1" applyBorder="1" applyAlignment="1">
      <alignment horizontal="center"/>
    </xf>
    <xf numFmtId="165" fontId="90" fillId="0" borderId="0" xfId="21" applyNumberFormat="1" applyFont="1" applyFill="1" applyBorder="1" applyAlignment="1">
      <alignment horizontal="center"/>
    </xf>
    <xf numFmtId="168" fontId="90" fillId="0" borderId="0" xfId="21" applyNumberFormat="1" applyFont="1" applyFill="1" applyBorder="1" applyAlignment="1">
      <alignment horizontal="center"/>
    </xf>
    <xf numFmtId="2" fontId="90" fillId="0" borderId="0" xfId="21" applyNumberFormat="1" applyFont="1" applyFill="1" applyAlignment="1">
      <alignment horizontal="center"/>
    </xf>
    <xf numFmtId="0" fontId="91" fillId="20" borderId="309" xfId="21" applyFont="1" applyFill="1" applyBorder="1" applyAlignment="1">
      <alignment horizontal="center"/>
    </xf>
    <xf numFmtId="0" fontId="91" fillId="20" borderId="327" xfId="21" applyFont="1" applyFill="1" applyBorder="1"/>
    <xf numFmtId="165" fontId="95" fillId="0" borderId="0" xfId="21" applyNumberFormat="1" applyFont="1" applyFill="1" applyBorder="1" applyAlignment="1" applyProtection="1">
      <alignment horizontal="center"/>
    </xf>
    <xf numFmtId="2" fontId="91" fillId="0" borderId="0" xfId="21" applyNumberFormat="1" applyFont="1" applyFill="1" applyAlignment="1">
      <alignment horizontal="center"/>
    </xf>
    <xf numFmtId="0" fontId="91" fillId="0" borderId="0" xfId="21" applyFont="1" applyFill="1" applyAlignment="1">
      <alignment horizontal="center"/>
    </xf>
    <xf numFmtId="0" fontId="91" fillId="0" borderId="0" xfId="21" applyFont="1" applyAlignment="1">
      <alignment horizontal="center"/>
    </xf>
    <xf numFmtId="165" fontId="91" fillId="20" borderId="285" xfId="0" applyNumberFormat="1" applyFont="1" applyFill="1" applyBorder="1" applyAlignment="1">
      <alignment horizontal="center"/>
    </xf>
    <xf numFmtId="165" fontId="91" fillId="20" borderId="271" xfId="0" applyNumberFormat="1" applyFont="1" applyFill="1" applyBorder="1" applyAlignment="1">
      <alignment horizontal="center"/>
    </xf>
    <xf numFmtId="0" fontId="91" fillId="20" borderId="233" xfId="16" applyFont="1" applyFill="1" applyBorder="1" applyAlignment="1">
      <alignment horizontal="center"/>
    </xf>
    <xf numFmtId="0" fontId="91" fillId="20" borderId="0" xfId="16" applyFont="1" applyFill="1" applyAlignment="1">
      <alignment horizontal="center"/>
    </xf>
    <xf numFmtId="2" fontId="91" fillId="0" borderId="0" xfId="16" applyNumberFormat="1" applyFont="1" applyAlignment="1">
      <alignment horizontal="center"/>
    </xf>
    <xf numFmtId="0" fontId="91" fillId="0" borderId="0" xfId="16" applyFont="1" applyAlignment="1">
      <alignment horizontal="center"/>
    </xf>
    <xf numFmtId="165" fontId="129" fillId="20" borderId="364" xfId="0" applyNumberFormat="1" applyFont="1" applyFill="1" applyBorder="1" applyAlignment="1" applyProtection="1"/>
    <xf numFmtId="0" fontId="91" fillId="20" borderId="233" xfId="17" applyFont="1" applyFill="1" applyBorder="1" applyAlignment="1">
      <alignment horizontal="center"/>
    </xf>
    <xf numFmtId="165" fontId="91" fillId="20" borderId="229" xfId="17" applyNumberFormat="1" applyFont="1" applyFill="1" applyBorder="1" applyAlignment="1" applyProtection="1">
      <alignment horizontal="center" vertical="center"/>
    </xf>
    <xf numFmtId="0" fontId="91" fillId="20" borderId="0" xfId="17" applyFont="1" applyFill="1" applyAlignment="1">
      <alignment horizontal="center"/>
    </xf>
    <xf numFmtId="0" fontId="91" fillId="0" borderId="0" xfId="17" applyFont="1" applyAlignment="1">
      <alignment horizontal="center"/>
    </xf>
    <xf numFmtId="0" fontId="91" fillId="20" borderId="243" xfId="18" applyFont="1" applyFill="1" applyBorder="1" applyAlignment="1">
      <alignment horizontal="center"/>
    </xf>
    <xf numFmtId="0" fontId="8" fillId="20" borderId="0" xfId="0" applyFont="1" applyFill="1" applyAlignment="1">
      <alignment vertical="top" wrapText="1"/>
    </xf>
    <xf numFmtId="0" fontId="91" fillId="20" borderId="0" xfId="18" applyFont="1" applyFill="1" applyAlignment="1">
      <alignment horizontal="center"/>
    </xf>
    <xf numFmtId="0" fontId="91" fillId="0" borderId="0" xfId="18" applyFont="1" applyAlignment="1">
      <alignment horizontal="center"/>
    </xf>
    <xf numFmtId="0" fontId="91" fillId="20" borderId="365" xfId="19" applyFont="1" applyFill="1" applyBorder="1" applyAlignment="1"/>
    <xf numFmtId="0" fontId="91" fillId="20" borderId="271" xfId="19" applyFont="1" applyFill="1" applyBorder="1" applyAlignment="1">
      <alignment horizontal="center"/>
    </xf>
    <xf numFmtId="0" fontId="91" fillId="20" borderId="153" xfId="19" applyFont="1" applyFill="1" applyBorder="1" applyAlignment="1">
      <alignment horizontal="center" vertical="center"/>
    </xf>
    <xf numFmtId="0" fontId="91" fillId="20" borderId="0" xfId="19" applyFont="1" applyFill="1" applyAlignment="1">
      <alignment horizontal="center"/>
    </xf>
    <xf numFmtId="0" fontId="91" fillId="0" borderId="0" xfId="19" applyFont="1" applyAlignment="1">
      <alignment horizontal="center"/>
    </xf>
    <xf numFmtId="0" fontId="91" fillId="20" borderId="233" xfId="20" applyFont="1" applyFill="1" applyBorder="1" applyAlignment="1">
      <alignment horizontal="center"/>
    </xf>
    <xf numFmtId="0" fontId="91" fillId="0" borderId="0" xfId="20" applyFont="1" applyAlignment="1">
      <alignment horizontal="center"/>
    </xf>
    <xf numFmtId="0" fontId="14" fillId="20" borderId="0" xfId="19" applyFont="1" applyFill="1" applyAlignment="1">
      <alignment vertical="top" wrapText="1"/>
    </xf>
    <xf numFmtId="0" fontId="91" fillId="20" borderId="313" xfId="19" applyFont="1" applyFill="1" applyBorder="1" applyAlignment="1">
      <alignment horizontal="center"/>
    </xf>
    <xf numFmtId="165" fontId="91" fillId="0" borderId="0" xfId="21" applyNumberFormat="1" applyFont="1" applyAlignment="1">
      <alignment horizontal="center"/>
    </xf>
    <xf numFmtId="168" fontId="91" fillId="0" borderId="0" xfId="21" applyNumberFormat="1" applyFont="1" applyAlignment="1">
      <alignment horizontal="center"/>
    </xf>
    <xf numFmtId="168" fontId="91" fillId="20" borderId="0" xfId="21" applyNumberFormat="1" applyFont="1" applyFill="1" applyAlignment="1">
      <alignment horizontal="center"/>
    </xf>
    <xf numFmtId="0" fontId="91" fillId="0" borderId="0" xfId="21" applyFont="1"/>
    <xf numFmtId="0" fontId="91" fillId="20" borderId="270" xfId="21" applyFont="1" applyFill="1" applyBorder="1" applyAlignment="1">
      <alignment horizontal="center"/>
    </xf>
    <xf numFmtId="167" fontId="90" fillId="20" borderId="222" xfId="0" applyNumberFormat="1" applyFont="1" applyFill="1" applyBorder="1" applyAlignment="1" applyProtection="1">
      <alignment horizontal="center" vertical="center"/>
      <protection locked="0"/>
    </xf>
    <xf numFmtId="165" fontId="91" fillId="20" borderId="271" xfId="0" applyNumberFormat="1" applyFont="1" applyFill="1" applyBorder="1" applyAlignment="1" applyProtection="1">
      <alignment horizontal="center"/>
      <protection locked="0"/>
    </xf>
    <xf numFmtId="0" fontId="8" fillId="20" borderId="222" xfId="0" applyFont="1" applyFill="1" applyBorder="1" applyAlignment="1" applyProtection="1">
      <alignment horizontal="center" vertical="center"/>
      <protection locked="0"/>
    </xf>
    <xf numFmtId="0" fontId="8" fillId="20" borderId="327" xfId="0" applyFont="1" applyFill="1" applyBorder="1" applyAlignment="1" applyProtection="1">
      <alignment horizontal="center"/>
      <protection locked="0"/>
    </xf>
    <xf numFmtId="0" fontId="8" fillId="0" borderId="0" xfId="0" applyFont="1" applyAlignment="1" applyProtection="1">
      <alignment horizontal="center"/>
      <protection locked="0"/>
    </xf>
    <xf numFmtId="165" fontId="90" fillId="20" borderId="229" xfId="0" applyNumberFormat="1" applyFont="1" applyFill="1" applyBorder="1" applyAlignment="1">
      <alignment horizontal="center" vertical="center"/>
    </xf>
    <xf numFmtId="165" fontId="92" fillId="20" borderId="229" xfId="0" applyNumberFormat="1" applyFont="1" applyFill="1" applyBorder="1" applyAlignment="1" applyProtection="1">
      <alignment horizontal="center" vertical="center"/>
    </xf>
    <xf numFmtId="165" fontId="92" fillId="20" borderId="153" xfId="0" applyNumberFormat="1" applyFont="1" applyFill="1" applyBorder="1" applyAlignment="1" applyProtection="1">
      <alignment horizontal="center" vertical="center"/>
    </xf>
    <xf numFmtId="165" fontId="99" fillId="20" borderId="153" xfId="0" applyNumberFormat="1" applyFont="1" applyFill="1" applyBorder="1" applyAlignment="1" applyProtection="1">
      <alignment horizontal="center" vertical="center"/>
    </xf>
    <xf numFmtId="167" fontId="95" fillId="20" borderId="153" xfId="0" applyNumberFormat="1" applyFont="1" applyFill="1" applyBorder="1" applyAlignment="1" applyProtection="1">
      <alignment horizontal="center" vertical="center"/>
    </xf>
    <xf numFmtId="167" fontId="92" fillId="20" borderId="153" xfId="0" applyNumberFormat="1" applyFont="1" applyFill="1" applyBorder="1" applyAlignment="1" applyProtection="1">
      <alignment horizontal="center" vertical="center"/>
    </xf>
    <xf numFmtId="167" fontId="100" fillId="20" borderId="153" xfId="0" applyNumberFormat="1" applyFont="1" applyFill="1" applyBorder="1" applyAlignment="1" applyProtection="1">
      <alignment horizontal="center" vertical="center"/>
    </xf>
    <xf numFmtId="0" fontId="8" fillId="20" borderId="157" xfId="0" applyFont="1" applyFill="1" applyBorder="1" applyAlignment="1">
      <alignment horizontal="center"/>
    </xf>
    <xf numFmtId="0" fontId="60" fillId="0" borderId="0" xfId="0" applyFont="1" applyFill="1"/>
    <xf numFmtId="0" fontId="27" fillId="0" borderId="0" xfId="0" applyFont="1" applyFill="1"/>
    <xf numFmtId="174" fontId="28" fillId="0" borderId="0" xfId="0" applyNumberFormat="1" applyFont="1" applyFill="1" applyBorder="1"/>
    <xf numFmtId="0" fontId="22" fillId="20" borderId="0" xfId="0" applyFont="1" applyFill="1" applyBorder="1" applyAlignment="1">
      <alignment horizontal="right" vertical="top" wrapText="1"/>
    </xf>
    <xf numFmtId="0" fontId="64" fillId="0" borderId="0" xfId="0" applyNumberFormat="1" applyFont="1" applyFill="1" applyBorder="1" applyAlignment="1">
      <alignment horizontal="center" vertical="center"/>
    </xf>
    <xf numFmtId="0" fontId="61" fillId="2" borderId="0" xfId="0" applyFont="1" applyFill="1" applyBorder="1" applyAlignment="1">
      <alignment horizontal="center" wrapText="1"/>
    </xf>
    <xf numFmtId="0" fontId="64" fillId="20" borderId="398" xfId="0" applyNumberFormat="1" applyFont="1" applyFill="1" applyBorder="1" applyAlignment="1">
      <alignment horizontal="center" vertical="center"/>
    </xf>
    <xf numFmtId="0" fontId="63" fillId="20" borderId="398" xfId="0" applyNumberFormat="1" applyFont="1" applyFill="1" applyBorder="1" applyAlignment="1">
      <alignment horizontal="center" vertical="center"/>
    </xf>
    <xf numFmtId="0" fontId="63" fillId="20" borderId="398" xfId="0" applyNumberFormat="1" applyFont="1" applyFill="1" applyBorder="1" applyAlignment="1">
      <alignment horizontal="center" vertical="center" wrapText="1"/>
    </xf>
    <xf numFmtId="0" fontId="126" fillId="20" borderId="215" xfId="27" applyFont="1" applyFill="1" applyBorder="1"/>
    <xf numFmtId="0" fontId="54" fillId="20" borderId="215" xfId="27" applyFont="1" applyFill="1" applyBorder="1"/>
    <xf numFmtId="168" fontId="85" fillId="20" borderId="365" xfId="27" applyNumberFormat="1" applyFont="1" applyFill="1" applyBorder="1" applyAlignment="1">
      <alignment horizontal="right"/>
    </xf>
    <xf numFmtId="0" fontId="54" fillId="20" borderId="215" xfId="27" applyFont="1" applyFill="1" applyBorder="1" applyAlignment="1">
      <alignment horizontal="right"/>
    </xf>
    <xf numFmtId="0" fontId="12" fillId="0" borderId="0" xfId="27" applyFont="1" applyFill="1" applyBorder="1" applyAlignment="1">
      <alignment horizontal="left" vertical="top" wrapText="1"/>
    </xf>
    <xf numFmtId="168" fontId="127" fillId="0" borderId="0" xfId="27" applyNumberFormat="1" applyFont="1" applyFill="1" applyBorder="1"/>
    <xf numFmtId="0" fontId="126" fillId="0" borderId="0" xfId="27" applyFont="1" applyFill="1" applyBorder="1"/>
    <xf numFmtId="0" fontId="85" fillId="20" borderId="0" xfId="27" applyFont="1" applyFill="1" applyBorder="1" applyAlignment="1"/>
    <xf numFmtId="176" fontId="54" fillId="20" borderId="365" xfId="27" applyNumberFormat="1" applyFont="1" applyFill="1" applyBorder="1"/>
    <xf numFmtId="176" fontId="54" fillId="20" borderId="365" xfId="27" applyNumberFormat="1" applyFont="1" applyFill="1" applyBorder="1" applyAlignment="1">
      <alignment horizontal="center" vertical="center"/>
    </xf>
    <xf numFmtId="168" fontId="85" fillId="20" borderId="398" xfId="27" applyNumberFormat="1" applyFont="1" applyFill="1" applyBorder="1" applyAlignment="1">
      <alignment horizontal="right"/>
    </xf>
    <xf numFmtId="168" fontId="54" fillId="20" borderId="398" xfId="27" applyNumberFormat="1" applyFont="1" applyFill="1" applyBorder="1" applyAlignment="1">
      <alignment horizontal="right"/>
    </xf>
    <xf numFmtId="168" fontId="54" fillId="20" borderId="369" xfId="27" applyNumberFormat="1" applyFont="1" applyFill="1" applyBorder="1" applyAlignment="1">
      <alignment horizontal="right"/>
    </xf>
    <xf numFmtId="168" fontId="85" fillId="20" borderId="369" xfId="27" applyNumberFormat="1" applyFont="1" applyFill="1" applyBorder="1" applyAlignment="1">
      <alignment horizontal="right"/>
    </xf>
    <xf numFmtId="168" fontId="85" fillId="20" borderId="398" xfId="27" applyNumberFormat="1" applyFont="1" applyFill="1" applyBorder="1" applyAlignment="1"/>
    <xf numFmtId="168" fontId="85" fillId="20" borderId="369" xfId="27" applyNumberFormat="1" applyFont="1" applyFill="1" applyBorder="1" applyAlignment="1"/>
    <xf numFmtId="168" fontId="54" fillId="20" borderId="365" xfId="27" applyNumberFormat="1" applyFont="1" applyFill="1" applyBorder="1" applyAlignment="1">
      <alignment horizontal="right"/>
    </xf>
    <xf numFmtId="168" fontId="54" fillId="20" borderId="215" xfId="27" applyNumberFormat="1" applyFont="1" applyFill="1" applyBorder="1" applyAlignment="1">
      <alignment horizontal="right"/>
    </xf>
    <xf numFmtId="168" fontId="85" fillId="20" borderId="215" xfId="27" applyNumberFormat="1" applyFont="1" applyFill="1" applyBorder="1" applyAlignment="1">
      <alignment horizontal="right"/>
    </xf>
    <xf numFmtId="168" fontId="85" fillId="20" borderId="365" xfId="27" applyNumberFormat="1" applyFont="1" applyFill="1" applyBorder="1" applyAlignment="1"/>
    <xf numFmtId="168" fontId="85" fillId="20" borderId="215" xfId="27" applyNumberFormat="1" applyFont="1" applyFill="1" applyBorder="1" applyAlignment="1"/>
    <xf numFmtId="0" fontId="131" fillId="20" borderId="215" xfId="27" applyFont="1" applyFill="1" applyBorder="1" applyAlignment="1">
      <alignment horizontal="center" vertical="center" wrapText="1"/>
    </xf>
    <xf numFmtId="0" fontId="131" fillId="20" borderId="0" xfId="27" applyFont="1" applyFill="1" applyBorder="1" applyAlignment="1">
      <alignment horizontal="center" vertical="center" wrapText="1"/>
    </xf>
    <xf numFmtId="0" fontId="131" fillId="20" borderId="398" xfId="27" applyFont="1" applyFill="1" applyBorder="1" applyAlignment="1">
      <alignment horizontal="center" vertical="center" wrapText="1"/>
    </xf>
    <xf numFmtId="0" fontId="131" fillId="20" borderId="365" xfId="27" applyFont="1" applyFill="1" applyBorder="1" applyAlignment="1">
      <alignment horizontal="center" vertical="center" wrapText="1"/>
    </xf>
    <xf numFmtId="4" fontId="131" fillId="0" borderId="0" xfId="27" applyNumberFormat="1" applyFont="1" applyFill="1" applyBorder="1"/>
    <xf numFmtId="0" fontId="131" fillId="0" borderId="0" xfId="27" applyFont="1" applyFill="1" applyBorder="1"/>
    <xf numFmtId="4" fontId="131" fillId="0" borderId="0" xfId="27" applyNumberFormat="1" applyFont="1" applyFill="1" applyBorder="1" applyAlignment="1">
      <alignment horizontal="right"/>
    </xf>
    <xf numFmtId="0" fontId="131" fillId="0" borderId="0" xfId="27" applyFont="1" applyFill="1" applyBorder="1" applyAlignment="1">
      <alignment horizontal="right"/>
    </xf>
    <xf numFmtId="0" fontId="109" fillId="0" borderId="0" xfId="27" applyFont="1" applyFill="1" applyBorder="1" applyAlignment="1">
      <alignment horizontal="right"/>
    </xf>
    <xf numFmtId="3" fontId="131" fillId="0" borderId="0" xfId="27" applyNumberFormat="1" applyFont="1" applyFill="1" applyBorder="1"/>
    <xf numFmtId="0" fontId="131" fillId="20" borderId="397" xfId="27" applyFont="1" applyFill="1" applyBorder="1" applyAlignment="1">
      <alignment horizontal="center" vertical="center" wrapText="1"/>
    </xf>
    <xf numFmtId="168" fontId="126" fillId="20" borderId="398" xfId="27" applyNumberFormat="1" applyFont="1" applyFill="1" applyBorder="1" applyAlignment="1">
      <alignment horizontal="right"/>
    </xf>
    <xf numFmtId="168" fontId="126" fillId="20" borderId="215" xfId="27" applyNumberFormat="1" applyFont="1" applyFill="1" applyBorder="1" applyAlignment="1">
      <alignment horizontal="right"/>
    </xf>
    <xf numFmtId="0" fontId="54" fillId="20" borderId="365" xfId="27" applyFont="1" applyFill="1" applyBorder="1" applyAlignment="1">
      <alignment horizontal="right"/>
    </xf>
    <xf numFmtId="0" fontId="131" fillId="20" borderId="394" xfId="27" applyFont="1" applyFill="1" applyBorder="1" applyAlignment="1">
      <alignment horizontal="center" vertical="center" wrapText="1"/>
    </xf>
    <xf numFmtId="168" fontId="126" fillId="20" borderId="386" xfId="27" applyNumberFormat="1" applyFont="1" applyFill="1" applyBorder="1" applyAlignment="1">
      <alignment horizontal="right"/>
    </xf>
    <xf numFmtId="0" fontId="54" fillId="20" borderId="369" xfId="27" applyFont="1" applyFill="1" applyBorder="1" applyAlignment="1">
      <alignment horizontal="right"/>
    </xf>
    <xf numFmtId="0" fontId="54" fillId="20" borderId="386" xfId="27" applyFont="1" applyFill="1" applyBorder="1" applyAlignment="1">
      <alignment horizontal="right"/>
    </xf>
    <xf numFmtId="168" fontId="54" fillId="20" borderId="398" xfId="27" applyNumberFormat="1" applyFont="1" applyFill="1" applyBorder="1" applyAlignment="1"/>
    <xf numFmtId="176" fontId="85" fillId="20" borderId="398" xfId="28" applyNumberFormat="1" applyFont="1" applyFill="1" applyBorder="1" applyAlignment="1">
      <alignment horizontal="center"/>
    </xf>
    <xf numFmtId="176" fontId="54" fillId="20" borderId="398" xfId="28" applyNumberFormat="1" applyFont="1" applyFill="1" applyBorder="1"/>
    <xf numFmtId="176" fontId="54" fillId="20" borderId="398" xfId="28" applyNumberFormat="1" applyFont="1" applyFill="1" applyBorder="1" applyAlignment="1">
      <alignment horizontal="center"/>
    </xf>
    <xf numFmtId="176" fontId="126" fillId="20" borderId="398" xfId="28" applyNumberFormat="1" applyFont="1" applyFill="1" applyBorder="1"/>
    <xf numFmtId="176" fontId="54" fillId="20" borderId="369" xfId="27" applyNumberFormat="1" applyFont="1" applyFill="1" applyBorder="1"/>
    <xf numFmtId="0" fontId="126" fillId="20" borderId="386" xfId="27" applyFont="1" applyFill="1" applyBorder="1"/>
    <xf numFmtId="176" fontId="85" fillId="20" borderId="398" xfId="27" applyNumberFormat="1" applyFont="1" applyFill="1" applyBorder="1" applyAlignment="1">
      <alignment horizontal="center"/>
    </xf>
    <xf numFmtId="0" fontId="54" fillId="20" borderId="398" xfId="27" applyFont="1" applyFill="1" applyBorder="1"/>
    <xf numFmtId="176" fontId="54" fillId="20" borderId="398" xfId="27" applyNumberFormat="1" applyFont="1" applyFill="1" applyBorder="1"/>
    <xf numFmtId="0" fontId="54" fillId="20" borderId="398" xfId="27" applyFont="1" applyFill="1" applyBorder="1" applyAlignment="1">
      <alignment horizontal="right"/>
    </xf>
    <xf numFmtId="176" fontId="85" fillId="20" borderId="215" xfId="28" applyNumberFormat="1" applyFont="1" applyFill="1" applyBorder="1" applyAlignment="1">
      <alignment horizontal="center"/>
    </xf>
    <xf numFmtId="43" fontId="126" fillId="20" borderId="215" xfId="28" applyFont="1" applyFill="1" applyBorder="1"/>
    <xf numFmtId="176" fontId="54" fillId="20" borderId="365" xfId="28" applyNumberFormat="1" applyFont="1" applyFill="1" applyBorder="1"/>
    <xf numFmtId="0" fontId="21" fillId="20" borderId="0" xfId="27" applyFont="1" applyFill="1" applyBorder="1" applyAlignment="1">
      <alignment horizontal="center" vertical="center" wrapText="1"/>
    </xf>
    <xf numFmtId="0" fontId="21" fillId="20" borderId="386" xfId="27" applyFont="1" applyFill="1" applyBorder="1" applyAlignment="1">
      <alignment horizontal="center" vertical="center" wrapText="1"/>
    </xf>
    <xf numFmtId="0" fontId="131" fillId="20" borderId="369" xfId="27" applyFont="1" applyFill="1" applyBorder="1" applyAlignment="1">
      <alignment horizontal="center" vertical="center" wrapText="1"/>
    </xf>
    <xf numFmtId="0" fontId="21" fillId="20" borderId="215" xfId="27" applyFont="1" applyFill="1" applyBorder="1" applyAlignment="1">
      <alignment horizontal="center" vertical="center" wrapText="1"/>
    </xf>
    <xf numFmtId="0" fontId="21" fillId="20" borderId="369" xfId="27" applyFont="1" applyFill="1" applyBorder="1" applyAlignment="1">
      <alignment horizontal="center" vertical="center" wrapText="1"/>
    </xf>
    <xf numFmtId="0" fontId="85" fillId="20" borderId="0" xfId="34" applyFont="1" applyFill="1" applyAlignment="1"/>
    <xf numFmtId="0" fontId="85" fillId="20" borderId="0" xfId="34" applyFont="1" applyFill="1" applyAlignment="1">
      <alignment vertical="center" wrapText="1"/>
    </xf>
    <xf numFmtId="49" fontId="14" fillId="20" borderId="395" xfId="33" applyNumberFormat="1" applyFont="1" applyFill="1" applyBorder="1" applyAlignment="1">
      <alignment horizontal="center" vertical="center" wrapText="1"/>
    </xf>
    <xf numFmtId="4" fontId="12" fillId="20" borderId="383" xfId="35" applyNumberFormat="1" applyFont="1" applyFill="1" applyBorder="1" applyAlignment="1">
      <alignment horizontal="center" vertical="center"/>
    </xf>
    <xf numFmtId="4" fontId="12" fillId="20" borderId="391" xfId="35" applyNumberFormat="1" applyFont="1" applyFill="1" applyBorder="1" applyAlignment="1">
      <alignment horizontal="center" vertical="center"/>
    </xf>
    <xf numFmtId="4" fontId="12" fillId="20" borderId="383" xfId="35" applyNumberFormat="1" applyFont="1" applyFill="1" applyBorder="1" applyAlignment="1" applyProtection="1">
      <alignment horizontal="center" vertical="center"/>
    </xf>
    <xf numFmtId="4" fontId="7" fillId="20" borderId="383" xfId="35" applyNumberFormat="1" applyFont="1" applyFill="1" applyBorder="1" applyAlignment="1">
      <alignment horizontal="center" vertical="center"/>
    </xf>
    <xf numFmtId="185" fontId="12" fillId="20" borderId="383" xfId="35" applyNumberFormat="1" applyFont="1" applyFill="1" applyBorder="1" applyAlignment="1" applyProtection="1">
      <alignment horizontal="center" vertical="center"/>
    </xf>
    <xf numFmtId="4" fontId="14" fillId="20" borderId="395" xfId="35" applyNumberFormat="1" applyFont="1" applyFill="1" applyBorder="1" applyAlignment="1" applyProtection="1">
      <alignment horizontal="center" vertical="center"/>
    </xf>
    <xf numFmtId="49" fontId="14" fillId="20" borderId="368" xfId="33" applyNumberFormat="1" applyFont="1" applyFill="1" applyBorder="1" applyAlignment="1">
      <alignment horizontal="center" vertical="center" wrapText="1"/>
    </xf>
    <xf numFmtId="0" fontId="133" fillId="20" borderId="0" xfId="37" applyFont="1" applyFill="1"/>
    <xf numFmtId="0" fontId="133" fillId="0" borderId="0" xfId="37" applyFont="1"/>
    <xf numFmtId="0" fontId="133" fillId="20" borderId="0" xfId="37" applyFont="1" applyFill="1" applyAlignment="1">
      <alignment horizontal="center"/>
    </xf>
    <xf numFmtId="0" fontId="133" fillId="0" borderId="0" xfId="37" applyFont="1" applyBorder="1"/>
    <xf numFmtId="0" fontId="12" fillId="20" borderId="0" xfId="37" applyFont="1" applyFill="1" applyAlignment="1">
      <alignment horizontal="left" vertical="center" wrapText="1"/>
    </xf>
    <xf numFmtId="0" fontId="12" fillId="20" borderId="0" xfId="37" applyFont="1" applyFill="1" applyAlignment="1">
      <alignment vertical="center" wrapText="1"/>
    </xf>
    <xf numFmtId="0" fontId="133" fillId="0" borderId="0" xfId="37" applyFont="1" applyBorder="1" applyAlignment="1">
      <alignment vertical="center" wrapText="1"/>
    </xf>
    <xf numFmtId="0" fontId="132" fillId="20" borderId="400" xfId="37" applyFont="1" applyFill="1" applyBorder="1" applyAlignment="1">
      <alignment vertical="center"/>
    </xf>
    <xf numFmtId="181" fontId="132" fillId="20" borderId="247" xfId="1" applyNumberFormat="1" applyFont="1" applyFill="1" applyBorder="1" applyAlignment="1">
      <alignment vertical="center"/>
    </xf>
    <xf numFmtId="0" fontId="133" fillId="20" borderId="400" xfId="37" applyFont="1" applyFill="1" applyBorder="1" applyAlignment="1">
      <alignment horizontal="left" vertical="center" indent="2"/>
    </xf>
    <xf numFmtId="181" fontId="133" fillId="20" borderId="400" xfId="1" applyNumberFormat="1" applyFont="1" applyFill="1" applyBorder="1" applyAlignment="1">
      <alignment vertical="center"/>
    </xf>
    <xf numFmtId="0" fontId="133" fillId="20" borderId="400" xfId="37" applyFont="1" applyFill="1" applyBorder="1" applyAlignment="1">
      <alignment vertical="center"/>
    </xf>
    <xf numFmtId="0" fontId="133" fillId="20" borderId="400" xfId="37" applyFont="1" applyFill="1" applyBorder="1"/>
    <xf numFmtId="0" fontId="132" fillId="20" borderId="400" xfId="37" applyFont="1" applyFill="1" applyBorder="1" applyAlignment="1">
      <alignment horizontal="left" vertical="center" indent="2"/>
    </xf>
    <xf numFmtId="181" fontId="132" fillId="20" borderId="400" xfId="1" applyNumberFormat="1" applyFont="1" applyFill="1" applyBorder="1" applyAlignment="1">
      <alignment vertical="center"/>
    </xf>
    <xf numFmtId="181" fontId="132" fillId="20" borderId="400" xfId="1" applyNumberFormat="1" applyFont="1" applyFill="1" applyBorder="1" applyAlignment="1">
      <alignment horizontal="center" vertical="center"/>
    </xf>
    <xf numFmtId="181" fontId="133" fillId="20" borderId="400" xfId="1" applyNumberFormat="1" applyFont="1" applyFill="1" applyBorder="1" applyAlignment="1">
      <alignment horizontal="center" vertical="center"/>
    </xf>
    <xf numFmtId="181" fontId="133" fillId="20" borderId="400" xfId="1" applyNumberFormat="1" applyFont="1" applyFill="1" applyBorder="1"/>
    <xf numFmtId="0" fontId="132" fillId="20" borderId="387" xfId="37" applyFont="1" applyFill="1" applyBorder="1" applyAlignment="1">
      <alignment horizontal="left" vertical="center" indent="2"/>
    </xf>
    <xf numFmtId="181" fontId="133" fillId="20" borderId="387" xfId="1" applyNumberFormat="1" applyFont="1" applyFill="1" applyBorder="1" applyAlignment="1">
      <alignment horizontal="right" vertical="center"/>
    </xf>
    <xf numFmtId="0" fontId="133" fillId="20" borderId="0" xfId="37" applyFont="1" applyFill="1" applyBorder="1" applyAlignment="1">
      <alignment vertical="center" wrapText="1"/>
    </xf>
    <xf numFmtId="0" fontId="0" fillId="20" borderId="382" xfId="33" applyFont="1" applyFill="1" applyBorder="1"/>
    <xf numFmtId="0" fontId="12" fillId="20" borderId="400" xfId="34" applyFont="1" applyFill="1" applyBorder="1" applyAlignment="1" applyProtection="1">
      <alignment horizontal="left"/>
    </xf>
    <xf numFmtId="4" fontId="12" fillId="20" borderId="400" xfId="35" applyNumberFormat="1" applyFont="1" applyFill="1" applyBorder="1" applyAlignment="1" applyProtection="1">
      <alignment horizontal="center" vertical="center"/>
    </xf>
    <xf numFmtId="0" fontId="16" fillId="20" borderId="0" xfId="34" applyFont="1" applyFill="1" applyBorder="1" applyAlignment="1" applyProtection="1">
      <alignment horizontal="left" vertical="top" wrapText="1"/>
    </xf>
    <xf numFmtId="0" fontId="85" fillId="20" borderId="0" xfId="33" applyFont="1" applyFill="1" applyAlignment="1"/>
    <xf numFmtId="168" fontId="12" fillId="20" borderId="0" xfId="27" applyNumberFormat="1" applyFont="1" applyFill="1" applyBorder="1" applyAlignment="1">
      <alignment horizontal="right" vertical="center"/>
    </xf>
    <xf numFmtId="168" fontId="21" fillId="20" borderId="0" xfId="0" applyNumberFormat="1" applyFont="1" applyFill="1" applyBorder="1" applyAlignment="1">
      <alignment horizontal="left" vertical="top" wrapText="1"/>
    </xf>
    <xf numFmtId="0" fontId="7" fillId="20" borderId="0" xfId="30" applyFill="1"/>
    <xf numFmtId="4" fontId="18" fillId="20" borderId="0" xfId="30" applyNumberFormat="1" applyFont="1" applyFill="1" applyBorder="1" applyAlignment="1">
      <alignment horizontal="right"/>
    </xf>
    <xf numFmtId="0" fontId="7" fillId="0" borderId="0" xfId="30"/>
    <xf numFmtId="0" fontId="14" fillId="20" borderId="395" xfId="30" applyFont="1" applyFill="1" applyBorder="1" applyAlignment="1">
      <alignment horizontal="center" wrapText="1"/>
    </xf>
    <xf numFmtId="0" fontId="14" fillId="20" borderId="397" xfId="30" applyFont="1" applyFill="1" applyBorder="1" applyAlignment="1">
      <alignment horizontal="right" wrapText="1"/>
    </xf>
    <xf numFmtId="0" fontId="14" fillId="20" borderId="395" xfId="30" applyFont="1" applyFill="1" applyBorder="1" applyAlignment="1">
      <alignment horizontal="right" wrapText="1"/>
    </xf>
    <xf numFmtId="0" fontId="7" fillId="20" borderId="0" xfId="30" applyFill="1" applyAlignment="1">
      <alignment wrapText="1"/>
    </xf>
    <xf numFmtId="0" fontId="7" fillId="0" borderId="0" xfId="30" applyAlignment="1">
      <alignment wrapText="1"/>
    </xf>
    <xf numFmtId="0" fontId="14" fillId="20" borderId="400" xfId="30" applyFont="1" applyFill="1" applyBorder="1"/>
    <xf numFmtId="2" fontId="14" fillId="20" borderId="0" xfId="30" applyNumberFormat="1" applyFont="1" applyFill="1" applyBorder="1"/>
    <xf numFmtId="2" fontId="14" fillId="20" borderId="400" xfId="30" applyNumberFormat="1" applyFont="1" applyFill="1" applyBorder="1"/>
    <xf numFmtId="0" fontId="12" fillId="20" borderId="400" xfId="30" applyFont="1" applyFill="1" applyBorder="1"/>
    <xf numFmtId="2" fontId="12" fillId="20" borderId="0" xfId="30" applyNumberFormat="1" applyFont="1" applyFill="1" applyBorder="1"/>
    <xf numFmtId="2" fontId="12" fillId="20" borderId="400" xfId="30" applyNumberFormat="1" applyFont="1" applyFill="1" applyBorder="1"/>
    <xf numFmtId="2" fontId="7" fillId="20" borderId="0" xfId="30" applyNumberFormat="1" applyFill="1"/>
    <xf numFmtId="2" fontId="7" fillId="0" borderId="0" xfId="30" applyNumberFormat="1"/>
    <xf numFmtId="2" fontId="12" fillId="20" borderId="382" xfId="30" applyNumberFormat="1" applyFont="1" applyFill="1" applyBorder="1"/>
    <xf numFmtId="2" fontId="14" fillId="20" borderId="382" xfId="30" applyNumberFormat="1" applyFont="1" applyFill="1" applyBorder="1"/>
    <xf numFmtId="0" fontId="12" fillId="20" borderId="0" xfId="30" applyFont="1" applyFill="1"/>
    <xf numFmtId="0" fontId="12" fillId="0" borderId="0" xfId="30" applyFont="1"/>
    <xf numFmtId="0" fontId="14" fillId="2" borderId="0" xfId="13" applyFont="1" applyFill="1" applyBorder="1" applyAlignment="1">
      <alignment vertical="center"/>
    </xf>
    <xf numFmtId="0" fontId="12" fillId="2" borderId="0" xfId="13" applyFont="1" applyFill="1" applyAlignment="1">
      <alignment vertical="center"/>
    </xf>
    <xf numFmtId="0" fontId="12" fillId="2" borderId="0" xfId="13" applyFont="1" applyFill="1"/>
    <xf numFmtId="0" fontId="14" fillId="2" borderId="395" xfId="13" applyFont="1" applyFill="1" applyBorder="1" applyAlignment="1">
      <alignment horizontal="center"/>
    </xf>
    <xf numFmtId="0" fontId="14" fillId="2" borderId="398" xfId="13" applyFont="1" applyFill="1" applyBorder="1" applyAlignment="1">
      <alignment vertical="center"/>
    </xf>
    <xf numFmtId="2" fontId="12" fillId="2" borderId="400" xfId="13" applyNumberFormat="1" applyFont="1" applyFill="1" applyBorder="1"/>
    <xf numFmtId="164" fontId="12" fillId="2" borderId="400" xfId="14" applyNumberFormat="1" applyFont="1" applyFill="1" applyBorder="1"/>
    <xf numFmtId="166" fontId="14" fillId="2" borderId="398" xfId="13" applyNumberFormat="1" applyFont="1" applyFill="1" applyBorder="1" applyAlignment="1" applyProtection="1">
      <alignment vertical="center"/>
    </xf>
    <xf numFmtId="2" fontId="12" fillId="2" borderId="387" xfId="13" applyNumberFormat="1" applyFont="1" applyFill="1" applyBorder="1"/>
    <xf numFmtId="164" fontId="12" fillId="2" borderId="387" xfId="14" applyNumberFormat="1" applyFont="1" applyFill="1" applyBorder="1"/>
    <xf numFmtId="0" fontId="14" fillId="2" borderId="394" xfId="13" applyFont="1" applyFill="1" applyBorder="1" applyAlignment="1">
      <alignment vertical="center" wrapText="1"/>
    </xf>
    <xf numFmtId="166" fontId="12" fillId="2" borderId="395" xfId="13" applyNumberFormat="1" applyFont="1" applyFill="1" applyBorder="1" applyAlignment="1" applyProtection="1">
      <alignment vertical="center"/>
    </xf>
    <xf numFmtId="166" fontId="12" fillId="2" borderId="394" xfId="13" applyNumberFormat="1" applyFont="1" applyFill="1" applyBorder="1" applyAlignment="1" applyProtection="1">
      <alignment vertical="center"/>
    </xf>
    <xf numFmtId="0" fontId="14" fillId="2" borderId="247" xfId="13" applyFont="1" applyFill="1" applyBorder="1"/>
    <xf numFmtId="0" fontId="14" fillId="2" borderId="400" xfId="13" applyFont="1" applyFill="1" applyBorder="1"/>
    <xf numFmtId="0" fontId="14" fillId="2" borderId="398" xfId="13" applyFont="1" applyFill="1" applyBorder="1"/>
    <xf numFmtId="0" fontId="14" fillId="2" borderId="402" xfId="13" applyFont="1" applyFill="1" applyBorder="1"/>
    <xf numFmtId="0" fontId="14" fillId="2" borderId="0" xfId="13" applyFont="1" applyFill="1" applyBorder="1"/>
    <xf numFmtId="0" fontId="14" fillId="2" borderId="387" xfId="13" applyFont="1" applyFill="1" applyBorder="1" applyAlignment="1">
      <alignment horizontal="right"/>
    </xf>
    <xf numFmtId="0" fontId="14" fillId="2" borderId="388" xfId="13" applyFont="1" applyFill="1" applyBorder="1" applyAlignment="1">
      <alignment horizontal="right"/>
    </xf>
    <xf numFmtId="0" fontId="14" fillId="2" borderId="390" xfId="13" applyFont="1" applyFill="1" applyBorder="1" applyAlignment="1">
      <alignment horizontal="right"/>
    </xf>
    <xf numFmtId="164" fontId="12" fillId="2" borderId="0" xfId="14" applyNumberFormat="1" applyFont="1" applyFill="1" applyAlignment="1">
      <alignment horizontal="left" vertical="center" wrapText="1"/>
    </xf>
    <xf numFmtId="43" fontId="12" fillId="2" borderId="0" xfId="13" applyNumberFormat="1" applyFont="1" applyFill="1" applyAlignment="1">
      <alignment horizontal="left" vertical="center" wrapText="1"/>
    </xf>
    <xf numFmtId="166" fontId="12" fillId="2" borderId="0" xfId="13" applyNumberFormat="1" applyFont="1" applyFill="1" applyBorder="1"/>
    <xf numFmtId="166" fontId="12" fillId="2" borderId="0" xfId="13" applyNumberFormat="1" applyFont="1" applyFill="1"/>
    <xf numFmtId="0" fontId="134" fillId="0" borderId="0" xfId="38" applyFont="1" applyFill="1"/>
    <xf numFmtId="0" fontId="77" fillId="20" borderId="0" xfId="39" applyFont="1" applyFill="1" applyBorder="1" applyAlignment="1">
      <alignment horizontal="center"/>
    </xf>
    <xf numFmtId="0" fontId="136" fillId="0" borderId="0" xfId="38" applyFont="1" applyFill="1"/>
    <xf numFmtId="4" fontId="136" fillId="0" borderId="0" xfId="38" applyNumberFormat="1" applyFont="1" applyFill="1"/>
    <xf numFmtId="168" fontId="136" fillId="0" borderId="0" xfId="38" applyNumberFormat="1" applyFont="1" applyFill="1"/>
    <xf numFmtId="43" fontId="134" fillId="0" borderId="0" xfId="40" applyFont="1" applyFill="1"/>
    <xf numFmtId="168" fontId="134" fillId="0" borderId="0" xfId="38" applyNumberFormat="1" applyFont="1" applyFill="1"/>
    <xf numFmtId="0" fontId="56" fillId="0" borderId="0" xfId="39" applyFont="1" applyFill="1" applyBorder="1"/>
    <xf numFmtId="0" fontId="56" fillId="0" borderId="0" xfId="39" applyFont="1" applyFill="1" applyBorder="1" applyAlignment="1">
      <alignment horizontal="left"/>
    </xf>
    <xf numFmtId="172" fontId="134" fillId="0" borderId="0" xfId="38" applyNumberFormat="1" applyFont="1" applyFill="1"/>
    <xf numFmtId="0" fontId="137" fillId="20" borderId="0" xfId="30" applyFont="1" applyFill="1"/>
    <xf numFmtId="0" fontId="56" fillId="20" borderId="0" xfId="30" applyFont="1" applyFill="1"/>
    <xf numFmtId="172" fontId="138" fillId="20" borderId="0" xfId="30" applyNumberFormat="1" applyFont="1" applyFill="1" applyAlignment="1">
      <alignment horizontal="center" vertical="center"/>
    </xf>
    <xf numFmtId="0" fontId="56" fillId="0" borderId="0" xfId="30" applyFont="1"/>
    <xf numFmtId="0" fontId="138" fillId="20" borderId="0" xfId="30" applyFont="1" applyFill="1" applyAlignment="1">
      <alignment horizontal="center" vertical="center"/>
    </xf>
    <xf numFmtId="0" fontId="14" fillId="20" borderId="0" xfId="30" applyFont="1" applyFill="1" applyAlignment="1">
      <alignment vertical="center"/>
    </xf>
    <xf numFmtId="0" fontId="12" fillId="20" borderId="0" xfId="30" applyFont="1" applyFill="1" applyAlignment="1">
      <alignment vertical="center" wrapText="1"/>
    </xf>
    <xf numFmtId="0" fontId="139" fillId="20" borderId="0" xfId="30" applyFont="1" applyFill="1"/>
    <xf numFmtId="0" fontId="56" fillId="0" borderId="0" xfId="30" applyFont="1" applyBorder="1"/>
    <xf numFmtId="0" fontId="138" fillId="20" borderId="0" xfId="30" applyFont="1" applyFill="1" applyBorder="1" applyAlignment="1">
      <alignment horizontal="right" vertical="center"/>
    </xf>
    <xf numFmtId="0" fontId="77" fillId="0" borderId="0" xfId="30" applyFont="1"/>
    <xf numFmtId="172" fontId="138" fillId="20" borderId="0" xfId="40" applyNumberFormat="1" applyFont="1" applyFill="1" applyBorder="1"/>
    <xf numFmtId="172" fontId="137" fillId="20" borderId="0" xfId="40" applyNumberFormat="1" applyFont="1" applyFill="1" applyBorder="1"/>
    <xf numFmtId="172" fontId="137" fillId="21" borderId="0" xfId="40" applyNumberFormat="1" applyFont="1" applyFill="1" applyBorder="1"/>
    <xf numFmtId="0" fontId="56" fillId="21" borderId="0" xfId="30" applyFont="1" applyFill="1"/>
    <xf numFmtId="172" fontId="12" fillId="20" borderId="0" xfId="40" applyNumberFormat="1" applyFont="1" applyFill="1" applyBorder="1"/>
    <xf numFmtId="0" fontId="142" fillId="0" borderId="0" xfId="30" applyFont="1"/>
    <xf numFmtId="0" fontId="143" fillId="20" borderId="0" xfId="30" applyFont="1" applyFill="1"/>
    <xf numFmtId="0" fontId="21" fillId="20" borderId="0" xfId="30" applyFont="1" applyFill="1"/>
    <xf numFmtId="0" fontId="137" fillId="0" borderId="0" xfId="30" applyFont="1"/>
    <xf numFmtId="168" fontId="139" fillId="20" borderId="0" xfId="30" applyNumberFormat="1" applyFont="1" applyFill="1"/>
    <xf numFmtId="43" fontId="12" fillId="20" borderId="0" xfId="40" applyFont="1" applyFill="1"/>
    <xf numFmtId="0" fontId="12" fillId="20" borderId="0" xfId="30" applyFont="1" applyFill="1" applyAlignment="1">
      <alignment vertical="center"/>
    </xf>
    <xf numFmtId="0" fontId="14" fillId="20" borderId="0" xfId="30" applyFont="1" applyFill="1" applyBorder="1" applyAlignment="1">
      <alignment horizontal="right" vertical="center"/>
    </xf>
    <xf numFmtId="172" fontId="12" fillId="20" borderId="0" xfId="30" applyNumberFormat="1" applyFont="1" applyFill="1" applyAlignment="1">
      <alignment horizontal="center"/>
    </xf>
    <xf numFmtId="3" fontId="14" fillId="20" borderId="0" xfId="30" applyNumberFormat="1" applyFont="1" applyFill="1"/>
    <xf numFmtId="3" fontId="12" fillId="20" borderId="0" xfId="30" applyNumberFormat="1" applyFont="1" applyFill="1"/>
    <xf numFmtId="172" fontId="12" fillId="20" borderId="0" xfId="30" applyNumberFormat="1" applyFont="1" applyFill="1"/>
    <xf numFmtId="3" fontId="137" fillId="20" borderId="0" xfId="30" applyNumberFormat="1" applyFont="1" applyFill="1"/>
    <xf numFmtId="0" fontId="141" fillId="0" borderId="0" xfId="30" applyFont="1" applyFill="1"/>
    <xf numFmtId="1" fontId="12" fillId="20" borderId="0" xfId="30" applyNumberFormat="1" applyFont="1" applyFill="1"/>
    <xf numFmtId="0" fontId="12" fillId="0" borderId="0" xfId="30" applyFont="1" applyFill="1"/>
    <xf numFmtId="0" fontId="139" fillId="0" borderId="0" xfId="30" applyFont="1"/>
    <xf numFmtId="0" fontId="56" fillId="20" borderId="0" xfId="40" applyNumberFormat="1" applyFont="1" applyFill="1" applyAlignment="1">
      <alignment horizontal="left"/>
    </xf>
    <xf numFmtId="0" fontId="56" fillId="20" borderId="0" xfId="30" applyFont="1" applyFill="1" applyBorder="1"/>
    <xf numFmtId="0" fontId="141" fillId="20" borderId="0" xfId="30" applyFont="1" applyFill="1"/>
    <xf numFmtId="0" fontId="77" fillId="20" borderId="0" xfId="30" applyFont="1" applyFill="1"/>
    <xf numFmtId="0" fontId="77" fillId="21" borderId="0" xfId="30" applyFont="1" applyFill="1"/>
    <xf numFmtId="0" fontId="142" fillId="20" borderId="0" xfId="30" applyFont="1" applyFill="1" applyAlignment="1">
      <alignment horizontal="left"/>
    </xf>
    <xf numFmtId="0" fontId="142" fillId="0" borderId="0" xfId="30" applyFont="1" applyAlignment="1">
      <alignment horizontal="left"/>
    </xf>
    <xf numFmtId="0" fontId="142" fillId="20" borderId="0" xfId="30" applyFont="1" applyFill="1"/>
    <xf numFmtId="0" fontId="77" fillId="20" borderId="390" xfId="39" applyFont="1" applyFill="1" applyBorder="1" applyAlignment="1"/>
    <xf numFmtId="0" fontId="12" fillId="20" borderId="157" xfId="39" applyFont="1" applyFill="1" applyBorder="1" applyAlignment="1">
      <alignment horizontal="center"/>
    </xf>
    <xf numFmtId="0" fontId="16" fillId="20" borderId="157" xfId="39" applyFont="1" applyFill="1" applyBorder="1" applyAlignment="1">
      <alignment horizontal="right"/>
    </xf>
    <xf numFmtId="0" fontId="16" fillId="20" borderId="157" xfId="39" applyFont="1" applyFill="1" applyBorder="1" applyAlignment="1"/>
    <xf numFmtId="17" fontId="14" fillId="20" borderId="0" xfId="39" quotePrefix="1" applyNumberFormat="1" applyFont="1" applyFill="1" applyBorder="1" applyAlignment="1" applyProtection="1">
      <alignment horizontal="right"/>
    </xf>
    <xf numFmtId="17" fontId="84" fillId="20" borderId="0" xfId="38" applyNumberFormat="1" applyFont="1" applyFill="1" applyBorder="1"/>
    <xf numFmtId="17" fontId="14" fillId="20" borderId="348" xfId="39" quotePrefix="1" applyNumberFormat="1" applyFont="1" applyFill="1" applyBorder="1" applyAlignment="1" applyProtection="1">
      <alignment horizontal="center"/>
    </xf>
    <xf numFmtId="17" fontId="7" fillId="20" borderId="348" xfId="39" applyNumberFormat="1" applyFont="1" applyFill="1" applyBorder="1" applyAlignment="1" applyProtection="1">
      <alignment horizontal="left" indent="3"/>
    </xf>
    <xf numFmtId="17" fontId="7" fillId="20" borderId="348" xfId="39" applyNumberFormat="1" applyFont="1" applyFill="1" applyBorder="1" applyAlignment="1" applyProtection="1">
      <alignment horizontal="left"/>
    </xf>
    <xf numFmtId="17" fontId="8" fillId="20" borderId="348" xfId="39" applyNumberFormat="1" applyFont="1" applyFill="1" applyBorder="1" applyAlignment="1" applyProtection="1"/>
    <xf numFmtId="0" fontId="14" fillId="20" borderId="403" xfId="39" applyFont="1" applyFill="1" applyBorder="1" applyAlignment="1">
      <alignment vertical="center"/>
    </xf>
    <xf numFmtId="172" fontId="14" fillId="20" borderId="0" xfId="39" applyNumberFormat="1" applyFont="1" applyFill="1" applyBorder="1" applyAlignment="1">
      <alignment horizontal="right" vertical="center"/>
    </xf>
    <xf numFmtId="0" fontId="14" fillId="20" borderId="403" xfId="39" applyFont="1" applyFill="1" applyBorder="1" applyAlignment="1" applyProtection="1"/>
    <xf numFmtId="172" fontId="14" fillId="20" borderId="0" xfId="39" applyNumberFormat="1" applyFont="1" applyFill="1" applyBorder="1" applyAlignment="1">
      <alignment horizontal="right"/>
    </xf>
    <xf numFmtId="0" fontId="12" fillId="20" borderId="403" xfId="39" applyFont="1" applyFill="1" applyBorder="1" applyAlignment="1" applyProtection="1">
      <alignment horizontal="left" indent="2"/>
    </xf>
    <xf numFmtId="172" fontId="12" fillId="20" borderId="0" xfId="39" applyNumberFormat="1" applyFont="1" applyFill="1" applyBorder="1" applyAlignment="1">
      <alignment horizontal="right"/>
    </xf>
    <xf numFmtId="0" fontId="12" fillId="20" borderId="403" xfId="39" applyFont="1" applyFill="1" applyBorder="1" applyAlignment="1" applyProtection="1">
      <alignment horizontal="left" indent="4"/>
    </xf>
    <xf numFmtId="0" fontId="12" fillId="20" borderId="403" xfId="39" applyFont="1" applyFill="1" applyBorder="1"/>
    <xf numFmtId="0" fontId="12" fillId="20" borderId="0" xfId="39" applyFont="1" applyFill="1" applyBorder="1" applyAlignment="1">
      <alignment horizontal="left"/>
    </xf>
    <xf numFmtId="0" fontId="14" fillId="20" borderId="370" xfId="39" applyFont="1" applyFill="1" applyBorder="1"/>
    <xf numFmtId="2" fontId="14" fillId="20" borderId="348" xfId="39" applyNumberFormat="1" applyFont="1" applyFill="1" applyBorder="1" applyAlignment="1">
      <alignment horizontal="right"/>
    </xf>
    <xf numFmtId="2" fontId="84" fillId="20" borderId="348" xfId="38" applyNumberFormat="1" applyFont="1" applyFill="1" applyBorder="1"/>
    <xf numFmtId="0" fontId="21" fillId="20" borderId="157" xfId="39" applyFont="1" applyFill="1" applyBorder="1" applyAlignment="1">
      <alignment vertical="top" wrapText="1"/>
    </xf>
    <xf numFmtId="0" fontId="14" fillId="20" borderId="390" xfId="30" applyFont="1" applyFill="1" applyBorder="1" applyAlignment="1">
      <alignment horizontal="center" vertical="center" wrapText="1"/>
    </xf>
    <xf numFmtId="172" fontId="14" fillId="20" borderId="157" xfId="30" applyNumberFormat="1" applyFont="1" applyFill="1" applyBorder="1"/>
    <xf numFmtId="172" fontId="14" fillId="20" borderId="270" xfId="30" applyNumberFormat="1" applyFont="1" applyFill="1" applyBorder="1"/>
    <xf numFmtId="172" fontId="14" fillId="20" borderId="225" xfId="30" applyNumberFormat="1" applyFont="1" applyFill="1" applyBorder="1"/>
    <xf numFmtId="0" fontId="12" fillId="20" borderId="400" xfId="30" applyFont="1" applyFill="1" applyBorder="1" applyAlignment="1">
      <alignment horizontal="left" indent="1"/>
    </xf>
    <xf numFmtId="172" fontId="12" fillId="20" borderId="0" xfId="30" applyNumberFormat="1" applyFont="1" applyFill="1" applyBorder="1"/>
    <xf numFmtId="172" fontId="12" fillId="20" borderId="398" xfId="30" applyNumberFormat="1" applyFont="1" applyFill="1" applyBorder="1"/>
    <xf numFmtId="172" fontId="12" fillId="20" borderId="403" xfId="30" applyNumberFormat="1" applyFont="1" applyFill="1" applyBorder="1"/>
    <xf numFmtId="0" fontId="14" fillId="20" borderId="400" xfId="30" applyFont="1" applyFill="1" applyBorder="1" applyAlignment="1">
      <alignment horizontal="left" indent="1"/>
    </xf>
    <xf numFmtId="172" fontId="14" fillId="20" borderId="0" xfId="30" applyNumberFormat="1" applyFont="1" applyFill="1" applyBorder="1"/>
    <xf numFmtId="172" fontId="14" fillId="20" borderId="398" xfId="30" applyNumberFormat="1" applyFont="1" applyFill="1" applyBorder="1"/>
    <xf numFmtId="172" fontId="14" fillId="20" borderId="403" xfId="30" applyNumberFormat="1" applyFont="1" applyFill="1" applyBorder="1"/>
    <xf numFmtId="0" fontId="12" fillId="20" borderId="400" xfId="30" applyFont="1" applyFill="1" applyBorder="1" applyAlignment="1">
      <alignment horizontal="left" indent="3"/>
    </xf>
    <xf numFmtId="172" fontId="12" fillId="20" borderId="398" xfId="40" applyNumberFormat="1" applyFont="1" applyFill="1" applyBorder="1"/>
    <xf numFmtId="172" fontId="12" fillId="20" borderId="403" xfId="40" applyNumberFormat="1" applyFont="1" applyFill="1" applyBorder="1"/>
    <xf numFmtId="0" fontId="12" fillId="20" borderId="400" xfId="30" applyFont="1" applyFill="1" applyBorder="1" applyAlignment="1">
      <alignment horizontal="left" indent="5"/>
    </xf>
    <xf numFmtId="172" fontId="14" fillId="20" borderId="0" xfId="40" applyNumberFormat="1" applyFont="1" applyFill="1" applyBorder="1"/>
    <xf numFmtId="172" fontId="14" fillId="20" borderId="398" xfId="40" applyNumberFormat="1" applyFont="1" applyFill="1" applyBorder="1"/>
    <xf numFmtId="172" fontId="14" fillId="20" borderId="403" xfId="40" applyNumberFormat="1" applyFont="1" applyFill="1" applyBorder="1"/>
    <xf numFmtId="0" fontId="12" fillId="20" borderId="400" xfId="30" applyFont="1" applyFill="1" applyBorder="1" applyAlignment="1">
      <alignment horizontal="left" indent="4"/>
    </xf>
    <xf numFmtId="0" fontId="14" fillId="20" borderId="400" xfId="30" applyFont="1" applyFill="1" applyBorder="1" applyAlignment="1">
      <alignment horizontal="left" indent="2"/>
    </xf>
    <xf numFmtId="0" fontId="14" fillId="20" borderId="400" xfId="30" applyFont="1" applyFill="1" applyBorder="1" applyAlignment="1">
      <alignment horizontal="left" indent="3"/>
    </xf>
    <xf numFmtId="0" fontId="14" fillId="20" borderId="387" xfId="30" applyFont="1" applyFill="1" applyBorder="1"/>
    <xf numFmtId="172" fontId="14" fillId="20" borderId="390" xfId="30" applyNumberFormat="1" applyFont="1" applyFill="1" applyBorder="1"/>
    <xf numFmtId="172" fontId="14" fillId="20" borderId="388" xfId="30" applyNumberFormat="1" applyFont="1" applyFill="1" applyBorder="1"/>
    <xf numFmtId="172" fontId="14" fillId="20" borderId="404" xfId="30" applyNumberFormat="1" applyFont="1" applyFill="1" applyBorder="1"/>
    <xf numFmtId="0" fontId="14" fillId="20" borderId="388" xfId="30" applyFont="1" applyFill="1" applyBorder="1" applyAlignment="1">
      <alignment horizontal="center" vertical="center" wrapText="1"/>
    </xf>
    <xf numFmtId="0" fontId="14" fillId="20" borderId="404" xfId="30" applyFont="1" applyFill="1" applyBorder="1" applyAlignment="1">
      <alignment horizontal="center" vertical="center" wrapText="1"/>
    </xf>
    <xf numFmtId="0" fontId="137" fillId="20" borderId="400" xfId="30" applyFont="1" applyFill="1" applyBorder="1" applyAlignment="1">
      <alignment horizontal="left" indent="5"/>
    </xf>
    <xf numFmtId="0" fontId="137" fillId="20" borderId="400" xfId="30" applyFont="1" applyFill="1" applyBorder="1" applyAlignment="1">
      <alignment horizontal="left" indent="4"/>
    </xf>
    <xf numFmtId="172" fontId="14" fillId="20" borderId="400" xfId="30" applyNumberFormat="1" applyFont="1" applyFill="1" applyBorder="1"/>
    <xf numFmtId="0" fontId="12" fillId="20" borderId="400" xfId="30" applyFont="1" applyFill="1" applyBorder="1" applyAlignment="1">
      <alignment horizontal="left" indent="2"/>
    </xf>
    <xf numFmtId="173" fontId="12" fillId="20" borderId="398" xfId="30" applyNumberFormat="1" applyFont="1" applyFill="1" applyBorder="1"/>
    <xf numFmtId="173" fontId="12" fillId="20" borderId="0" xfId="30" applyNumberFormat="1" applyFont="1" applyFill="1" applyBorder="1"/>
    <xf numFmtId="43" fontId="12" fillId="20" borderId="0" xfId="40" applyFont="1" applyFill="1" applyBorder="1"/>
    <xf numFmtId="0" fontId="12" fillId="20" borderId="0" xfId="30" applyFont="1" applyFill="1" applyAlignment="1">
      <alignment horizontal="left" indent="4"/>
    </xf>
    <xf numFmtId="173" fontId="12" fillId="20" borderId="403" xfId="30" applyNumberFormat="1" applyFont="1" applyFill="1" applyBorder="1"/>
    <xf numFmtId="0" fontId="72" fillId="20" borderId="0" xfId="30" applyFont="1" applyFill="1" applyBorder="1"/>
    <xf numFmtId="0" fontId="85" fillId="20" borderId="0" xfId="30" applyFont="1" applyFill="1"/>
    <xf numFmtId="0" fontId="53" fillId="20" borderId="0" xfId="37" applyFont="1" applyFill="1"/>
    <xf numFmtId="0" fontId="12" fillId="20" borderId="0" xfId="27" applyFont="1" applyFill="1" applyBorder="1"/>
    <xf numFmtId="168" fontId="12" fillId="20" borderId="0" xfId="27" applyNumberFormat="1" applyFont="1" applyFill="1" applyBorder="1" applyAlignment="1">
      <alignment horizontal="center" vertical="center" wrapText="1"/>
    </xf>
    <xf numFmtId="0" fontId="12" fillId="20" borderId="0" xfId="27" applyFont="1" applyFill="1" applyBorder="1" applyAlignment="1">
      <alignment vertical="center"/>
    </xf>
    <xf numFmtId="0" fontId="12" fillId="20" borderId="0" xfId="27" applyFont="1" applyFill="1" applyBorder="1" applyAlignment="1">
      <alignment horizontal="center"/>
    </xf>
    <xf numFmtId="0" fontId="12" fillId="20" borderId="0" xfId="27" applyFont="1" applyFill="1" applyBorder="1" applyAlignment="1">
      <alignment horizontal="center" vertical="center"/>
    </xf>
    <xf numFmtId="0" fontId="14" fillId="20" borderId="0" xfId="27" applyFont="1" applyFill="1" applyBorder="1" applyAlignment="1">
      <alignment vertical="center"/>
    </xf>
    <xf numFmtId="175" fontId="12" fillId="20" borderId="0" xfId="27" applyNumberFormat="1" applyFont="1" applyFill="1" applyBorder="1"/>
    <xf numFmtId="0" fontId="121" fillId="20" borderId="0" xfId="27" applyFont="1" applyFill="1"/>
    <xf numFmtId="0" fontId="85" fillId="20" borderId="0" xfId="27" applyFont="1" applyFill="1" applyBorder="1"/>
    <xf numFmtId="0" fontId="85" fillId="20" borderId="0" xfId="27" applyFont="1" applyFill="1"/>
    <xf numFmtId="0" fontId="14" fillId="20" borderId="0" xfId="13" applyFont="1" applyFill="1" applyAlignment="1"/>
    <xf numFmtId="0" fontId="3" fillId="20" borderId="0" xfId="27" applyFill="1" applyAlignment="1">
      <alignment horizontal="left"/>
    </xf>
    <xf numFmtId="0" fontId="3" fillId="0" borderId="0" xfId="27" applyFill="1"/>
    <xf numFmtId="166" fontId="14" fillId="0" borderId="0" xfId="0" applyNumberFormat="1" applyFont="1" applyFill="1" applyBorder="1"/>
    <xf numFmtId="166" fontId="12" fillId="0" borderId="0" xfId="0" applyNumberFormat="1" applyFont="1" applyFill="1" applyBorder="1"/>
    <xf numFmtId="166" fontId="14" fillId="0" borderId="0" xfId="0" applyNumberFormat="1" applyFont="1" applyFill="1" applyBorder="1" applyAlignment="1">
      <alignment horizontal="left"/>
    </xf>
    <xf numFmtId="166" fontId="14" fillId="0" borderId="0" xfId="0" applyNumberFormat="1" applyFont="1" applyFill="1" applyBorder="1" applyAlignment="1">
      <alignment horizontal="center"/>
    </xf>
    <xf numFmtId="0" fontId="14" fillId="0" borderId="0" xfId="0" applyNumberFormat="1" applyFont="1" applyFill="1" applyBorder="1" applyAlignment="1">
      <alignment horizontal="center" vertical="center"/>
    </xf>
    <xf numFmtId="166" fontId="12" fillId="0" borderId="0" xfId="0" applyNumberFormat="1" applyFont="1" applyFill="1" applyBorder="1" applyAlignment="1" applyProtection="1">
      <alignment horizontal="center" vertical="center"/>
    </xf>
    <xf numFmtId="166" fontId="14" fillId="0" borderId="0" xfId="0" applyNumberFormat="1" applyFont="1" applyFill="1" applyBorder="1" applyAlignment="1" applyProtection="1">
      <alignment horizontal="center" vertical="center"/>
    </xf>
    <xf numFmtId="166" fontId="14"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wrapText="1"/>
    </xf>
    <xf numFmtId="166" fontId="12" fillId="0" borderId="0" xfId="0" applyNumberFormat="1" applyFont="1" applyFill="1" applyBorder="1" applyAlignment="1"/>
    <xf numFmtId="165" fontId="12" fillId="0" borderId="0" xfId="0" applyNumberFormat="1" applyFont="1" applyFill="1" applyBorder="1" applyAlignment="1">
      <alignment vertical="center"/>
    </xf>
    <xf numFmtId="166" fontId="12" fillId="0" borderId="0" xfId="0" applyNumberFormat="1" applyFont="1" applyFill="1" applyBorder="1" applyAlignment="1">
      <alignment vertical="center"/>
    </xf>
    <xf numFmtId="166" fontId="12" fillId="0" borderId="0" xfId="0" applyNumberFormat="1" applyFont="1" applyFill="1" applyBorder="1" applyAlignment="1">
      <alignment horizontal="right" vertical="center" wrapText="1"/>
    </xf>
    <xf numFmtId="164" fontId="12" fillId="0" borderId="0" xfId="1" applyNumberFormat="1" applyFont="1" applyFill="1" applyBorder="1" applyAlignment="1">
      <alignment vertical="center"/>
    </xf>
    <xf numFmtId="164" fontId="12" fillId="0" borderId="0" xfId="1" applyNumberFormat="1" applyFont="1" applyFill="1" applyBorder="1"/>
    <xf numFmtId="164" fontId="12" fillId="0" borderId="0" xfId="0" applyNumberFormat="1" applyFont="1" applyFill="1" applyBorder="1"/>
    <xf numFmtId="164" fontId="12" fillId="0" borderId="0" xfId="0" applyNumberFormat="1" applyFont="1" applyFill="1" applyBorder="1" applyAlignment="1">
      <alignment horizontal="center"/>
    </xf>
    <xf numFmtId="166" fontId="12" fillId="0" borderId="0" xfId="0" applyNumberFormat="1" applyFont="1" applyFill="1" applyBorder="1" applyAlignment="1">
      <alignment horizontal="center"/>
    </xf>
    <xf numFmtId="171" fontId="12" fillId="0" borderId="0" xfId="0" applyNumberFormat="1" applyFont="1" applyFill="1" applyBorder="1"/>
    <xf numFmtId="168" fontId="12" fillId="0" borderId="0" xfId="0" applyNumberFormat="1" applyFont="1" applyFill="1" applyBorder="1" applyAlignment="1">
      <alignment vertical="center"/>
    </xf>
    <xf numFmtId="164" fontId="12" fillId="0" borderId="0" xfId="1" applyNumberFormat="1" applyFont="1" applyFill="1" applyBorder="1" applyAlignment="1"/>
    <xf numFmtId="2" fontId="12" fillId="0" borderId="0" xfId="0" applyNumberFormat="1" applyFont="1" applyFill="1" applyBorder="1" applyAlignment="1">
      <alignment horizontal="center" vertical="center"/>
    </xf>
    <xf numFmtId="164" fontId="12" fillId="0" borderId="0" xfId="1" applyNumberFormat="1" applyFont="1" applyFill="1" applyBorder="1" applyAlignment="1">
      <alignment horizontal="center" vertical="center"/>
    </xf>
    <xf numFmtId="164" fontId="12" fillId="0" borderId="0" xfId="1" applyNumberFormat="1" applyFont="1" applyFill="1" applyBorder="1" applyAlignment="1">
      <alignment vertical="top"/>
    </xf>
    <xf numFmtId="166" fontId="84" fillId="0" borderId="0" xfId="0" applyNumberFormat="1" applyFont="1" applyFill="1" applyBorder="1"/>
    <xf numFmtId="166" fontId="87" fillId="0" borderId="0" xfId="0" applyNumberFormat="1" applyFont="1" applyFill="1" applyBorder="1"/>
    <xf numFmtId="166" fontId="14" fillId="0" borderId="0" xfId="0" applyNumberFormat="1" applyFont="1" applyFill="1" applyBorder="1" applyAlignment="1">
      <alignment vertical="center"/>
    </xf>
    <xf numFmtId="166" fontId="86" fillId="0" borderId="0" xfId="0" applyNumberFormat="1" applyFont="1" applyFill="1" applyBorder="1" applyAlignment="1"/>
    <xf numFmtId="166" fontId="82" fillId="20" borderId="0" xfId="0" applyNumberFormat="1" applyFont="1" applyFill="1" applyBorder="1" applyAlignment="1">
      <alignment horizontal="left" vertical="top"/>
    </xf>
    <xf numFmtId="0" fontId="14" fillId="20" borderId="0" xfId="0" applyFont="1" applyFill="1" applyAlignment="1">
      <alignment vertical="center"/>
    </xf>
    <xf numFmtId="166" fontId="14" fillId="20" borderId="390" xfId="0" applyNumberFormat="1" applyFont="1" applyFill="1" applyBorder="1" applyAlignment="1" applyProtection="1">
      <alignment vertical="center"/>
    </xf>
    <xf numFmtId="0" fontId="14" fillId="20" borderId="397" xfId="27" applyNumberFormat="1" applyFont="1" applyFill="1" applyBorder="1" applyAlignment="1">
      <alignment horizontal="center"/>
    </xf>
    <xf numFmtId="0" fontId="1" fillId="20" borderId="0" xfId="45" applyFill="1"/>
    <xf numFmtId="0" fontId="134" fillId="20" borderId="0" xfId="45" applyFont="1" applyFill="1"/>
    <xf numFmtId="17" fontId="134" fillId="0" borderId="387" xfId="45" applyNumberFormat="1" applyFont="1" applyFill="1" applyBorder="1" applyAlignment="1">
      <alignment horizontal="center" wrapText="1"/>
    </xf>
    <xf numFmtId="17" fontId="134" fillId="0" borderId="395" xfId="45" applyNumberFormat="1" applyFont="1" applyFill="1" applyBorder="1" applyAlignment="1">
      <alignment horizontal="center" wrapText="1"/>
    </xf>
    <xf numFmtId="168" fontId="136" fillId="20" borderId="400" xfId="45" applyNumberFormat="1" applyFont="1" applyFill="1" applyBorder="1" applyAlignment="1">
      <alignment horizontal="left"/>
    </xf>
    <xf numFmtId="168" fontId="134" fillId="20" borderId="392" xfId="45" applyNumberFormat="1" applyFont="1" applyFill="1" applyBorder="1" applyAlignment="1">
      <alignment horizontal="right"/>
    </xf>
    <xf numFmtId="168" fontId="134" fillId="20" borderId="391" xfId="45" applyNumberFormat="1" applyFont="1" applyFill="1" applyBorder="1" applyAlignment="1">
      <alignment horizontal="right"/>
    </xf>
    <xf numFmtId="168" fontId="134" fillId="20" borderId="400" xfId="45" applyNumberFormat="1" applyFont="1" applyFill="1" applyBorder="1" applyAlignment="1">
      <alignment horizontal="left"/>
    </xf>
    <xf numFmtId="168" fontId="134" fillId="20" borderId="403" xfId="45" applyNumberFormat="1" applyFont="1" applyFill="1" applyBorder="1" applyAlignment="1">
      <alignment horizontal="right"/>
    </xf>
    <xf numFmtId="168" fontId="134" fillId="20" borderId="400" xfId="45" applyNumberFormat="1" applyFont="1" applyFill="1" applyBorder="1" applyAlignment="1">
      <alignment horizontal="right"/>
    </xf>
    <xf numFmtId="168" fontId="134" fillId="20" borderId="400" xfId="45" applyNumberFormat="1" applyFont="1" applyFill="1" applyBorder="1" applyAlignment="1">
      <alignment horizontal="left" wrapText="1"/>
    </xf>
    <xf numFmtId="168" fontId="134" fillId="20" borderId="400" xfId="45" applyNumberFormat="1" applyFont="1" applyFill="1" applyBorder="1" applyAlignment="1">
      <alignment horizontal="right" vertical="top"/>
    </xf>
    <xf numFmtId="168" fontId="134" fillId="20" borderId="387" xfId="45" applyNumberFormat="1" applyFont="1" applyFill="1" applyBorder="1" applyAlignment="1">
      <alignment horizontal="left"/>
    </xf>
    <xf numFmtId="168" fontId="134" fillId="20" borderId="404" xfId="45" applyNumberFormat="1" applyFont="1" applyFill="1" applyBorder="1" applyAlignment="1">
      <alignment horizontal="right"/>
    </xf>
    <xf numFmtId="168" fontId="134" fillId="20" borderId="387" xfId="45" applyNumberFormat="1" applyFont="1" applyFill="1" applyBorder="1" applyAlignment="1">
      <alignment horizontal="right"/>
    </xf>
    <xf numFmtId="0" fontId="144" fillId="20" borderId="0" xfId="45" applyFont="1" applyFill="1" applyAlignment="1">
      <alignment horizontal="left"/>
    </xf>
    <xf numFmtId="0" fontId="136" fillId="20" borderId="0" xfId="45" applyFont="1" applyFill="1" applyAlignment="1">
      <alignment horizontal="left"/>
    </xf>
    <xf numFmtId="168" fontId="136" fillId="20" borderId="391" xfId="45" applyNumberFormat="1" applyFont="1" applyFill="1" applyBorder="1" applyAlignment="1">
      <alignment horizontal="left"/>
    </xf>
    <xf numFmtId="168" fontId="134" fillId="20" borderId="392" xfId="45" applyNumberFormat="1" applyFont="1" applyFill="1" applyBorder="1" applyAlignment="1"/>
    <xf numFmtId="168" fontId="134" fillId="20" borderId="403" xfId="45" applyNumberFormat="1" applyFont="1" applyFill="1" applyBorder="1" applyAlignment="1"/>
    <xf numFmtId="168" fontId="134" fillId="20" borderId="400" xfId="45" applyNumberFormat="1" applyFont="1" applyFill="1" applyBorder="1" applyAlignment="1"/>
    <xf numFmtId="0" fontId="1" fillId="20" borderId="400" xfId="45" applyFill="1" applyBorder="1"/>
    <xf numFmtId="168" fontId="134" fillId="20" borderId="404" xfId="45" applyNumberFormat="1" applyFont="1" applyFill="1" applyBorder="1" applyAlignment="1"/>
    <xf numFmtId="168" fontId="134" fillId="20" borderId="387" xfId="45" applyNumberFormat="1" applyFont="1" applyFill="1" applyBorder="1" applyAlignment="1"/>
    <xf numFmtId="0" fontId="144" fillId="20" borderId="0" xfId="45" applyFont="1" applyFill="1" applyBorder="1" applyAlignment="1">
      <alignment horizontal="left"/>
    </xf>
    <xf numFmtId="0" fontId="85" fillId="20" borderId="0" xfId="0" applyFont="1" applyFill="1" applyBorder="1" applyAlignment="1">
      <alignment vertical="center" wrapText="1"/>
    </xf>
    <xf numFmtId="0" fontId="85" fillId="20" borderId="0" xfId="27" applyFont="1" applyFill="1" applyBorder="1" applyAlignment="1">
      <alignment wrapText="1"/>
    </xf>
    <xf numFmtId="0" fontId="85" fillId="20" borderId="390" xfId="39" applyFont="1" applyFill="1" applyBorder="1" applyAlignment="1">
      <alignment wrapText="1"/>
    </xf>
    <xf numFmtId="0" fontId="85" fillId="20" borderId="0" xfId="30" applyFont="1" applyFill="1" applyAlignment="1">
      <alignment vertical="center" wrapText="1"/>
    </xf>
    <xf numFmtId="0" fontId="85" fillId="20" borderId="390" xfId="27" applyFont="1" applyFill="1" applyBorder="1" applyAlignment="1">
      <alignment horizontal="center"/>
    </xf>
    <xf numFmtId="168" fontId="8" fillId="20" borderId="0" xfId="0" applyNumberFormat="1" applyFont="1" applyFill="1" applyBorder="1" applyAlignment="1">
      <alignment horizontal="center" vertical="center" wrapText="1"/>
    </xf>
    <xf numFmtId="173" fontId="9" fillId="20" borderId="0" xfId="0" applyNumberFormat="1" applyFont="1" applyFill="1" applyAlignment="1">
      <alignment vertical="center"/>
    </xf>
    <xf numFmtId="2" fontId="9" fillId="20" borderId="0" xfId="0" applyNumberFormat="1" applyFont="1" applyFill="1" applyAlignment="1">
      <alignment vertical="center"/>
    </xf>
    <xf numFmtId="168" fontId="9" fillId="20" borderId="0" xfId="0" applyNumberFormat="1" applyFont="1" applyFill="1" applyBorder="1"/>
    <xf numFmtId="173" fontId="85" fillId="20" borderId="0" xfId="0" applyNumberFormat="1" applyFont="1" applyFill="1" applyAlignment="1">
      <alignment vertical="center"/>
    </xf>
    <xf numFmtId="172" fontId="12" fillId="20" borderId="0" xfId="0" applyNumberFormat="1" applyFont="1" applyFill="1" applyBorder="1" applyAlignment="1">
      <alignment horizontal="center" vertical="center"/>
    </xf>
    <xf numFmtId="0" fontId="12" fillId="20" borderId="0" xfId="0" applyFont="1" applyFill="1" applyAlignment="1">
      <alignment vertical="center"/>
    </xf>
    <xf numFmtId="173" fontId="12" fillId="20" borderId="0" xfId="0" applyNumberFormat="1" applyFont="1" applyFill="1" applyAlignment="1">
      <alignment vertical="center"/>
    </xf>
    <xf numFmtId="0" fontId="12" fillId="20" borderId="0" xfId="0" applyFont="1" applyFill="1" applyBorder="1" applyAlignment="1">
      <alignment vertical="center"/>
    </xf>
    <xf numFmtId="0" fontId="77" fillId="20" borderId="0" xfId="0" applyFont="1" applyFill="1" applyBorder="1" applyAlignment="1">
      <alignment horizontal="center" vertical="center"/>
    </xf>
    <xf numFmtId="168" fontId="77" fillId="20" borderId="0" xfId="0" applyNumberFormat="1" applyFont="1" applyFill="1" applyBorder="1" applyAlignment="1">
      <alignment vertical="center"/>
    </xf>
    <xf numFmtId="168" fontId="14" fillId="20" borderId="0" xfId="0" applyNumberFormat="1" applyFont="1" applyFill="1" applyBorder="1" applyAlignment="1">
      <alignment vertical="center"/>
    </xf>
    <xf numFmtId="168" fontId="85" fillId="20" borderId="0" xfId="0" applyNumberFormat="1" applyFont="1" applyFill="1" applyBorder="1" applyAlignment="1">
      <alignment vertical="center"/>
    </xf>
    <xf numFmtId="0" fontId="7" fillId="0" borderId="0" xfId="13" applyFont="1"/>
    <xf numFmtId="0" fontId="7" fillId="0" borderId="0" xfId="13" applyFont="1" applyAlignment="1">
      <alignment vertical="center"/>
    </xf>
    <xf numFmtId="180" fontId="7" fillId="20" borderId="400" xfId="1" applyNumberFormat="1" applyFont="1" applyFill="1" applyBorder="1" applyAlignment="1">
      <alignment horizontal="center" vertical="center"/>
    </xf>
    <xf numFmtId="168" fontId="7" fillId="20" borderId="400" xfId="1" applyNumberFormat="1" applyFont="1" applyFill="1" applyBorder="1" applyAlignment="1">
      <alignment horizontal="center" vertical="center"/>
    </xf>
    <xf numFmtId="180" fontId="119" fillId="20" borderId="400" xfId="1" applyNumberFormat="1" applyFont="1" applyFill="1" applyBorder="1" applyAlignment="1">
      <alignment horizontal="center" vertical="center"/>
    </xf>
    <xf numFmtId="181" fontId="119" fillId="20" borderId="400" xfId="1" applyNumberFormat="1" applyFont="1" applyFill="1" applyBorder="1" applyAlignment="1">
      <alignment horizontal="center" vertical="center"/>
    </xf>
    <xf numFmtId="181" fontId="119" fillId="20" borderId="400" xfId="1" applyNumberFormat="1" applyFont="1" applyFill="1" applyBorder="1" applyAlignment="1">
      <alignment horizontal="right" vertical="center"/>
    </xf>
    <xf numFmtId="181" fontId="7" fillId="20" borderId="400" xfId="1" applyNumberFormat="1" applyFont="1" applyFill="1" applyBorder="1" applyAlignment="1">
      <alignment horizontal="center" vertical="center"/>
    </xf>
    <xf numFmtId="181" fontId="7" fillId="20" borderId="400" xfId="1" applyNumberFormat="1" applyFont="1" applyFill="1" applyBorder="1" applyAlignment="1">
      <alignment horizontal="right" vertical="center"/>
    </xf>
    <xf numFmtId="180" fontId="7" fillId="20" borderId="398" xfId="13" applyNumberFormat="1" applyFont="1" applyFill="1" applyBorder="1" applyAlignment="1">
      <alignment horizontal="center" vertical="center"/>
    </xf>
    <xf numFmtId="180" fontId="7" fillId="20" borderId="400" xfId="13" applyNumberFormat="1" applyFont="1" applyFill="1" applyBorder="1" applyAlignment="1">
      <alignment horizontal="center" vertical="center"/>
    </xf>
    <xf numFmtId="0" fontId="7" fillId="0" borderId="0" xfId="13" applyFont="1" applyFill="1" applyAlignment="1">
      <alignment vertical="center"/>
    </xf>
    <xf numFmtId="0" fontId="7" fillId="20" borderId="0" xfId="13" applyFont="1" applyFill="1" applyAlignment="1">
      <alignment vertical="center"/>
    </xf>
    <xf numFmtId="0" fontId="7" fillId="20" borderId="400" xfId="13" applyFill="1" applyBorder="1" applyAlignment="1">
      <alignment horizontal="center" vertical="center"/>
    </xf>
    <xf numFmtId="180" fontId="7" fillId="20" borderId="400" xfId="1" applyNumberFormat="1" applyFont="1" applyFill="1" applyBorder="1" applyAlignment="1">
      <alignment vertical="center"/>
    </xf>
    <xf numFmtId="181" fontId="7" fillId="20" borderId="400" xfId="1" applyNumberFormat="1" applyFont="1" applyFill="1" applyBorder="1" applyAlignment="1">
      <alignment vertical="center"/>
    </xf>
    <xf numFmtId="180" fontId="22" fillId="20" borderId="400" xfId="1" applyNumberFormat="1" applyFont="1" applyFill="1" applyBorder="1" applyAlignment="1">
      <alignment horizontal="center" vertical="center"/>
    </xf>
    <xf numFmtId="181" fontId="22" fillId="20" borderId="400" xfId="1" applyNumberFormat="1" applyFont="1" applyFill="1" applyBorder="1" applyAlignment="1">
      <alignment horizontal="center" vertical="center"/>
    </xf>
    <xf numFmtId="181" fontId="7" fillId="20" borderId="400" xfId="1" applyNumberFormat="1" applyFont="1" applyFill="1" applyBorder="1" applyAlignment="1">
      <alignment horizontal="center" vertical="center" wrapText="1"/>
    </xf>
    <xf numFmtId="181" fontId="7" fillId="20" borderId="400" xfId="13" applyNumberFormat="1" applyFont="1" applyFill="1" applyBorder="1" applyAlignment="1">
      <alignment vertical="center"/>
    </xf>
    <xf numFmtId="181" fontId="7" fillId="20" borderId="400" xfId="13" applyNumberFormat="1" applyFont="1" applyFill="1" applyBorder="1" applyAlignment="1">
      <alignment horizontal="right" vertical="center"/>
    </xf>
    <xf numFmtId="168" fontId="7" fillId="20" borderId="400" xfId="1" applyNumberFormat="1" applyFont="1" applyFill="1" applyBorder="1" applyAlignment="1">
      <alignment horizontal="center" vertical="center" wrapText="1"/>
    </xf>
    <xf numFmtId="165" fontId="82" fillId="20" borderId="400" xfId="13" applyNumberFormat="1" applyFont="1" applyFill="1" applyBorder="1" applyAlignment="1">
      <alignment horizontal="right" vertical="center"/>
    </xf>
    <xf numFmtId="180" fontId="82" fillId="20" borderId="400" xfId="1" applyNumberFormat="1" applyFont="1" applyFill="1" applyBorder="1" applyAlignment="1">
      <alignment horizontal="right" vertical="center"/>
    </xf>
    <xf numFmtId="0" fontId="7" fillId="0" borderId="0" xfId="13" applyFont="1" applyFill="1"/>
    <xf numFmtId="0" fontId="7" fillId="20" borderId="0" xfId="13" applyFont="1" applyFill="1"/>
    <xf numFmtId="180" fontId="7" fillId="20" borderId="0" xfId="1" applyNumberFormat="1" applyFont="1" applyFill="1"/>
    <xf numFmtId="0" fontId="8" fillId="20" borderId="0" xfId="13" applyFont="1" applyFill="1" applyBorder="1"/>
    <xf numFmtId="0" fontId="8" fillId="20" borderId="391" xfId="13" applyFont="1" applyFill="1" applyBorder="1" applyAlignment="1">
      <alignment horizontal="right"/>
    </xf>
    <xf numFmtId="0" fontId="8" fillId="20" borderId="392" xfId="13" applyFont="1" applyFill="1" applyBorder="1" applyAlignment="1">
      <alignment horizontal="right"/>
    </xf>
    <xf numFmtId="0" fontId="8" fillId="20" borderId="387" xfId="13" applyFont="1" applyFill="1" applyBorder="1" applyAlignment="1">
      <alignment horizontal="right" vertical="center"/>
    </xf>
    <xf numFmtId="0" fontId="8" fillId="20" borderId="387" xfId="13" applyFont="1" applyFill="1" applyBorder="1" applyAlignment="1">
      <alignment horizontal="right"/>
    </xf>
    <xf numFmtId="0" fontId="7" fillId="20" borderId="400" xfId="13" applyFill="1" applyBorder="1"/>
    <xf numFmtId="181" fontId="7" fillId="20" borderId="400" xfId="1" applyNumberFormat="1" applyFont="1" applyFill="1" applyBorder="1"/>
    <xf numFmtId="181" fontId="0" fillId="20" borderId="400" xfId="1" applyNumberFormat="1" applyFont="1" applyFill="1" applyBorder="1"/>
    <xf numFmtId="181" fontId="7" fillId="20" borderId="391" xfId="13" applyNumberFormat="1" applyFill="1" applyBorder="1"/>
    <xf numFmtId="0" fontId="7" fillId="20" borderId="391" xfId="13" applyFill="1" applyBorder="1"/>
    <xf numFmtId="181" fontId="7" fillId="20" borderId="382" xfId="1" applyNumberFormat="1" applyFont="1" applyFill="1" applyBorder="1" applyAlignment="1">
      <alignment horizontal="center" vertical="center"/>
    </xf>
    <xf numFmtId="180" fontId="119" fillId="20" borderId="0" xfId="1" applyNumberFormat="1" applyFont="1" applyFill="1" applyAlignment="1">
      <alignment horizontal="center" vertical="center" wrapText="1"/>
    </xf>
    <xf numFmtId="180" fontId="22" fillId="20" borderId="400" xfId="13" applyNumberFormat="1" applyFont="1" applyFill="1" applyBorder="1" applyAlignment="1">
      <alignment horizontal="center" vertical="center"/>
    </xf>
    <xf numFmtId="180" fontId="82" fillId="20" borderId="400" xfId="1" applyNumberFormat="1" applyFont="1" applyFill="1" applyBorder="1" applyAlignment="1">
      <alignment horizontal="center" vertical="center"/>
    </xf>
    <xf numFmtId="180" fontId="7" fillId="20" borderId="408" xfId="1" applyNumberFormat="1" applyFont="1" applyFill="1" applyBorder="1" applyAlignment="1">
      <alignment horizontal="center" vertical="center"/>
    </xf>
    <xf numFmtId="181" fontId="119" fillId="20" borderId="387" xfId="1" applyNumberFormat="1" applyFont="1" applyFill="1" applyBorder="1" applyAlignment="1">
      <alignment horizontal="center" vertical="center"/>
    </xf>
    <xf numFmtId="180" fontId="8" fillId="20" borderId="391" xfId="1" applyNumberFormat="1" applyFont="1" applyFill="1" applyBorder="1" applyAlignment="1">
      <alignment horizontal="center" vertical="center"/>
    </xf>
    <xf numFmtId="181" fontId="8" fillId="20" borderId="391" xfId="1" applyNumberFormat="1" applyFont="1" applyFill="1" applyBorder="1" applyAlignment="1">
      <alignment horizontal="center" vertical="center"/>
    </xf>
    <xf numFmtId="166" fontId="7" fillId="20" borderId="391" xfId="13" applyNumberFormat="1" applyFont="1" applyFill="1" applyBorder="1" applyAlignment="1">
      <alignment horizontal="center" vertical="center"/>
    </xf>
    <xf numFmtId="166" fontId="7" fillId="20" borderId="392" xfId="13" applyNumberFormat="1" applyFont="1" applyFill="1" applyBorder="1" applyAlignment="1">
      <alignment horizontal="center" vertical="center"/>
    </xf>
    <xf numFmtId="0" fontId="8" fillId="20" borderId="387" xfId="13" applyFont="1" applyFill="1" applyBorder="1" applyAlignment="1">
      <alignment horizontal="center" vertical="center"/>
    </xf>
    <xf numFmtId="180" fontId="8" fillId="20" borderId="387" xfId="1" applyNumberFormat="1" applyFont="1" applyFill="1" applyBorder="1" applyAlignment="1">
      <alignment horizontal="center" vertical="center"/>
    </xf>
    <xf numFmtId="181" fontId="8" fillId="20" borderId="387" xfId="1" applyNumberFormat="1" applyFont="1" applyFill="1" applyBorder="1" applyAlignment="1">
      <alignment horizontal="center" vertical="center"/>
    </xf>
    <xf numFmtId="180" fontId="85" fillId="20" borderId="0" xfId="1" applyNumberFormat="1" applyFont="1" applyFill="1"/>
    <xf numFmtId="0" fontId="85" fillId="20" borderId="0" xfId="13" applyFont="1" applyFill="1"/>
    <xf numFmtId="0" fontId="14" fillId="20" borderId="0" xfId="27" applyFont="1" applyFill="1"/>
    <xf numFmtId="0" fontId="12" fillId="20" borderId="400" xfId="27" applyFont="1" applyFill="1" applyBorder="1"/>
    <xf numFmtId="0" fontId="14" fillId="20" borderId="409" xfId="27" applyFont="1" applyFill="1" applyBorder="1" applyAlignment="1">
      <alignment horizontal="right"/>
    </xf>
    <xf numFmtId="0" fontId="12" fillId="20" borderId="409" xfId="27" applyFont="1" applyFill="1" applyBorder="1" applyAlignment="1">
      <alignment horizontal="right"/>
    </xf>
    <xf numFmtId="0" fontId="12" fillId="20" borderId="410" xfId="27" applyFont="1" applyFill="1" applyBorder="1" applyAlignment="1">
      <alignment horizontal="right"/>
    </xf>
    <xf numFmtId="168" fontId="14" fillId="20" borderId="382" xfId="27" applyNumberFormat="1" applyFont="1" applyFill="1" applyBorder="1" applyAlignment="1">
      <alignment horizontal="right" vertical="center"/>
    </xf>
    <xf numFmtId="168" fontId="12" fillId="20" borderId="382" xfId="28" applyNumberFormat="1" applyFont="1" applyFill="1" applyBorder="1" applyAlignment="1">
      <alignment horizontal="right" vertical="center"/>
    </xf>
    <xf numFmtId="168" fontId="12" fillId="20" borderId="382" xfId="27" applyNumberFormat="1" applyFont="1" applyFill="1" applyBorder="1" applyAlignment="1">
      <alignment horizontal="right" vertical="center"/>
    </xf>
    <xf numFmtId="168" fontId="12" fillId="20" borderId="0" xfId="31" applyNumberFormat="1" applyFont="1" applyFill="1" applyBorder="1"/>
    <xf numFmtId="168" fontId="12" fillId="20" borderId="382" xfId="27" applyNumberFormat="1" applyFont="1" applyFill="1" applyBorder="1"/>
    <xf numFmtId="0" fontId="14" fillId="22" borderId="390" xfId="27" applyFont="1" applyFill="1" applyBorder="1" applyAlignment="1">
      <alignment horizontal="right"/>
    </xf>
    <xf numFmtId="0" fontId="12" fillId="22" borderId="390" xfId="27" applyFont="1" applyFill="1" applyBorder="1" applyAlignment="1">
      <alignment horizontal="right"/>
    </xf>
    <xf numFmtId="168" fontId="14" fillId="22" borderId="0" xfId="27" applyNumberFormat="1" applyFont="1" applyFill="1" applyBorder="1" applyAlignment="1">
      <alignment horizontal="right" vertical="center"/>
    </xf>
    <xf numFmtId="168" fontId="12" fillId="22" borderId="0" xfId="27" applyNumberFormat="1" applyFont="1" applyFill="1" applyBorder="1" applyAlignment="1">
      <alignment horizontal="right" vertical="center"/>
    </xf>
    <xf numFmtId="0" fontId="85" fillId="20" borderId="0" xfId="13" applyFont="1" applyFill="1" applyAlignment="1"/>
    <xf numFmtId="168" fontId="85" fillId="20" borderId="0" xfId="27" applyNumberFormat="1" applyFont="1" applyFill="1" applyBorder="1" applyAlignment="1">
      <alignment vertical="center"/>
    </xf>
    <xf numFmtId="166" fontId="14" fillId="20" borderId="405" xfId="27" applyNumberFormat="1" applyFont="1" applyFill="1" applyBorder="1" applyAlignment="1">
      <alignment horizontal="center" vertical="center"/>
    </xf>
    <xf numFmtId="168" fontId="12" fillId="20" borderId="403" xfId="27" applyNumberFormat="1" applyFont="1" applyFill="1" applyBorder="1" applyAlignment="1">
      <alignment horizontal="center"/>
    </xf>
    <xf numFmtId="168" fontId="12" fillId="20" borderId="405" xfId="27" applyNumberFormat="1" applyFont="1" applyFill="1" applyBorder="1" applyAlignment="1">
      <alignment horizontal="center"/>
    </xf>
    <xf numFmtId="166" fontId="82" fillId="20" borderId="215" xfId="27" applyNumberFormat="1" applyFont="1" applyFill="1" applyBorder="1" applyAlignment="1"/>
    <xf numFmtId="166" fontId="82" fillId="20" borderId="215" xfId="27" applyNumberFormat="1" applyFont="1" applyFill="1" applyBorder="1" applyAlignment="1">
      <alignment horizontal="left"/>
    </xf>
    <xf numFmtId="166" fontId="14" fillId="20" borderId="394" xfId="27" applyNumberFormat="1" applyFont="1" applyFill="1" applyBorder="1" applyAlignment="1">
      <alignment horizontal="center" vertical="center"/>
    </xf>
    <xf numFmtId="172" fontId="12" fillId="20" borderId="409" xfId="27" applyNumberFormat="1" applyFont="1" applyFill="1" applyBorder="1" applyAlignment="1">
      <alignment horizontal="center"/>
    </xf>
    <xf numFmtId="167" fontId="14" fillId="20" borderId="215" xfId="27" applyNumberFormat="1" applyFont="1" applyFill="1" applyBorder="1" applyAlignment="1">
      <alignment horizontal="center" vertical="center" wrapText="1"/>
    </xf>
    <xf numFmtId="172" fontId="12" fillId="20" borderId="400" xfId="27" applyNumberFormat="1" applyFont="1" applyFill="1" applyBorder="1" applyAlignment="1">
      <alignment horizontal="center"/>
    </xf>
    <xf numFmtId="172" fontId="12" fillId="20" borderId="405" xfId="27" applyNumberFormat="1" applyFont="1" applyFill="1" applyBorder="1" applyAlignment="1">
      <alignment horizontal="center"/>
    </xf>
    <xf numFmtId="166" fontId="14" fillId="20" borderId="395" xfId="27" applyNumberFormat="1" applyFont="1" applyFill="1" applyBorder="1" applyAlignment="1">
      <alignment horizontal="center" vertical="center"/>
    </xf>
    <xf numFmtId="166" fontId="14" fillId="20" borderId="0" xfId="0" applyNumberFormat="1" applyFont="1" applyFill="1" applyBorder="1" applyAlignment="1" applyProtection="1">
      <alignment vertical="center"/>
    </xf>
    <xf numFmtId="166" fontId="14" fillId="20" borderId="405" xfId="0" applyNumberFormat="1" applyFont="1" applyFill="1" applyBorder="1" applyAlignment="1">
      <alignment horizontal="center" vertical="center"/>
    </xf>
    <xf numFmtId="166" fontId="7" fillId="20" borderId="0" xfId="0" applyNumberFormat="1" applyFont="1" applyFill="1" applyBorder="1" applyAlignment="1" applyProtection="1">
      <alignment vertic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 fillId="20" borderId="210" xfId="0" applyFont="1" applyFill="1" applyBorder="1" applyAlignment="1">
      <alignment horizontal="center" vertical="center" wrapText="1"/>
    </xf>
    <xf numFmtId="0" fontId="21" fillId="20" borderId="0" xfId="27" applyFont="1" applyFill="1" applyBorder="1" applyAlignment="1">
      <alignment horizontal="left" vertical="top"/>
    </xf>
    <xf numFmtId="0" fontId="21" fillId="20" borderId="0" xfId="27" applyFont="1" applyFill="1" applyBorder="1" applyAlignment="1">
      <alignment horizontal="left" vertical="top" wrapText="1"/>
    </xf>
    <xf numFmtId="0" fontId="0" fillId="20" borderId="0" xfId="0" applyFill="1"/>
    <xf numFmtId="0" fontId="90" fillId="20" borderId="0" xfId="0" applyFont="1" applyFill="1"/>
    <xf numFmtId="0" fontId="102" fillId="20" borderId="0" xfId="0" applyFont="1" applyFill="1"/>
    <xf numFmtId="0" fontId="90" fillId="0" borderId="0" xfId="16" applyFont="1" applyFill="1" applyBorder="1"/>
    <xf numFmtId="0" fontId="90" fillId="0" borderId="0" xfId="16" applyFont="1" applyFill="1"/>
    <xf numFmtId="0" fontId="90" fillId="0" borderId="150" xfId="16" applyFont="1" applyFill="1" applyBorder="1"/>
    <xf numFmtId="0" fontId="90" fillId="0" borderId="204" xfId="16" applyFont="1" applyFill="1" applyBorder="1"/>
    <xf numFmtId="0" fontId="90" fillId="0" borderId="0" xfId="16" applyFont="1" applyFill="1" applyAlignment="1">
      <alignment vertical="center"/>
    </xf>
    <xf numFmtId="165" fontId="90" fillId="0" borderId="0" xfId="17" applyNumberFormat="1" applyFont="1" applyFill="1" applyProtection="1"/>
    <xf numFmtId="0" fontId="90" fillId="0" borderId="0" xfId="17" applyFont="1" applyFill="1"/>
    <xf numFmtId="0" fontId="90" fillId="0" borderId="0" xfId="17" applyFont="1" applyFill="1" applyBorder="1"/>
    <xf numFmtId="0" fontId="92" fillId="0" borderId="0" xfId="17" applyFont="1" applyFill="1"/>
    <xf numFmtId="0" fontId="90" fillId="0" borderId="0" xfId="18" applyFont="1" applyFill="1"/>
    <xf numFmtId="0" fontId="90" fillId="20" borderId="229" xfId="16" applyFont="1" applyFill="1" applyBorder="1" applyAlignment="1">
      <alignment horizontal="center"/>
    </xf>
    <xf numFmtId="0" fontId="91" fillId="20" borderId="0" xfId="16" applyFont="1" applyFill="1" applyBorder="1" applyAlignment="1">
      <alignment horizontal="center"/>
    </xf>
    <xf numFmtId="0" fontId="90" fillId="20" borderId="153" xfId="16" applyFont="1" applyFill="1" applyBorder="1" applyAlignment="1">
      <alignment horizontal="center"/>
    </xf>
    <xf numFmtId="0" fontId="90" fillId="20" borderId="0" xfId="16" applyFont="1" applyFill="1" applyBorder="1" applyAlignment="1">
      <alignment horizontal="center"/>
    </xf>
    <xf numFmtId="0" fontId="90" fillId="20" borderId="152" xfId="16" applyFont="1" applyFill="1" applyBorder="1" applyAlignment="1">
      <alignment horizontal="center"/>
    </xf>
    <xf numFmtId="0" fontId="90" fillId="20" borderId="239" xfId="16" applyFont="1" applyFill="1" applyBorder="1" applyAlignment="1">
      <alignment horizontal="center"/>
    </xf>
    <xf numFmtId="172" fontId="90" fillId="20" borderId="0" xfId="16" applyNumberFormat="1" applyFont="1" applyFill="1" applyBorder="1" applyAlignment="1">
      <alignment horizontal="center" vertical="center"/>
    </xf>
    <xf numFmtId="172" fontId="90" fillId="20" borderId="152" xfId="16" applyNumberFormat="1" applyFont="1" applyFill="1" applyBorder="1" applyAlignment="1">
      <alignment horizontal="center" vertical="center"/>
    </xf>
    <xf numFmtId="172" fontId="90" fillId="20" borderId="239" xfId="16" applyNumberFormat="1" applyFont="1" applyFill="1" applyBorder="1" applyAlignment="1">
      <alignment horizontal="center" vertical="center"/>
    </xf>
    <xf numFmtId="0" fontId="91" fillId="20" borderId="153" xfId="16" applyFont="1" applyFill="1" applyBorder="1" applyAlignment="1">
      <alignment horizontal="center"/>
    </xf>
    <xf numFmtId="0" fontId="90" fillId="0" borderId="0" xfId="20" applyFont="1" applyFill="1"/>
    <xf numFmtId="0" fontId="90" fillId="0" borderId="0" xfId="20" applyFont="1" applyFill="1" applyAlignment="1">
      <alignment horizontal="center"/>
    </xf>
    <xf numFmtId="0" fontId="91" fillId="0" borderId="0" xfId="20" applyFont="1" applyFill="1" applyAlignment="1">
      <alignment horizontal="center"/>
    </xf>
    <xf numFmtId="0" fontId="90" fillId="0" borderId="0" xfId="20" applyFont="1" applyFill="1" applyBorder="1" applyAlignment="1">
      <alignment horizontal="center"/>
    </xf>
    <xf numFmtId="0" fontId="90" fillId="0" borderId="0" xfId="19" applyFont="1" applyFill="1" applyAlignment="1">
      <alignment horizontal="center"/>
    </xf>
    <xf numFmtId="0" fontId="91" fillId="0" borderId="0" xfId="19" applyFont="1" applyFill="1" applyAlignment="1">
      <alignment horizontal="center"/>
    </xf>
    <xf numFmtId="0" fontId="12" fillId="0" borderId="0" xfId="16" applyFont="1" applyFill="1" applyBorder="1" applyAlignment="1">
      <alignment vertical="top" wrapText="1"/>
    </xf>
    <xf numFmtId="0" fontId="0" fillId="0" borderId="0" xfId="0" applyFill="1" applyAlignment="1">
      <alignment vertical="top" wrapText="1"/>
    </xf>
    <xf numFmtId="0" fontId="93" fillId="20" borderId="0" xfId="21" applyFont="1" applyFill="1"/>
    <xf numFmtId="0" fontId="93" fillId="20" borderId="0" xfId="21" applyFont="1" applyFill="1" applyBorder="1"/>
    <xf numFmtId="0" fontId="93" fillId="0" borderId="0" xfId="21" applyFont="1" applyFill="1"/>
    <xf numFmtId="0" fontId="91" fillId="20" borderId="292" xfId="21" applyFont="1" applyFill="1" applyBorder="1"/>
    <xf numFmtId="172" fontId="91" fillId="20" borderId="291" xfId="21" applyNumberFormat="1" applyFont="1" applyFill="1" applyBorder="1" applyAlignment="1">
      <alignment horizontal="center" vertical="center"/>
    </xf>
    <xf numFmtId="0" fontId="91" fillId="20" borderId="0" xfId="21" applyFont="1" applyFill="1" applyAlignment="1">
      <alignment horizontal="center" vertical="center"/>
    </xf>
    <xf numFmtId="0" fontId="90" fillId="20" borderId="0" xfId="21" applyFont="1" applyFill="1" applyAlignment="1">
      <alignment horizontal="center" vertical="center"/>
    </xf>
    <xf numFmtId="0" fontId="91" fillId="20" borderId="0" xfId="21" applyFont="1" applyFill="1"/>
    <xf numFmtId="0" fontId="0" fillId="20" borderId="0" xfId="0" applyFill="1" applyAlignment="1" applyProtection="1">
      <alignment horizontal="center"/>
      <protection locked="0"/>
    </xf>
    <xf numFmtId="0" fontId="8" fillId="20" borderId="0" xfId="0" applyFont="1" applyFill="1" applyAlignment="1" applyProtection="1">
      <alignment horizontal="center"/>
      <protection locked="0"/>
    </xf>
    <xf numFmtId="0" fontId="0" fillId="0" borderId="0" xfId="0" applyFill="1" applyAlignment="1">
      <alignment horizontal="center"/>
    </xf>
    <xf numFmtId="0" fontId="8" fillId="0" borderId="0" xfId="0" applyFont="1" applyFill="1" applyAlignment="1">
      <alignment vertical="center"/>
    </xf>
    <xf numFmtId="0" fontId="12" fillId="0" borderId="0" xfId="27" applyFont="1" applyFill="1" applyBorder="1" applyAlignment="1">
      <alignment horizontal="left" vertical="top"/>
    </xf>
    <xf numFmtId="0" fontId="12" fillId="0" borderId="0" xfId="27" applyFont="1" applyFill="1" applyBorder="1" applyAlignment="1">
      <alignment vertical="top" wrapText="1"/>
    </xf>
    <xf numFmtId="0" fontId="21" fillId="0" borderId="0" xfId="27" applyFont="1" applyFill="1" applyBorder="1" applyAlignment="1">
      <alignment vertical="top"/>
    </xf>
    <xf numFmtId="0" fontId="12" fillId="0" borderId="0" xfId="30" applyFont="1" applyFill="1" applyAlignment="1">
      <alignment vertical="top"/>
    </xf>
    <xf numFmtId="0" fontId="139" fillId="0" borderId="0" xfId="30" applyFont="1" applyFill="1"/>
    <xf numFmtId="0" fontId="56" fillId="0" borderId="0" xfId="30" applyFont="1" applyFill="1"/>
    <xf numFmtId="0" fontId="134" fillId="20" borderId="0" xfId="38" applyFont="1" applyFill="1"/>
    <xf numFmtId="0" fontId="136" fillId="20" borderId="0" xfId="38" applyFont="1" applyFill="1"/>
    <xf numFmtId="0" fontId="56" fillId="20" borderId="0" xfId="39" applyFont="1" applyFill="1" applyBorder="1"/>
    <xf numFmtId="0" fontId="56" fillId="20" borderId="0" xfId="39" applyFont="1" applyFill="1" applyBorder="1" applyAlignment="1">
      <alignment horizontal="left"/>
    </xf>
    <xf numFmtId="0" fontId="14" fillId="2" borderId="395" xfId="13" applyFont="1" applyFill="1" applyBorder="1" applyAlignment="1">
      <alignment vertical="center"/>
    </xf>
    <xf numFmtId="49" fontId="63" fillId="20" borderId="400" xfId="0" applyNumberFormat="1" applyFont="1" applyFill="1" applyBorder="1" applyAlignment="1">
      <alignment horizontal="center" vertical="center"/>
    </xf>
    <xf numFmtId="0" fontId="63" fillId="20" borderId="400" xfId="0" applyFont="1" applyFill="1" applyBorder="1" applyAlignment="1">
      <alignment horizontal="center" vertical="center"/>
    </xf>
    <xf numFmtId="0" fontId="54" fillId="20" borderId="0" xfId="0" applyFont="1" applyFill="1"/>
    <xf numFmtId="17" fontId="14" fillId="20" borderId="0" xfId="0" applyNumberFormat="1" applyFont="1" applyFill="1" applyAlignment="1">
      <alignment horizontal="right"/>
    </xf>
    <xf numFmtId="0" fontId="14" fillId="20" borderId="0" xfId="0" applyFont="1" applyFill="1" applyAlignment="1">
      <alignment horizontal="left"/>
    </xf>
    <xf numFmtId="0" fontId="0" fillId="20" borderId="0" xfId="0" applyFill="1"/>
    <xf numFmtId="0" fontId="145" fillId="20" borderId="0" xfId="0" applyFont="1" applyFill="1"/>
    <xf numFmtId="0" fontId="8" fillId="20" borderId="0" xfId="0" applyFont="1" applyFill="1" applyAlignment="1">
      <alignment horizontal="left"/>
    </xf>
    <xf numFmtId="0" fontId="7" fillId="20" borderId="0" xfId="0" applyFont="1" applyFill="1" applyAlignment="1">
      <alignment horizontal="left" vertical="top" wrapText="1"/>
    </xf>
    <xf numFmtId="0" fontId="85" fillId="20" borderId="0" xfId="0" applyFont="1" applyFill="1"/>
    <xf numFmtId="0" fontId="85" fillId="20" borderId="0" xfId="0" applyFont="1" applyFill="1" applyAlignment="1">
      <alignment horizontal="left"/>
    </xf>
    <xf numFmtId="0" fontId="146" fillId="20" borderId="0" xfId="0" applyFont="1" applyFill="1" applyAlignment="1">
      <alignment vertical="center" wrapText="1"/>
    </xf>
    <xf numFmtId="180" fontId="7" fillId="0" borderId="0" xfId="1" applyNumberFormat="1" applyFont="1" applyFill="1"/>
    <xf numFmtId="0" fontId="12" fillId="20" borderId="398" xfId="27" applyFont="1" applyFill="1" applyBorder="1"/>
    <xf numFmtId="168" fontId="12" fillId="20" borderId="403" xfId="27" applyNumberFormat="1" applyFont="1" applyFill="1" applyBorder="1"/>
    <xf numFmtId="168" fontId="12" fillId="20" borderId="0" xfId="27" applyNumberFormat="1" applyFont="1" applyFill="1" applyBorder="1" applyAlignment="1">
      <alignment vertical="center"/>
    </xf>
    <xf numFmtId="168" fontId="12" fillId="0" borderId="398" xfId="27" applyNumberFormat="1" applyFont="1" applyBorder="1" applyAlignment="1">
      <alignment wrapText="1"/>
    </xf>
    <xf numFmtId="168" fontId="12" fillId="0" borderId="398" xfId="27" applyNumberFormat="1" applyFont="1" applyFill="1" applyBorder="1" applyAlignment="1">
      <alignment wrapText="1"/>
    </xf>
    <xf numFmtId="168" fontId="12" fillId="0" borderId="0" xfId="27" applyNumberFormat="1" applyFont="1" applyFill="1" applyBorder="1" applyAlignment="1">
      <alignment wrapText="1"/>
    </xf>
    <xf numFmtId="0" fontId="12" fillId="0" borderId="398" xfId="27" applyFont="1" applyFill="1" applyBorder="1"/>
    <xf numFmtId="0" fontId="85" fillId="0" borderId="0" xfId="27" applyFont="1" applyFill="1" applyBorder="1"/>
    <xf numFmtId="0" fontId="0" fillId="20" borderId="0" xfId="0" applyFill="1"/>
    <xf numFmtId="0" fontId="12" fillId="20" borderId="0" xfId="27" applyFont="1" applyFill="1" applyAlignment="1">
      <alignment horizontal="left"/>
    </xf>
    <xf numFmtId="0" fontId="21" fillId="20" borderId="0" xfId="0" applyFont="1" applyFill="1" applyAlignment="1">
      <alignment horizontal="left" vertical="top" wrapText="1"/>
    </xf>
    <xf numFmtId="0" fontId="0" fillId="20" borderId="0" xfId="0" applyFill="1"/>
    <xf numFmtId="0" fontId="119" fillId="20" borderId="0" xfId="0" applyFont="1" applyFill="1" applyAlignment="1">
      <alignment vertical="top" wrapText="1"/>
    </xf>
    <xf numFmtId="0" fontId="7" fillId="20" borderId="0" xfId="0" applyFont="1" applyFill="1" applyAlignment="1">
      <alignment vertical="top" wrapText="1"/>
    </xf>
    <xf numFmtId="0" fontId="7" fillId="20" borderId="0" xfId="0" applyFont="1" applyFill="1" applyAlignment="1">
      <alignment vertical="center" wrapText="1"/>
    </xf>
    <xf numFmtId="0" fontId="7" fillId="20" borderId="0" xfId="0" applyFont="1" applyFill="1" applyAlignment="1">
      <alignment horizontal="justify"/>
    </xf>
    <xf numFmtId="0" fontId="0" fillId="20" borderId="0" xfId="0" applyFill="1"/>
    <xf numFmtId="166" fontId="14" fillId="20" borderId="412" xfId="0" applyNumberFormat="1" applyFont="1" applyFill="1" applyBorder="1" applyAlignment="1">
      <alignment horizontal="center" vertical="center"/>
    </xf>
    <xf numFmtId="2" fontId="12" fillId="20" borderId="400" xfId="0" applyNumberFormat="1" applyFont="1" applyFill="1" applyBorder="1" applyAlignment="1">
      <alignment horizontal="center" vertical="center"/>
    </xf>
    <xf numFmtId="2" fontId="12" fillId="20" borderId="412" xfId="0" applyNumberFormat="1" applyFont="1" applyFill="1" applyBorder="1" applyAlignment="1">
      <alignment horizontal="center" vertical="center"/>
    </xf>
    <xf numFmtId="0" fontId="9" fillId="20" borderId="396" xfId="0" applyFont="1" applyFill="1" applyBorder="1" applyAlignment="1">
      <alignment vertical="center"/>
    </xf>
    <xf numFmtId="168" fontId="0" fillId="20" borderId="0" xfId="0" applyNumberFormat="1" applyFill="1"/>
    <xf numFmtId="0" fontId="12" fillId="20" borderId="0" xfId="19" applyFont="1" applyFill="1" applyBorder="1" applyAlignment="1">
      <alignment horizontal="left" vertical="top" wrapText="1"/>
    </xf>
    <xf numFmtId="0" fontId="14" fillId="20" borderId="395" xfId="0" applyFont="1" applyFill="1" applyBorder="1" applyAlignment="1">
      <alignment horizontal="center" vertical="center"/>
    </xf>
    <xf numFmtId="0" fontId="0" fillId="20" borderId="0" xfId="0" applyFill="1"/>
    <xf numFmtId="0" fontId="12" fillId="20" borderId="0" xfId="0" applyFont="1" applyFill="1" applyBorder="1"/>
    <xf numFmtId="0" fontId="14" fillId="20" borderId="395" xfId="0" applyFont="1" applyFill="1" applyBorder="1" applyAlignment="1">
      <alignment horizontal="center" vertical="center" wrapText="1"/>
    </xf>
    <xf numFmtId="167" fontId="14" fillId="20" borderId="400" xfId="3" applyNumberFormat="1" applyFont="1" applyFill="1" applyBorder="1" applyAlignment="1">
      <alignment horizontal="center" vertical="center"/>
    </xf>
    <xf numFmtId="0" fontId="14" fillId="20" borderId="403" xfId="3" applyFont="1" applyFill="1" applyBorder="1" applyAlignment="1">
      <alignment horizontal="center" vertical="center" wrapText="1"/>
    </xf>
    <xf numFmtId="168" fontId="12" fillId="20" borderId="400" xfId="3" applyNumberFormat="1" applyFont="1" applyFill="1" applyBorder="1" applyAlignment="1">
      <alignment horizontal="center" vertical="center"/>
    </xf>
    <xf numFmtId="168" fontId="12" fillId="20" borderId="0" xfId="3" applyNumberFormat="1" applyFont="1" applyFill="1" applyBorder="1" applyAlignment="1">
      <alignment horizontal="center" vertical="center"/>
    </xf>
    <xf numFmtId="0" fontId="12" fillId="20" borderId="398" xfId="3" applyFont="1" applyFill="1" applyBorder="1" applyAlignment="1">
      <alignment horizontal="center" vertical="center" wrapText="1"/>
    </xf>
    <xf numFmtId="165" fontId="13" fillId="20" borderId="229" xfId="6" applyNumberFormat="1" applyFont="1" applyFill="1" applyBorder="1" applyAlignment="1" applyProtection="1">
      <alignment horizontal="center" vertical="center"/>
    </xf>
    <xf numFmtId="0" fontId="12" fillId="20" borderId="0" xfId="3" applyFont="1" applyFill="1" applyBorder="1" applyAlignment="1">
      <alignment horizontal="center" vertical="center" wrapText="1"/>
    </xf>
    <xf numFmtId="0" fontId="12" fillId="20" borderId="403" xfId="3" applyFont="1" applyFill="1" applyBorder="1" applyAlignment="1">
      <alignment horizontal="center" vertical="center" wrapText="1"/>
    </xf>
    <xf numFmtId="0" fontId="14" fillId="20" borderId="400" xfId="3" applyNumberFormat="1" applyFont="1" applyFill="1" applyBorder="1" applyAlignment="1">
      <alignment horizontal="center" vertical="center"/>
    </xf>
    <xf numFmtId="172" fontId="14" fillId="20" borderId="400" xfId="0" applyNumberFormat="1" applyFont="1" applyFill="1" applyBorder="1" applyAlignment="1">
      <alignment horizontal="center" vertical="center"/>
    </xf>
    <xf numFmtId="0" fontId="12" fillId="20" borderId="400" xfId="3" applyFont="1" applyFill="1" applyBorder="1" applyAlignment="1">
      <alignment horizontal="center" vertical="center" wrapText="1"/>
    </xf>
    <xf numFmtId="165" fontId="13" fillId="20" borderId="209" xfId="6" applyNumberFormat="1" applyFont="1" applyFill="1" applyBorder="1" applyAlignment="1" applyProtection="1">
      <alignment horizontal="center" vertical="center"/>
    </xf>
    <xf numFmtId="0" fontId="14" fillId="20" borderId="400" xfId="3" applyFont="1" applyFill="1" applyBorder="1" applyAlignment="1">
      <alignment horizontal="center" vertical="center" wrapText="1"/>
    </xf>
    <xf numFmtId="0" fontId="12" fillId="20" borderId="400" xfId="3" applyNumberFormat="1" applyFont="1" applyFill="1" applyBorder="1" applyAlignment="1">
      <alignment horizontal="center" vertical="center"/>
    </xf>
    <xf numFmtId="165" fontId="13" fillId="20" borderId="403" xfId="6" applyNumberFormat="1" applyFont="1" applyFill="1" applyBorder="1" applyAlignment="1" applyProtection="1">
      <alignment horizontal="center" vertical="center"/>
    </xf>
    <xf numFmtId="168" fontId="12" fillId="20" borderId="403" xfId="3" applyNumberFormat="1" applyFont="1" applyFill="1" applyBorder="1" applyAlignment="1">
      <alignment horizontal="center" vertical="center"/>
    </xf>
    <xf numFmtId="165" fontId="12" fillId="20" borderId="403" xfId="6" applyNumberFormat="1" applyFont="1" applyFill="1" applyBorder="1" applyAlignment="1" applyProtection="1">
      <alignment horizontal="center" vertical="center"/>
    </xf>
    <xf numFmtId="165" fontId="12" fillId="20" borderId="187" xfId="6" applyNumberFormat="1" applyFont="1" applyFill="1" applyBorder="1" applyAlignment="1" applyProtection="1">
      <alignment horizontal="center" vertical="center"/>
    </xf>
    <xf numFmtId="0" fontId="14" fillId="20" borderId="400" xfId="0" applyNumberFormat="1" applyFont="1" applyFill="1" applyBorder="1" applyAlignment="1">
      <alignment horizontal="center" vertical="center"/>
    </xf>
    <xf numFmtId="0" fontId="12" fillId="20" borderId="400" xfId="0" applyFont="1" applyFill="1" applyBorder="1" applyAlignment="1">
      <alignment horizontal="center" vertical="center"/>
    </xf>
    <xf numFmtId="0" fontId="12" fillId="20" borderId="403" xfId="0" applyFont="1" applyFill="1" applyBorder="1" applyAlignment="1">
      <alignment horizontal="center" vertical="center"/>
    </xf>
    <xf numFmtId="0" fontId="12" fillId="20" borderId="400" xfId="0" applyNumberFormat="1" applyFont="1" applyFill="1" applyBorder="1" applyAlignment="1">
      <alignment horizontal="center" vertical="center"/>
    </xf>
    <xf numFmtId="0" fontId="12" fillId="20" borderId="398" xfId="3" applyFont="1" applyFill="1" applyBorder="1" applyAlignment="1">
      <alignment horizontal="center" vertical="center"/>
    </xf>
    <xf numFmtId="0" fontId="12" fillId="20" borderId="0" xfId="3" applyFont="1" applyFill="1" applyBorder="1" applyAlignment="1">
      <alignment horizontal="center" vertical="center"/>
    </xf>
    <xf numFmtId="0" fontId="12" fillId="20" borderId="403" xfId="3" applyFont="1" applyFill="1" applyBorder="1" applyAlignment="1">
      <alignment horizontal="center" vertical="center"/>
    </xf>
    <xf numFmtId="165" fontId="12" fillId="20" borderId="229" xfId="6" applyNumberFormat="1" applyFont="1" applyFill="1" applyBorder="1" applyAlignment="1" applyProtection="1">
      <alignment horizontal="center" vertical="center"/>
    </xf>
    <xf numFmtId="165" fontId="13" fillId="20" borderId="400" xfId="6" applyNumberFormat="1" applyFont="1" applyFill="1" applyBorder="1" applyAlignment="1" applyProtection="1">
      <alignment horizontal="center" vertical="center"/>
    </xf>
    <xf numFmtId="0" fontId="12" fillId="20" borderId="400" xfId="3" applyFont="1" applyFill="1" applyBorder="1" applyAlignment="1">
      <alignment horizontal="center" vertical="center"/>
    </xf>
    <xf numFmtId="168" fontId="12" fillId="20" borderId="403" xfId="0" applyNumberFormat="1" applyFont="1" applyFill="1" applyBorder="1" applyAlignment="1">
      <alignment horizontal="center" vertical="center"/>
    </xf>
    <xf numFmtId="168" fontId="13" fillId="20" borderId="400" xfId="0" applyNumberFormat="1" applyFont="1" applyFill="1" applyBorder="1" applyAlignment="1" applyProtection="1">
      <alignment horizontal="center" vertical="center"/>
    </xf>
    <xf numFmtId="168" fontId="12" fillId="20" borderId="400" xfId="0" applyNumberFormat="1" applyFont="1" applyFill="1" applyBorder="1" applyAlignment="1">
      <alignment horizontal="center" vertical="center"/>
    </xf>
    <xf numFmtId="1" fontId="14" fillId="20" borderId="400" xfId="0" applyNumberFormat="1" applyFont="1" applyFill="1" applyBorder="1" applyAlignment="1">
      <alignment horizontal="center" vertical="center"/>
    </xf>
    <xf numFmtId="181" fontId="12" fillId="20" borderId="400" xfId="1" applyNumberFormat="1" applyFont="1" applyFill="1" applyBorder="1" applyAlignment="1">
      <alignment horizontal="center" vertical="center"/>
    </xf>
    <xf numFmtId="181" fontId="13" fillId="20" borderId="400" xfId="1" applyNumberFormat="1" applyFont="1" applyFill="1" applyBorder="1" applyAlignment="1" applyProtection="1">
      <alignment horizontal="center" vertical="center"/>
    </xf>
    <xf numFmtId="173" fontId="12" fillId="20" borderId="400" xfId="0" applyNumberFormat="1" applyFont="1" applyFill="1" applyBorder="1" applyAlignment="1">
      <alignment horizontal="center" vertical="center"/>
    </xf>
    <xf numFmtId="1" fontId="14" fillId="20" borderId="398" xfId="0" applyNumberFormat="1" applyFont="1" applyFill="1" applyBorder="1" applyAlignment="1">
      <alignment horizontal="center" vertical="center"/>
    </xf>
    <xf numFmtId="168" fontId="12" fillId="20" borderId="398" xfId="0" applyNumberFormat="1" applyFont="1" applyFill="1" applyBorder="1" applyAlignment="1">
      <alignment horizontal="center" vertical="center"/>
    </xf>
    <xf numFmtId="173" fontId="12" fillId="20" borderId="0" xfId="0" applyNumberFormat="1" applyFont="1" applyFill="1" applyBorder="1" applyAlignment="1">
      <alignment horizontal="center" vertical="center"/>
    </xf>
    <xf numFmtId="0" fontId="14" fillId="20" borderId="398" xfId="0" applyNumberFormat="1" applyFont="1" applyFill="1" applyBorder="1" applyAlignment="1">
      <alignment horizontal="center" vertical="center"/>
    </xf>
    <xf numFmtId="0" fontId="12" fillId="20" borderId="398" xfId="0" applyNumberFormat="1" applyFont="1" applyFill="1" applyBorder="1" applyAlignment="1">
      <alignment horizontal="center" vertical="center"/>
    </xf>
    <xf numFmtId="172" fontId="12" fillId="20" borderId="400" xfId="0" applyNumberFormat="1" applyFont="1" applyFill="1" applyBorder="1" applyAlignment="1">
      <alignment horizontal="center" vertical="center"/>
    </xf>
    <xf numFmtId="0" fontId="12" fillId="20" borderId="398" xfId="0" applyFont="1" applyFill="1" applyBorder="1" applyAlignment="1">
      <alignment horizontal="center" vertical="center"/>
    </xf>
    <xf numFmtId="0" fontId="14" fillId="20" borderId="398" xfId="0" applyFont="1" applyFill="1" applyBorder="1" applyAlignment="1">
      <alignment horizontal="center" vertical="center"/>
    </xf>
    <xf numFmtId="0" fontId="14" fillId="20" borderId="400" xfId="0" applyFont="1" applyFill="1" applyBorder="1" applyAlignment="1">
      <alignment horizontal="center" vertical="center"/>
    </xf>
    <xf numFmtId="168" fontId="14" fillId="20" borderId="400" xfId="0" applyNumberFormat="1" applyFont="1" applyFill="1" applyBorder="1" applyAlignment="1">
      <alignment horizontal="center" vertical="center"/>
    </xf>
    <xf numFmtId="0" fontId="14" fillId="20" borderId="414" xfId="0" applyFont="1" applyFill="1" applyBorder="1" applyAlignment="1">
      <alignment horizontal="center" vertical="center"/>
    </xf>
    <xf numFmtId="0" fontId="14" fillId="2" borderId="395" xfId="0" applyFont="1" applyFill="1" applyBorder="1" applyAlignment="1">
      <alignment horizontal="center" vertical="center" wrapText="1"/>
    </xf>
    <xf numFmtId="167" fontId="14" fillId="2" borderId="400" xfId="3" applyNumberFormat="1" applyFont="1" applyFill="1" applyBorder="1" applyAlignment="1">
      <alignment horizontal="center" vertical="center"/>
    </xf>
    <xf numFmtId="0" fontId="14" fillId="2" borderId="0" xfId="3" applyFont="1" applyFill="1" applyBorder="1" applyAlignment="1">
      <alignment horizontal="center" vertical="center" wrapText="1"/>
    </xf>
    <xf numFmtId="0" fontId="12" fillId="2" borderId="0" xfId="3" applyFont="1" applyFill="1" applyBorder="1" applyAlignment="1">
      <alignment horizontal="center" vertical="center" wrapText="1"/>
    </xf>
    <xf numFmtId="0" fontId="12" fillId="2" borderId="403" xfId="3" applyFont="1" applyFill="1" applyBorder="1" applyAlignment="1">
      <alignment horizontal="center" vertical="center" wrapText="1"/>
    </xf>
    <xf numFmtId="168" fontId="12" fillId="2" borderId="400" xfId="3" applyNumberFormat="1" applyFont="1" applyFill="1" applyBorder="1" applyAlignment="1">
      <alignment horizontal="center" vertical="center"/>
    </xf>
    <xf numFmtId="168" fontId="12" fillId="2" borderId="403" xfId="3" applyNumberFormat="1" applyFont="1" applyFill="1" applyBorder="1" applyAlignment="1">
      <alignment vertical="center"/>
    </xf>
    <xf numFmtId="168" fontId="12" fillId="2" borderId="400" xfId="3" applyNumberFormat="1" applyFont="1" applyFill="1" applyBorder="1" applyAlignment="1">
      <alignment vertical="center"/>
    </xf>
    <xf numFmtId="165" fontId="13" fillId="2" borderId="261" xfId="6" applyNumberFormat="1" applyFont="1" applyFill="1" applyBorder="1" applyProtection="1"/>
    <xf numFmtId="165" fontId="13" fillId="2" borderId="0" xfId="6" applyNumberFormat="1" applyFont="1" applyFill="1" applyBorder="1" applyProtection="1"/>
    <xf numFmtId="167" fontId="12" fillId="2" borderId="400" xfId="3" applyNumberFormat="1" applyFont="1" applyFill="1" applyBorder="1" applyAlignment="1">
      <alignment horizontal="center" vertical="center"/>
    </xf>
    <xf numFmtId="165" fontId="13" fillId="2" borderId="229" xfId="6" applyNumberFormat="1" applyFont="1" applyFill="1" applyBorder="1" applyProtection="1"/>
    <xf numFmtId="165" fontId="13" fillId="2" borderId="209" xfId="6" applyNumberFormat="1" applyFont="1" applyFill="1" applyBorder="1" applyProtection="1"/>
    <xf numFmtId="168" fontId="12" fillId="2" borderId="18" xfId="3" applyNumberFormat="1" applyFont="1" applyFill="1" applyBorder="1" applyAlignment="1">
      <alignment vertical="center"/>
    </xf>
    <xf numFmtId="0" fontId="12" fillId="2" borderId="18" xfId="3" applyFont="1" applyFill="1" applyBorder="1" applyAlignment="1">
      <alignment horizontal="center" vertical="center" wrapText="1"/>
    </xf>
    <xf numFmtId="167" fontId="14" fillId="2" borderId="400" xfId="0" applyNumberFormat="1" applyFont="1" applyFill="1" applyBorder="1" applyAlignment="1">
      <alignment horizontal="center" vertical="center"/>
    </xf>
    <xf numFmtId="0" fontId="12" fillId="2" borderId="0" xfId="3" applyFont="1" applyFill="1" applyBorder="1" applyAlignment="1">
      <alignment vertical="center"/>
    </xf>
    <xf numFmtId="0" fontId="12" fillId="20" borderId="0" xfId="3" applyFont="1" applyFill="1" applyBorder="1" applyAlignment="1">
      <alignment vertical="center"/>
    </xf>
    <xf numFmtId="0" fontId="12" fillId="2" borderId="18" xfId="3" applyFont="1" applyFill="1" applyBorder="1" applyAlignment="1">
      <alignment vertical="center"/>
    </xf>
    <xf numFmtId="168" fontId="12" fillId="21" borderId="400" xfId="3" applyNumberFormat="1" applyFont="1" applyFill="1" applyBorder="1" applyAlignment="1">
      <alignment horizontal="center" vertical="center"/>
    </xf>
    <xf numFmtId="168" fontId="12" fillId="21" borderId="18" xfId="3" applyNumberFormat="1" applyFont="1" applyFill="1" applyBorder="1" applyAlignment="1">
      <alignment vertical="center"/>
    </xf>
    <xf numFmtId="0" fontId="12" fillId="21" borderId="0" xfId="3" applyFont="1" applyFill="1" applyBorder="1" applyAlignment="1">
      <alignment vertical="center"/>
    </xf>
    <xf numFmtId="168" fontId="12" fillId="21" borderId="400" xfId="3" applyNumberFormat="1" applyFont="1" applyFill="1" applyBorder="1" applyAlignment="1">
      <alignment vertical="center"/>
    </xf>
    <xf numFmtId="0" fontId="12" fillId="21" borderId="0" xfId="0" applyFont="1" applyFill="1" applyBorder="1"/>
    <xf numFmtId="0" fontId="12" fillId="21" borderId="18" xfId="3" applyFont="1" applyFill="1" applyBorder="1" applyAlignment="1">
      <alignment vertical="center"/>
    </xf>
    <xf numFmtId="167" fontId="12" fillId="21" borderId="400" xfId="0" applyNumberFormat="1" applyFont="1" applyFill="1" applyBorder="1" applyAlignment="1">
      <alignment horizontal="center" vertical="center"/>
    </xf>
    <xf numFmtId="168" fontId="12" fillId="21" borderId="18" xfId="0" applyNumberFormat="1" applyFont="1" applyFill="1" applyBorder="1" applyAlignment="1">
      <alignment vertical="center"/>
    </xf>
    <xf numFmtId="168" fontId="12" fillId="21" borderId="400" xfId="0" applyNumberFormat="1" applyFont="1" applyFill="1" applyBorder="1" applyAlignment="1">
      <alignment vertical="center"/>
    </xf>
    <xf numFmtId="0" fontId="12" fillId="21" borderId="0" xfId="0" applyFont="1" applyFill="1" applyBorder="1" applyAlignment="1">
      <alignment vertical="center"/>
    </xf>
    <xf numFmtId="168" fontId="12" fillId="20" borderId="411" xfId="0" applyNumberFormat="1" applyFont="1" applyFill="1" applyBorder="1" applyAlignment="1">
      <alignment vertical="center"/>
    </xf>
    <xf numFmtId="168" fontId="12" fillId="20" borderId="400" xfId="0" applyNumberFormat="1" applyFont="1" applyFill="1" applyBorder="1" applyAlignment="1">
      <alignment vertical="center"/>
    </xf>
    <xf numFmtId="173" fontId="12" fillId="20" borderId="400" xfId="0" applyNumberFormat="1" applyFont="1" applyFill="1" applyBorder="1" applyAlignment="1">
      <alignment vertical="center"/>
    </xf>
    <xf numFmtId="168" fontId="12" fillId="2" borderId="400" xfId="0" applyNumberFormat="1" applyFont="1" applyFill="1" applyBorder="1" applyAlignment="1">
      <alignment horizontal="center" vertical="center"/>
    </xf>
    <xf numFmtId="173" fontId="12" fillId="2" borderId="400" xfId="0" applyNumberFormat="1" applyFont="1" applyFill="1" applyBorder="1" applyAlignment="1">
      <alignment vertical="center"/>
    </xf>
    <xf numFmtId="168" fontId="30" fillId="2" borderId="400" xfId="0" applyNumberFormat="1" applyFont="1" applyFill="1" applyBorder="1" applyAlignment="1">
      <alignment horizontal="center" vertical="center"/>
    </xf>
    <xf numFmtId="173" fontId="30" fillId="2" borderId="400" xfId="0" applyNumberFormat="1" applyFont="1" applyFill="1" applyBorder="1" applyAlignment="1">
      <alignment vertical="center"/>
    </xf>
    <xf numFmtId="173" fontId="30" fillId="20" borderId="400" xfId="0" applyNumberFormat="1" applyFont="1" applyFill="1" applyBorder="1" applyAlignment="1">
      <alignment vertical="center"/>
    </xf>
    <xf numFmtId="0" fontId="14" fillId="2" borderId="400" xfId="0" applyFont="1" applyFill="1" applyBorder="1" applyAlignment="1">
      <alignment horizontal="center" vertical="center"/>
    </xf>
    <xf numFmtId="172" fontId="14" fillId="2" borderId="400" xfId="0" applyNumberFormat="1" applyFont="1" applyFill="1" applyBorder="1" applyAlignment="1">
      <alignment horizontal="center" vertical="center"/>
    </xf>
    <xf numFmtId="173" fontId="14" fillId="2" borderId="400" xfId="0" applyNumberFormat="1" applyFont="1" applyFill="1" applyBorder="1" applyAlignment="1">
      <alignment horizontal="center" vertical="center"/>
    </xf>
    <xf numFmtId="173" fontId="12" fillId="2" borderId="400" xfId="0" applyNumberFormat="1" applyFont="1" applyFill="1" applyBorder="1" applyAlignment="1">
      <alignment horizontal="center" vertical="center"/>
    </xf>
    <xf numFmtId="168" fontId="14" fillId="2" borderId="400" xfId="0" applyNumberFormat="1" applyFont="1" applyFill="1" applyBorder="1" applyAlignment="1">
      <alignment horizontal="center" vertical="center"/>
    </xf>
    <xf numFmtId="168" fontId="12" fillId="20" borderId="400" xfId="0" applyNumberFormat="1" applyFont="1" applyFill="1" applyBorder="1" applyAlignment="1">
      <alignment horizontal="center"/>
    </xf>
    <xf numFmtId="172" fontId="12" fillId="2" borderId="400" xfId="0" applyNumberFormat="1" applyFont="1" applyFill="1" applyBorder="1" applyAlignment="1">
      <alignment horizontal="center" vertical="center"/>
    </xf>
    <xf numFmtId="172" fontId="12" fillId="20" borderId="400" xfId="0" applyNumberFormat="1" applyFont="1" applyFill="1" applyBorder="1" applyAlignment="1">
      <alignment horizontal="center"/>
    </xf>
    <xf numFmtId="172" fontId="12" fillId="0" borderId="400" xfId="0" applyNumberFormat="1" applyFont="1" applyBorder="1" applyAlignment="1">
      <alignment horizontal="center" vertical="center"/>
    </xf>
    <xf numFmtId="0" fontId="12" fillId="2" borderId="400" xfId="0" applyFont="1" applyFill="1" applyBorder="1" applyAlignment="1">
      <alignment horizontal="center" vertical="center"/>
    </xf>
    <xf numFmtId="0" fontId="12" fillId="20" borderId="417" xfId="0" applyFont="1" applyFill="1" applyBorder="1" applyAlignment="1">
      <alignment horizontal="center" vertical="center"/>
    </xf>
    <xf numFmtId="172" fontId="90" fillId="20" borderId="400" xfId="0" applyNumberFormat="1" applyFont="1" applyFill="1" applyBorder="1" applyAlignment="1" applyProtection="1">
      <alignment horizontal="center" vertical="center"/>
    </xf>
    <xf numFmtId="172" fontId="90" fillId="20" borderId="400" xfId="0" applyNumberFormat="1" applyFont="1" applyFill="1" applyBorder="1" applyAlignment="1">
      <alignment horizontal="center" vertical="center"/>
    </xf>
    <xf numFmtId="0" fontId="90" fillId="20" borderId="400" xfId="0" applyFont="1" applyFill="1" applyBorder="1" applyAlignment="1">
      <alignment horizontal="center" vertical="center"/>
    </xf>
    <xf numFmtId="172" fontId="91" fillId="20" borderId="400" xfId="0" applyNumberFormat="1" applyFont="1" applyFill="1" applyBorder="1" applyAlignment="1" applyProtection="1">
      <alignment horizontal="center" vertical="center"/>
    </xf>
    <xf numFmtId="0" fontId="90" fillId="20" borderId="400" xfId="16" applyFont="1" applyFill="1" applyBorder="1" applyAlignment="1">
      <alignment horizontal="center" vertical="center" wrapText="1"/>
    </xf>
    <xf numFmtId="172" fontId="91" fillId="20" borderId="400" xfId="16" applyNumberFormat="1" applyFont="1" applyFill="1" applyBorder="1" applyAlignment="1" applyProtection="1">
      <alignment horizontal="center" vertical="center"/>
    </xf>
    <xf numFmtId="172" fontId="90" fillId="20" borderId="400" xfId="16" applyNumberFormat="1" applyFont="1" applyFill="1" applyBorder="1" applyAlignment="1">
      <alignment horizontal="center" vertical="center"/>
    </xf>
    <xf numFmtId="172" fontId="90" fillId="20" borderId="400" xfId="16" applyNumberFormat="1" applyFont="1" applyFill="1" applyBorder="1" applyAlignment="1" applyProtection="1">
      <alignment horizontal="center" vertical="center"/>
    </xf>
    <xf numFmtId="0" fontId="90" fillId="20" borderId="400" xfId="17" applyFont="1" applyFill="1" applyBorder="1" applyAlignment="1">
      <alignment horizontal="center" vertical="center"/>
    </xf>
    <xf numFmtId="172" fontId="91" fillId="20" borderId="400" xfId="17" applyNumberFormat="1" applyFont="1" applyFill="1" applyBorder="1" applyAlignment="1" applyProtection="1">
      <alignment horizontal="center" vertical="center"/>
    </xf>
    <xf numFmtId="172" fontId="90" fillId="20" borderId="400" xfId="17" applyNumberFormat="1" applyFont="1" applyFill="1" applyBorder="1" applyAlignment="1">
      <alignment horizontal="center" vertical="center"/>
    </xf>
    <xf numFmtId="0" fontId="90" fillId="20" borderId="400" xfId="18" applyFont="1" applyFill="1" applyBorder="1" applyAlignment="1">
      <alignment horizontal="center" vertical="center"/>
    </xf>
    <xf numFmtId="172" fontId="91" fillId="20" borderId="400" xfId="18" applyNumberFormat="1" applyFont="1" applyFill="1" applyBorder="1" applyAlignment="1" applyProtection="1">
      <alignment horizontal="center" vertical="center"/>
    </xf>
    <xf numFmtId="172" fontId="90" fillId="20" borderId="400" xfId="18" applyNumberFormat="1" applyFont="1" applyFill="1" applyBorder="1" applyAlignment="1">
      <alignment horizontal="center" vertical="center"/>
    </xf>
    <xf numFmtId="172" fontId="90" fillId="20" borderId="400" xfId="18" applyNumberFormat="1" applyFont="1" applyFill="1" applyBorder="1" applyAlignment="1" applyProtection="1">
      <alignment horizontal="center" vertical="center"/>
    </xf>
    <xf numFmtId="0" fontId="90" fillId="20" borderId="400" xfId="16" applyFont="1" applyFill="1" applyBorder="1" applyAlignment="1">
      <alignment horizontal="center" vertical="center"/>
    </xf>
    <xf numFmtId="0" fontId="93" fillId="20" borderId="400" xfId="19" applyFont="1" applyFill="1" applyBorder="1" applyAlignment="1">
      <alignment horizontal="center" vertical="center"/>
    </xf>
    <xf numFmtId="172" fontId="91" fillId="20" borderId="400" xfId="19" applyNumberFormat="1" applyFont="1" applyFill="1" applyBorder="1" applyAlignment="1">
      <alignment horizontal="center" vertical="center"/>
    </xf>
    <xf numFmtId="172" fontId="93" fillId="20" borderId="400" xfId="19" applyNumberFormat="1" applyFont="1" applyFill="1" applyBorder="1" applyAlignment="1">
      <alignment horizontal="center" vertical="center"/>
    </xf>
    <xf numFmtId="172" fontId="90" fillId="20" borderId="400" xfId="19" applyNumberFormat="1" applyFont="1" applyFill="1" applyBorder="1" applyAlignment="1">
      <alignment horizontal="center" vertical="center"/>
    </xf>
    <xf numFmtId="0" fontId="90" fillId="20" borderId="400" xfId="19" applyFont="1" applyFill="1" applyBorder="1" applyAlignment="1">
      <alignment horizontal="center" vertical="center"/>
    </xf>
    <xf numFmtId="0" fontId="90" fillId="20" borderId="400" xfId="20" applyFont="1" applyFill="1" applyBorder="1" applyAlignment="1">
      <alignment horizontal="center" vertical="center"/>
    </xf>
    <xf numFmtId="172" fontId="91" fillId="20" borderId="400" xfId="20" applyNumberFormat="1" applyFont="1" applyFill="1" applyBorder="1" applyAlignment="1">
      <alignment horizontal="center" vertical="center"/>
    </xf>
    <xf numFmtId="172" fontId="90" fillId="20" borderId="400" xfId="20" applyNumberFormat="1" applyFont="1" applyFill="1" applyBorder="1" applyAlignment="1">
      <alignment horizontal="center" vertical="center"/>
    </xf>
    <xf numFmtId="0" fontId="90" fillId="20" borderId="400" xfId="19" applyFont="1" applyFill="1" applyBorder="1" applyAlignment="1">
      <alignment horizontal="center"/>
    </xf>
    <xf numFmtId="0" fontId="90" fillId="20" borderId="400" xfId="21" applyFont="1" applyFill="1" applyBorder="1" applyAlignment="1">
      <alignment horizontal="center" vertical="center"/>
    </xf>
    <xf numFmtId="172" fontId="95" fillId="20" borderId="400" xfId="21" applyNumberFormat="1" applyFont="1" applyFill="1" applyBorder="1" applyAlignment="1" applyProtection="1">
      <alignment horizontal="center" vertical="center"/>
    </xf>
    <xf numFmtId="172" fontId="90" fillId="20" borderId="400" xfId="21" applyNumberFormat="1" applyFont="1" applyFill="1" applyBorder="1" applyAlignment="1">
      <alignment horizontal="center" vertical="center"/>
    </xf>
    <xf numFmtId="172" fontId="91" fillId="20" borderId="400" xfId="21" applyNumberFormat="1" applyFont="1" applyFill="1" applyBorder="1" applyAlignment="1">
      <alignment horizontal="center" vertical="center"/>
    </xf>
    <xf numFmtId="0" fontId="90" fillId="20" borderId="400" xfId="21" applyFont="1" applyFill="1" applyBorder="1" applyAlignment="1">
      <alignment horizontal="center"/>
    </xf>
    <xf numFmtId="165" fontId="90" fillId="20" borderId="400" xfId="0" applyNumberFormat="1" applyFont="1" applyFill="1" applyBorder="1" applyAlignment="1" applyProtection="1">
      <alignment horizontal="center" vertical="center"/>
      <protection locked="0"/>
    </xf>
    <xf numFmtId="172" fontId="91" fillId="20" borderId="400" xfId="0" applyNumberFormat="1" applyFont="1" applyFill="1" applyBorder="1" applyAlignment="1" applyProtection="1">
      <alignment horizontal="center" vertical="center"/>
      <protection locked="0"/>
    </xf>
    <xf numFmtId="172" fontId="90" fillId="20" borderId="400" xfId="0" applyNumberFormat="1" applyFont="1" applyFill="1" applyBorder="1" applyAlignment="1" applyProtection="1">
      <alignment horizontal="center" vertical="center"/>
      <protection locked="0"/>
    </xf>
    <xf numFmtId="165" fontId="90" fillId="20" borderId="400" xfId="0" applyNumberFormat="1" applyFont="1" applyFill="1" applyBorder="1" applyAlignment="1">
      <alignment horizontal="center" vertical="center"/>
    </xf>
    <xf numFmtId="172" fontId="95" fillId="20" borderId="400" xfId="0" applyNumberFormat="1" applyFont="1" applyFill="1" applyBorder="1" applyAlignment="1" applyProtection="1">
      <alignment horizontal="center" vertical="center"/>
    </xf>
    <xf numFmtId="172" fontId="92" fillId="20" borderId="400" xfId="0" applyNumberFormat="1" applyFont="1" applyFill="1" applyBorder="1" applyAlignment="1" applyProtection="1">
      <alignment horizontal="center" vertical="center"/>
    </xf>
    <xf numFmtId="0" fontId="7" fillId="20" borderId="400" xfId="0" applyFont="1" applyFill="1" applyBorder="1" applyAlignment="1">
      <alignment horizontal="center"/>
    </xf>
    <xf numFmtId="172" fontId="8" fillId="20" borderId="400" xfId="1" applyNumberFormat="1" applyFont="1" applyFill="1" applyBorder="1" applyAlignment="1">
      <alignment horizontal="center" vertical="center"/>
    </xf>
    <xf numFmtId="172" fontId="7" fillId="20" borderId="400" xfId="1" applyNumberFormat="1" applyFont="1" applyFill="1" applyBorder="1" applyAlignment="1">
      <alignment horizontal="center" vertical="center"/>
    </xf>
    <xf numFmtId="172" fontId="0" fillId="20" borderId="400" xfId="0" applyNumberFormat="1" applyFill="1" applyBorder="1" applyAlignment="1">
      <alignment horizontal="center" vertical="center"/>
    </xf>
    <xf numFmtId="168" fontId="7" fillId="20" borderId="400" xfId="0" applyNumberFormat="1" applyFont="1" applyFill="1" applyBorder="1" applyAlignment="1">
      <alignment horizontal="center" vertical="center"/>
    </xf>
    <xf numFmtId="0" fontId="7" fillId="20" borderId="400" xfId="0" applyFont="1" applyFill="1" applyBorder="1" applyAlignment="1">
      <alignment horizontal="center" vertical="center"/>
    </xf>
    <xf numFmtId="2" fontId="12" fillId="20" borderId="400" xfId="33" applyNumberFormat="1" applyFont="1" applyFill="1" applyBorder="1" applyAlignment="1">
      <alignment horizontal="center"/>
    </xf>
    <xf numFmtId="2" fontId="14" fillId="20" borderId="395" xfId="33" applyNumberFormat="1" applyFont="1" applyFill="1" applyBorder="1" applyAlignment="1">
      <alignment horizontal="center" vertical="center"/>
    </xf>
    <xf numFmtId="0" fontId="7" fillId="20" borderId="396" xfId="0" applyFont="1" applyFill="1" applyBorder="1" applyAlignment="1">
      <alignment vertical="center"/>
    </xf>
    <xf numFmtId="0" fontId="8" fillId="20" borderId="0" xfId="0" applyFont="1" applyFill="1" applyBorder="1" applyAlignment="1">
      <alignment horizontal="center" vertical="center"/>
    </xf>
    <xf numFmtId="0" fontId="8" fillId="20" borderId="396" xfId="0" applyFont="1" applyFill="1" applyBorder="1" applyAlignment="1">
      <alignment vertical="center"/>
    </xf>
    <xf numFmtId="0" fontId="8" fillId="20" borderId="286" xfId="0" applyFont="1" applyFill="1" applyBorder="1"/>
    <xf numFmtId="0" fontId="7" fillId="20" borderId="18" xfId="0" applyFont="1" applyFill="1" applyBorder="1"/>
    <xf numFmtId="0" fontId="8" fillId="20" borderId="18" xfId="0" applyFont="1" applyFill="1" applyBorder="1"/>
    <xf numFmtId="0" fontId="7" fillId="20" borderId="413" xfId="0" applyFont="1" applyFill="1" applyBorder="1"/>
    <xf numFmtId="176" fontId="7" fillId="20" borderId="414" xfId="1" applyNumberFormat="1" applyFont="1" applyFill="1" applyBorder="1" applyAlignment="1">
      <alignment horizontal="center" vertical="center"/>
    </xf>
    <xf numFmtId="168" fontId="8" fillId="20" borderId="18" xfId="0" applyNumberFormat="1" applyFont="1" applyFill="1" applyBorder="1"/>
    <xf numFmtId="168" fontId="7" fillId="20" borderId="18" xfId="0" applyNumberFormat="1" applyFont="1" applyFill="1" applyBorder="1"/>
    <xf numFmtId="168" fontId="7" fillId="20" borderId="413" xfId="0" applyNumberFormat="1" applyFont="1" applyFill="1" applyBorder="1"/>
    <xf numFmtId="176" fontId="7" fillId="20" borderId="414" xfId="24" applyNumberFormat="1" applyFont="1" applyFill="1" applyBorder="1" applyAlignment="1">
      <alignment horizontal="center" vertical="center"/>
    </xf>
    <xf numFmtId="0" fontId="131" fillId="20" borderId="414" xfId="27" applyFont="1" applyFill="1" applyBorder="1" applyAlignment="1">
      <alignment horizontal="center" vertical="center" wrapText="1"/>
    </xf>
    <xf numFmtId="168" fontId="85" fillId="20" borderId="157" xfId="27" applyNumberFormat="1" applyFont="1" applyFill="1" applyBorder="1"/>
    <xf numFmtId="168" fontId="54" fillId="20" borderId="414" xfId="27" applyNumberFormat="1" applyFont="1" applyFill="1" applyBorder="1"/>
    <xf numFmtId="0" fontId="54" fillId="20" borderId="414" xfId="27" applyFont="1" applyFill="1" applyBorder="1"/>
    <xf numFmtId="168" fontId="85" fillId="20" borderId="414" xfId="27" applyNumberFormat="1" applyFont="1" applyFill="1" applyBorder="1" applyAlignment="1">
      <alignment horizontal="right"/>
    </xf>
    <xf numFmtId="168" fontId="85" fillId="20" borderId="18" xfId="27" applyNumberFormat="1" applyFont="1" applyFill="1" applyBorder="1"/>
    <xf numFmtId="0" fontId="54" fillId="20" borderId="18" xfId="27" applyFont="1" applyFill="1" applyBorder="1"/>
    <xf numFmtId="168" fontId="54" fillId="20" borderId="18" xfId="27" applyNumberFormat="1" applyFont="1" applyFill="1" applyBorder="1"/>
    <xf numFmtId="0" fontId="54" fillId="20" borderId="413" xfId="27" applyFont="1" applyFill="1" applyBorder="1"/>
    <xf numFmtId="0" fontId="85" fillId="20" borderId="396" xfId="27" applyFont="1" applyFill="1" applyBorder="1" applyAlignment="1">
      <alignment horizontal="center" vertical="center"/>
    </xf>
    <xf numFmtId="168" fontId="126" fillId="20" borderId="18" xfId="27" applyNumberFormat="1" applyFont="1" applyFill="1" applyBorder="1"/>
    <xf numFmtId="0" fontId="126" fillId="20" borderId="286" xfId="27" applyFont="1" applyFill="1" applyBorder="1"/>
    <xf numFmtId="168" fontId="54" fillId="20" borderId="396" xfId="27" applyNumberFormat="1" applyFont="1" applyFill="1" applyBorder="1" applyAlignment="1">
      <alignment vertical="center"/>
    </xf>
    <xf numFmtId="168" fontId="85" fillId="20" borderId="413" xfId="27" applyNumberFormat="1" applyFont="1" applyFill="1" applyBorder="1"/>
    <xf numFmtId="0" fontId="21" fillId="20" borderId="18" xfId="27" applyFont="1" applyFill="1" applyBorder="1" applyAlignment="1">
      <alignment horizontal="center"/>
    </xf>
    <xf numFmtId="172" fontId="14" fillId="20" borderId="414" xfId="30" applyNumberFormat="1" applyFont="1" applyFill="1" applyBorder="1"/>
    <xf numFmtId="168" fontId="14" fillId="20" borderId="400" xfId="30" applyNumberFormat="1" applyFont="1" applyFill="1" applyBorder="1"/>
    <xf numFmtId="168" fontId="12" fillId="20" borderId="400" xfId="30" applyNumberFormat="1" applyFont="1" applyFill="1" applyBorder="1"/>
    <xf numFmtId="168" fontId="14" fillId="20" borderId="415" xfId="30" applyNumberFormat="1" applyFont="1" applyFill="1" applyBorder="1"/>
    <xf numFmtId="168" fontId="137" fillId="20" borderId="400" xfId="30" applyNumberFormat="1" applyFont="1" applyFill="1" applyBorder="1"/>
    <xf numFmtId="172" fontId="84" fillId="20" borderId="0" xfId="38" applyNumberFormat="1" applyFont="1" applyFill="1"/>
    <xf numFmtId="172" fontId="76" fillId="20" borderId="0" xfId="40" applyNumberFormat="1" applyFont="1" applyFill="1"/>
    <xf numFmtId="172" fontId="76" fillId="20" borderId="0" xfId="38" applyNumberFormat="1" applyFont="1" applyFill="1"/>
    <xf numFmtId="172" fontId="84" fillId="20" borderId="414" xfId="38" applyNumberFormat="1" applyFont="1" applyFill="1" applyBorder="1"/>
    <xf numFmtId="0" fontId="14" fillId="20" borderId="400" xfId="27" applyFont="1" applyFill="1" applyBorder="1"/>
    <xf numFmtId="168" fontId="12" fillId="20" borderId="18" xfId="27" applyNumberFormat="1" applyFont="1" applyFill="1" applyBorder="1"/>
    <xf numFmtId="0" fontId="14" fillId="2" borderId="394" xfId="13" applyFont="1" applyFill="1" applyBorder="1" applyAlignment="1">
      <alignment horizontal="center"/>
    </xf>
    <xf numFmtId="164" fontId="12" fillId="2" borderId="398" xfId="14" applyNumberFormat="1" applyFont="1" applyFill="1" applyBorder="1"/>
    <xf numFmtId="0" fontId="14" fillId="2" borderId="14" xfId="13" applyFont="1" applyFill="1" applyBorder="1"/>
    <xf numFmtId="0" fontId="14" fillId="2" borderId="416" xfId="13" applyFont="1" applyFill="1" applyBorder="1" applyAlignment="1">
      <alignment horizontal="right"/>
    </xf>
    <xf numFmtId="0" fontId="12" fillId="20" borderId="415" xfId="30" applyFont="1" applyFill="1" applyBorder="1"/>
    <xf numFmtId="0" fontId="12" fillId="20" borderId="395" xfId="30" applyFont="1" applyFill="1" applyBorder="1"/>
    <xf numFmtId="2" fontId="3" fillId="20" borderId="0" xfId="27" applyNumberFormat="1" applyFill="1"/>
    <xf numFmtId="49" fontId="64" fillId="20" borderId="400" xfId="0" applyNumberFormat="1" applyFont="1" applyFill="1" applyBorder="1" applyAlignment="1">
      <alignment horizontal="center" vertical="center"/>
    </xf>
    <xf numFmtId="0" fontId="0" fillId="20" borderId="0" xfId="0" applyFill="1"/>
    <xf numFmtId="0" fontId="12" fillId="20" borderId="417" xfId="30" applyFont="1" applyFill="1" applyBorder="1"/>
    <xf numFmtId="2" fontId="12" fillId="20" borderId="420" xfId="30" applyNumberFormat="1" applyFont="1" applyFill="1" applyBorder="1"/>
    <xf numFmtId="2" fontId="12" fillId="20" borderId="417" xfId="30" applyNumberFormat="1" applyFont="1" applyFill="1" applyBorder="1"/>
    <xf numFmtId="0" fontId="27" fillId="20" borderId="400" xfId="30" applyFont="1" applyFill="1" applyBorder="1" applyAlignment="1">
      <alignment horizontal="center"/>
    </xf>
    <xf numFmtId="0" fontId="149" fillId="20" borderId="400" xfId="30" applyFont="1" applyFill="1" applyBorder="1" applyAlignment="1">
      <alignment horizontal="center"/>
    </xf>
    <xf numFmtId="181" fontId="132" fillId="20" borderId="14" xfId="1" applyNumberFormat="1" applyFont="1" applyFill="1" applyBorder="1" applyAlignment="1">
      <alignment vertical="center"/>
    </xf>
    <xf numFmtId="181" fontId="133" fillId="20" borderId="417" xfId="1" applyNumberFormat="1" applyFont="1" applyFill="1" applyBorder="1" applyAlignment="1">
      <alignment vertical="center"/>
    </xf>
    <xf numFmtId="0" fontId="133" fillId="20" borderId="417" xfId="37" applyFont="1" applyFill="1" applyBorder="1"/>
    <xf numFmtId="181" fontId="132" fillId="20" borderId="417" xfId="1" applyNumberFormat="1" applyFont="1" applyFill="1" applyBorder="1" applyAlignment="1">
      <alignment horizontal="center" vertical="center"/>
    </xf>
    <xf numFmtId="181" fontId="133" fillId="20" borderId="417" xfId="1" applyNumberFormat="1" applyFont="1" applyFill="1" applyBorder="1" applyAlignment="1">
      <alignment horizontal="center" vertical="center"/>
    </xf>
    <xf numFmtId="181" fontId="132" fillId="20" borderId="417" xfId="1" applyNumberFormat="1" applyFont="1" applyFill="1" applyBorder="1" applyAlignment="1">
      <alignment vertical="center"/>
    </xf>
    <xf numFmtId="181" fontId="133" fillId="20" borderId="416" xfId="1" applyNumberFormat="1" applyFont="1" applyFill="1" applyBorder="1" applyAlignment="1">
      <alignment horizontal="right" vertical="center"/>
    </xf>
    <xf numFmtId="0" fontId="133" fillId="0" borderId="417" xfId="37" applyFont="1" applyBorder="1"/>
    <xf numFmtId="0" fontId="82" fillId="20" borderId="414" xfId="38" applyFont="1" applyFill="1" applyBorder="1" applyAlignment="1"/>
    <xf numFmtId="0" fontId="14" fillId="20" borderId="411" xfId="33" applyFont="1" applyFill="1" applyBorder="1" applyAlignment="1">
      <alignment horizontal="center"/>
    </xf>
    <xf numFmtId="0" fontId="12" fillId="0" borderId="0" xfId="0" applyFont="1"/>
    <xf numFmtId="0" fontId="0" fillId="20" borderId="0" xfId="0" applyFill="1"/>
    <xf numFmtId="0" fontId="12" fillId="20" borderId="418" xfId="0" applyFont="1" applyFill="1" applyBorder="1" applyAlignment="1">
      <alignment horizontal="center" vertical="center"/>
    </xf>
    <xf numFmtId="172" fontId="14" fillId="20" borderId="418" xfId="0" applyNumberFormat="1" applyFont="1" applyFill="1" applyBorder="1" applyAlignment="1">
      <alignment horizontal="center" vertical="center"/>
    </xf>
    <xf numFmtId="172" fontId="12" fillId="20" borderId="418" xfId="0" applyNumberFormat="1" applyFont="1" applyFill="1" applyBorder="1" applyAlignment="1">
      <alignment horizontal="center" vertical="center"/>
    </xf>
    <xf numFmtId="172" fontId="12" fillId="20" borderId="418" xfId="0" applyNumberFormat="1" applyFont="1" applyFill="1" applyBorder="1" applyAlignment="1">
      <alignment horizontal="center"/>
    </xf>
    <xf numFmtId="0" fontId="90" fillId="20" borderId="418" xfId="0" applyFont="1" applyFill="1" applyBorder="1" applyAlignment="1">
      <alignment horizontal="center" vertical="center"/>
    </xf>
    <xf numFmtId="172" fontId="91" fillId="20" borderId="418" xfId="0" applyNumberFormat="1" applyFont="1" applyFill="1" applyBorder="1" applyAlignment="1" applyProtection="1">
      <alignment horizontal="center" vertical="center"/>
    </xf>
    <xf numFmtId="172" fontId="90" fillId="20" borderId="418" xfId="0" applyNumberFormat="1" applyFont="1" applyFill="1" applyBorder="1" applyAlignment="1" applyProtection="1">
      <alignment horizontal="center" vertical="center"/>
    </xf>
    <xf numFmtId="172" fontId="90" fillId="20" borderId="418" xfId="0" applyNumberFormat="1" applyFont="1" applyFill="1" applyBorder="1" applyAlignment="1">
      <alignment horizontal="center" vertical="center"/>
    </xf>
    <xf numFmtId="0" fontId="91" fillId="20" borderId="400" xfId="0" applyFont="1" applyFill="1" applyBorder="1" applyAlignment="1">
      <alignment horizontal="center" vertical="center"/>
    </xf>
    <xf numFmtId="0" fontId="90" fillId="20" borderId="417" xfId="0" applyFont="1" applyFill="1" applyBorder="1" applyAlignment="1">
      <alignment horizontal="center" vertical="center"/>
    </xf>
    <xf numFmtId="172" fontId="91" fillId="20" borderId="417" xfId="0" applyNumberFormat="1" applyFont="1" applyFill="1" applyBorder="1" applyAlignment="1" applyProtection="1">
      <alignment horizontal="center" vertical="center"/>
    </xf>
    <xf numFmtId="172" fontId="90" fillId="20" borderId="417" xfId="0" applyNumberFormat="1" applyFont="1" applyFill="1" applyBorder="1" applyAlignment="1" applyProtection="1">
      <alignment horizontal="center" vertical="center"/>
    </xf>
    <xf numFmtId="172" fontId="90" fillId="20" borderId="417" xfId="0" applyNumberFormat="1" applyFont="1" applyFill="1" applyBorder="1" applyAlignment="1">
      <alignment horizontal="center" vertical="center"/>
    </xf>
    <xf numFmtId="0" fontId="91" fillId="20" borderId="400" xfId="16" applyFont="1" applyFill="1" applyBorder="1" applyAlignment="1">
      <alignment horizontal="center" vertical="center" wrapText="1"/>
    </xf>
    <xf numFmtId="0" fontId="90" fillId="20" borderId="418" xfId="16" applyFont="1" applyFill="1" applyBorder="1" applyAlignment="1">
      <alignment horizontal="center" vertical="center" wrapText="1"/>
    </xf>
    <xf numFmtId="172" fontId="91" fillId="20" borderId="418" xfId="16" applyNumberFormat="1" applyFont="1" applyFill="1" applyBorder="1" applyAlignment="1" applyProtection="1">
      <alignment horizontal="center" vertical="center"/>
    </xf>
    <xf numFmtId="172" fontId="90" fillId="20" borderId="418" xfId="16" applyNumberFormat="1" applyFont="1" applyFill="1" applyBorder="1" applyAlignment="1">
      <alignment horizontal="center" vertical="center"/>
    </xf>
    <xf numFmtId="172" fontId="90" fillId="20" borderId="418" xfId="16" applyNumberFormat="1" applyFont="1" applyFill="1" applyBorder="1" applyAlignment="1" applyProtection="1">
      <alignment horizontal="center" vertical="center"/>
    </xf>
    <xf numFmtId="0" fontId="91" fillId="20" borderId="400" xfId="17" applyFont="1" applyFill="1" applyBorder="1" applyAlignment="1">
      <alignment horizontal="center" vertical="center"/>
    </xf>
    <xf numFmtId="0" fontId="90" fillId="20" borderId="418" xfId="17" applyFont="1" applyFill="1" applyBorder="1" applyAlignment="1">
      <alignment horizontal="center" vertical="center"/>
    </xf>
    <xf numFmtId="172" fontId="91" fillId="20" borderId="418" xfId="17" applyNumberFormat="1" applyFont="1" applyFill="1" applyBorder="1" applyAlignment="1" applyProtection="1">
      <alignment horizontal="center" vertical="center"/>
    </xf>
    <xf numFmtId="172" fontId="90" fillId="20" borderId="418" xfId="17" applyNumberFormat="1" applyFont="1" applyFill="1" applyBorder="1" applyAlignment="1">
      <alignment horizontal="center" vertical="center"/>
    </xf>
    <xf numFmtId="0" fontId="90" fillId="20" borderId="418" xfId="18" applyFont="1" applyFill="1" applyBorder="1" applyAlignment="1">
      <alignment horizontal="center" vertical="center"/>
    </xf>
    <xf numFmtId="172" fontId="91" fillId="20" borderId="418" xfId="18" applyNumberFormat="1" applyFont="1" applyFill="1" applyBorder="1" applyAlignment="1" applyProtection="1">
      <alignment horizontal="center" vertical="center"/>
    </xf>
    <xf numFmtId="172" fontId="90" fillId="20" borderId="418" xfId="18" applyNumberFormat="1" applyFont="1" applyFill="1" applyBorder="1" applyAlignment="1">
      <alignment horizontal="center" vertical="center"/>
    </xf>
    <xf numFmtId="172" fontId="90" fillId="20" borderId="418" xfId="18" applyNumberFormat="1" applyFont="1" applyFill="1" applyBorder="1" applyAlignment="1" applyProtection="1">
      <alignment horizontal="center" vertical="center"/>
    </xf>
    <xf numFmtId="0" fontId="91" fillId="20" borderId="400" xfId="18" applyFont="1" applyFill="1" applyBorder="1" applyAlignment="1">
      <alignment horizontal="center" vertical="center"/>
    </xf>
    <xf numFmtId="0" fontId="91" fillId="20" borderId="400" xfId="16" applyFont="1" applyFill="1" applyBorder="1" applyAlignment="1">
      <alignment horizontal="center" vertical="center"/>
    </xf>
    <xf numFmtId="0" fontId="90" fillId="20" borderId="418" xfId="16" applyFont="1" applyFill="1" applyBorder="1" applyAlignment="1">
      <alignment horizontal="center" vertical="center"/>
    </xf>
    <xf numFmtId="172" fontId="91" fillId="20" borderId="0" xfId="19" applyNumberFormat="1" applyFont="1" applyFill="1" applyBorder="1" applyAlignment="1">
      <alignment horizontal="center" vertical="center"/>
    </xf>
    <xf numFmtId="0" fontId="93" fillId="20" borderId="418" xfId="19" applyFont="1" applyFill="1" applyBorder="1" applyAlignment="1">
      <alignment horizontal="center" vertical="center"/>
    </xf>
    <xf numFmtId="172" fontId="91" fillId="20" borderId="418" xfId="19" applyNumberFormat="1" applyFont="1" applyFill="1" applyBorder="1" applyAlignment="1">
      <alignment horizontal="center" vertical="center"/>
    </xf>
    <xf numFmtId="172" fontId="93" fillId="20" borderId="418" xfId="19" applyNumberFormat="1" applyFont="1" applyFill="1" applyBorder="1" applyAlignment="1">
      <alignment horizontal="center" vertical="center"/>
    </xf>
    <xf numFmtId="172" fontId="90" fillId="20" borderId="418" xfId="19" applyNumberFormat="1" applyFont="1" applyFill="1" applyBorder="1" applyAlignment="1">
      <alignment horizontal="center" vertical="center"/>
    </xf>
    <xf numFmtId="0" fontId="83" fillId="20" borderId="400" xfId="19" applyFont="1" applyFill="1" applyBorder="1" applyAlignment="1">
      <alignment horizontal="center" vertical="center"/>
    </xf>
    <xf numFmtId="0" fontId="90" fillId="20" borderId="417" xfId="19" applyFont="1" applyFill="1" applyBorder="1" applyAlignment="1">
      <alignment horizontal="center" vertical="center"/>
    </xf>
    <xf numFmtId="172" fontId="90" fillId="20" borderId="403" xfId="19" applyNumberFormat="1" applyFont="1" applyFill="1" applyBorder="1" applyAlignment="1">
      <alignment horizontal="center" vertical="center"/>
    </xf>
    <xf numFmtId="0" fontId="91" fillId="20" borderId="400" xfId="19" applyFont="1" applyFill="1" applyBorder="1" applyAlignment="1">
      <alignment horizontal="center" vertical="center"/>
    </xf>
    <xf numFmtId="0" fontId="90" fillId="20" borderId="418" xfId="19" applyFont="1" applyFill="1" applyBorder="1" applyAlignment="1">
      <alignment horizontal="center" vertical="center"/>
    </xf>
    <xf numFmtId="0" fontId="91" fillId="20" borderId="400" xfId="20" applyFont="1" applyFill="1" applyBorder="1" applyAlignment="1">
      <alignment horizontal="center" vertical="center"/>
    </xf>
    <xf numFmtId="0" fontId="90" fillId="20" borderId="418" xfId="20" applyFont="1" applyFill="1" applyBorder="1" applyAlignment="1">
      <alignment horizontal="center" vertical="center"/>
    </xf>
    <xf numFmtId="172" fontId="91" fillId="20" borderId="418" xfId="20" applyNumberFormat="1" applyFont="1" applyFill="1" applyBorder="1" applyAlignment="1">
      <alignment horizontal="center" vertical="center"/>
    </xf>
    <xf numFmtId="172" fontId="90" fillId="20" borderId="418" xfId="20" applyNumberFormat="1" applyFont="1" applyFill="1" applyBorder="1" applyAlignment="1">
      <alignment horizontal="center" vertical="center"/>
    </xf>
    <xf numFmtId="0" fontId="91" fillId="20" borderId="400" xfId="19" applyFont="1" applyFill="1" applyBorder="1" applyAlignment="1">
      <alignment horizontal="center"/>
    </xf>
    <xf numFmtId="0" fontId="90" fillId="20" borderId="418" xfId="19" applyFont="1" applyFill="1" applyBorder="1" applyAlignment="1">
      <alignment horizontal="center"/>
    </xf>
    <xf numFmtId="172" fontId="95" fillId="20" borderId="0" xfId="21" applyNumberFormat="1" applyFont="1" applyFill="1" applyBorder="1" applyAlignment="1" applyProtection="1">
      <alignment horizontal="center" vertical="center"/>
    </xf>
    <xf numFmtId="0" fontId="91" fillId="20" borderId="400" xfId="21" applyFont="1" applyFill="1" applyBorder="1" applyAlignment="1">
      <alignment horizontal="center" vertical="center"/>
    </xf>
    <xf numFmtId="0" fontId="90" fillId="20" borderId="418" xfId="21" applyFont="1" applyFill="1" applyBorder="1" applyAlignment="1">
      <alignment horizontal="center" vertical="center"/>
    </xf>
    <xf numFmtId="172" fontId="90" fillId="20" borderId="418" xfId="21" applyNumberFormat="1" applyFont="1" applyFill="1" applyBorder="1" applyAlignment="1">
      <alignment horizontal="center" vertical="center"/>
    </xf>
    <xf numFmtId="172" fontId="91" fillId="20" borderId="418" xfId="21" applyNumberFormat="1" applyFont="1" applyFill="1" applyBorder="1" applyAlignment="1">
      <alignment horizontal="center" vertical="center"/>
    </xf>
    <xf numFmtId="0" fontId="91" fillId="20" borderId="400" xfId="21" applyFont="1" applyFill="1" applyBorder="1" applyAlignment="1">
      <alignment horizontal="center"/>
    </xf>
    <xf numFmtId="1" fontId="91" fillId="20" borderId="400" xfId="0" applyNumberFormat="1" applyFont="1" applyFill="1" applyBorder="1" applyAlignment="1" applyProtection="1">
      <alignment horizontal="center" vertical="center"/>
      <protection locked="0"/>
    </xf>
    <xf numFmtId="165" fontId="90" fillId="20" borderId="418" xfId="0" applyNumberFormat="1" applyFont="1" applyFill="1" applyBorder="1" applyAlignment="1" applyProtection="1">
      <alignment horizontal="center" vertical="center"/>
      <protection locked="0"/>
    </xf>
    <xf numFmtId="172" fontId="91" fillId="20" borderId="418" xfId="0" applyNumberFormat="1" applyFont="1" applyFill="1" applyBorder="1" applyAlignment="1" applyProtection="1">
      <alignment horizontal="center" vertical="center"/>
      <protection locked="0"/>
    </xf>
    <xf numFmtId="172" fontId="90" fillId="20" borderId="418" xfId="0" applyNumberFormat="1" applyFont="1" applyFill="1" applyBorder="1" applyAlignment="1" applyProtection="1">
      <alignment horizontal="center" vertical="center"/>
      <protection locked="0"/>
    </xf>
    <xf numFmtId="1" fontId="91" fillId="20" borderId="400" xfId="0" applyNumberFormat="1" applyFont="1" applyFill="1" applyBorder="1" applyAlignment="1">
      <alignment horizontal="center" vertical="center"/>
    </xf>
    <xf numFmtId="165" fontId="90" fillId="20" borderId="418" xfId="0" applyNumberFormat="1" applyFont="1" applyFill="1" applyBorder="1" applyAlignment="1">
      <alignment horizontal="center" vertical="center"/>
    </xf>
    <xf numFmtId="172" fontId="95" fillId="20" borderId="418" xfId="0" applyNumberFormat="1" applyFont="1" applyFill="1" applyBorder="1" applyAlignment="1" applyProtection="1">
      <alignment horizontal="center" vertical="center"/>
    </xf>
    <xf numFmtId="172" fontId="92" fillId="20" borderId="418" xfId="0" applyNumberFormat="1" applyFont="1" applyFill="1" applyBorder="1" applyAlignment="1" applyProtection="1">
      <alignment horizontal="center" vertical="center"/>
    </xf>
    <xf numFmtId="0" fontId="90" fillId="20" borderId="157" xfId="21" applyFont="1" applyFill="1" applyBorder="1" applyAlignment="1">
      <alignment horizontal="center"/>
    </xf>
    <xf numFmtId="0" fontId="91" fillId="20" borderId="157" xfId="21" applyFont="1" applyFill="1" applyBorder="1" applyAlignment="1">
      <alignment horizontal="center"/>
    </xf>
    <xf numFmtId="0" fontId="8" fillId="20" borderId="400" xfId="0" applyFont="1" applyFill="1" applyBorder="1" applyAlignment="1">
      <alignment horizontal="center"/>
    </xf>
    <xf numFmtId="0" fontId="7" fillId="20" borderId="418" xfId="0" applyFont="1" applyFill="1" applyBorder="1" applyAlignment="1">
      <alignment horizontal="center"/>
    </xf>
    <xf numFmtId="172" fontId="8" fillId="20" borderId="418" xfId="1" applyNumberFormat="1" applyFont="1" applyFill="1" applyBorder="1" applyAlignment="1">
      <alignment horizontal="center" vertical="center"/>
    </xf>
    <xf numFmtId="172" fontId="7" fillId="20" borderId="418" xfId="1" applyNumberFormat="1" applyFont="1" applyFill="1" applyBorder="1" applyAlignment="1">
      <alignment horizontal="center" vertical="center"/>
    </xf>
    <xf numFmtId="172" fontId="0" fillId="20" borderId="418" xfId="0" applyNumberFormat="1" applyFill="1" applyBorder="1" applyAlignment="1">
      <alignment horizontal="center" vertical="center"/>
    </xf>
    <xf numFmtId="168" fontId="7" fillId="20" borderId="418" xfId="0" applyNumberFormat="1" applyFont="1" applyFill="1" applyBorder="1" applyAlignment="1">
      <alignment horizontal="center" vertical="center"/>
    </xf>
    <xf numFmtId="168" fontId="8" fillId="20" borderId="400" xfId="0" applyNumberFormat="1" applyFont="1" applyFill="1" applyBorder="1" applyAlignment="1">
      <alignment horizontal="center"/>
    </xf>
    <xf numFmtId="168" fontId="0" fillId="20" borderId="400" xfId="0" applyNumberFormat="1" applyFill="1" applyBorder="1" applyAlignment="1">
      <alignment horizontal="center"/>
    </xf>
    <xf numFmtId="168" fontId="8" fillId="20" borderId="418" xfId="0" applyNumberFormat="1" applyFont="1" applyFill="1" applyBorder="1" applyAlignment="1">
      <alignment horizontal="center"/>
    </xf>
    <xf numFmtId="168" fontId="0" fillId="20" borderId="418" xfId="0" applyNumberFormat="1" applyFill="1" applyBorder="1" applyAlignment="1">
      <alignment horizontal="center"/>
    </xf>
    <xf numFmtId="185" fontId="12" fillId="20" borderId="400" xfId="35" applyNumberFormat="1" applyFont="1" applyFill="1" applyBorder="1" applyAlignment="1" applyProtection="1">
      <alignment horizontal="center" vertical="center"/>
    </xf>
    <xf numFmtId="0" fontId="14" fillId="20" borderId="395" xfId="33" applyFont="1" applyFill="1" applyBorder="1" applyAlignment="1">
      <alignment horizontal="center"/>
    </xf>
    <xf numFmtId="0" fontId="8" fillId="0" borderId="400" xfId="0" applyFont="1" applyFill="1" applyBorder="1"/>
    <xf numFmtId="0" fontId="7" fillId="0" borderId="400" xfId="0" applyFont="1" applyFill="1" applyBorder="1"/>
    <xf numFmtId="168" fontId="8" fillId="0" borderId="400" xfId="0" applyNumberFormat="1" applyFont="1" applyFill="1" applyBorder="1" applyAlignment="1">
      <alignment horizontal="center"/>
    </xf>
    <xf numFmtId="168" fontId="7" fillId="0" borderId="400" xfId="0" applyNumberFormat="1" applyFont="1" applyFill="1" applyBorder="1" applyAlignment="1">
      <alignment horizontal="center"/>
    </xf>
    <xf numFmtId="168" fontId="7" fillId="0" borderId="418" xfId="0" applyNumberFormat="1" applyFont="1" applyFill="1" applyBorder="1" applyAlignment="1">
      <alignment horizontal="center"/>
    </xf>
    <xf numFmtId="0" fontId="8" fillId="0" borderId="411" xfId="0" applyFont="1" applyFill="1" applyBorder="1"/>
    <xf numFmtId="168" fontId="14" fillId="20" borderId="420" xfId="27" applyNumberFormat="1" applyFont="1" applyFill="1" applyBorder="1"/>
    <xf numFmtId="168" fontId="12" fillId="20" borderId="420" xfId="27" applyNumberFormat="1" applyFont="1" applyFill="1" applyBorder="1"/>
    <xf numFmtId="168" fontId="14" fillId="22" borderId="420" xfId="27" applyNumberFormat="1" applyFont="1" applyFill="1" applyBorder="1" applyAlignment="1">
      <alignment horizontal="right" vertical="center"/>
    </xf>
    <xf numFmtId="168" fontId="12" fillId="22" borderId="420" xfId="27" applyNumberFormat="1" applyFont="1" applyFill="1" applyBorder="1" applyAlignment="1">
      <alignment horizontal="right" vertical="center"/>
    </xf>
    <xf numFmtId="168" fontId="14" fillId="20" borderId="420" xfId="27" applyNumberFormat="1" applyFont="1" applyFill="1" applyBorder="1" applyAlignment="1">
      <alignment horizontal="right" vertical="center"/>
    </xf>
    <xf numFmtId="0" fontId="12" fillId="20" borderId="419" xfId="27" applyFont="1" applyFill="1" applyBorder="1"/>
    <xf numFmtId="168" fontId="12" fillId="20" borderId="423" xfId="27" applyNumberFormat="1" applyFont="1" applyFill="1" applyBorder="1"/>
    <xf numFmtId="0" fontId="12" fillId="20" borderId="425" xfId="30" applyFont="1" applyFill="1" applyBorder="1"/>
    <xf numFmtId="2" fontId="12" fillId="20" borderId="424" xfId="30" applyNumberFormat="1" applyFont="1" applyFill="1" applyBorder="1"/>
    <xf numFmtId="0" fontId="14" fillId="20" borderId="397" xfId="27" applyNumberFormat="1" applyFont="1" applyFill="1" applyBorder="1" applyAlignment="1">
      <alignment horizontal="center"/>
    </xf>
    <xf numFmtId="0" fontId="90" fillId="20" borderId="424" xfId="21" applyFont="1" applyFill="1" applyBorder="1" applyAlignment="1">
      <alignment horizontal="center" vertical="center"/>
    </xf>
    <xf numFmtId="172" fontId="95" fillId="20" borderId="424" xfId="21" applyNumberFormat="1" applyFont="1" applyFill="1" applyBorder="1" applyAlignment="1" applyProtection="1">
      <alignment horizontal="center" vertical="center"/>
    </xf>
    <xf numFmtId="172" fontId="90" fillId="20" borderId="424" xfId="21" applyNumberFormat="1" applyFont="1" applyFill="1" applyBorder="1" applyAlignment="1">
      <alignment horizontal="center" vertical="center"/>
    </xf>
    <xf numFmtId="49" fontId="63" fillId="20" borderId="424" xfId="0" applyNumberFormat="1" applyFont="1" applyFill="1" applyBorder="1" applyAlignment="1">
      <alignment horizontal="center" vertical="center"/>
    </xf>
    <xf numFmtId="0" fontId="63" fillId="20" borderId="424" xfId="0" applyFont="1" applyFill="1" applyBorder="1" applyAlignment="1">
      <alignment horizontal="center" vertical="center"/>
    </xf>
    <xf numFmtId="164" fontId="12" fillId="2" borderId="400" xfId="14" applyNumberFormat="1" applyFont="1" applyFill="1" applyBorder="1" applyAlignment="1">
      <alignment horizontal="right"/>
    </xf>
    <xf numFmtId="2" fontId="12" fillId="20" borderId="400" xfId="30" applyNumberFormat="1" applyFont="1" applyFill="1" applyBorder="1" applyAlignment="1">
      <alignment horizontal="center"/>
    </xf>
    <xf numFmtId="0" fontId="14" fillId="20" borderId="395" xfId="30" applyFont="1" applyFill="1" applyBorder="1" applyAlignment="1">
      <alignment horizontal="center"/>
    </xf>
    <xf numFmtId="0" fontId="21" fillId="20" borderId="318" xfId="27" applyFont="1" applyFill="1" applyBorder="1" applyAlignment="1">
      <alignment horizontal="center"/>
    </xf>
    <xf numFmtId="168" fontId="54" fillId="20" borderId="346" xfId="27" applyNumberFormat="1" applyFont="1" applyFill="1" applyBorder="1"/>
    <xf numFmtId="168" fontId="54" fillId="20" borderId="318" xfId="27" applyNumberFormat="1" applyFont="1" applyFill="1" applyBorder="1"/>
    <xf numFmtId="168" fontId="54" fillId="20" borderId="425" xfId="27" applyNumberFormat="1" applyFont="1" applyFill="1" applyBorder="1"/>
    <xf numFmtId="168" fontId="54" fillId="20" borderId="423" xfId="27" applyNumberFormat="1" applyFont="1" applyFill="1" applyBorder="1"/>
    <xf numFmtId="168" fontId="54" fillId="20" borderId="394" xfId="27" applyNumberFormat="1" applyFont="1" applyFill="1" applyBorder="1"/>
    <xf numFmtId="168" fontId="54" fillId="20" borderId="396" xfId="27" applyNumberFormat="1" applyFont="1" applyFill="1" applyBorder="1"/>
    <xf numFmtId="168" fontId="85" fillId="20" borderId="417" xfId="27" applyNumberFormat="1" applyFont="1" applyFill="1" applyBorder="1"/>
    <xf numFmtId="168" fontId="85" fillId="20" borderId="403" xfId="27" applyNumberFormat="1" applyFont="1" applyFill="1" applyBorder="1"/>
    <xf numFmtId="168" fontId="85" fillId="20" borderId="425" xfId="27" applyNumberFormat="1" applyFont="1" applyFill="1" applyBorder="1"/>
    <xf numFmtId="168" fontId="85" fillId="20" borderId="423" xfId="27" applyNumberFormat="1" applyFont="1" applyFill="1" applyBorder="1"/>
    <xf numFmtId="0" fontId="14" fillId="0" borderId="395" xfId="0" applyFont="1" applyBorder="1" applyAlignment="1">
      <alignment horizontal="center" vertical="center"/>
    </xf>
    <xf numFmtId="0" fontId="9" fillId="0" borderId="395" xfId="0" applyFont="1" applyBorder="1"/>
    <xf numFmtId="0" fontId="9" fillId="0" borderId="411" xfId="0" applyFont="1" applyBorder="1" applyAlignment="1">
      <alignment vertical="center"/>
    </xf>
    <xf numFmtId="0" fontId="9" fillId="0" borderId="400" xfId="0" applyFont="1" applyBorder="1" applyAlignment="1">
      <alignment vertical="center"/>
    </xf>
    <xf numFmtId="2" fontId="12" fillId="20" borderId="395" xfId="0" applyNumberFormat="1" applyFont="1" applyFill="1" applyBorder="1" applyAlignment="1">
      <alignment horizontal="center" vertical="center"/>
    </xf>
    <xf numFmtId="166" fontId="14" fillId="20" borderId="424" xfId="27" applyNumberFormat="1" applyFont="1" applyFill="1" applyBorder="1" applyAlignment="1">
      <alignment horizontal="center" vertical="center"/>
    </xf>
    <xf numFmtId="168" fontId="12" fillId="20" borderId="318" xfId="27" applyNumberFormat="1" applyFont="1" applyFill="1" applyBorder="1" applyAlignment="1">
      <alignment horizontal="center"/>
    </xf>
    <xf numFmtId="168" fontId="12" fillId="20" borderId="424" xfId="27" applyNumberFormat="1" applyFont="1" applyFill="1" applyBorder="1" applyAlignment="1">
      <alignment horizontal="center"/>
    </xf>
    <xf numFmtId="172" fontId="12" fillId="20" borderId="424" xfId="27" applyNumberFormat="1" applyFont="1" applyFill="1" applyBorder="1" applyAlignment="1">
      <alignment horizontal="center"/>
    </xf>
    <xf numFmtId="0" fontId="84" fillId="0" borderId="395" xfId="27" applyFont="1" applyBorder="1"/>
    <xf numFmtId="0" fontId="1" fillId="20" borderId="0" xfId="45" applyFill="1" applyBorder="1"/>
    <xf numFmtId="0" fontId="1" fillId="20" borderId="403" xfId="45" applyFill="1" applyBorder="1"/>
    <xf numFmtId="0" fontId="1" fillId="20" borderId="420" xfId="45" applyFill="1" applyBorder="1"/>
    <xf numFmtId="0" fontId="134" fillId="20" borderId="417" xfId="45" applyFont="1" applyFill="1" applyBorder="1"/>
    <xf numFmtId="0" fontId="134" fillId="20" borderId="403" xfId="45" applyFont="1" applyFill="1" applyBorder="1"/>
    <xf numFmtId="168" fontId="134" fillId="20" borderId="346" xfId="45" applyNumberFormat="1" applyFont="1" applyFill="1" applyBorder="1"/>
    <xf numFmtId="168" fontId="134" fillId="20" borderId="318" xfId="45" applyNumberFormat="1" applyFont="1" applyFill="1" applyBorder="1"/>
    <xf numFmtId="168" fontId="134" fillId="20" borderId="417" xfId="45" applyNumberFormat="1" applyFont="1" applyFill="1" applyBorder="1"/>
    <xf numFmtId="168" fontId="134" fillId="20" borderId="403" xfId="45" applyNumberFormat="1" applyFont="1" applyFill="1" applyBorder="1"/>
    <xf numFmtId="168" fontId="134" fillId="20" borderId="425" xfId="45" applyNumberFormat="1" applyFont="1" applyFill="1" applyBorder="1"/>
    <xf numFmtId="168" fontId="134" fillId="20" borderId="423" xfId="45" applyNumberFormat="1" applyFont="1" applyFill="1" applyBorder="1"/>
    <xf numFmtId="168" fontId="134" fillId="20" borderId="411" xfId="45" applyNumberFormat="1" applyFont="1" applyFill="1" applyBorder="1"/>
    <xf numFmtId="168" fontId="134" fillId="20" borderId="400" xfId="45" applyNumberFormat="1" applyFont="1" applyFill="1" applyBorder="1"/>
    <xf numFmtId="0" fontId="134" fillId="20" borderId="400" xfId="45" applyFont="1" applyFill="1" applyBorder="1"/>
    <xf numFmtId="168" fontId="134" fillId="20" borderId="424" xfId="45" applyNumberFormat="1" applyFont="1" applyFill="1" applyBorder="1"/>
    <xf numFmtId="168" fontId="1" fillId="20" borderId="403" xfId="45" applyNumberFormat="1" applyFill="1" applyBorder="1"/>
    <xf numFmtId="168" fontId="1" fillId="20" borderId="400" xfId="45" applyNumberFormat="1" applyFill="1" applyBorder="1"/>
    <xf numFmtId="168" fontId="1" fillId="20" borderId="423" xfId="45" applyNumberFormat="1" applyFill="1" applyBorder="1"/>
    <xf numFmtId="168" fontId="1" fillId="20" borderId="424" xfId="45" applyNumberFormat="1" applyFill="1" applyBorder="1"/>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14" fillId="2" borderId="0" xfId="0" applyFont="1" applyFill="1" applyAlignment="1">
      <alignment horizontal="center" vertical="center" wrapText="1"/>
    </xf>
    <xf numFmtId="0" fontId="14" fillId="17" borderId="14" xfId="0" applyFont="1" applyFill="1" applyBorder="1" applyAlignment="1">
      <alignment horizontal="left" vertical="center" wrapText="1"/>
    </xf>
    <xf numFmtId="0" fontId="0" fillId="17" borderId="15" xfId="0" applyFill="1" applyBorder="1" applyAlignment="1">
      <alignment horizontal="left" vertical="center" wrapText="1"/>
    </xf>
    <xf numFmtId="0" fontId="0" fillId="17" borderId="16" xfId="0" applyFill="1" applyBorder="1" applyAlignment="1">
      <alignment horizontal="left" vertical="center" wrapText="1"/>
    </xf>
    <xf numFmtId="0" fontId="14" fillId="0" borderId="17" xfId="0" applyFont="1" applyBorder="1" applyAlignment="1">
      <alignment horizontal="left" vertical="top" wrapText="1"/>
    </xf>
    <xf numFmtId="0" fontId="8" fillId="0" borderId="17" xfId="0" applyFont="1" applyBorder="1" applyAlignment="1">
      <alignment wrapText="1"/>
    </xf>
    <xf numFmtId="0" fontId="47" fillId="0" borderId="35" xfId="5" applyFont="1" applyBorder="1" applyAlignment="1">
      <alignment horizontal="right" wrapText="1"/>
    </xf>
    <xf numFmtId="0" fontId="47" fillId="0" borderId="9" xfId="5" applyFont="1" applyBorder="1" applyAlignment="1">
      <alignment horizontal="right" wrapText="1"/>
    </xf>
    <xf numFmtId="0" fontId="47" fillId="0" borderId="10" xfId="5" applyFont="1" applyBorder="1" applyAlignment="1">
      <alignment horizontal="right" wrapText="1"/>
    </xf>
    <xf numFmtId="0" fontId="47" fillId="0" borderId="20" xfId="5" applyFont="1" applyBorder="1" applyAlignment="1">
      <alignment horizontal="right" wrapText="1"/>
    </xf>
    <xf numFmtId="0" fontId="46" fillId="0" borderId="27" xfId="5" applyFont="1" applyBorder="1" applyAlignment="1">
      <alignment horizontal="center" vertical="center" wrapText="1"/>
    </xf>
    <xf numFmtId="0" fontId="47" fillId="0" borderId="27" xfId="5" applyFont="1" applyBorder="1" applyAlignment="1">
      <alignment horizontal="center" vertical="center" wrapText="1"/>
    </xf>
    <xf numFmtId="0" fontId="47" fillId="0" borderId="20" xfId="5" applyFont="1" applyBorder="1" applyAlignment="1"/>
    <xf numFmtId="0" fontId="47" fillId="0" borderId="142" xfId="5" applyFont="1" applyBorder="1" applyAlignment="1"/>
    <xf numFmtId="0" fontId="47" fillId="0" borderId="27" xfId="5" applyFont="1" applyBorder="1" applyAlignment="1"/>
    <xf numFmtId="0" fontId="47" fillId="0" borderId="9" xfId="5" applyFont="1" applyBorder="1" applyAlignment="1"/>
    <xf numFmtId="0" fontId="14" fillId="0" borderId="0" xfId="0" applyFont="1" applyAlignment="1">
      <alignment horizontal="center"/>
    </xf>
    <xf numFmtId="0" fontId="12" fillId="0" borderId="29" xfId="0" applyFont="1" applyBorder="1" applyAlignment="1">
      <alignment horizontal="left" wrapText="1"/>
    </xf>
    <xf numFmtId="0" fontId="12" fillId="0" borderId="56" xfId="0" applyFont="1" applyBorder="1" applyAlignment="1">
      <alignment horizontal="left" wrapText="1"/>
    </xf>
    <xf numFmtId="0" fontId="12" fillId="0" borderId="29" xfId="0" applyFont="1" applyBorder="1" applyAlignment="1" applyProtection="1">
      <alignment wrapText="1"/>
      <protection locked="0"/>
    </xf>
    <xf numFmtId="0" fontId="12" fillId="0" borderId="29" xfId="0" applyFont="1" applyBorder="1" applyAlignment="1">
      <alignment wrapText="1"/>
    </xf>
    <xf numFmtId="0" fontId="14" fillId="0" borderId="0" xfId="0" applyFont="1" applyAlignment="1">
      <alignment horizontal="center" wrapText="1"/>
    </xf>
    <xf numFmtId="0" fontId="12" fillId="0" borderId="14" xfId="0" applyFont="1" applyBorder="1" applyAlignment="1">
      <alignment wrapText="1"/>
    </xf>
    <xf numFmtId="0" fontId="12" fillId="0" borderId="15" xfId="0" applyFont="1" applyBorder="1" applyAlignment="1">
      <alignment wrapText="1"/>
    </xf>
    <xf numFmtId="0" fontId="12" fillId="0" borderId="19" xfId="0" applyFont="1" applyBorder="1" applyAlignment="1">
      <alignment wrapText="1"/>
    </xf>
    <xf numFmtId="0" fontId="12" fillId="0" borderId="0" xfId="0" applyFont="1" applyBorder="1" applyAlignment="1">
      <alignment wrapText="1"/>
    </xf>
    <xf numFmtId="0" fontId="21" fillId="0" borderId="0" xfId="0" applyFont="1" applyBorder="1" applyAlignment="1">
      <alignment horizontal="left" wrapText="1"/>
    </xf>
    <xf numFmtId="0" fontId="21" fillId="0" borderId="0" xfId="0" applyFont="1" applyAlignment="1" applyProtection="1">
      <alignment horizontal="left" wrapText="1"/>
      <protection locked="0"/>
    </xf>
    <xf numFmtId="0" fontId="12" fillId="0" borderId="17" xfId="0" applyFont="1" applyBorder="1" applyAlignment="1" applyProtection="1">
      <alignment wrapText="1"/>
      <protection locked="0"/>
    </xf>
    <xf numFmtId="0" fontId="0" fillId="0" borderId="17" xfId="0" applyBorder="1" applyAlignment="1">
      <alignment wrapText="1"/>
    </xf>
    <xf numFmtId="0" fontId="0" fillId="0" borderId="17" xfId="0" applyBorder="1" applyAlignment="1"/>
    <xf numFmtId="0" fontId="12" fillId="0" borderId="111" xfId="0" applyFont="1" applyBorder="1" applyAlignment="1" applyProtection="1">
      <alignment horizontal="center" wrapText="1"/>
      <protection locked="0"/>
    </xf>
    <xf numFmtId="0" fontId="12" fillId="0" borderId="25" xfId="0" applyFont="1" applyBorder="1" applyAlignment="1">
      <alignment horizontal="center" wrapText="1"/>
    </xf>
    <xf numFmtId="0" fontId="12" fillId="0" borderId="26" xfId="0" applyFont="1" applyBorder="1" applyAlignment="1">
      <alignment horizontal="center" wrapText="1"/>
    </xf>
    <xf numFmtId="167" fontId="12" fillId="0" borderId="6" xfId="0" applyNumberFormat="1" applyFont="1" applyBorder="1" applyAlignment="1">
      <alignment horizontal="center" wrapText="1"/>
    </xf>
    <xf numFmtId="0" fontId="0" fillId="0" borderId="8" xfId="0" applyBorder="1" applyAlignment="1">
      <alignment horizontal="center" wrapText="1"/>
    </xf>
    <xf numFmtId="0" fontId="9" fillId="0" borderId="20" xfId="4" applyFont="1" applyFill="1" applyBorder="1" applyAlignment="1">
      <alignment wrapText="1"/>
    </xf>
    <xf numFmtId="0" fontId="9" fillId="0" borderId="9" xfId="4" applyFont="1" applyFill="1" applyBorder="1" applyAlignment="1">
      <alignment wrapText="1"/>
    </xf>
    <xf numFmtId="0" fontId="9" fillId="0" borderId="10" xfId="4" applyFont="1" applyFill="1" applyBorder="1" applyAlignment="1">
      <alignment wrapText="1"/>
    </xf>
    <xf numFmtId="0" fontId="9" fillId="14" borderId="21" xfId="4" applyFont="1" applyFill="1" applyBorder="1" applyAlignment="1">
      <alignment wrapText="1"/>
    </xf>
    <xf numFmtId="0" fontId="9" fillId="14" borderId="22" xfId="4" applyFont="1" applyFill="1" applyBorder="1" applyAlignment="1">
      <alignment wrapText="1"/>
    </xf>
    <xf numFmtId="0" fontId="9" fillId="14" borderId="23" xfId="4" applyFont="1" applyFill="1" applyBorder="1" applyAlignment="1">
      <alignment wrapText="1"/>
    </xf>
    <xf numFmtId="0" fontId="9" fillId="14" borderId="20" xfId="4" applyFont="1" applyFill="1" applyBorder="1" applyAlignment="1">
      <alignment horizontal="right" wrapText="1"/>
    </xf>
    <xf numFmtId="0" fontId="9" fillId="14" borderId="9" xfId="4" applyFont="1" applyFill="1" applyBorder="1" applyAlignment="1">
      <alignment horizontal="right" wrapText="1"/>
    </xf>
    <xf numFmtId="0" fontId="9" fillId="14" borderId="10" xfId="4" applyFont="1" applyFill="1" applyBorder="1" applyAlignment="1">
      <alignment horizontal="right" wrapText="1"/>
    </xf>
    <xf numFmtId="0" fontId="8" fillId="14" borderId="28" xfId="4" applyFont="1" applyFill="1" applyBorder="1" applyAlignment="1">
      <alignment horizontal="center" vertical="center" wrapText="1"/>
    </xf>
    <xf numFmtId="0" fontId="8" fillId="14" borderId="17" xfId="4" applyFont="1" applyFill="1" applyBorder="1" applyAlignment="1">
      <alignment horizontal="center" vertical="center" wrapText="1"/>
    </xf>
    <xf numFmtId="0" fontId="8" fillId="14" borderId="24" xfId="4" applyFont="1" applyFill="1" applyBorder="1" applyAlignment="1">
      <alignment horizontal="center" vertical="center" wrapText="1"/>
    </xf>
    <xf numFmtId="0" fontId="9" fillId="0" borderId="20" xfId="4" applyFont="1" applyBorder="1" applyAlignment="1">
      <alignment horizontal="right" wrapText="1"/>
    </xf>
    <xf numFmtId="0" fontId="9" fillId="0" borderId="9" xfId="4" applyFont="1" applyBorder="1" applyAlignment="1">
      <alignment horizontal="right" wrapText="1"/>
    </xf>
    <xf numFmtId="0" fontId="9" fillId="0" borderId="10" xfId="4" applyFont="1" applyBorder="1" applyAlignment="1">
      <alignment horizontal="right" wrapText="1"/>
    </xf>
    <xf numFmtId="0" fontId="9" fillId="0" borderId="20" xfId="4" applyFont="1" applyFill="1" applyBorder="1" applyAlignment="1">
      <alignment horizontal="right" wrapText="1"/>
    </xf>
    <xf numFmtId="0" fontId="9" fillId="0" borderId="9" xfId="4" applyFont="1" applyFill="1" applyBorder="1" applyAlignment="1">
      <alignment horizontal="right" wrapText="1"/>
    </xf>
    <xf numFmtId="0" fontId="9" fillId="0" borderId="10" xfId="4" applyFont="1" applyFill="1" applyBorder="1" applyAlignment="1">
      <alignment horizontal="right" wrapText="1"/>
    </xf>
    <xf numFmtId="0" fontId="9" fillId="0" borderId="21" xfId="4" applyFont="1" applyBorder="1" applyAlignment="1">
      <alignment wrapText="1"/>
    </xf>
    <xf numFmtId="0" fontId="9" fillId="0" borderId="22" xfId="4" applyFont="1" applyBorder="1" applyAlignment="1">
      <alignment wrapText="1"/>
    </xf>
    <xf numFmtId="0" fontId="9" fillId="0" borderId="23" xfId="4" applyFont="1" applyBorder="1" applyAlignment="1">
      <alignment wrapText="1"/>
    </xf>
    <xf numFmtId="0" fontId="9" fillId="0" borderId="20" xfId="4" applyFont="1" applyBorder="1" applyAlignment="1">
      <alignment wrapText="1"/>
    </xf>
    <xf numFmtId="0" fontId="9" fillId="0" borderId="9" xfId="4" applyFont="1" applyBorder="1" applyAlignment="1">
      <alignment wrapText="1"/>
    </xf>
    <xf numFmtId="0" fontId="9" fillId="0" borderId="10" xfId="4" applyFont="1" applyBorder="1" applyAlignment="1">
      <alignment wrapText="1"/>
    </xf>
    <xf numFmtId="0" fontId="8" fillId="14" borderId="21" xfId="5" applyFont="1" applyFill="1" applyBorder="1" applyAlignment="1">
      <alignment horizontal="center" vertical="center" wrapText="1"/>
    </xf>
    <xf numFmtId="0" fontId="9" fillId="14" borderId="22" xfId="5" applyFont="1" applyFill="1" applyBorder="1" applyAlignment="1">
      <alignment horizontal="center" vertical="center" wrapText="1"/>
    </xf>
    <xf numFmtId="0" fontId="9" fillId="14" borderId="23" xfId="5" applyFont="1" applyFill="1" applyBorder="1" applyAlignment="1">
      <alignment horizontal="center" vertical="center" wrapText="1"/>
    </xf>
    <xf numFmtId="0" fontId="9" fillId="14" borderId="20" xfId="5" applyFont="1" applyFill="1" applyBorder="1" applyAlignment="1">
      <alignment horizontal="right" wrapText="1"/>
    </xf>
    <xf numFmtId="0" fontId="9" fillId="14" borderId="10" xfId="5" applyFont="1" applyFill="1" applyBorder="1" applyAlignment="1">
      <alignment horizontal="right" wrapText="1"/>
    </xf>
    <xf numFmtId="0" fontId="9" fillId="14" borderId="27" xfId="5" applyFont="1" applyFill="1" applyBorder="1" applyAlignment="1"/>
    <xf numFmtId="0" fontId="9" fillId="14" borderId="9" xfId="5" applyFont="1" applyFill="1" applyBorder="1" applyAlignment="1">
      <alignment horizontal="right" wrapText="1"/>
    </xf>
    <xf numFmtId="0" fontId="9" fillId="0" borderId="27" xfId="5" applyFont="1" applyBorder="1" applyAlignment="1">
      <alignment wrapText="1"/>
    </xf>
    <xf numFmtId="0" fontId="9" fillId="0" borderId="27" xfId="0" applyFont="1" applyBorder="1" applyAlignment="1"/>
    <xf numFmtId="0" fontId="9" fillId="0" borderId="20" xfId="0" applyFont="1" applyBorder="1" applyAlignment="1">
      <alignment horizontal="right" wrapText="1"/>
    </xf>
    <xf numFmtId="0" fontId="9" fillId="0" borderId="9" xfId="0" applyFont="1" applyBorder="1" applyAlignment="1">
      <alignment horizontal="right" wrapText="1"/>
    </xf>
    <xf numFmtId="0" fontId="9" fillId="0" borderId="10" xfId="0" applyFont="1" applyBorder="1" applyAlignment="1">
      <alignment horizontal="right" wrapText="1"/>
    </xf>
    <xf numFmtId="0" fontId="9" fillId="7" borderId="20" xfId="0" applyFont="1" applyFill="1" applyBorder="1" applyAlignment="1">
      <alignment horizontal="right" wrapText="1"/>
    </xf>
    <xf numFmtId="0" fontId="9" fillId="7" borderId="9" xfId="0" applyFont="1" applyFill="1" applyBorder="1" applyAlignment="1">
      <alignment horizontal="right" wrapText="1"/>
    </xf>
    <xf numFmtId="0" fontId="9" fillId="7" borderId="10" xfId="0" applyFont="1" applyFill="1" applyBorder="1" applyAlignment="1">
      <alignment horizontal="right" wrapText="1"/>
    </xf>
    <xf numFmtId="0" fontId="9" fillId="0" borderId="0" xfId="0" applyFont="1" applyBorder="1" applyAlignment="1">
      <alignment horizontal="center" vertical="center" wrapText="1"/>
    </xf>
    <xf numFmtId="168" fontId="8" fillId="0" borderId="0" xfId="0" applyNumberFormat="1" applyFont="1" applyBorder="1" applyAlignment="1">
      <alignment horizontal="center" vertical="center" wrapText="1"/>
    </xf>
    <xf numFmtId="168" fontId="9" fillId="0" borderId="0" xfId="0" applyNumberFormat="1" applyFont="1" applyBorder="1" applyAlignment="1">
      <alignment wrapText="1"/>
    </xf>
    <xf numFmtId="0" fontId="9" fillId="0" borderId="21" xfId="0" applyFont="1" applyBorder="1" applyAlignment="1">
      <alignment wrapText="1"/>
    </xf>
    <xf numFmtId="0" fontId="9" fillId="0" borderId="22" xfId="0" applyFont="1" applyBorder="1" applyAlignment="1">
      <alignment wrapText="1"/>
    </xf>
    <xf numFmtId="0" fontId="9" fillId="0" borderId="23" xfId="0" applyFont="1" applyBorder="1" applyAlignment="1">
      <alignment wrapText="1"/>
    </xf>
    <xf numFmtId="0" fontId="9" fillId="0" borderId="20"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8" fillId="0" borderId="0" xfId="0" applyFont="1" applyFill="1" applyBorder="1" applyAlignment="1">
      <alignment horizontal="center" vertical="top" wrapText="1"/>
    </xf>
    <xf numFmtId="0" fontId="8" fillId="0" borderId="0" xfId="0" applyFont="1" applyAlignment="1">
      <alignment horizontal="center"/>
    </xf>
    <xf numFmtId="0" fontId="9" fillId="0" borderId="0" xfId="0" applyFont="1" applyAlignment="1">
      <alignment wrapText="1"/>
    </xf>
    <xf numFmtId="0" fontId="9" fillId="0" borderId="19" xfId="0" applyFont="1" applyBorder="1" applyAlignment="1">
      <alignment wrapText="1"/>
    </xf>
    <xf numFmtId="0" fontId="55" fillId="16" borderId="103" xfId="0" applyFont="1" applyFill="1" applyBorder="1" applyAlignment="1">
      <alignment horizontal="right" vertical="top" wrapText="1"/>
    </xf>
    <xf numFmtId="0" fontId="0" fillId="0" borderId="109" xfId="0" applyBorder="1" applyAlignment="1">
      <alignment vertical="top" wrapText="1"/>
    </xf>
    <xf numFmtId="0" fontId="60" fillId="0" borderId="15" xfId="0" applyNumberFormat="1" applyFont="1" applyBorder="1" applyAlignment="1">
      <alignment wrapText="1"/>
    </xf>
    <xf numFmtId="0" fontId="60" fillId="0" borderId="15" xfId="0" applyFont="1" applyBorder="1" applyAlignment="1">
      <alignment wrapText="1"/>
    </xf>
    <xf numFmtId="0" fontId="8"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168" fontId="8" fillId="0" borderId="21" xfId="0" applyNumberFormat="1" applyFont="1" applyBorder="1" applyAlignment="1">
      <alignment horizontal="center" vertical="center" wrapText="1"/>
    </xf>
    <xf numFmtId="0" fontId="9" fillId="0" borderId="20" xfId="0" applyFont="1" applyBorder="1" applyAlignment="1">
      <alignment horizontal="center" wrapText="1"/>
    </xf>
    <xf numFmtId="0" fontId="9" fillId="0" borderId="9" xfId="0" applyFont="1" applyBorder="1" applyAlignment="1">
      <alignment horizontal="center" wrapText="1"/>
    </xf>
    <xf numFmtId="0" fontId="9" fillId="0" borderId="10" xfId="0" applyFont="1" applyBorder="1" applyAlignment="1">
      <alignment horizontal="center" wrapText="1"/>
    </xf>
    <xf numFmtId="168" fontId="9" fillId="0" borderId="0" xfId="0" applyNumberFormat="1" applyFont="1" applyBorder="1" applyAlignment="1">
      <alignment vertical="center" wrapText="1"/>
    </xf>
    <xf numFmtId="0" fontId="9" fillId="0" borderId="27" xfId="0" applyFont="1" applyBorder="1" applyAlignment="1">
      <alignment wrapText="1"/>
    </xf>
    <xf numFmtId="0" fontId="0" fillId="0" borderId="14" xfId="0" applyBorder="1" applyAlignment="1">
      <alignment horizontal="right" wrapText="1"/>
    </xf>
    <xf numFmtId="0" fontId="0" fillId="0" borderId="19" xfId="0" applyBorder="1" applyAlignment="1">
      <alignment horizontal="right"/>
    </xf>
    <xf numFmtId="0" fontId="8" fillId="0" borderId="17" xfId="0" applyFont="1" applyFill="1" applyBorder="1" applyAlignment="1">
      <alignment horizontal="center"/>
    </xf>
    <xf numFmtId="0" fontId="0" fillId="0" borderId="14" xfId="0" applyBorder="1" applyAlignment="1">
      <alignment horizontal="left" wrapText="1" indent="1"/>
    </xf>
    <xf numFmtId="0" fontId="0" fillId="0" borderId="28" xfId="0" applyBorder="1" applyAlignment="1">
      <alignment horizontal="left" indent="1"/>
    </xf>
    <xf numFmtId="0" fontId="0" fillId="0" borderId="15" xfId="0" applyBorder="1" applyAlignment="1">
      <alignment horizontal="left" wrapText="1" indent="2"/>
    </xf>
    <xf numFmtId="0" fontId="0" fillId="0" borderId="17" xfId="0" applyBorder="1" applyAlignment="1">
      <alignment horizontal="left" indent="2"/>
    </xf>
    <xf numFmtId="0" fontId="8" fillId="0" borderId="17" xfId="0" applyFont="1" applyBorder="1" applyAlignment="1">
      <alignment horizontal="center"/>
    </xf>
    <xf numFmtId="0" fontId="0" fillId="0" borderId="19" xfId="0" applyFill="1" applyBorder="1" applyAlignment="1">
      <alignment horizontal="center" wrapText="1"/>
    </xf>
    <xf numFmtId="0" fontId="0" fillId="0" borderId="0" xfId="0" applyAlignment="1">
      <alignment horizontal="center" wrapText="1"/>
    </xf>
    <xf numFmtId="0" fontId="0" fillId="0" borderId="20" xfId="0" applyBorder="1" applyAlignment="1">
      <alignment horizontal="left" wrapText="1" indent="1"/>
    </xf>
    <xf numFmtId="0" fontId="0" fillId="0" borderId="10" xfId="0" applyBorder="1" applyAlignment="1">
      <alignment horizontal="left" indent="1"/>
    </xf>
    <xf numFmtId="0" fontId="0" fillId="0" borderId="21" xfId="0" applyBorder="1" applyAlignment="1">
      <alignment horizontal="left" wrapText="1" indent="3"/>
    </xf>
    <xf numFmtId="0" fontId="0" fillId="0" borderId="22" xfId="0" applyBorder="1" applyAlignment="1">
      <alignment horizontal="left" indent="3"/>
    </xf>
    <xf numFmtId="0" fontId="0" fillId="0" borderId="23" xfId="0" applyBorder="1" applyAlignment="1">
      <alignment horizontal="left" indent="3"/>
    </xf>
    <xf numFmtId="0" fontId="147" fillId="0" borderId="0" xfId="0" applyFont="1" applyFill="1" applyAlignment="1">
      <alignment vertical="center" wrapText="1"/>
    </xf>
    <xf numFmtId="0" fontId="21" fillId="20" borderId="0" xfId="0" applyFont="1" applyFill="1" applyAlignment="1">
      <alignment horizontal="left" vertical="top" wrapText="1"/>
    </xf>
    <xf numFmtId="0" fontId="21" fillId="20" borderId="0" xfId="0" applyFont="1" applyFill="1" applyAlignment="1">
      <alignment horizontal="left" vertical="center" wrapText="1"/>
    </xf>
    <xf numFmtId="0" fontId="54" fillId="0" borderId="0" xfId="13" applyFont="1"/>
    <xf numFmtId="0" fontId="90" fillId="0" borderId="0" xfId="13" applyFont="1" applyAlignment="1">
      <alignment horizontal="left" vertical="top" wrapText="1"/>
    </xf>
    <xf numFmtId="0" fontId="90" fillId="0" borderId="157" xfId="13" applyFont="1" applyFill="1" applyBorder="1" applyAlignment="1">
      <alignment horizontal="left" vertical="top" wrapText="1"/>
    </xf>
    <xf numFmtId="0" fontId="85" fillId="20" borderId="0" xfId="13" applyFont="1" applyFill="1" applyBorder="1" applyAlignment="1">
      <alignment horizontal="center" wrapText="1"/>
    </xf>
    <xf numFmtId="165" fontId="21" fillId="20" borderId="0" xfId="0" applyNumberFormat="1" applyFont="1" applyFill="1" applyBorder="1" applyAlignment="1">
      <alignment horizontal="left" vertical="top" wrapText="1"/>
    </xf>
    <xf numFmtId="0" fontId="85" fillId="0" borderId="0" xfId="0" applyFont="1" applyFill="1" applyAlignment="1">
      <alignment horizontal="center"/>
    </xf>
    <xf numFmtId="0" fontId="12" fillId="20" borderId="161" xfId="0" applyFont="1" applyFill="1" applyBorder="1" applyAlignment="1">
      <alignment horizontal="right"/>
    </xf>
    <xf numFmtId="0" fontId="14" fillId="20" borderId="394" xfId="0" applyFont="1" applyFill="1" applyBorder="1" applyAlignment="1">
      <alignment wrapText="1"/>
    </xf>
    <xf numFmtId="0" fontId="14" fillId="20" borderId="397" xfId="0" applyFont="1" applyFill="1" applyBorder="1" applyAlignment="1">
      <alignment wrapText="1"/>
    </xf>
    <xf numFmtId="0" fontId="14" fillId="20" borderId="396" xfId="0" applyFont="1" applyFill="1" applyBorder="1" applyAlignment="1">
      <alignment wrapText="1"/>
    </xf>
    <xf numFmtId="0" fontId="14" fillId="20" borderId="411" xfId="0" applyFont="1" applyFill="1" applyBorder="1" applyAlignment="1">
      <alignment horizontal="center" vertical="center" wrapText="1"/>
    </xf>
    <xf numFmtId="0" fontId="14" fillId="20" borderId="400" xfId="0" applyFont="1" applyFill="1" applyBorder="1" applyAlignment="1">
      <alignment horizontal="center" vertical="center" wrapText="1"/>
    </xf>
    <xf numFmtId="0" fontId="14" fillId="20" borderId="415" xfId="0" applyFont="1" applyFill="1" applyBorder="1" applyAlignment="1">
      <alignment horizontal="center" vertical="center" wrapText="1"/>
    </xf>
    <xf numFmtId="0" fontId="15" fillId="20" borderId="394" xfId="0" applyFont="1" applyFill="1" applyBorder="1" applyAlignment="1">
      <alignment horizontal="center" vertical="center" wrapText="1"/>
    </xf>
    <xf numFmtId="0" fontId="15" fillId="20" borderId="397" xfId="0" applyFont="1" applyFill="1" applyBorder="1" applyAlignment="1">
      <alignment horizontal="center" vertical="center" wrapText="1"/>
    </xf>
    <xf numFmtId="0" fontId="15" fillId="20" borderId="396" xfId="0" applyFont="1" applyFill="1" applyBorder="1" applyAlignment="1">
      <alignment horizontal="center" vertical="center" wrapText="1"/>
    </xf>
    <xf numFmtId="0" fontId="9" fillId="0" borderId="0" xfId="0" applyFont="1" applyFill="1" applyBorder="1" applyAlignment="1">
      <alignment horizontal="center" vertical="center" wrapText="1"/>
    </xf>
    <xf numFmtId="168" fontId="21" fillId="2" borderId="0" xfId="0" applyNumberFormat="1" applyFont="1" applyFill="1" applyBorder="1" applyAlignment="1">
      <alignment horizontal="left" vertical="top" wrapText="1"/>
    </xf>
    <xf numFmtId="0" fontId="85" fillId="20" borderId="0" xfId="0" applyFont="1" applyFill="1" applyBorder="1" applyAlignment="1">
      <alignment horizontal="center"/>
    </xf>
    <xf numFmtId="0" fontId="12" fillId="2" borderId="161" xfId="0" applyFont="1" applyFill="1" applyBorder="1" applyAlignment="1">
      <alignment horizontal="right"/>
    </xf>
    <xf numFmtId="0" fontId="15" fillId="2" borderId="394" xfId="0" applyFont="1" applyFill="1" applyBorder="1" applyAlignment="1">
      <alignment horizontal="center" vertical="center" wrapText="1"/>
    </xf>
    <xf numFmtId="0" fontId="15" fillId="2" borderId="397" xfId="0" applyFont="1" applyFill="1" applyBorder="1" applyAlignment="1">
      <alignment horizontal="center" vertical="center" wrapText="1"/>
    </xf>
    <xf numFmtId="0" fontId="15" fillId="2" borderId="396" xfId="0" applyFont="1" applyFill="1" applyBorder="1" applyAlignment="1">
      <alignment horizontal="center" vertical="center" wrapText="1"/>
    </xf>
    <xf numFmtId="0" fontId="14" fillId="2" borderId="411" xfId="0" applyFont="1" applyFill="1" applyBorder="1" applyAlignment="1">
      <alignment horizontal="center" vertical="center" wrapText="1"/>
    </xf>
    <xf numFmtId="0" fontId="14" fillId="2" borderId="400" xfId="0" applyFont="1" applyFill="1" applyBorder="1" applyAlignment="1">
      <alignment horizontal="center" vertical="center" wrapText="1"/>
    </xf>
    <xf numFmtId="0" fontId="14" fillId="2" borderId="415" xfId="0" applyFont="1" applyFill="1" applyBorder="1" applyAlignment="1">
      <alignment horizontal="center" vertical="center" wrapText="1"/>
    </xf>
    <xf numFmtId="0" fontId="14" fillId="2" borderId="394" xfId="0" applyFont="1" applyFill="1" applyBorder="1" applyAlignment="1"/>
    <xf numFmtId="0" fontId="14" fillId="2" borderId="397" xfId="0" applyFont="1" applyFill="1" applyBorder="1" applyAlignment="1"/>
    <xf numFmtId="0" fontId="14" fillId="2" borderId="396" xfId="0" applyFont="1" applyFill="1" applyBorder="1" applyAlignment="1"/>
    <xf numFmtId="165" fontId="85" fillId="20" borderId="0" xfId="0" applyNumberFormat="1" applyFont="1" applyFill="1" applyAlignment="1" applyProtection="1">
      <alignment horizontal="center"/>
    </xf>
    <xf numFmtId="0" fontId="90" fillId="20" borderId="0" xfId="0" applyFont="1" applyFill="1" applyBorder="1" applyAlignment="1">
      <alignment horizontal="left" vertical="top"/>
    </xf>
    <xf numFmtId="0" fontId="12" fillId="20" borderId="0" xfId="19" applyFont="1" applyFill="1" applyBorder="1" applyAlignment="1">
      <alignment horizontal="left" vertical="top" wrapText="1"/>
    </xf>
    <xf numFmtId="0" fontId="16" fillId="20" borderId="157" xfId="0" applyFont="1" applyFill="1" applyBorder="1" applyAlignment="1">
      <alignment horizontal="left" vertical="top" wrapText="1"/>
    </xf>
    <xf numFmtId="0" fontId="16" fillId="20" borderId="0" xfId="0" applyFont="1" applyFill="1" applyBorder="1" applyAlignment="1">
      <alignment horizontal="left" vertical="top" wrapText="1"/>
    </xf>
    <xf numFmtId="165" fontId="91" fillId="20" borderId="305" xfId="0" applyNumberFormat="1" applyFont="1" applyFill="1" applyBorder="1" applyAlignment="1" applyProtection="1">
      <alignment horizontal="center"/>
    </xf>
    <xf numFmtId="165" fontId="91" fillId="20" borderId="264" xfId="0" applyNumberFormat="1" applyFont="1" applyFill="1" applyBorder="1" applyAlignment="1" applyProtection="1">
      <alignment horizontal="center"/>
    </xf>
    <xf numFmtId="165" fontId="91" fillId="20" borderId="306" xfId="0" applyNumberFormat="1" applyFont="1" applyFill="1" applyBorder="1" applyAlignment="1" applyProtection="1">
      <alignment horizontal="center"/>
    </xf>
    <xf numFmtId="165" fontId="91" fillId="20" borderId="283" xfId="0" applyNumberFormat="1" applyFont="1" applyFill="1" applyBorder="1" applyAlignment="1" applyProtection="1">
      <alignment horizontal="center" wrapText="1"/>
    </xf>
    <xf numFmtId="0" fontId="90" fillId="20" borderId="229" xfId="0" applyFont="1" applyFill="1" applyBorder="1" applyAlignment="1">
      <alignment wrapText="1"/>
    </xf>
    <xf numFmtId="0" fontId="90" fillId="20" borderId="298" xfId="0" applyFont="1" applyFill="1" applyBorder="1" applyAlignment="1">
      <alignment wrapText="1"/>
    </xf>
    <xf numFmtId="0" fontId="90" fillId="20" borderId="229" xfId="0" applyFont="1" applyFill="1" applyBorder="1" applyAlignment="1">
      <alignment horizontal="center" wrapText="1"/>
    </xf>
    <xf numFmtId="0" fontId="90" fillId="20" borderId="298" xfId="0" applyFont="1" applyFill="1" applyBorder="1" applyAlignment="1">
      <alignment horizontal="center" wrapText="1"/>
    </xf>
    <xf numFmtId="165" fontId="91" fillId="20" borderId="304" xfId="0" applyNumberFormat="1" applyFont="1" applyFill="1" applyBorder="1" applyAlignment="1" applyProtection="1">
      <alignment horizontal="center" wrapText="1"/>
    </xf>
    <xf numFmtId="0" fontId="91" fillId="20" borderId="209" xfId="0" applyFont="1" applyFill="1" applyBorder="1" applyAlignment="1">
      <alignment wrapText="1"/>
    </xf>
    <xf numFmtId="0" fontId="91" fillId="20" borderId="306" xfId="0" applyFont="1" applyFill="1" applyBorder="1" applyAlignment="1">
      <alignment wrapText="1"/>
    </xf>
    <xf numFmtId="165" fontId="91" fillId="20" borderId="247" xfId="0" applyNumberFormat="1" applyFont="1" applyFill="1" applyBorder="1" applyAlignment="1" applyProtection="1">
      <alignment horizontal="center" wrapText="1"/>
    </xf>
    <xf numFmtId="0" fontId="90" fillId="20" borderId="222" xfId="0" applyFont="1" applyFill="1" applyBorder="1" applyAlignment="1">
      <alignment horizontal="center" wrapText="1"/>
    </xf>
    <xf numFmtId="0" fontId="90" fillId="20" borderId="326" xfId="0" applyFont="1" applyFill="1" applyBorder="1" applyAlignment="1">
      <alignment horizontal="center" wrapText="1"/>
    </xf>
    <xf numFmtId="165" fontId="91" fillId="20" borderId="277" xfId="0" applyNumberFormat="1" applyFont="1" applyFill="1" applyBorder="1" applyAlignment="1" applyProtection="1">
      <alignment horizontal="center" wrapText="1"/>
    </xf>
    <xf numFmtId="0" fontId="0" fillId="20" borderId="229" xfId="0" applyFill="1" applyBorder="1" applyAlignment="1">
      <alignment wrapText="1"/>
    </xf>
    <xf numFmtId="0" fontId="0" fillId="20" borderId="268" xfId="0" applyFill="1" applyBorder="1" applyAlignment="1">
      <alignment wrapText="1"/>
    </xf>
    <xf numFmtId="0" fontId="0" fillId="20" borderId="229" xfId="0" applyFill="1" applyBorder="1" applyAlignment="1">
      <alignment horizontal="center" wrapText="1"/>
    </xf>
    <xf numFmtId="0" fontId="0" fillId="20" borderId="268" xfId="0" applyFill="1" applyBorder="1" applyAlignment="1">
      <alignment horizontal="center" wrapText="1"/>
    </xf>
    <xf numFmtId="0" fontId="91" fillId="20" borderId="276" xfId="0" applyFont="1" applyFill="1" applyBorder="1" applyAlignment="1">
      <alignment horizontal="center" wrapText="1"/>
    </xf>
    <xf numFmtId="0" fontId="8" fillId="20" borderId="230" xfId="0" applyFont="1" applyFill="1" applyBorder="1" applyAlignment="1">
      <alignment horizontal="center" wrapText="1"/>
    </xf>
    <xf numFmtId="0" fontId="8" fillId="20" borderId="273" xfId="0" applyFont="1" applyFill="1" applyBorder="1" applyAlignment="1">
      <alignment horizontal="center" wrapText="1"/>
    </xf>
    <xf numFmtId="0" fontId="8" fillId="20" borderId="229" xfId="0" applyFont="1" applyFill="1" applyBorder="1" applyAlignment="1">
      <alignment wrapText="1"/>
    </xf>
    <xf numFmtId="0" fontId="8" fillId="20" borderId="268" xfId="0" applyFont="1" applyFill="1" applyBorder="1" applyAlignment="1">
      <alignment wrapText="1"/>
    </xf>
    <xf numFmtId="165" fontId="91" fillId="20" borderId="278" xfId="0" applyNumberFormat="1" applyFont="1" applyFill="1" applyBorder="1" applyAlignment="1" applyProtection="1">
      <alignment horizontal="center" wrapText="1"/>
    </xf>
    <xf numFmtId="0" fontId="0" fillId="20" borderId="221" xfId="0" applyFill="1" applyBorder="1" applyAlignment="1">
      <alignment wrapText="1"/>
    </xf>
    <xf numFmtId="0" fontId="0" fillId="20" borderId="274" xfId="0" applyFill="1" applyBorder="1" applyAlignment="1">
      <alignment wrapText="1"/>
    </xf>
    <xf numFmtId="165" fontId="20" fillId="20" borderId="268" xfId="0" applyNumberFormat="1" applyFont="1" applyFill="1" applyBorder="1" applyAlignment="1" applyProtection="1">
      <alignment horizontal="center"/>
    </xf>
    <xf numFmtId="0" fontId="12" fillId="20" borderId="0" xfId="16"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165" fontId="85" fillId="20" borderId="0" xfId="16" applyNumberFormat="1" applyFont="1" applyFill="1" applyBorder="1" applyAlignment="1" applyProtection="1">
      <alignment horizontal="center"/>
    </xf>
    <xf numFmtId="165" fontId="91" fillId="20" borderId="305" xfId="16" applyNumberFormat="1" applyFont="1" applyFill="1" applyBorder="1" applyAlignment="1" applyProtection="1">
      <alignment horizontal="center" vertical="center"/>
    </xf>
    <xf numFmtId="165" fontId="91" fillId="20" borderId="299" xfId="16" applyNumberFormat="1" applyFont="1" applyFill="1" applyBorder="1" applyAlignment="1" applyProtection="1">
      <alignment horizontal="center" vertical="center"/>
    </xf>
    <xf numFmtId="165" fontId="91" fillId="20" borderId="306" xfId="16" applyNumberFormat="1" applyFont="1" applyFill="1" applyBorder="1" applyAlignment="1" applyProtection="1">
      <alignment horizontal="center" vertical="center"/>
    </xf>
    <xf numFmtId="0" fontId="91" fillId="20" borderId="237" xfId="0"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20" borderId="229" xfId="0" applyFont="1" applyFill="1" applyBorder="1" applyAlignment="1">
      <alignment horizontal="center" vertical="center" wrapText="1"/>
    </xf>
    <xf numFmtId="0" fontId="91" fillId="20" borderId="255" xfId="0" applyFont="1" applyFill="1" applyBorder="1" applyAlignment="1">
      <alignment horizontal="center" vertical="center" wrapText="1"/>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85" fillId="20" borderId="0" xfId="17" applyNumberFormat="1" applyFont="1" applyFill="1" applyAlignment="1" applyProtection="1">
      <alignment horizontal="center"/>
    </xf>
    <xf numFmtId="165" fontId="91" fillId="20" borderId="263" xfId="18"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6" xfId="18" applyNumberFormat="1" applyFont="1" applyFill="1" applyBorder="1" applyAlignment="1" applyProtection="1">
      <alignment horizontal="center"/>
    </xf>
    <xf numFmtId="0" fontId="91" fillId="20" borderId="221" xfId="0" applyFont="1" applyFill="1" applyBorder="1" applyAlignment="1">
      <alignment horizontal="center" vertical="center" wrapText="1"/>
    </xf>
    <xf numFmtId="0" fontId="91" fillId="20" borderId="332" xfId="0" applyFont="1" applyFill="1" applyBorder="1" applyAlignment="1">
      <alignment horizontal="center" vertical="center" wrapText="1"/>
    </xf>
    <xf numFmtId="0" fontId="91" fillId="0" borderId="279" xfId="0" applyFont="1" applyBorder="1" applyAlignment="1">
      <alignment horizontal="center" vertical="center" wrapText="1"/>
    </xf>
    <xf numFmtId="0" fontId="91" fillId="0" borderId="319" xfId="0" applyFont="1" applyBorder="1" applyAlignment="1">
      <alignment horizontal="center" vertical="center" wrapText="1"/>
    </xf>
    <xf numFmtId="165" fontId="85" fillId="20" borderId="0" xfId="18" applyNumberFormat="1" applyFont="1" applyFill="1" applyBorder="1" applyAlignment="1" applyProtection="1">
      <alignment horizontal="center" vertical="center" wrapText="1"/>
    </xf>
    <xf numFmtId="165" fontId="91" fillId="20" borderId="305" xfId="16" applyNumberFormat="1" applyFont="1" applyFill="1" applyBorder="1" applyAlignment="1" applyProtection="1">
      <alignment horizontal="center"/>
    </xf>
    <xf numFmtId="0" fontId="0" fillId="20" borderId="299" xfId="0" applyFill="1" applyBorder="1"/>
    <xf numFmtId="0" fontId="0" fillId="20" borderId="306" xfId="0" applyFill="1" applyBorder="1"/>
    <xf numFmtId="165" fontId="85" fillId="20" borderId="0" xfId="16" applyNumberFormat="1" applyFont="1" applyFill="1" applyAlignment="1" applyProtection="1">
      <alignment horizontal="center"/>
    </xf>
    <xf numFmtId="0" fontId="115" fillId="20" borderId="0" xfId="19" applyFont="1" applyFill="1" applyBorder="1" applyAlignment="1">
      <alignment horizontal="left" vertical="top" wrapText="1"/>
    </xf>
    <xf numFmtId="0" fontId="85" fillId="0" borderId="0" xfId="0" applyFont="1" applyAlignment="1">
      <alignment horizont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266" xfId="19" applyNumberFormat="1" applyFont="1" applyFill="1" applyBorder="1" applyAlignment="1" applyProtection="1">
      <alignment horizontal="center"/>
    </xf>
    <xf numFmtId="0" fontId="91" fillId="0" borderId="240" xfId="0" applyFont="1" applyBorder="1" applyAlignment="1">
      <alignment horizontal="center" wrapText="1"/>
    </xf>
    <xf numFmtId="0" fontId="91" fillId="0" borderId="229" xfId="0" applyFont="1" applyBorder="1" applyAlignment="1">
      <alignment horizontal="center" wrapText="1"/>
    </xf>
    <xf numFmtId="0" fontId="91" fillId="0" borderId="268" xfId="0" applyFont="1" applyBorder="1" applyAlignment="1">
      <alignment horizontal="center" wrapText="1"/>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165" fontId="91" fillId="20" borderId="306" xfId="19" applyNumberFormat="1" applyFont="1" applyFill="1" applyBorder="1" applyAlignment="1" applyProtection="1">
      <alignment horizontal="center"/>
    </xf>
    <xf numFmtId="165" fontId="91" fillId="20" borderId="208" xfId="19" applyNumberFormat="1" applyFont="1" applyFill="1" applyBorder="1" applyAlignment="1" applyProtection="1">
      <alignment horizontal="left"/>
    </xf>
    <xf numFmtId="165" fontId="91" fillId="20" borderId="307" xfId="19" applyNumberFormat="1" applyFont="1" applyFill="1" applyBorder="1" applyAlignment="1" applyProtection="1">
      <alignment horizontal="left"/>
    </xf>
    <xf numFmtId="165" fontId="91" fillId="20" borderId="308" xfId="19" applyNumberFormat="1" applyFont="1" applyFill="1" applyBorder="1" applyAlignment="1" applyProtection="1">
      <alignment horizontal="left"/>
    </xf>
    <xf numFmtId="0" fontId="85" fillId="20" borderId="0" xfId="19" applyFont="1" applyFill="1" applyAlignment="1">
      <alignment horizontal="center" vertical="center"/>
    </xf>
    <xf numFmtId="0" fontId="90" fillId="20" borderId="0" xfId="20" applyFont="1" applyFill="1" applyAlignment="1">
      <alignment horizontal="center" wrapText="1"/>
    </xf>
    <xf numFmtId="0" fontId="90" fillId="0" borderId="0" xfId="20" applyFont="1" applyFill="1" applyAlignment="1">
      <alignment horizontal="center"/>
    </xf>
    <xf numFmtId="165" fontId="91" fillId="20" borderId="4" xfId="20"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0" fontId="91" fillId="0" borderId="352" xfId="0" applyFont="1" applyBorder="1" applyAlignment="1">
      <alignment horizontal="center" wrapText="1"/>
    </xf>
    <xf numFmtId="0" fontId="85" fillId="20" borderId="0" xfId="0" applyFont="1" applyFill="1" applyAlignment="1">
      <alignment horizontal="center" vertical="center" wrapText="1"/>
    </xf>
    <xf numFmtId="0" fontId="12" fillId="20" borderId="0" xfId="19" applyFont="1" applyFill="1" applyAlignment="1">
      <alignment horizontal="left" vertical="top" wrapText="1"/>
    </xf>
    <xf numFmtId="0" fontId="12" fillId="20" borderId="0" xfId="19" applyFont="1" applyFill="1" applyBorder="1" applyAlignment="1">
      <alignment horizontal="left" wrapText="1"/>
    </xf>
    <xf numFmtId="0" fontId="91" fillId="20" borderId="283" xfId="0" applyFont="1" applyFill="1" applyBorder="1" applyAlignment="1">
      <alignment horizontal="center" wrapText="1"/>
    </xf>
    <xf numFmtId="0" fontId="91" fillId="20" borderId="229" xfId="0" applyFont="1" applyFill="1" applyBorder="1" applyAlignment="1">
      <alignment horizontal="center" wrapText="1"/>
    </xf>
    <xf numFmtId="0" fontId="91" fillId="20" borderId="268" xfId="0" applyFont="1" applyFill="1" applyBorder="1" applyAlignment="1">
      <alignment horizontal="center" wrapText="1"/>
    </xf>
    <xf numFmtId="0" fontId="85" fillId="20" borderId="0" xfId="19" applyFont="1" applyFill="1" applyAlignment="1">
      <alignment horizontal="center"/>
    </xf>
    <xf numFmtId="165" fontId="124" fillId="20" borderId="0" xfId="21" applyNumberFormat="1" applyFont="1" applyFill="1" applyAlignment="1" applyProtection="1">
      <alignment horizontal="center" wrapText="1"/>
    </xf>
    <xf numFmtId="165" fontId="95" fillId="20" borderId="297" xfId="21" applyNumberFormat="1" applyFont="1" applyFill="1" applyBorder="1" applyAlignment="1" applyProtection="1">
      <alignment horizontal="center"/>
    </xf>
    <xf numFmtId="0" fontId="90" fillId="20" borderId="0" xfId="21" applyNumberFormat="1" applyFont="1" applyFill="1" applyBorder="1" applyAlignment="1">
      <alignment horizontal="center" wrapText="1"/>
    </xf>
    <xf numFmtId="0" fontId="97" fillId="20" borderId="0" xfId="21" applyFont="1" applyFill="1" applyBorder="1" applyAlignment="1">
      <alignment horizontal="center" wrapText="1"/>
    </xf>
    <xf numFmtId="0" fontId="16" fillId="20" borderId="0" xfId="19" applyFont="1" applyFill="1" applyAlignment="1">
      <alignment horizontal="left" vertical="top" wrapText="1"/>
    </xf>
    <xf numFmtId="165" fontId="95" fillId="20" borderId="229" xfId="21" applyNumberFormat="1" applyFont="1" applyFill="1" applyBorder="1" applyAlignment="1" applyProtection="1">
      <alignment horizontal="center" wrapText="1"/>
    </xf>
    <xf numFmtId="0" fontId="90" fillId="20" borderId="229" xfId="21" applyFont="1" applyFill="1" applyBorder="1" applyAlignment="1">
      <alignment horizontal="center" wrapText="1"/>
    </xf>
    <xf numFmtId="0" fontId="90" fillId="20" borderId="34" xfId="21" applyFont="1" applyFill="1" applyBorder="1" applyAlignment="1">
      <alignment horizontal="center" wrapText="1"/>
    </xf>
    <xf numFmtId="0" fontId="90" fillId="0" borderId="0" xfId="23" applyFont="1" applyFill="1" applyBorder="1" applyAlignment="1">
      <alignment horizontal="center" wrapText="1"/>
    </xf>
    <xf numFmtId="0" fontId="12" fillId="20" borderId="0" xfId="22" applyFont="1" applyFill="1" applyBorder="1" applyAlignment="1">
      <alignment horizontal="left" vertical="top" wrapText="1"/>
    </xf>
    <xf numFmtId="0" fontId="85" fillId="20" borderId="0" xfId="21" applyFont="1" applyFill="1" applyBorder="1" applyAlignment="1">
      <alignment horizontal="center"/>
    </xf>
    <xf numFmtId="0" fontId="85" fillId="20" borderId="0" xfId="21" applyFont="1" applyFill="1" applyAlignment="1">
      <alignment horizontal="center" wrapText="1"/>
    </xf>
    <xf numFmtId="0" fontId="91" fillId="20" borderId="250" xfId="21" applyFont="1" applyFill="1" applyBorder="1" applyAlignment="1">
      <alignment horizontal="center" vertical="center"/>
    </xf>
    <xf numFmtId="0" fontId="91" fillId="20" borderId="150" xfId="21" applyFont="1" applyFill="1" applyBorder="1" applyAlignment="1">
      <alignment horizontal="center" vertical="center"/>
    </xf>
    <xf numFmtId="0" fontId="91" fillId="20" borderId="203" xfId="21" applyFont="1" applyFill="1" applyBorder="1" applyAlignment="1">
      <alignment horizontal="center" vertical="center"/>
    </xf>
    <xf numFmtId="165" fontId="95" fillId="20" borderId="222" xfId="21" applyNumberFormat="1" applyFont="1" applyFill="1" applyBorder="1" applyAlignment="1" applyProtection="1">
      <alignment horizontal="center" vertical="top" wrapText="1"/>
    </xf>
    <xf numFmtId="0" fontId="0" fillId="20" borderId="222" xfId="0" applyFill="1" applyBorder="1" applyAlignment="1">
      <alignment horizontal="center" vertical="top" wrapText="1"/>
    </xf>
    <xf numFmtId="0" fontId="0" fillId="20" borderId="289" xfId="0" applyFill="1" applyBorder="1" applyAlignment="1">
      <alignment horizontal="center" vertical="top" wrapText="1"/>
    </xf>
    <xf numFmtId="165" fontId="95" fillId="20" borderId="222" xfId="21" applyNumberFormat="1" applyFont="1" applyFill="1" applyBorder="1" applyAlignment="1" applyProtection="1">
      <alignment horizontal="center" wrapText="1"/>
    </xf>
    <xf numFmtId="165" fontId="95" fillId="20" borderId="248" xfId="21" applyNumberFormat="1" applyFont="1" applyFill="1" applyBorder="1" applyAlignment="1" applyProtection="1">
      <alignment horizontal="center" wrapText="1"/>
    </xf>
    <xf numFmtId="165" fontId="85" fillId="20" borderId="0" xfId="0" applyNumberFormat="1" applyFont="1" applyFill="1" applyBorder="1" applyAlignment="1" applyProtection="1">
      <alignment horizontal="center" wrapText="1"/>
      <protection locked="0"/>
    </xf>
    <xf numFmtId="165" fontId="91" fillId="20" borderId="277" xfId="0" applyNumberFormat="1" applyFont="1" applyFill="1" applyBorder="1" applyAlignment="1" applyProtection="1">
      <alignment horizontal="center" wrapText="1"/>
      <protection locked="0"/>
    </xf>
    <xf numFmtId="165" fontId="0" fillId="20" borderId="229" xfId="0" applyNumberFormat="1" applyFill="1" applyBorder="1" applyAlignment="1" applyProtection="1">
      <alignment horizontal="center" wrapText="1"/>
      <protection locked="0"/>
    </xf>
    <xf numFmtId="165" fontId="0" fillId="20" borderId="268" xfId="0" applyNumberFormat="1" applyFill="1" applyBorder="1" applyAlignment="1" applyProtection="1">
      <alignment horizontal="center" wrapText="1"/>
      <protection locked="0"/>
    </xf>
    <xf numFmtId="165" fontId="91" fillId="20" borderId="278" xfId="0" applyNumberFormat="1" applyFont="1" applyFill="1" applyBorder="1" applyAlignment="1" applyProtection="1">
      <alignment horizontal="center" wrapText="1"/>
      <protection locked="0"/>
    </xf>
    <xf numFmtId="165" fontId="98" fillId="20" borderId="219" xfId="0" applyNumberFormat="1" applyFont="1" applyFill="1" applyBorder="1" applyAlignment="1" applyProtection="1">
      <alignment horizontal="center" wrapText="1"/>
      <protection locked="0"/>
    </xf>
    <xf numFmtId="165" fontId="98" fillId="20" borderId="274" xfId="0" applyNumberFormat="1" applyFont="1" applyFill="1" applyBorder="1" applyAlignment="1" applyProtection="1">
      <alignment horizontal="center" wrapText="1"/>
      <protection locked="0"/>
    </xf>
    <xf numFmtId="165" fontId="91" fillId="20" borderId="305" xfId="0" applyNumberFormat="1" applyFont="1" applyFill="1" applyBorder="1" applyAlignment="1" applyProtection="1">
      <alignment horizontal="center" vertical="center" wrapText="1"/>
      <protection locked="0"/>
    </xf>
    <xf numFmtId="165" fontId="91" fillId="20" borderId="299" xfId="0" applyNumberFormat="1" applyFont="1" applyFill="1" applyBorder="1" applyAlignment="1" applyProtection="1">
      <alignment horizontal="center" vertical="center" wrapText="1"/>
      <protection locked="0"/>
    </xf>
    <xf numFmtId="165" fontId="91" fillId="20" borderId="306" xfId="0" applyNumberFormat="1" applyFont="1" applyFill="1" applyBorder="1" applyAlignment="1" applyProtection="1">
      <alignment horizontal="center" vertical="center" wrapText="1"/>
      <protection locked="0"/>
    </xf>
    <xf numFmtId="165" fontId="91" fillId="20" borderId="229" xfId="0" applyNumberFormat="1" applyFont="1" applyFill="1" applyBorder="1" applyAlignment="1" applyProtection="1">
      <alignment horizontal="center" wrapText="1"/>
      <protection locked="0"/>
    </xf>
    <xf numFmtId="165" fontId="95" fillId="20" borderId="240" xfId="0" applyNumberFormat="1" applyFont="1" applyFill="1" applyBorder="1" applyAlignment="1" applyProtection="1">
      <alignment horizontal="center" wrapText="1"/>
    </xf>
    <xf numFmtId="165" fontId="0" fillId="20" borderId="229" xfId="0" applyNumberFormat="1" applyFill="1" applyBorder="1" applyAlignment="1">
      <alignment horizontal="center" wrapText="1"/>
    </xf>
    <xf numFmtId="165" fontId="0" fillId="20" borderId="255" xfId="0" applyNumberFormat="1" applyFill="1" applyBorder="1" applyAlignment="1">
      <alignment horizontal="center" wrapText="1"/>
    </xf>
    <xf numFmtId="165" fontId="95" fillId="20" borderId="305" xfId="0" applyNumberFormat="1" applyFont="1" applyFill="1" applyBorder="1" applyAlignment="1" applyProtection="1">
      <alignment horizontal="center" vertical="center"/>
    </xf>
    <xf numFmtId="165" fontId="95" fillId="20" borderId="306" xfId="0" applyNumberFormat="1" applyFont="1" applyFill="1" applyBorder="1" applyAlignment="1" applyProtection="1">
      <alignment horizontal="center" vertical="center"/>
    </xf>
    <xf numFmtId="165" fontId="95" fillId="20" borderId="299" xfId="0" applyNumberFormat="1" applyFont="1" applyFill="1" applyBorder="1" applyAlignment="1" applyProtection="1">
      <alignment horizontal="center" vertical="center"/>
    </xf>
    <xf numFmtId="165" fontId="16" fillId="20" borderId="0" xfId="0" applyNumberFormat="1" applyFont="1" applyFill="1" applyBorder="1" applyAlignment="1">
      <alignment vertical="top" wrapText="1"/>
    </xf>
    <xf numFmtId="165" fontId="12" fillId="20" borderId="0" xfId="0" applyNumberFormat="1" applyFont="1" applyFill="1" applyBorder="1" applyAlignment="1">
      <alignment vertical="top" wrapText="1"/>
    </xf>
    <xf numFmtId="165" fontId="130" fillId="20" borderId="0" xfId="0" applyNumberFormat="1" applyFont="1" applyFill="1" applyBorder="1" applyAlignment="1" applyProtection="1">
      <alignment horizontal="center"/>
    </xf>
    <xf numFmtId="0" fontId="8" fillId="20" borderId="14" xfId="0" applyFont="1" applyFill="1" applyBorder="1" applyAlignment="1">
      <alignment horizontal="center" vertical="center" wrapText="1"/>
    </xf>
    <xf numFmtId="0" fontId="8" fillId="20" borderId="171" xfId="0" applyFont="1" applyFill="1" applyBorder="1" applyAlignment="1">
      <alignment horizontal="center" vertical="center" wrapText="1"/>
    </xf>
    <xf numFmtId="0" fontId="8" fillId="20" borderId="208" xfId="0" applyFont="1" applyFill="1" applyBorder="1" applyAlignment="1">
      <alignment horizontal="left" vertical="center"/>
    </xf>
    <xf numFmtId="0" fontId="8" fillId="20" borderId="307" xfId="0" applyFont="1" applyFill="1" applyBorder="1" applyAlignment="1">
      <alignment horizontal="left" vertical="center"/>
    </xf>
    <xf numFmtId="0" fontId="8" fillId="20" borderId="308" xfId="0" applyFont="1" applyFill="1" applyBorder="1" applyAlignment="1">
      <alignment horizontal="left" vertical="center"/>
    </xf>
    <xf numFmtId="0" fontId="8" fillId="20" borderId="208" xfId="0" applyFont="1" applyFill="1" applyBorder="1" applyAlignment="1">
      <alignment horizontal="center" vertic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5" fillId="20" borderId="0" xfId="0" applyFont="1" applyFill="1" applyAlignment="1">
      <alignment horizontal="center"/>
    </xf>
    <xf numFmtId="0" fontId="8" fillId="20" borderId="208" xfId="0" applyFont="1" applyFill="1" applyBorder="1" applyAlignment="1">
      <alignment horizontal="center" vertical="center" wrapText="1"/>
    </xf>
    <xf numFmtId="0" fontId="8" fillId="20" borderId="23" xfId="0" applyFont="1" applyFill="1" applyBorder="1" applyAlignment="1">
      <alignment horizontal="center" vertical="center" wrapText="1"/>
    </xf>
    <xf numFmtId="0" fontId="8" fillId="20" borderId="367" xfId="0" applyFont="1" applyFill="1" applyBorder="1" applyAlignment="1">
      <alignment horizontal="center" vertical="center" wrapText="1"/>
    </xf>
    <xf numFmtId="0" fontId="8" fillId="20" borderId="368" xfId="0" applyFont="1" applyFill="1" applyBorder="1" applyAlignment="1">
      <alignment horizontal="center" vertical="center" wrapText="1"/>
    </xf>
    <xf numFmtId="0" fontId="8" fillId="20" borderId="208" xfId="0" applyFont="1" applyFill="1" applyBorder="1" applyAlignment="1">
      <alignment horizontal="left" vertical="center" wrapText="1"/>
    </xf>
    <xf numFmtId="0" fontId="8" fillId="20" borderId="23" xfId="0" applyFont="1" applyFill="1" applyBorder="1" applyAlignment="1">
      <alignment horizontal="left" vertical="center" wrapText="1"/>
    </xf>
    <xf numFmtId="0" fontId="85" fillId="20" borderId="0" xfId="0" applyFont="1" applyFill="1" applyAlignment="1">
      <alignment horizontal="center" wrapText="1"/>
    </xf>
    <xf numFmtId="0" fontId="14" fillId="20" borderId="411" xfId="33" applyFont="1" applyFill="1" applyBorder="1" applyAlignment="1">
      <alignment horizontal="center" vertical="center"/>
    </xf>
    <xf numFmtId="0" fontId="14" fillId="20" borderId="394" xfId="33" applyFont="1" applyFill="1" applyBorder="1" applyAlignment="1">
      <alignment horizontal="center"/>
    </xf>
    <xf numFmtId="0" fontId="14" fillId="20" borderId="397" xfId="33" applyFont="1" applyFill="1" applyBorder="1" applyAlignment="1">
      <alignment horizontal="center"/>
    </xf>
    <xf numFmtId="1" fontId="14" fillId="20" borderId="394" xfId="34" applyNumberFormat="1" applyFont="1" applyFill="1" applyBorder="1" applyAlignment="1" applyProtection="1">
      <alignment horizontal="center" vertical="center"/>
    </xf>
    <xf numFmtId="1" fontId="14" fillId="20" borderId="397" xfId="34" applyNumberFormat="1" applyFont="1" applyFill="1" applyBorder="1" applyAlignment="1" applyProtection="1">
      <alignment horizontal="center" vertical="center"/>
    </xf>
    <xf numFmtId="1" fontId="14" fillId="20" borderId="396" xfId="34" applyNumberFormat="1" applyFont="1" applyFill="1" applyBorder="1" applyAlignment="1" applyProtection="1">
      <alignment horizontal="center" vertical="center"/>
    </xf>
    <xf numFmtId="0" fontId="15" fillId="20" borderId="0" xfId="33" applyFont="1" applyFill="1" applyBorder="1" applyAlignment="1">
      <alignment horizontal="left" wrapText="1"/>
    </xf>
    <xf numFmtId="0" fontId="14" fillId="20" borderId="385" xfId="33" applyFont="1" applyFill="1" applyBorder="1" applyAlignment="1">
      <alignment horizontal="left" vertical="center" wrapText="1"/>
    </xf>
    <xf numFmtId="0" fontId="12" fillId="20" borderId="387" xfId="33" applyFont="1" applyFill="1" applyBorder="1" applyAlignment="1">
      <alignment horizontal="left" vertical="center" wrapText="1"/>
    </xf>
    <xf numFmtId="0" fontId="14" fillId="20" borderId="395" xfId="33" applyFont="1" applyFill="1" applyBorder="1" applyAlignment="1">
      <alignment horizontal="center" vertical="center"/>
    </xf>
    <xf numFmtId="0" fontId="8" fillId="20" borderId="210" xfId="0" applyFont="1" applyFill="1" applyBorder="1" applyAlignment="1">
      <alignment horizontal="center" vertical="center" wrapText="1"/>
    </xf>
    <xf numFmtId="0" fontId="8" fillId="20" borderId="394" xfId="0" applyFont="1" applyFill="1" applyBorder="1" applyAlignment="1">
      <alignment horizontal="center" vertical="center" wrapText="1"/>
    </xf>
    <xf numFmtId="0" fontId="8" fillId="20" borderId="347" xfId="0" applyFont="1" applyFill="1" applyBorder="1" applyAlignment="1">
      <alignment horizontal="center" vertical="center"/>
    </xf>
    <xf numFmtId="0" fontId="8" fillId="20" borderId="326" xfId="0" applyFont="1" applyFill="1" applyBorder="1" applyAlignment="1">
      <alignment horizontal="center" vertical="center"/>
    </xf>
    <xf numFmtId="0" fontId="8" fillId="20" borderId="397" xfId="0" applyFont="1" applyFill="1" applyBorder="1" applyAlignment="1">
      <alignment horizontal="center" vertical="center" wrapText="1"/>
    </xf>
    <xf numFmtId="0" fontId="8" fillId="20" borderId="396" xfId="0" applyFont="1" applyFill="1" applyBorder="1" applyAlignment="1">
      <alignment horizontal="center" vertical="center" wrapText="1"/>
    </xf>
    <xf numFmtId="0" fontId="8" fillId="0" borderId="395" xfId="0" applyFont="1" applyFill="1" applyBorder="1" applyAlignment="1">
      <alignment horizontal="center" vertical="center"/>
    </xf>
    <xf numFmtId="0" fontId="85" fillId="0" borderId="346" xfId="27" applyFont="1" applyFill="1" applyBorder="1" applyAlignment="1">
      <alignment horizontal="center" vertical="center"/>
    </xf>
    <xf numFmtId="0" fontId="85" fillId="0" borderId="318" xfId="27" applyFont="1" applyFill="1" applyBorder="1" applyAlignment="1">
      <alignment horizontal="center" vertical="center"/>
    </xf>
    <xf numFmtId="0" fontId="14" fillId="20" borderId="395" xfId="27" applyFont="1" applyFill="1" applyBorder="1" applyAlignment="1">
      <alignment horizontal="center" vertical="center" wrapText="1"/>
    </xf>
    <xf numFmtId="0" fontId="14" fillId="20" borderId="394" xfId="27" applyFont="1" applyFill="1" applyBorder="1" applyAlignment="1">
      <alignment horizontal="center" vertical="center" wrapText="1"/>
    </xf>
    <xf numFmtId="0" fontId="14" fillId="20" borderId="395" xfId="27" applyFont="1" applyFill="1" applyBorder="1" applyAlignment="1">
      <alignment horizontal="center" vertical="center"/>
    </xf>
    <xf numFmtId="0" fontId="14" fillId="20" borderId="386" xfId="27" applyFont="1" applyFill="1" applyBorder="1" applyAlignment="1">
      <alignment horizontal="center" vertical="center" wrapText="1"/>
    </xf>
    <xf numFmtId="0" fontId="14" fillId="20" borderId="215" xfId="27" applyFont="1" applyFill="1" applyBorder="1" applyAlignment="1">
      <alignment horizontal="center" vertical="center" wrapText="1"/>
    </xf>
    <xf numFmtId="0" fontId="14" fillId="20" borderId="392" xfId="27" applyFont="1" applyFill="1" applyBorder="1" applyAlignment="1">
      <alignment horizontal="center" vertical="center" wrapText="1"/>
    </xf>
    <xf numFmtId="0" fontId="131" fillId="0" borderId="0" xfId="27" applyFont="1" applyFill="1" applyBorder="1" applyAlignment="1">
      <alignment horizontal="right"/>
    </xf>
    <xf numFmtId="0" fontId="131" fillId="0" borderId="0" xfId="27" applyFont="1" applyFill="1" applyBorder="1"/>
    <xf numFmtId="0" fontId="85" fillId="20" borderId="385" xfId="27" applyFont="1" applyFill="1" applyBorder="1" applyAlignment="1">
      <alignment horizontal="left" vertical="center"/>
    </xf>
    <xf numFmtId="0" fontId="85" fillId="20" borderId="387" xfId="27" applyFont="1" applyFill="1" applyBorder="1" applyAlignment="1">
      <alignment horizontal="left" vertical="center"/>
    </xf>
    <xf numFmtId="0" fontId="14" fillId="20" borderId="397" xfId="27" applyFont="1" applyFill="1" applyBorder="1" applyAlignment="1">
      <alignment horizontal="center" vertical="center" wrapText="1"/>
    </xf>
    <xf numFmtId="0" fontId="14" fillId="20" borderId="396" xfId="27" applyFont="1" applyFill="1" applyBorder="1" applyAlignment="1">
      <alignment horizontal="center" vertical="center" wrapText="1"/>
    </xf>
    <xf numFmtId="0" fontId="12" fillId="20" borderId="0" xfId="37" applyFont="1" applyFill="1" applyAlignment="1">
      <alignment horizontal="left" vertical="center" wrapText="1"/>
    </xf>
    <xf numFmtId="17" fontId="132" fillId="20" borderId="206" xfId="37" applyNumberFormat="1" applyFont="1" applyFill="1" applyBorder="1" applyAlignment="1">
      <alignment horizontal="center" vertical="center"/>
    </xf>
    <xf numFmtId="17" fontId="132" fillId="20" borderId="401" xfId="37" applyNumberFormat="1" applyFont="1" applyFill="1" applyBorder="1" applyAlignment="1">
      <alignment horizontal="center" vertical="center"/>
    </xf>
    <xf numFmtId="17" fontId="132" fillId="20" borderId="421" xfId="37" applyNumberFormat="1" applyFont="1" applyFill="1" applyBorder="1" applyAlignment="1">
      <alignment horizontal="center" vertical="center"/>
    </xf>
    <xf numFmtId="17" fontId="132" fillId="20" borderId="422" xfId="37" applyNumberFormat="1" applyFont="1" applyFill="1" applyBorder="1" applyAlignment="1">
      <alignment horizontal="center" vertical="center"/>
    </xf>
    <xf numFmtId="0" fontId="12" fillId="20" borderId="393" xfId="37" applyFont="1" applyFill="1" applyBorder="1" applyAlignment="1">
      <alignment horizontal="left" wrapText="1"/>
    </xf>
    <xf numFmtId="0" fontId="12" fillId="20" borderId="0" xfId="37" applyFont="1" applyFill="1" applyAlignment="1">
      <alignment horizontal="left" vertical="top" wrapText="1"/>
    </xf>
    <xf numFmtId="0" fontId="132" fillId="20" borderId="206" xfId="37" applyFont="1" applyFill="1" applyBorder="1" applyAlignment="1">
      <alignment horizontal="center" vertical="center"/>
    </xf>
    <xf numFmtId="0" fontId="132" fillId="20" borderId="401" xfId="37" applyFont="1" applyFill="1" applyBorder="1" applyAlignment="1">
      <alignment horizontal="center" vertical="center"/>
    </xf>
    <xf numFmtId="0" fontId="132" fillId="20" borderId="206" xfId="37" applyFont="1" applyFill="1" applyBorder="1" applyAlignment="1">
      <alignment horizontal="left" vertical="center"/>
    </xf>
    <xf numFmtId="0" fontId="132" fillId="20" borderId="401" xfId="37" applyFont="1" applyFill="1" applyBorder="1" applyAlignment="1">
      <alignment horizontal="left" vertical="center"/>
    </xf>
    <xf numFmtId="0" fontId="14" fillId="20" borderId="411" xfId="30" applyFont="1" applyFill="1" applyBorder="1" applyAlignment="1">
      <alignment horizontal="center" vertical="center" wrapText="1"/>
    </xf>
    <xf numFmtId="0" fontId="14" fillId="20" borderId="400" xfId="30" applyFont="1" applyFill="1" applyBorder="1" applyAlignment="1">
      <alignment horizontal="center" vertical="center" wrapText="1"/>
    </xf>
    <xf numFmtId="0" fontId="12" fillId="20" borderId="247" xfId="30" applyFont="1" applyFill="1" applyBorder="1" applyAlignment="1">
      <alignment horizontal="left" vertical="center"/>
    </xf>
    <xf numFmtId="0" fontId="12" fillId="20" borderId="400" xfId="30" applyFont="1" applyFill="1" applyBorder="1" applyAlignment="1">
      <alignment horizontal="left" vertical="center"/>
    </xf>
    <xf numFmtId="0" fontId="12" fillId="20" borderId="387" xfId="30" applyFont="1" applyFill="1" applyBorder="1" applyAlignment="1">
      <alignment horizontal="left" vertical="center"/>
    </xf>
    <xf numFmtId="0" fontId="14" fillId="20" borderId="270" xfId="30" applyFont="1" applyFill="1" applyBorder="1" applyAlignment="1">
      <alignment horizontal="center" vertical="center" wrapText="1"/>
    </xf>
    <xf numFmtId="0" fontId="14" fillId="20" borderId="398" xfId="30" applyFont="1" applyFill="1" applyBorder="1" applyAlignment="1">
      <alignment horizontal="center" vertical="center" wrapText="1"/>
    </xf>
    <xf numFmtId="0" fontId="14" fillId="20" borderId="157" xfId="30" applyFont="1" applyFill="1" applyBorder="1" applyAlignment="1">
      <alignment horizontal="center" vertical="center" wrapText="1"/>
    </xf>
    <xf numFmtId="0" fontId="14" fillId="20" borderId="0" xfId="30" applyFont="1" applyFill="1" applyBorder="1" applyAlignment="1">
      <alignment horizontal="center" vertical="center" wrapText="1"/>
    </xf>
    <xf numFmtId="0" fontId="21" fillId="20" borderId="157" xfId="30" applyFont="1" applyFill="1" applyBorder="1" applyAlignment="1">
      <alignment horizontal="left" vertical="top" wrapText="1"/>
    </xf>
    <xf numFmtId="0" fontId="21" fillId="20" borderId="0" xfId="30" applyFont="1" applyFill="1" applyAlignment="1">
      <alignment horizontal="left" vertical="top" wrapText="1"/>
    </xf>
    <xf numFmtId="0" fontId="140" fillId="20" borderId="406" xfId="30" applyFont="1" applyFill="1" applyBorder="1" applyAlignment="1">
      <alignment horizontal="center" vertical="center" wrapText="1"/>
    </xf>
    <xf numFmtId="0" fontId="140" fillId="20" borderId="390" xfId="30" applyFont="1" applyFill="1" applyBorder="1" applyAlignment="1">
      <alignment horizontal="center" vertical="center" wrapText="1"/>
    </xf>
    <xf numFmtId="0" fontId="140" fillId="20" borderId="404" xfId="30" applyFont="1" applyFill="1" applyBorder="1" applyAlignment="1">
      <alignment horizontal="center" vertical="center" wrapText="1"/>
    </xf>
    <xf numFmtId="0" fontId="27" fillId="20" borderId="388" xfId="30" applyFont="1" applyFill="1" applyBorder="1" applyAlignment="1">
      <alignment horizontal="center" vertical="center" wrapText="1"/>
    </xf>
    <xf numFmtId="0" fontId="27" fillId="20" borderId="390" xfId="30" applyFont="1" applyFill="1" applyBorder="1" applyAlignment="1">
      <alignment horizontal="center" vertical="center" wrapText="1"/>
    </xf>
    <xf numFmtId="0" fontId="27" fillId="20" borderId="404" xfId="30" applyFont="1" applyFill="1" applyBorder="1" applyAlignment="1">
      <alignment horizontal="center" vertical="center" wrapText="1"/>
    </xf>
    <xf numFmtId="0" fontId="27" fillId="20" borderId="414" xfId="30" applyFont="1" applyFill="1" applyBorder="1" applyAlignment="1">
      <alignment horizontal="center" vertical="center" wrapText="1"/>
    </xf>
    <xf numFmtId="0" fontId="14" fillId="20" borderId="225" xfId="30" applyFont="1" applyFill="1" applyBorder="1" applyAlignment="1">
      <alignment horizontal="center" vertical="center" wrapText="1"/>
    </xf>
    <xf numFmtId="0" fontId="14" fillId="20" borderId="403" xfId="30" applyFont="1" applyFill="1" applyBorder="1" applyAlignment="1">
      <alignment horizontal="center" vertical="center" wrapText="1"/>
    </xf>
    <xf numFmtId="0" fontId="14" fillId="20" borderId="247" xfId="30" applyFont="1" applyFill="1" applyBorder="1" applyAlignment="1">
      <alignment horizontal="left" vertical="center"/>
    </xf>
    <xf numFmtId="0" fontId="14" fillId="20" borderId="400" xfId="30" applyFont="1" applyFill="1" applyBorder="1" applyAlignment="1">
      <alignment horizontal="left" vertical="center"/>
    </xf>
    <xf numFmtId="0" fontId="14" fillId="20" borderId="387" xfId="30" applyFont="1" applyFill="1" applyBorder="1" applyAlignment="1">
      <alignment horizontal="left" vertical="center"/>
    </xf>
    <xf numFmtId="0" fontId="14" fillId="20" borderId="225" xfId="39" applyFont="1" applyFill="1" applyBorder="1" applyAlignment="1">
      <alignment horizontal="left" vertical="center"/>
    </xf>
    <xf numFmtId="0" fontId="14" fillId="20" borderId="403" xfId="39" applyFont="1" applyFill="1" applyBorder="1" applyAlignment="1">
      <alignment horizontal="left" vertical="center"/>
    </xf>
    <xf numFmtId="0" fontId="14" fillId="20" borderId="370" xfId="39" applyFont="1" applyFill="1" applyBorder="1" applyAlignment="1">
      <alignment horizontal="left" vertical="center"/>
    </xf>
    <xf numFmtId="17" fontId="7" fillId="20" borderId="348" xfId="39" applyNumberFormat="1" applyFont="1" applyFill="1" applyBorder="1" applyAlignment="1" applyProtection="1">
      <alignment horizontal="center"/>
    </xf>
    <xf numFmtId="0" fontId="150" fillId="20" borderId="0" xfId="38" applyFont="1" applyFill="1" applyAlignment="1">
      <alignment horizontal="center"/>
    </xf>
    <xf numFmtId="167" fontId="8" fillId="20" borderId="386" xfId="13" applyNumberFormat="1" applyFont="1" applyFill="1" applyBorder="1" applyAlignment="1">
      <alignment horizontal="center" vertical="center" wrapText="1"/>
    </xf>
    <xf numFmtId="167" fontId="8" fillId="20" borderId="392" xfId="13" applyNumberFormat="1" applyFont="1" applyFill="1" applyBorder="1" applyAlignment="1">
      <alignment horizontal="center" vertical="center" wrapText="1"/>
    </xf>
    <xf numFmtId="167" fontId="8" fillId="20" borderId="406" xfId="13" applyNumberFormat="1" applyFont="1" applyFill="1" applyBorder="1" applyAlignment="1">
      <alignment horizontal="center" vertical="center" wrapText="1"/>
    </xf>
    <xf numFmtId="167" fontId="8" fillId="20" borderId="407" xfId="13" applyNumberFormat="1" applyFont="1" applyFill="1" applyBorder="1" applyAlignment="1">
      <alignment horizontal="center" vertical="center" wrapText="1"/>
    </xf>
    <xf numFmtId="0" fontId="8" fillId="20" borderId="391" xfId="13" applyFont="1" applyFill="1" applyBorder="1" applyAlignment="1">
      <alignment horizontal="center"/>
    </xf>
    <xf numFmtId="0" fontId="8" fillId="20" borderId="387" xfId="13" applyFont="1" applyFill="1" applyBorder="1" applyAlignment="1">
      <alignment horizontal="center"/>
    </xf>
    <xf numFmtId="0" fontId="7" fillId="20" borderId="393" xfId="13" applyFont="1" applyFill="1" applyBorder="1" applyAlignment="1">
      <alignment horizontal="left" vertical="top" wrapText="1"/>
    </xf>
    <xf numFmtId="0" fontId="8" fillId="20" borderId="391" xfId="13" applyFont="1" applyFill="1" applyBorder="1" applyAlignment="1">
      <alignment horizontal="center" vertical="center"/>
    </xf>
    <xf numFmtId="0" fontId="8" fillId="20" borderId="400" xfId="13" applyFont="1" applyFill="1" applyBorder="1" applyAlignment="1">
      <alignment horizontal="center" vertical="center"/>
    </xf>
    <xf numFmtId="0" fontId="8" fillId="20" borderId="405" xfId="13" applyFont="1" applyFill="1" applyBorder="1" applyAlignment="1">
      <alignment horizontal="center" vertical="center"/>
    </xf>
    <xf numFmtId="167" fontId="8" fillId="20" borderId="386" xfId="13" applyNumberFormat="1" applyFont="1" applyFill="1" applyBorder="1" applyAlignment="1">
      <alignment horizontal="center" vertical="center"/>
    </xf>
    <xf numFmtId="167" fontId="8" fillId="20" borderId="392" xfId="13" applyNumberFormat="1" applyFont="1" applyFill="1" applyBorder="1" applyAlignment="1">
      <alignment horizontal="center" vertical="center"/>
    </xf>
    <xf numFmtId="167" fontId="8" fillId="20" borderId="406" xfId="13" applyNumberFormat="1" applyFont="1" applyFill="1" applyBorder="1" applyAlignment="1">
      <alignment horizontal="center" vertical="center"/>
    </xf>
    <xf numFmtId="167" fontId="8" fillId="20" borderId="407" xfId="13" applyNumberFormat="1" applyFont="1" applyFill="1" applyBorder="1" applyAlignment="1">
      <alignment horizontal="center" vertical="center"/>
    </xf>
    <xf numFmtId="0" fontId="8" fillId="20" borderId="392" xfId="13" applyFont="1" applyFill="1" applyBorder="1" applyAlignment="1">
      <alignment horizontal="center" vertical="center" wrapText="1"/>
    </xf>
    <xf numFmtId="0" fontId="8" fillId="20" borderId="406" xfId="13" applyFont="1" applyFill="1" applyBorder="1" applyAlignment="1">
      <alignment horizontal="center" vertical="center" wrapText="1"/>
    </xf>
    <xf numFmtId="0" fontId="8" fillId="20" borderId="407" xfId="13" applyFont="1" applyFill="1" applyBorder="1" applyAlignment="1">
      <alignment horizontal="center" vertical="center" wrapText="1"/>
    </xf>
    <xf numFmtId="0" fontId="12" fillId="0" borderId="0" xfId="27" applyFont="1" applyAlignment="1">
      <alignment horizontal="center"/>
    </xf>
    <xf numFmtId="0" fontId="14" fillId="0" borderId="0" xfId="27" applyFont="1" applyAlignment="1">
      <alignment horizontal="center"/>
    </xf>
    <xf numFmtId="0" fontId="21" fillId="20" borderId="0" xfId="27" applyFont="1" applyFill="1" applyBorder="1" applyAlignment="1">
      <alignment horizontal="left" vertical="top" wrapText="1"/>
    </xf>
    <xf numFmtId="0" fontId="21" fillId="20" borderId="0" xfId="27" applyFont="1" applyFill="1" applyAlignment="1">
      <alignment horizontal="left"/>
    </xf>
    <xf numFmtId="0" fontId="14" fillId="0" borderId="0" xfId="27" applyFont="1" applyFill="1" applyBorder="1" applyAlignment="1">
      <alignment horizontal="center"/>
    </xf>
    <xf numFmtId="0" fontId="14" fillId="0" borderId="0" xfId="27" applyFont="1" applyBorder="1" applyAlignment="1">
      <alignment horizontal="center" vertical="center" wrapText="1"/>
    </xf>
    <xf numFmtId="0" fontId="14" fillId="20" borderId="397" xfId="27" applyFont="1" applyFill="1" applyBorder="1" applyAlignment="1">
      <alignment horizontal="center"/>
    </xf>
    <xf numFmtId="0" fontId="14" fillId="22" borderId="397" xfId="27" applyFont="1" applyFill="1" applyBorder="1" applyAlignment="1">
      <alignment horizontal="center"/>
    </xf>
    <xf numFmtId="0" fontId="14" fillId="20" borderId="396" xfId="27" applyFont="1" applyFill="1" applyBorder="1" applyAlignment="1">
      <alignment horizontal="center"/>
    </xf>
    <xf numFmtId="0" fontId="21" fillId="20" borderId="157" xfId="27" applyFont="1" applyFill="1" applyBorder="1" applyAlignment="1">
      <alignment horizontal="left" vertical="top" wrapText="1"/>
    </xf>
    <xf numFmtId="0" fontId="7" fillId="20" borderId="157" xfId="30" applyFont="1" applyFill="1" applyBorder="1" applyAlignment="1">
      <alignment vertical="top" wrapText="1"/>
    </xf>
    <xf numFmtId="0" fontId="14" fillId="2" borderId="398" xfId="13" applyFont="1" applyFill="1" applyBorder="1" applyAlignment="1">
      <alignment horizontal="left" vertical="center" wrapText="1"/>
    </xf>
    <xf numFmtId="0" fontId="14" fillId="2" borderId="388" xfId="13" applyFont="1" applyFill="1" applyBorder="1" applyAlignment="1">
      <alignment horizontal="left" vertical="center" wrapText="1"/>
    </xf>
    <xf numFmtId="166" fontId="14" fillId="0" borderId="0" xfId="0" applyNumberFormat="1" applyFont="1" applyFill="1" applyBorder="1" applyAlignment="1">
      <alignment horizontal="center" vertical="center" wrapText="1"/>
    </xf>
    <xf numFmtId="166" fontId="86" fillId="0" borderId="0" xfId="0" applyNumberFormat="1" applyFont="1" applyFill="1" applyBorder="1" applyAlignment="1">
      <alignment horizontal="center" vertical="center" wrapText="1"/>
    </xf>
    <xf numFmtId="167" fontId="12"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wrapText="1"/>
    </xf>
    <xf numFmtId="166" fontId="12" fillId="0" borderId="0" xfId="0" applyNumberFormat="1" applyFont="1" applyFill="1" applyBorder="1" applyAlignment="1">
      <alignment horizontal="center" vertical="center" wrapText="1"/>
    </xf>
    <xf numFmtId="0"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wrapText="1"/>
    </xf>
    <xf numFmtId="0" fontId="14" fillId="0" borderId="0" xfId="0" applyNumberFormat="1" applyFont="1" applyFill="1" applyBorder="1" applyAlignment="1">
      <alignment horizontal="center" vertical="center" wrapText="1"/>
    </xf>
    <xf numFmtId="166" fontId="14" fillId="0" borderId="0" xfId="0" applyNumberFormat="1" applyFont="1" applyFill="1" applyBorder="1" applyAlignment="1">
      <alignment wrapText="1"/>
    </xf>
    <xf numFmtId="167" fontId="14"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66" fontId="86" fillId="0" borderId="0" xfId="0" applyNumberFormat="1" applyFont="1" applyFill="1" applyBorder="1" applyAlignment="1">
      <alignment wrapText="1"/>
    </xf>
    <xf numFmtId="166" fontId="86" fillId="0" borderId="0" xfId="0" applyNumberFormat="1" applyFont="1" applyFill="1" applyBorder="1" applyAlignment="1">
      <alignment horizontal="center" wrapText="1"/>
    </xf>
    <xf numFmtId="0" fontId="0" fillId="0" borderId="0" xfId="0" applyFill="1" applyBorder="1" applyAlignment="1">
      <alignment horizontal="center" wrapText="1"/>
    </xf>
    <xf numFmtId="0" fontId="85" fillId="20" borderId="0" xfId="0" applyFont="1" applyFill="1" applyAlignment="1">
      <alignment horizontal="left" vertical="top" wrapText="1"/>
    </xf>
    <xf numFmtId="166" fontId="7" fillId="20" borderId="285" xfId="0" applyNumberFormat="1" applyFont="1" applyFill="1" applyBorder="1" applyAlignment="1" applyProtection="1">
      <alignment horizontal="left" vertical="top" wrapText="1"/>
    </xf>
    <xf numFmtId="166" fontId="14" fillId="20" borderId="411" xfId="0" applyNumberFormat="1" applyFont="1" applyFill="1" applyBorder="1" applyAlignment="1" applyProtection="1">
      <alignment horizontal="center" vertical="center" wrapText="1"/>
    </xf>
    <xf numFmtId="0" fontId="0" fillId="0" borderId="405" xfId="0" applyBorder="1"/>
    <xf numFmtId="0" fontId="14" fillId="20" borderId="412" xfId="0" applyFont="1" applyFill="1" applyBorder="1" applyAlignment="1">
      <alignment horizontal="center" vertical="center"/>
    </xf>
    <xf numFmtId="0" fontId="14" fillId="20" borderId="406" xfId="0" applyNumberFormat="1" applyFont="1" applyFill="1" applyBorder="1" applyAlignment="1">
      <alignment horizontal="center" vertical="center"/>
    </xf>
    <xf numFmtId="0" fontId="14" fillId="20" borderId="409" xfId="0" applyNumberFormat="1" applyFont="1" applyFill="1" applyBorder="1" applyAlignment="1">
      <alignment horizontal="center" vertical="center"/>
    </xf>
    <xf numFmtId="0" fontId="14" fillId="20" borderId="410" xfId="0" applyNumberFormat="1" applyFont="1" applyFill="1" applyBorder="1" applyAlignment="1">
      <alignment horizontal="center" vertical="center"/>
    </xf>
    <xf numFmtId="167" fontId="14" fillId="20" borderId="406" xfId="0" applyNumberFormat="1" applyFont="1" applyFill="1" applyBorder="1" applyAlignment="1">
      <alignment horizontal="center" vertical="center" wrapText="1"/>
    </xf>
    <xf numFmtId="166" fontId="86" fillId="20" borderId="409" xfId="0" applyNumberFormat="1" applyFont="1" applyFill="1" applyBorder="1" applyAlignment="1">
      <alignment horizontal="center" wrapText="1"/>
    </xf>
    <xf numFmtId="0" fontId="0" fillId="20" borderId="409" xfId="0" applyFill="1" applyBorder="1" applyAlignment="1">
      <alignment horizontal="center" wrapText="1"/>
    </xf>
    <xf numFmtId="0" fontId="0" fillId="20" borderId="410" xfId="0" applyFill="1" applyBorder="1" applyAlignment="1">
      <alignment horizontal="center" wrapText="1"/>
    </xf>
    <xf numFmtId="0" fontId="14" fillId="20" borderId="395" xfId="0" applyFont="1" applyFill="1" applyBorder="1" applyAlignment="1">
      <alignment horizontal="center" vertical="center"/>
    </xf>
    <xf numFmtId="0" fontId="14" fillId="20" borderId="394" xfId="0" applyFont="1" applyFill="1" applyBorder="1" applyAlignment="1">
      <alignment horizontal="center" vertical="center"/>
    </xf>
    <xf numFmtId="166" fontId="14" fillId="20" borderId="395" xfId="0" applyNumberFormat="1" applyFont="1" applyFill="1" applyBorder="1" applyAlignment="1">
      <alignment horizontal="center" vertical="center"/>
    </xf>
    <xf numFmtId="0" fontId="84" fillId="0" borderId="394" xfId="27" applyFont="1" applyBorder="1" applyAlignment="1">
      <alignment horizontal="center"/>
    </xf>
    <xf numFmtId="0" fontId="84" fillId="0" borderId="397" xfId="27" applyFont="1" applyBorder="1" applyAlignment="1">
      <alignment horizontal="center"/>
    </xf>
    <xf numFmtId="0" fontId="84" fillId="0" borderId="396" xfId="27" applyFont="1" applyBorder="1" applyAlignment="1">
      <alignment horizontal="center"/>
    </xf>
    <xf numFmtId="167" fontId="14" fillId="20" borderId="394" xfId="27" applyNumberFormat="1" applyFont="1" applyFill="1" applyBorder="1" applyAlignment="1">
      <alignment horizontal="center" vertical="center" wrapText="1"/>
    </xf>
    <xf numFmtId="167" fontId="14" fillId="20" borderId="397" xfId="27" applyNumberFormat="1" applyFont="1" applyFill="1" applyBorder="1" applyAlignment="1">
      <alignment horizontal="center" vertical="center" wrapText="1"/>
    </xf>
    <xf numFmtId="167" fontId="14" fillId="20" borderId="396" xfId="27" applyNumberFormat="1" applyFont="1" applyFill="1" applyBorder="1" applyAlignment="1">
      <alignment horizontal="center" vertical="center" wrapText="1"/>
    </xf>
    <xf numFmtId="0" fontId="14" fillId="20" borderId="394" xfId="27" applyNumberFormat="1" applyFont="1" applyFill="1" applyBorder="1" applyAlignment="1">
      <alignment horizontal="center"/>
    </xf>
    <xf numFmtId="0" fontId="14" fillId="20" borderId="397" xfId="27" applyNumberFormat="1" applyFont="1" applyFill="1" applyBorder="1" applyAlignment="1">
      <alignment horizontal="center"/>
    </xf>
    <xf numFmtId="0" fontId="14" fillId="20" borderId="396" xfId="27" applyNumberFormat="1" applyFont="1" applyFill="1" applyBorder="1" applyAlignment="1">
      <alignment horizontal="center"/>
    </xf>
    <xf numFmtId="166" fontId="14" fillId="20" borderId="385" xfId="27" applyNumberFormat="1" applyFont="1" applyFill="1" applyBorder="1" applyAlignment="1" applyProtection="1">
      <alignment horizontal="center" vertical="center"/>
    </xf>
    <xf numFmtId="166" fontId="14" fillId="20" borderId="387" xfId="27" applyNumberFormat="1" applyFont="1" applyFill="1" applyBorder="1" applyAlignment="1" applyProtection="1">
      <alignment horizontal="center" vertical="center"/>
    </xf>
    <xf numFmtId="166" fontId="14" fillId="20" borderId="375" xfId="27" applyNumberFormat="1" applyFont="1" applyFill="1" applyBorder="1" applyAlignment="1" applyProtection="1">
      <alignment horizontal="center" vertical="center" wrapText="1"/>
    </xf>
    <xf numFmtId="166" fontId="14" fillId="20" borderId="389" xfId="27" applyNumberFormat="1" applyFont="1" applyFill="1" applyBorder="1" applyAlignment="1">
      <alignment vertical="center" wrapText="1"/>
    </xf>
    <xf numFmtId="0" fontId="84" fillId="20" borderId="395" xfId="27" applyFont="1" applyFill="1" applyBorder="1" applyAlignment="1">
      <alignment horizontal="center"/>
    </xf>
    <xf numFmtId="166" fontId="14" fillId="20" borderId="390" xfId="27" applyNumberFormat="1" applyFont="1" applyFill="1" applyBorder="1" applyAlignment="1" applyProtection="1">
      <alignment horizontal="left" vertical="center"/>
    </xf>
    <xf numFmtId="166" fontId="14" fillId="20" borderId="0" xfId="27" applyNumberFormat="1" applyFont="1" applyFill="1" applyBorder="1" applyAlignment="1" applyProtection="1">
      <alignment horizontal="left" vertical="center"/>
    </xf>
    <xf numFmtId="166" fontId="14" fillId="20" borderId="225" xfId="27" applyNumberFormat="1" applyFont="1" applyFill="1" applyBorder="1" applyAlignment="1" applyProtection="1">
      <alignment horizontal="center" vertical="center" wrapText="1"/>
    </xf>
    <xf numFmtId="0" fontId="134" fillId="0" borderId="394" xfId="45" applyFont="1" applyFill="1" applyBorder="1" applyAlignment="1">
      <alignment horizontal="center"/>
    </xf>
    <xf numFmtId="0" fontId="134" fillId="0" borderId="397" xfId="45" applyFont="1" applyFill="1" applyBorder="1" applyAlignment="1">
      <alignment horizontal="center"/>
    </xf>
    <xf numFmtId="0" fontId="134" fillId="0" borderId="394" xfId="45" applyFont="1" applyFill="1" applyBorder="1" applyAlignment="1">
      <alignment horizontal="center" wrapText="1"/>
    </xf>
    <xf numFmtId="0" fontId="134" fillId="0" borderId="397" xfId="45" applyFont="1" applyFill="1" applyBorder="1" applyAlignment="1">
      <alignment horizontal="center" wrapText="1"/>
    </xf>
    <xf numFmtId="0" fontId="134" fillId="0" borderId="396" xfId="45" applyFont="1" applyFill="1" applyBorder="1" applyAlignment="1">
      <alignment horizontal="center" wrapText="1"/>
    </xf>
    <xf numFmtId="0" fontId="144" fillId="20" borderId="0" xfId="45" applyFont="1" applyFill="1" applyBorder="1" applyAlignment="1">
      <alignment horizontal="left"/>
    </xf>
    <xf numFmtId="168" fontId="134" fillId="20" borderId="400" xfId="45" applyNumberFormat="1" applyFont="1" applyFill="1" applyBorder="1" applyAlignment="1">
      <alignment horizontal="right"/>
    </xf>
    <xf numFmtId="168" fontId="134" fillId="20" borderId="400" xfId="45" applyNumberFormat="1" applyFont="1" applyFill="1" applyBorder="1" applyAlignment="1">
      <alignment horizontal="left" wrapText="1"/>
    </xf>
    <xf numFmtId="168" fontId="134" fillId="20" borderId="400" xfId="45" applyNumberFormat="1" applyFont="1" applyFill="1" applyBorder="1" applyAlignment="1"/>
    <xf numFmtId="0" fontId="134" fillId="0" borderId="396" xfId="45" applyFont="1" applyFill="1" applyBorder="1" applyAlignment="1">
      <alignment horizontal="center"/>
    </xf>
    <xf numFmtId="168" fontId="134" fillId="20" borderId="400" xfId="45" applyNumberFormat="1" applyFont="1" applyFill="1" applyBorder="1" applyAlignment="1">
      <alignment horizontal="right" vertical="top"/>
    </xf>
    <xf numFmtId="0" fontId="124" fillId="20" borderId="0" xfId="45" applyFont="1" applyFill="1" applyAlignment="1">
      <alignment horizontal="left"/>
    </xf>
    <xf numFmtId="0" fontId="134" fillId="0" borderId="391" xfId="45" applyFont="1" applyFill="1" applyBorder="1" applyAlignment="1">
      <alignment horizontal="center"/>
    </xf>
    <xf numFmtId="0" fontId="134" fillId="0" borderId="387" xfId="45" applyFont="1" applyFill="1" applyBorder="1" applyAlignment="1">
      <alignment horizontal="center"/>
    </xf>
    <xf numFmtId="0" fontId="134" fillId="0" borderId="411" xfId="45" applyFont="1" applyFill="1" applyBorder="1" applyAlignment="1">
      <alignment horizontal="center" wrapText="1"/>
    </xf>
    <xf numFmtId="0" fontId="134" fillId="0" borderId="405" xfId="45" applyFont="1" applyFill="1" applyBorder="1" applyAlignment="1">
      <alignment horizontal="center" wrapText="1"/>
    </xf>
    <xf numFmtId="0" fontId="144" fillId="20" borderId="0" xfId="45" applyFont="1" applyFill="1" applyAlignment="1">
      <alignment horizontal="left"/>
    </xf>
    <xf numFmtId="0" fontId="85" fillId="20" borderId="0" xfId="0" applyFont="1" applyFill="1" applyAlignment="1" applyProtection="1">
      <alignment horizontal="center" wrapText="1"/>
    </xf>
    <xf numFmtId="0" fontId="34" fillId="0" borderId="210" xfId="4" applyFont="1" applyFill="1" applyBorder="1" applyAlignment="1" applyProtection="1">
      <alignment horizontal="center" vertical="center" wrapText="1"/>
    </xf>
    <xf numFmtId="0" fontId="34" fillId="0" borderId="347" xfId="4" applyFont="1" applyFill="1" applyBorder="1" applyAlignment="1" applyProtection="1">
      <alignment horizontal="left" vertical="center"/>
    </xf>
    <xf numFmtId="0" fontId="0" fillId="0" borderId="357" xfId="0" applyBorder="1" applyAlignment="1">
      <alignment horizontal="left" vertical="center"/>
    </xf>
    <xf numFmtId="0" fontId="34" fillId="0" borderId="353" xfId="0" applyFont="1" applyFill="1" applyBorder="1" applyAlignment="1">
      <alignment horizontal="center" vertical="center"/>
    </xf>
    <xf numFmtId="0" fontId="0" fillId="0" borderId="345" xfId="0" applyBorder="1" applyAlignment="1">
      <alignment horizontal="center" vertical="center"/>
    </xf>
    <xf numFmtId="0" fontId="0" fillId="0" borderId="308" xfId="0" applyBorder="1" applyAlignment="1">
      <alignment horizontal="center" vertical="center"/>
    </xf>
    <xf numFmtId="0" fontId="34" fillId="0" borderId="353" xfId="4" applyFont="1" applyFill="1" applyBorder="1" applyAlignment="1" applyProtection="1">
      <alignment horizontal="center" vertical="center"/>
    </xf>
    <xf numFmtId="0" fontId="34" fillId="0" borderId="345" xfId="4" applyFont="1" applyFill="1" applyBorder="1" applyAlignment="1" applyProtection="1">
      <alignment horizontal="center" vertical="center"/>
    </xf>
    <xf numFmtId="0" fontId="34" fillId="0" borderId="308" xfId="4" applyFont="1" applyFill="1" applyBorder="1" applyAlignment="1" applyProtection="1">
      <alignment horizontal="center" vertical="center"/>
    </xf>
    <xf numFmtId="0" fontId="34" fillId="22" borderId="361" xfId="4" applyFont="1" applyFill="1" applyBorder="1" applyAlignment="1" applyProtection="1">
      <alignment horizontal="center" vertical="center"/>
    </xf>
    <xf numFmtId="0" fontId="34" fillId="22" borderId="363" xfId="4" applyFont="1" applyFill="1" applyBorder="1" applyAlignment="1" applyProtection="1">
      <alignment horizontal="center" vertical="center"/>
    </xf>
    <xf numFmtId="0" fontId="34" fillId="0" borderId="361" xfId="4" applyFont="1" applyFill="1" applyBorder="1" applyAlignment="1" applyProtection="1">
      <alignment horizontal="center" vertical="center"/>
    </xf>
    <xf numFmtId="0" fontId="34" fillId="0" borderId="362" xfId="4" applyFont="1" applyFill="1" applyBorder="1" applyAlignment="1" applyProtection="1">
      <alignment horizontal="center" vertical="center"/>
    </xf>
    <xf numFmtId="0" fontId="34" fillId="0" borderId="363" xfId="4" applyFont="1" applyFill="1" applyBorder="1" applyAlignment="1" applyProtection="1">
      <alignment horizontal="center" vertical="center"/>
    </xf>
    <xf numFmtId="49" fontId="116" fillId="20" borderId="0" xfId="0" applyNumberFormat="1" applyFont="1" applyFill="1" applyBorder="1" applyAlignment="1">
      <alignment horizontal="left" vertical="top"/>
    </xf>
    <xf numFmtId="49" fontId="117" fillId="20" borderId="0" xfId="0" applyNumberFormat="1" applyFont="1" applyFill="1" applyBorder="1" applyAlignment="1">
      <alignment horizontal="left" vertical="top" wrapText="1"/>
    </xf>
    <xf numFmtId="0" fontId="117" fillId="20" borderId="0" xfId="0" applyFont="1" applyFill="1" applyBorder="1" applyAlignment="1">
      <alignment horizontal="left" vertical="top" wrapText="1"/>
    </xf>
    <xf numFmtId="0" fontId="85" fillId="20" borderId="0" xfId="0" applyFont="1" applyFill="1" applyBorder="1" applyAlignment="1">
      <alignment horizontal="center" vertical="center"/>
    </xf>
    <xf numFmtId="0" fontId="111" fillId="20" borderId="0" xfId="0" applyFont="1" applyFill="1" applyBorder="1" applyAlignment="1">
      <alignment horizontal="left" vertical="top" wrapText="1"/>
    </xf>
    <xf numFmtId="0" fontId="88" fillId="20" borderId="0" xfId="0" applyFont="1" applyFill="1" applyBorder="1" applyAlignment="1">
      <alignment horizontal="right"/>
    </xf>
    <xf numFmtId="0" fontId="14" fillId="20" borderId="21" xfId="0" applyFont="1" applyFill="1" applyBorder="1" applyAlignment="1">
      <alignment horizontal="center" wrapText="1"/>
    </xf>
    <xf numFmtId="0" fontId="14" fillId="20" borderId="172" xfId="0" applyFont="1" applyFill="1" applyBorder="1" applyAlignment="1">
      <alignment horizontal="center" wrapText="1"/>
    </xf>
    <xf numFmtId="0" fontId="14" fillId="20" borderId="23" xfId="0" applyFont="1" applyFill="1" applyBorder="1" applyAlignment="1">
      <alignment horizontal="center" wrapText="1"/>
    </xf>
    <xf numFmtId="0" fontId="12" fillId="20" borderId="171" xfId="0" applyFont="1" applyFill="1" applyBorder="1" applyAlignment="1">
      <alignment horizontal="left" vertical="center" wrapText="1"/>
    </xf>
    <xf numFmtId="0" fontId="12" fillId="20" borderId="161" xfId="0" applyFont="1" applyFill="1" applyBorder="1" applyAlignment="1">
      <alignment horizontal="left" vertical="center" wrapText="1"/>
    </xf>
    <xf numFmtId="0" fontId="12" fillId="20" borderId="21" xfId="0" applyFont="1" applyFill="1" applyBorder="1" applyAlignment="1">
      <alignment horizontal="left" vertical="center" wrapText="1"/>
    </xf>
    <xf numFmtId="0" fontId="12" fillId="20" borderId="172" xfId="0" applyFont="1" applyFill="1" applyBorder="1" applyAlignment="1">
      <alignment horizontal="left" vertical="center" wrapText="1"/>
    </xf>
    <xf numFmtId="0" fontId="12" fillId="20" borderId="23" xfId="0" applyFont="1" applyFill="1" applyBorder="1" applyAlignment="1">
      <alignment horizontal="left" vertical="center" wrapText="1"/>
    </xf>
    <xf numFmtId="0" fontId="0" fillId="20" borderId="0" xfId="0" applyFill="1"/>
    <xf numFmtId="0" fontId="14" fillId="20" borderId="157" xfId="0" applyFont="1" applyFill="1" applyBorder="1" applyAlignment="1">
      <alignment horizontal="center"/>
    </xf>
    <xf numFmtId="0" fontId="12" fillId="20" borderId="15" xfId="0" applyFont="1" applyFill="1" applyBorder="1"/>
    <xf numFmtId="0" fontId="12" fillId="20" borderId="0" xfId="0" applyFont="1" applyFill="1" applyBorder="1"/>
    <xf numFmtId="0" fontId="14" fillId="20" borderId="14" xfId="0" applyFont="1" applyFill="1" applyBorder="1" applyAlignment="1">
      <alignment horizontal="center"/>
    </xf>
    <xf numFmtId="0" fontId="14" fillId="20" borderId="201" xfId="0" applyFont="1" applyFill="1" applyBorder="1" applyAlignment="1">
      <alignment horizontal="center"/>
    </xf>
    <xf numFmtId="0" fontId="14" fillId="20" borderId="16" xfId="0" applyFont="1" applyFill="1" applyBorder="1" applyAlignment="1">
      <alignment horizontal="center" wrapText="1"/>
    </xf>
    <xf numFmtId="0" fontId="14" fillId="20" borderId="18" xfId="0" applyFont="1" applyFill="1" applyBorder="1" applyAlignment="1">
      <alignment horizontal="center" wrapText="1"/>
    </xf>
    <xf numFmtId="0" fontId="14" fillId="20" borderId="0" xfId="0" applyFont="1" applyFill="1" applyBorder="1" applyAlignment="1">
      <alignment horizontal="center"/>
    </xf>
    <xf numFmtId="0" fontId="14" fillId="20" borderId="57" xfId="0" applyFont="1" applyFill="1" applyBorder="1" applyAlignment="1">
      <alignment horizontal="center"/>
    </xf>
    <xf numFmtId="0" fontId="14" fillId="20" borderId="181" xfId="0" applyFont="1" applyFill="1" applyBorder="1" applyAlignment="1">
      <alignment horizontal="center"/>
    </xf>
    <xf numFmtId="0" fontId="12" fillId="20" borderId="157" xfId="0" applyFont="1" applyFill="1" applyBorder="1"/>
    <xf numFmtId="0" fontId="21" fillId="0" borderId="0" xfId="0" applyFont="1" applyFill="1" applyAlignment="1">
      <alignment horizontal="center"/>
    </xf>
    <xf numFmtId="0" fontId="12" fillId="20" borderId="0" xfId="0" applyFont="1" applyFill="1" applyBorder="1" applyAlignment="1">
      <alignment horizontal="left" wrapText="1"/>
    </xf>
    <xf numFmtId="0" fontId="12" fillId="20" borderId="0" xfId="0" applyFont="1" applyFill="1" applyAlignment="1">
      <alignment horizontal="left" wrapText="1"/>
    </xf>
    <xf numFmtId="0" fontId="12" fillId="20" borderId="20" xfId="0" applyFont="1" applyFill="1" applyBorder="1" applyAlignment="1">
      <alignment horizontal="left" vertical="center"/>
    </xf>
    <xf numFmtId="0" fontId="12" fillId="20" borderId="10" xfId="0" applyFont="1" applyFill="1" applyBorder="1" applyAlignment="1">
      <alignment horizontal="left" vertical="center"/>
    </xf>
    <xf numFmtId="0" fontId="8" fillId="20" borderId="0" xfId="0" applyFont="1" applyFill="1" applyBorder="1" applyAlignment="1">
      <alignment horizontal="left" wrapText="1"/>
    </xf>
    <xf numFmtId="0" fontId="9" fillId="20" borderId="20" xfId="0" applyFont="1" applyFill="1" applyBorder="1" applyAlignment="1">
      <alignment horizontal="center" vertical="center"/>
    </xf>
    <xf numFmtId="0" fontId="9" fillId="20" borderId="10" xfId="0" applyFont="1" applyFill="1" applyBorder="1" applyAlignment="1">
      <alignment horizontal="center" vertical="center"/>
    </xf>
    <xf numFmtId="0" fontId="9" fillId="20" borderId="57" xfId="0" applyFont="1" applyFill="1" applyBorder="1" applyAlignment="1">
      <alignment horizontal="left" vertical="center"/>
    </xf>
    <xf numFmtId="0" fontId="9" fillId="20" borderId="30" xfId="0" applyFont="1" applyFill="1" applyBorder="1"/>
    <xf numFmtId="0" fontId="9" fillId="20" borderId="15"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14" xfId="0" applyFont="1" applyFill="1" applyBorder="1" applyAlignment="1">
      <alignment horizontal="center" vertical="center"/>
    </xf>
    <xf numFmtId="0" fontId="9" fillId="20" borderId="28" xfId="0" applyFont="1" applyFill="1" applyBorder="1" applyAlignment="1">
      <alignment horizontal="center" vertical="center"/>
    </xf>
    <xf numFmtId="0" fontId="9" fillId="20" borderId="16" xfId="0" applyFont="1" applyFill="1" applyBorder="1" applyAlignment="1">
      <alignment horizontal="center" vertical="center"/>
    </xf>
    <xf numFmtId="0" fontId="9" fillId="20" borderId="24" xfId="0" applyFont="1" applyFill="1" applyBorder="1" applyAlignment="1">
      <alignment horizontal="center" vertical="center"/>
    </xf>
    <xf numFmtId="0" fontId="9" fillId="20" borderId="21" xfId="0" applyFont="1" applyFill="1" applyBorder="1" applyAlignment="1">
      <alignment horizontal="center" wrapText="1"/>
    </xf>
    <xf numFmtId="0" fontId="9" fillId="20" borderId="22" xfId="0" applyFont="1" applyFill="1" applyBorder="1" applyAlignment="1">
      <alignment horizontal="center" wrapText="1"/>
    </xf>
    <xf numFmtId="0" fontId="9" fillId="20" borderId="23" xfId="0" applyFont="1" applyFill="1" applyBorder="1" applyAlignment="1">
      <alignment horizontal="center" wrapText="1"/>
    </xf>
    <xf numFmtId="0" fontId="9" fillId="20" borderId="16" xfId="0" applyFont="1" applyFill="1" applyBorder="1" applyAlignment="1">
      <alignment vertical="center" wrapText="1"/>
    </xf>
    <xf numFmtId="0" fontId="9" fillId="20" borderId="24" xfId="0" applyFont="1" applyFill="1" applyBorder="1" applyAlignment="1">
      <alignment vertical="center" wrapText="1"/>
    </xf>
    <xf numFmtId="0" fontId="9" fillId="20" borderId="20" xfId="0" applyFont="1" applyFill="1" applyBorder="1" applyAlignment="1">
      <alignment horizontal="center" vertical="center" wrapText="1"/>
    </xf>
    <xf numFmtId="0" fontId="9" fillId="20" borderId="10" xfId="0" applyFont="1" applyFill="1" applyBorder="1" applyAlignment="1">
      <alignment horizontal="center" vertical="center" wrapText="1"/>
    </xf>
    <xf numFmtId="0" fontId="7" fillId="20" borderId="0" xfId="0" applyFont="1" applyFill="1" applyAlignment="1">
      <alignment horizontal="left" vertical="center" wrapText="1"/>
    </xf>
    <xf numFmtId="0" fontId="0" fillId="20" borderId="21" xfId="0" applyFill="1" applyBorder="1" applyAlignment="1">
      <alignment horizontal="center"/>
    </xf>
    <xf numFmtId="0" fontId="0" fillId="20" borderId="22" xfId="0" applyFill="1" applyBorder="1" applyAlignment="1">
      <alignment horizontal="center"/>
    </xf>
    <xf numFmtId="0" fontId="8" fillId="20" borderId="16" xfId="0" applyFont="1" applyFill="1" applyBorder="1" applyAlignment="1">
      <alignment vertical="center"/>
    </xf>
    <xf numFmtId="0" fontId="8" fillId="20" borderId="18" xfId="0" applyFont="1" applyFill="1" applyBorder="1" applyAlignment="1">
      <alignment vertical="center"/>
    </xf>
    <xf numFmtId="0" fontId="8" fillId="20" borderId="15" xfId="0" applyFont="1" applyFill="1" applyBorder="1" applyAlignment="1"/>
    <xf numFmtId="0" fontId="8" fillId="20" borderId="14" xfId="0" applyFont="1" applyFill="1" applyBorder="1" applyAlignment="1">
      <alignment vertical="center"/>
    </xf>
    <xf numFmtId="0" fontId="8" fillId="20" borderId="166" xfId="0" applyFont="1" applyFill="1" applyBorder="1" applyAlignment="1">
      <alignment vertical="center"/>
    </xf>
    <xf numFmtId="0" fontId="8" fillId="20" borderId="24" xfId="0" applyFont="1" applyFill="1" applyBorder="1" applyAlignment="1">
      <alignment vertical="center"/>
    </xf>
    <xf numFmtId="0" fontId="8" fillId="20" borderId="21" xfId="0" applyFont="1" applyFill="1" applyBorder="1" applyAlignment="1"/>
    <xf numFmtId="0" fontId="8" fillId="20" borderId="22" xfId="0" applyFont="1" applyFill="1" applyBorder="1" applyAlignment="1"/>
    <xf numFmtId="0" fontId="8" fillId="20" borderId="23" xfId="0" applyFont="1" applyFill="1" applyBorder="1" applyAlignment="1"/>
    <xf numFmtId="0" fontId="34" fillId="20" borderId="21" xfId="0" applyFont="1" applyFill="1" applyBorder="1" applyAlignment="1">
      <alignment horizontal="center" wrapText="1"/>
    </xf>
    <xf numFmtId="0" fontId="34" fillId="20" borderId="172" xfId="0" applyFont="1" applyFill="1" applyBorder="1" applyAlignment="1">
      <alignment horizontal="center" wrapText="1"/>
    </xf>
    <xf numFmtId="0" fontId="34" fillId="20" borderId="16" xfId="0" applyFont="1" applyFill="1" applyBorder="1" applyAlignment="1">
      <alignment horizontal="center" wrapText="1"/>
    </xf>
    <xf numFmtId="166" fontId="42" fillId="0" borderId="0" xfId="0" applyNumberFormat="1" applyFont="1" applyAlignment="1" applyProtection="1">
      <alignment wrapText="1"/>
    </xf>
    <xf numFmtId="0" fontId="0" fillId="0" borderId="0" xfId="0" applyAlignment="1">
      <alignment wrapText="1"/>
    </xf>
    <xf numFmtId="0" fontId="40" fillId="0" borderId="0" xfId="0" applyFont="1" applyFill="1" applyAlignment="1">
      <alignment wrapText="1"/>
    </xf>
    <xf numFmtId="0" fontId="41" fillId="0" borderId="0" xfId="0" applyFont="1" applyFill="1" applyAlignment="1">
      <alignment wrapText="1"/>
    </xf>
    <xf numFmtId="0" fontId="12" fillId="0" borderId="20" xfId="0" applyNumberFormat="1" applyFont="1" applyFill="1" applyBorder="1" applyAlignment="1">
      <alignment horizontal="center" wrapText="1"/>
    </xf>
    <xf numFmtId="0" fontId="0" fillId="0" borderId="10" xfId="0" applyNumberFormat="1" applyFill="1" applyBorder="1" applyAlignment="1">
      <alignment horizontal="center" wrapText="1"/>
    </xf>
    <xf numFmtId="0" fontId="12" fillId="0" borderId="14" xfId="0" applyFont="1" applyFill="1" applyBorder="1" applyAlignment="1">
      <alignment horizontal="center" wrapText="1"/>
    </xf>
    <xf numFmtId="0" fontId="0" fillId="0" borderId="28" xfId="0" applyFill="1" applyBorder="1" applyAlignment="1">
      <alignment horizontal="center" wrapText="1"/>
    </xf>
    <xf numFmtId="0" fontId="12" fillId="0" borderId="20" xfId="0" applyFont="1" applyFill="1" applyBorder="1" applyAlignment="1">
      <alignment horizontal="center" wrapText="1"/>
    </xf>
    <xf numFmtId="0" fontId="0" fillId="0" borderId="10" xfId="0" applyFill="1" applyBorder="1" applyAlignment="1">
      <alignment horizontal="center" wrapText="1"/>
    </xf>
    <xf numFmtId="0" fontId="81" fillId="0" borderId="0" xfId="0" applyFont="1" applyFill="1" applyAlignment="1">
      <alignment horizontal="left" vertical="center" wrapText="1"/>
    </xf>
    <xf numFmtId="0" fontId="18" fillId="0" borderId="0" xfId="0" applyFont="1" applyFill="1" applyAlignment="1">
      <alignment horizontal="left"/>
    </xf>
    <xf numFmtId="0" fontId="18" fillId="0" borderId="0" xfId="0" applyFont="1" applyAlignment="1">
      <alignment horizontal="left" vertical="top" wrapText="1"/>
    </xf>
    <xf numFmtId="0" fontId="18" fillId="0" borderId="144" xfId="0" applyFont="1" applyBorder="1" applyAlignment="1">
      <alignment horizontal="center"/>
    </xf>
    <xf numFmtId="0" fontId="18" fillId="0" borderId="143" xfId="0" applyFont="1" applyBorder="1" applyAlignment="1">
      <alignment horizontal="center"/>
    </xf>
    <xf numFmtId="0" fontId="35" fillId="0" borderId="145" xfId="0" applyFont="1" applyBorder="1" applyAlignment="1">
      <alignment horizontal="center"/>
    </xf>
    <xf numFmtId="0" fontId="35" fillId="0" borderId="143" xfId="0" applyFont="1" applyBorder="1" applyAlignment="1">
      <alignment horizontal="center"/>
    </xf>
    <xf numFmtId="0" fontId="45" fillId="0" borderId="144" xfId="0" applyFont="1" applyBorder="1" applyAlignment="1">
      <alignment horizontal="center"/>
    </xf>
    <xf numFmtId="0" fontId="45" fillId="0" borderId="143" xfId="0" applyFont="1" applyBorder="1" applyAlignment="1">
      <alignment horizontal="center"/>
    </xf>
    <xf numFmtId="167" fontId="9" fillId="0" borderId="21" xfId="0" applyNumberFormat="1" applyFont="1" applyBorder="1" applyAlignment="1">
      <alignment horizontal="center"/>
    </xf>
    <xf numFmtId="167" fontId="9" fillId="0" borderId="23" xfId="0" applyNumberFormat="1" applyFont="1" applyBorder="1" applyAlignment="1">
      <alignment horizontal="center"/>
    </xf>
    <xf numFmtId="167" fontId="9" fillId="0" borderId="21" xfId="0" applyNumberFormat="1" applyFont="1" applyBorder="1" applyAlignment="1" applyProtection="1">
      <alignment horizontal="center"/>
    </xf>
    <xf numFmtId="167" fontId="9" fillId="0" borderId="23" xfId="0" applyNumberFormat="1" applyFont="1" applyBorder="1" applyAlignment="1" applyProtection="1">
      <alignment horizontal="center"/>
    </xf>
    <xf numFmtId="0" fontId="26" fillId="0" borderId="22" xfId="0" applyFont="1" applyBorder="1" applyAlignment="1">
      <alignment horizontal="center"/>
    </xf>
    <xf numFmtId="0" fontId="9" fillId="0" borderId="132" xfId="0" applyFont="1" applyBorder="1" applyAlignment="1" applyProtection="1">
      <alignment horizontal="center"/>
    </xf>
    <xf numFmtId="0" fontId="26" fillId="0" borderId="131" xfId="0" applyFont="1" applyBorder="1" applyAlignment="1">
      <alignment horizontal="center"/>
    </xf>
    <xf numFmtId="0" fontId="9" fillId="0" borderId="131" xfId="0" applyFont="1" applyBorder="1" applyAlignment="1" applyProtection="1">
      <alignment horizontal="center"/>
    </xf>
    <xf numFmtId="167" fontId="9" fillId="0" borderId="132" xfId="0" applyNumberFormat="1" applyFont="1" applyBorder="1" applyAlignment="1" applyProtection="1">
      <alignment horizontal="center"/>
    </xf>
    <xf numFmtId="0" fontId="26" fillId="0" borderId="146" xfId="0" applyFont="1" applyBorder="1" applyAlignment="1">
      <alignment horizontal="center"/>
    </xf>
    <xf numFmtId="0" fontId="16" fillId="0" borderId="15" xfId="0" applyFont="1" applyBorder="1" applyAlignment="1">
      <alignment vertical="justify" wrapText="1"/>
    </xf>
    <xf numFmtId="0" fontId="0" fillId="0" borderId="15" xfId="0" applyBorder="1" applyAlignment="1">
      <alignment wrapText="1"/>
    </xf>
    <xf numFmtId="0" fontId="9" fillId="0" borderId="86" xfId="0" quotePrefix="1" applyFont="1" applyBorder="1" applyAlignment="1">
      <alignment horizontal="center"/>
    </xf>
    <xf numFmtId="0" fontId="9" fillId="0" borderId="100" xfId="0" quotePrefix="1" applyFont="1" applyBorder="1" applyAlignment="1">
      <alignment horizontal="center"/>
    </xf>
    <xf numFmtId="0" fontId="9" fillId="9" borderId="20"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8" borderId="20" xfId="0" applyFont="1" applyFill="1" applyBorder="1" applyAlignment="1" applyProtection="1">
      <alignment horizontal="center" vertical="center"/>
    </xf>
    <xf numFmtId="0" fontId="9" fillId="8" borderId="10" xfId="0" applyFont="1" applyFill="1" applyBorder="1" applyAlignment="1" applyProtection="1">
      <alignment horizontal="center" vertical="center"/>
    </xf>
    <xf numFmtId="0" fontId="9" fillId="8" borderId="20" xfId="0" applyFont="1" applyFill="1" applyBorder="1" applyAlignment="1">
      <alignment horizontal="center" vertical="center"/>
    </xf>
    <xf numFmtId="0" fontId="9" fillId="8" borderId="10" xfId="0" applyFont="1" applyFill="1" applyBorder="1" applyAlignment="1">
      <alignment horizontal="center" vertical="center"/>
    </xf>
    <xf numFmtId="0" fontId="9" fillId="9" borderId="20" xfId="0" applyFont="1" applyFill="1" applyBorder="1" applyAlignment="1">
      <alignment horizontal="center" vertical="center"/>
    </xf>
    <xf numFmtId="0" fontId="9" fillId="9" borderId="10" xfId="0" applyFont="1" applyFill="1" applyBorder="1" applyAlignment="1">
      <alignment horizontal="center" vertical="center"/>
    </xf>
    <xf numFmtId="0" fontId="28" fillId="9" borderId="20" xfId="0" applyFont="1" applyFill="1" applyBorder="1" applyAlignment="1">
      <alignment horizontal="center" vertical="center"/>
    </xf>
    <xf numFmtId="0" fontId="28" fillId="9" borderId="10" xfId="0" applyFont="1" applyFill="1" applyBorder="1" applyAlignment="1">
      <alignment horizontal="center" vertical="center"/>
    </xf>
    <xf numFmtId="0" fontId="28" fillId="8" borderId="20" xfId="0" applyFont="1" applyFill="1" applyBorder="1" applyAlignment="1">
      <alignment horizontal="center" vertical="center"/>
    </xf>
    <xf numFmtId="0" fontId="28" fillId="8" borderId="10" xfId="0" applyFont="1" applyFill="1" applyBorder="1" applyAlignment="1">
      <alignment horizontal="center" vertical="center"/>
    </xf>
    <xf numFmtId="0" fontId="9" fillId="0" borderId="76" xfId="0" quotePrefix="1" applyFont="1" applyFill="1" applyBorder="1" applyAlignment="1">
      <alignment horizontal="center"/>
    </xf>
    <xf numFmtId="0" fontId="9" fillId="0" borderId="76" xfId="0" applyFont="1" applyFill="1" applyBorder="1" applyAlignment="1">
      <alignment horizontal="center"/>
    </xf>
    <xf numFmtId="0" fontId="9" fillId="0" borderId="147" xfId="0" applyFont="1" applyBorder="1" applyAlignment="1">
      <alignment horizontal="center" vertical="center"/>
    </xf>
    <xf numFmtId="0" fontId="9" fillId="0" borderId="148" xfId="0" applyFont="1" applyBorder="1" applyAlignment="1">
      <alignment horizontal="center" vertical="center"/>
    </xf>
    <xf numFmtId="0" fontId="9" fillId="0" borderId="23" xfId="0" applyFont="1" applyFill="1" applyBorder="1" applyAlignment="1" applyProtection="1">
      <alignment horizontal="left" vertical="center"/>
    </xf>
    <xf numFmtId="0" fontId="9" fillId="0" borderId="23" xfId="0" applyFont="1" applyFill="1" applyBorder="1" applyAlignment="1" applyProtection="1">
      <alignment horizontal="left" vertical="center" wrapText="1"/>
    </xf>
    <xf numFmtId="0" fontId="8" fillId="0" borderId="88" xfId="0" applyFont="1" applyFill="1" applyBorder="1" applyAlignment="1">
      <alignment horizontal="center"/>
    </xf>
    <xf numFmtId="0" fontId="8" fillId="0" borderId="149" xfId="0" applyFont="1" applyFill="1" applyBorder="1" applyAlignment="1">
      <alignment horizontal="center"/>
    </xf>
    <xf numFmtId="0" fontId="8" fillId="0" borderId="27" xfId="0" applyFont="1" applyFill="1" applyBorder="1" applyAlignment="1" applyProtection="1">
      <alignment horizontal="center" vertical="center" wrapText="1"/>
    </xf>
    <xf numFmtId="0" fontId="9" fillId="9" borderId="92" xfId="0" applyFont="1" applyFill="1" applyBorder="1" applyAlignment="1" applyProtection="1">
      <alignment horizontal="center" vertical="center" wrapText="1"/>
    </xf>
    <xf numFmtId="0" fontId="9" fillId="9" borderId="93" xfId="0" applyFont="1" applyFill="1" applyBorder="1" applyAlignment="1" applyProtection="1">
      <alignment horizontal="center" vertical="center" wrapText="1"/>
    </xf>
    <xf numFmtId="0" fontId="9" fillId="0" borderId="87" xfId="0" applyFont="1" applyFill="1" applyBorder="1" applyAlignment="1">
      <alignment horizontal="center"/>
    </xf>
    <xf numFmtId="0" fontId="9" fillId="0" borderId="100" xfId="0" applyFont="1" applyFill="1" applyBorder="1" applyAlignment="1">
      <alignment horizontal="center"/>
    </xf>
    <xf numFmtId="0" fontId="9" fillId="0" borderId="97" xfId="0" applyFont="1" applyBorder="1" applyAlignment="1">
      <alignment horizontal="center" vertical="center"/>
    </xf>
    <xf numFmtId="0" fontId="9" fillId="0" borderId="96" xfId="0" applyFont="1" applyBorder="1" applyAlignment="1">
      <alignment horizontal="center" vertical="center"/>
    </xf>
    <xf numFmtId="0" fontId="9" fillId="8" borderId="20"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17" fontId="9" fillId="0" borderId="76" xfId="0" applyNumberFormat="1" applyFont="1" applyFill="1" applyBorder="1" applyAlignment="1">
      <alignment horizontal="center"/>
    </xf>
    <xf numFmtId="16" fontId="8" fillId="0" borderId="0" xfId="0" applyNumberFormat="1" applyFont="1" applyAlignment="1">
      <alignment horizontal="center"/>
    </xf>
    <xf numFmtId="0" fontId="12" fillId="0" borderId="0" xfId="0" applyFont="1" applyBorder="1" applyAlignment="1">
      <alignment horizontal="left" vertical="top" wrapText="1"/>
    </xf>
    <xf numFmtId="0" fontId="12" fillId="0" borderId="0" xfId="0" applyFont="1"/>
    <xf numFmtId="0" fontId="14" fillId="20" borderId="0" xfId="0" applyFont="1" applyFill="1" applyBorder="1" applyAlignment="1">
      <alignment horizontal="center" wrapText="1"/>
    </xf>
    <xf numFmtId="0" fontId="12" fillId="20" borderId="0" xfId="0" applyFont="1" applyFill="1" applyBorder="1" applyAlignment="1">
      <alignment horizontal="center" wrapText="1"/>
    </xf>
    <xf numFmtId="0" fontId="12" fillId="20" borderId="0" xfId="0" applyFont="1" applyFill="1" applyBorder="1" applyAlignment="1">
      <alignment wrapText="1"/>
    </xf>
    <xf numFmtId="0" fontId="12" fillId="20" borderId="105" xfId="0" applyFont="1" applyFill="1" applyBorder="1" applyAlignment="1">
      <alignment wrapText="1"/>
    </xf>
    <xf numFmtId="0" fontId="12" fillId="0" borderId="0" xfId="0" applyFont="1" applyBorder="1" applyAlignment="1">
      <alignment horizontal="left" vertical="center" wrapText="1"/>
    </xf>
    <xf numFmtId="0" fontId="8" fillId="0" borderId="400" xfId="0" applyFont="1" applyFill="1" applyBorder="1" applyAlignment="1">
      <alignment horizontal="center" vertical="center"/>
    </xf>
  </cellXfs>
  <cellStyles count="46">
    <cellStyle name="Comma" xfId="1" builtinId="3"/>
    <cellStyle name="Comma 2" xfId="9"/>
    <cellStyle name="Comma 2 2" xfId="12"/>
    <cellStyle name="Comma 2 2 2" xfId="26"/>
    <cellStyle name="Comma 3" xfId="14"/>
    <cellStyle name="Comma 4" xfId="28"/>
    <cellStyle name="Comma 5" xfId="35"/>
    <cellStyle name="Comma 6" xfId="40"/>
    <cellStyle name="Currency" xfId="24" builtinId="4"/>
    <cellStyle name="Normal" xfId="0" builtinId="0"/>
    <cellStyle name="Normal 10" xfId="19"/>
    <cellStyle name="Normal 11" xfId="20"/>
    <cellStyle name="Normal 12" xfId="21"/>
    <cellStyle name="Normal 13" xfId="27"/>
    <cellStyle name="Normal 14" xfId="33"/>
    <cellStyle name="Normal 15" xfId="37"/>
    <cellStyle name="Normal 16" xfId="38"/>
    <cellStyle name="Normal 17" xfId="45"/>
    <cellStyle name="Normal 2" xfId="8"/>
    <cellStyle name="Normal 2 2" xfId="11"/>
    <cellStyle name="Normal 2 2 2" xfId="23"/>
    <cellStyle name="Normal 2 2 3" xfId="25"/>
    <cellStyle name="Normal 2 3" xfId="22"/>
    <cellStyle name="Normal 2 4" xfId="30"/>
    <cellStyle name="Normal 3" xfId="2"/>
    <cellStyle name="Normal 3 2" xfId="31"/>
    <cellStyle name="Normal 3 3" xfId="42"/>
    <cellStyle name="Normal 4" xfId="10"/>
    <cellStyle name="Normal 4 2" xfId="43"/>
    <cellStyle name="Normal 5" xfId="13"/>
    <cellStyle name="Normal 6" xfId="15"/>
    <cellStyle name="Normal 7" xfId="16"/>
    <cellStyle name="Normal 8" xfId="17"/>
    <cellStyle name="Normal 8 2" xfId="41"/>
    <cellStyle name="Normal 9" xfId="18"/>
    <cellStyle name="Normal_DOE DATA FOR 2005" xfId="29"/>
    <cellStyle name="Normal_monthly bulletin tables" xfId="3"/>
    <cellStyle name="Normal_Sheet1" xfId="4"/>
    <cellStyle name="Normal_Sheet1 2" xfId="36"/>
    <cellStyle name="Normal_Sheet2" xfId="5"/>
    <cellStyle name="Normal_Sheet4" xfId="34"/>
    <cellStyle name="Normal_statistical tables" xfId="32"/>
    <cellStyle name="Normal_tables" xfId="6"/>
    <cellStyle name="Normal_Template" xfId="39"/>
    <cellStyle name="Percent" xfId="7" builtinId="5"/>
    <cellStyle name="Style 1" xfId="44"/>
  </cellStyles>
  <dxfs count="0"/>
  <tableStyles count="0" defaultTableStyle="TableStyleMedium9" defaultPivotStyle="PivotStyleLight16"/>
  <colors>
    <mruColors>
      <color rgb="FF000000"/>
      <color rgb="FFDCE6F2"/>
      <color rgb="FFEEEEEE"/>
      <color rgb="FFE1EFF4"/>
      <color rgb="FF6B95C7"/>
      <color rgb="FF3333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12" Type="http://schemas.openxmlformats.org/officeDocument/2006/relationships/externalLink" Target="externalLinks/externalLink31.xml"/><Relationship Id="rId133" Type="http://schemas.openxmlformats.org/officeDocument/2006/relationships/externalLink" Target="externalLinks/externalLink52.xml"/><Relationship Id="rId138" Type="http://schemas.openxmlformats.org/officeDocument/2006/relationships/externalLink" Target="externalLinks/externalLink57.xml"/><Relationship Id="rId154" Type="http://schemas.openxmlformats.org/officeDocument/2006/relationships/externalLink" Target="externalLinks/externalLink73.xml"/><Relationship Id="rId159" Type="http://schemas.openxmlformats.org/officeDocument/2006/relationships/externalLink" Target="externalLinks/externalLink78.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1.xml"/><Relationship Id="rId123" Type="http://schemas.openxmlformats.org/officeDocument/2006/relationships/externalLink" Target="externalLinks/externalLink42.xml"/><Relationship Id="rId128" Type="http://schemas.openxmlformats.org/officeDocument/2006/relationships/externalLink" Target="externalLinks/externalLink47.xml"/><Relationship Id="rId144" Type="http://schemas.openxmlformats.org/officeDocument/2006/relationships/externalLink" Target="externalLinks/externalLink63.xml"/><Relationship Id="rId149" Type="http://schemas.openxmlformats.org/officeDocument/2006/relationships/externalLink" Target="externalLinks/externalLink68.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60" Type="http://schemas.openxmlformats.org/officeDocument/2006/relationships/externalLink" Target="externalLinks/externalLink79.xml"/><Relationship Id="rId165" Type="http://schemas.openxmlformats.org/officeDocument/2006/relationships/externalLink" Target="externalLinks/externalLink8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2.xml"/><Relationship Id="rId118" Type="http://schemas.openxmlformats.org/officeDocument/2006/relationships/externalLink" Target="externalLinks/externalLink37.xml"/><Relationship Id="rId134" Type="http://schemas.openxmlformats.org/officeDocument/2006/relationships/externalLink" Target="externalLinks/externalLink53.xml"/><Relationship Id="rId139" Type="http://schemas.openxmlformats.org/officeDocument/2006/relationships/externalLink" Target="externalLinks/externalLink58.xml"/><Relationship Id="rId80" Type="http://schemas.openxmlformats.org/officeDocument/2006/relationships/worksheet" Target="worksheets/sheet80.xml"/><Relationship Id="rId85" Type="http://schemas.openxmlformats.org/officeDocument/2006/relationships/externalLink" Target="externalLinks/externalLink4.xml"/><Relationship Id="rId150" Type="http://schemas.openxmlformats.org/officeDocument/2006/relationships/externalLink" Target="externalLinks/externalLink69.xml"/><Relationship Id="rId155" Type="http://schemas.openxmlformats.org/officeDocument/2006/relationships/externalLink" Target="externalLinks/externalLink7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2.xml"/><Relationship Id="rId108" Type="http://schemas.openxmlformats.org/officeDocument/2006/relationships/externalLink" Target="externalLinks/externalLink27.xml"/><Relationship Id="rId124" Type="http://schemas.openxmlformats.org/officeDocument/2006/relationships/externalLink" Target="externalLinks/externalLink43.xml"/><Relationship Id="rId129" Type="http://schemas.openxmlformats.org/officeDocument/2006/relationships/externalLink" Target="externalLinks/externalLink4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40" Type="http://schemas.openxmlformats.org/officeDocument/2006/relationships/externalLink" Target="externalLinks/externalLink59.xml"/><Relationship Id="rId145" Type="http://schemas.openxmlformats.org/officeDocument/2006/relationships/externalLink" Target="externalLinks/externalLink64.xml"/><Relationship Id="rId161" Type="http://schemas.openxmlformats.org/officeDocument/2006/relationships/externalLink" Target="externalLinks/externalLink80.xml"/><Relationship Id="rId16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5.xml"/><Relationship Id="rId114" Type="http://schemas.openxmlformats.org/officeDocument/2006/relationships/externalLink" Target="externalLinks/externalLink33.xml"/><Relationship Id="rId119" Type="http://schemas.openxmlformats.org/officeDocument/2006/relationships/externalLink" Target="externalLinks/externalLink38.xml"/><Relationship Id="rId12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externalLink" Target="externalLinks/externalLink20.xml"/><Relationship Id="rId122" Type="http://schemas.openxmlformats.org/officeDocument/2006/relationships/externalLink" Target="externalLinks/externalLink41.xml"/><Relationship Id="rId130" Type="http://schemas.openxmlformats.org/officeDocument/2006/relationships/externalLink" Target="externalLinks/externalLink49.xml"/><Relationship Id="rId135" Type="http://schemas.openxmlformats.org/officeDocument/2006/relationships/externalLink" Target="externalLinks/externalLink54.xml"/><Relationship Id="rId143" Type="http://schemas.openxmlformats.org/officeDocument/2006/relationships/externalLink" Target="externalLinks/externalLink62.xml"/><Relationship Id="rId148" Type="http://schemas.openxmlformats.org/officeDocument/2006/relationships/externalLink" Target="externalLinks/externalLink67.xml"/><Relationship Id="rId151" Type="http://schemas.openxmlformats.org/officeDocument/2006/relationships/externalLink" Target="externalLinks/externalLink70.xml"/><Relationship Id="rId156" Type="http://schemas.openxmlformats.org/officeDocument/2006/relationships/externalLink" Target="externalLinks/externalLink75.xml"/><Relationship Id="rId164" Type="http://schemas.openxmlformats.org/officeDocument/2006/relationships/externalLink" Target="externalLinks/externalLink83.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externalLink" Target="externalLinks/externalLink23.xml"/><Relationship Id="rId120" Type="http://schemas.openxmlformats.org/officeDocument/2006/relationships/externalLink" Target="externalLinks/externalLink39.xml"/><Relationship Id="rId125" Type="http://schemas.openxmlformats.org/officeDocument/2006/relationships/externalLink" Target="externalLinks/externalLink44.xml"/><Relationship Id="rId141" Type="http://schemas.openxmlformats.org/officeDocument/2006/relationships/externalLink" Target="externalLinks/externalLink60.xml"/><Relationship Id="rId146" Type="http://schemas.openxmlformats.org/officeDocument/2006/relationships/externalLink" Target="externalLinks/externalLink65.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16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externalLink" Target="externalLinks/externalLink29.xml"/><Relationship Id="rId115" Type="http://schemas.openxmlformats.org/officeDocument/2006/relationships/externalLink" Target="externalLinks/externalLink34.xml"/><Relationship Id="rId131" Type="http://schemas.openxmlformats.org/officeDocument/2006/relationships/externalLink" Target="externalLinks/externalLink50.xml"/><Relationship Id="rId136" Type="http://schemas.openxmlformats.org/officeDocument/2006/relationships/externalLink" Target="externalLinks/externalLink55.xml"/><Relationship Id="rId157" Type="http://schemas.openxmlformats.org/officeDocument/2006/relationships/externalLink" Target="externalLinks/externalLink76.xml"/><Relationship Id="rId61" Type="http://schemas.openxmlformats.org/officeDocument/2006/relationships/worksheet" Target="worksheets/sheet61.xml"/><Relationship Id="rId82" Type="http://schemas.openxmlformats.org/officeDocument/2006/relationships/externalLink" Target="externalLinks/externalLink1.xml"/><Relationship Id="rId152"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105" Type="http://schemas.openxmlformats.org/officeDocument/2006/relationships/externalLink" Target="externalLinks/externalLink24.xml"/><Relationship Id="rId126" Type="http://schemas.openxmlformats.org/officeDocument/2006/relationships/externalLink" Target="externalLinks/externalLink45.xml"/><Relationship Id="rId147" Type="http://schemas.openxmlformats.org/officeDocument/2006/relationships/externalLink" Target="externalLinks/externalLink66.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121" Type="http://schemas.openxmlformats.org/officeDocument/2006/relationships/externalLink" Target="externalLinks/externalLink40.xml"/><Relationship Id="rId142" Type="http://schemas.openxmlformats.org/officeDocument/2006/relationships/externalLink" Target="externalLinks/externalLink61.xml"/><Relationship Id="rId163" Type="http://schemas.openxmlformats.org/officeDocument/2006/relationships/externalLink" Target="externalLinks/externalLink8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5.xml"/><Relationship Id="rId137" Type="http://schemas.openxmlformats.org/officeDocument/2006/relationships/externalLink" Target="externalLinks/externalLink56.xml"/><Relationship Id="rId158" Type="http://schemas.openxmlformats.org/officeDocument/2006/relationships/externalLink" Target="externalLinks/externalLink7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externalLink" Target="externalLinks/externalLink30.xml"/><Relationship Id="rId132" Type="http://schemas.openxmlformats.org/officeDocument/2006/relationships/externalLink" Target="externalLinks/externalLink51.xml"/><Relationship Id="rId153" Type="http://schemas.openxmlformats.org/officeDocument/2006/relationships/externalLink" Target="externalLinks/externalLink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0784334375640379"/>
          <c:y val="0.21605003390852234"/>
          <c:w val="0.85294280970973069"/>
          <c:h val="0.5709893753296662"/>
        </c:manualLayout>
      </c:layout>
      <c:lineChart>
        <c:grouping val="standard"/>
        <c:ser>
          <c:idx val="0"/>
          <c:order val="0"/>
          <c:tx>
            <c:v>Total Reserves</c:v>
          </c:tx>
          <c:spPr>
            <a:ln w="25400">
              <a:solidFill>
                <a:srgbClr val="0000FF"/>
              </a:solidFill>
              <a:prstDash val="solid"/>
            </a:ln>
          </c:spPr>
          <c:marker>
            <c:symbol val="none"/>
          </c:marker>
          <c:cat>
            <c:numRef>
              <c:f>'Reserves Projection'!$E$52:$L$52</c:f>
              <c:numCache>
                <c:formatCode>General</c:formatCode>
                <c:ptCount val="8"/>
              </c:numCache>
            </c:numRef>
          </c:cat>
          <c:val>
            <c:numRef>
              <c:f>'Reserves Projection'!$E$53:$L$53</c:f>
              <c:numCache>
                <c:formatCode>General</c:formatCode>
                <c:ptCount val="8"/>
              </c:numCache>
            </c:numRef>
          </c:val>
        </c:ser>
        <c:ser>
          <c:idx val="1"/>
          <c:order val="1"/>
          <c:tx>
            <c:v>Rupee Reserves</c:v>
          </c:tx>
          <c:spPr>
            <a:ln w="25400">
              <a:solidFill>
                <a:srgbClr val="FF00FF"/>
              </a:solidFill>
              <a:prstDash val="solid"/>
            </a:ln>
          </c:spPr>
          <c:marker>
            <c:symbol val="none"/>
          </c:marker>
          <c:cat>
            <c:numRef>
              <c:f>'Reserves Projection'!$E$52:$L$52</c:f>
              <c:numCache>
                <c:formatCode>General</c:formatCode>
                <c:ptCount val="8"/>
              </c:numCache>
            </c:numRef>
          </c:cat>
          <c:val>
            <c:numRef>
              <c:f>'Reserves Projection'!$E$54:$L$54</c:f>
              <c:numCache>
                <c:formatCode>General</c:formatCode>
                <c:ptCount val="8"/>
              </c:numCache>
            </c:numRef>
          </c:val>
        </c:ser>
        <c:ser>
          <c:idx val="2"/>
          <c:order val="2"/>
          <c:tx>
            <c:v>Convertible Currency Reserves</c:v>
          </c:tx>
          <c:spPr>
            <a:ln w="25400">
              <a:solidFill>
                <a:srgbClr val="FF0000"/>
              </a:solidFill>
              <a:prstDash val="solid"/>
            </a:ln>
          </c:spPr>
          <c:marker>
            <c:symbol val="none"/>
          </c:marker>
          <c:cat>
            <c:numRef>
              <c:f>'Reserves Projection'!$E$52:$L$52</c:f>
              <c:numCache>
                <c:formatCode>General</c:formatCode>
                <c:ptCount val="8"/>
              </c:numCache>
            </c:numRef>
          </c:cat>
          <c:val>
            <c:numRef>
              <c:f>'Reserves Projection'!$E$55:$L$55</c:f>
              <c:numCache>
                <c:formatCode>General</c:formatCode>
                <c:ptCount val="8"/>
              </c:numCache>
            </c:numRef>
          </c:val>
        </c:ser>
        <c:ser>
          <c:idx val="3"/>
          <c:order val="3"/>
          <c:tx>
            <c:strRef>
              <c:f>'Reserves Projection'!$A$56</c:f>
              <c:strCache>
                <c:ptCount val="1"/>
                <c:pt idx="0">
                  <c:v>Nominal GDP growth </c:v>
                </c:pt>
              </c:strCache>
            </c:strRef>
          </c:tx>
          <c:spPr>
            <a:ln w="38100">
              <a:solidFill>
                <a:srgbClr val="00FFFF"/>
              </a:solidFill>
              <a:prstDash val="solid"/>
            </a:ln>
          </c:spPr>
          <c:marker>
            <c:symbol val="none"/>
          </c:marker>
          <c:val>
            <c:numRef>
              <c:f>'Reserves Projection'!$E$56:$L$56</c:f>
              <c:numCache>
                <c:formatCode>General</c:formatCode>
                <c:ptCount val="8"/>
              </c:numCache>
            </c:numRef>
          </c:val>
        </c:ser>
        <c:marker val="1"/>
        <c:axId val="51500928"/>
        <c:axId val="51502464"/>
      </c:lineChart>
      <c:catAx>
        <c:axId val="515009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502464"/>
        <c:crosses val="autoZero"/>
        <c:auto val="1"/>
        <c:lblAlgn val="ctr"/>
        <c:lblOffset val="100"/>
        <c:tickLblSkip val="1"/>
        <c:tickMarkSkip val="1"/>
      </c:catAx>
      <c:valAx>
        <c:axId val="51502464"/>
        <c:scaling>
          <c:orientation val="minMax"/>
          <c:max val="35"/>
        </c:scaling>
        <c:axPos val="l"/>
        <c:title>
          <c:tx>
            <c:rich>
              <a:bodyPr/>
              <a:lstStyle/>
              <a:p>
                <a:pPr>
                  <a:defRPr sz="800" b="1" i="0" u="none" strike="noStrike" baseline="0">
                    <a:solidFill>
                      <a:srgbClr val="000000"/>
                    </a:solidFill>
                    <a:latin typeface="Arial"/>
                    <a:ea typeface="Arial"/>
                    <a:cs typeface="Arial"/>
                  </a:defRPr>
                </a:pPr>
                <a:r>
                  <a:rPr lang="en-US"/>
                  <a:t>percent</a:t>
                </a:r>
              </a:p>
            </c:rich>
          </c:tx>
          <c:layout>
            <c:manualLayout>
              <c:xMode val="edge"/>
              <c:yMode val="edge"/>
              <c:x val="2.3529411764705879E-2"/>
              <c:y val="0.42901364181329188"/>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500928"/>
        <c:crosses val="autoZero"/>
        <c:crossBetween val="between"/>
      </c:valAx>
      <c:spPr>
        <a:noFill/>
        <a:ln w="25400">
          <a:noFill/>
        </a:ln>
      </c:spPr>
    </c:plotArea>
    <c:legend>
      <c:legendPos val="r"/>
      <c:layout>
        <c:manualLayout>
          <c:xMode val="edge"/>
          <c:yMode val="edge"/>
          <c:x val="0.12745118624877769"/>
          <c:y val="0.82099024658970321"/>
          <c:w val="0.83529576450002962"/>
          <c:h val="0.1327163734163105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38304585553179477"/>
          <c:y val="2.8625954198473282E-2"/>
        </c:manualLayout>
      </c:layout>
      <c:spPr>
        <a:noFill/>
        <a:ln w="25400">
          <a:noFill/>
        </a:ln>
      </c:spPr>
    </c:title>
    <c:plotArea>
      <c:layout>
        <c:manualLayout>
          <c:layoutTarget val="inner"/>
          <c:xMode val="edge"/>
          <c:yMode val="edge"/>
          <c:x val="7.5353275971101932E-2"/>
          <c:y val="0.14694656488550994"/>
          <c:w val="0.90266945173715551"/>
          <c:h val="0.74809160305365363"/>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Sheet1!$Z$69:$Z$101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Sheet1!$AA$69:$AA$101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axId val="84781312"/>
        <c:axId val="84787584"/>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Sheet1!$Y$69:$Y$101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84781312"/>
        <c:axId val="84787584"/>
      </c:lineChart>
      <c:catAx>
        <c:axId val="847813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4787584"/>
        <c:crosses val="autoZero"/>
        <c:auto val="1"/>
        <c:lblAlgn val="ctr"/>
        <c:lblOffset val="100"/>
        <c:tickLblSkip val="6"/>
        <c:tickMarkSkip val="6"/>
      </c:catAx>
      <c:valAx>
        <c:axId val="84787584"/>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84781312"/>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0.26844600468897434"/>
          <c:y val="0.93893129770992367"/>
          <c:w val="0.51648384611261156"/>
          <c:h val="4.770992366412231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12 month change</a:t>
            </a:r>
          </a:p>
        </c:rich>
      </c:tx>
      <c:layout>
        <c:manualLayout>
          <c:xMode val="edge"/>
          <c:yMode val="edge"/>
          <c:x val="0.41875032808398949"/>
          <c:y val="2.8680688336520075E-2"/>
        </c:manualLayout>
      </c:layout>
      <c:spPr>
        <a:noFill/>
        <a:ln w="25400">
          <a:noFill/>
        </a:ln>
      </c:spPr>
    </c:title>
    <c:plotArea>
      <c:layout>
        <c:manualLayout>
          <c:layoutTarget val="inner"/>
          <c:xMode val="edge"/>
          <c:yMode val="edge"/>
          <c:x val="8.4375064373065745E-2"/>
          <c:y val="8.9866240688337207E-2"/>
          <c:w val="0.90312568903021928"/>
          <c:h val="0.83174073828579953"/>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Sheet1!$V$69:$V$101</c:f>
              <c:numCache>
                <c:formatCode>_-* #,##0_-;\-* #,##0_-;_-* "-"??_-;_-@_-</c:formatCode>
                <c:ptCount val="33"/>
                <c:pt idx="0">
                  <c:v>22.408069845696787</c:v>
                </c:pt>
                <c:pt idx="1">
                  <c:v>23.202162330785715</c:v>
                </c:pt>
                <c:pt idx="2">
                  <c:v>40.422120884047999</c:v>
                </c:pt>
                <c:pt idx="3">
                  <c:v>44.317141533824909</c:v>
                </c:pt>
                <c:pt idx="4">
                  <c:v>28.945935262857382</c:v>
                </c:pt>
                <c:pt idx="5">
                  <c:v>27.853572072980448</c:v>
                </c:pt>
                <c:pt idx="6">
                  <c:v>26.659794360498633</c:v>
                </c:pt>
                <c:pt idx="7">
                  <c:v>28.827112421427369</c:v>
                </c:pt>
                <c:pt idx="8">
                  <c:v>18.078348020476874</c:v>
                </c:pt>
                <c:pt idx="9">
                  <c:v>12.739527517823079</c:v>
                </c:pt>
                <c:pt idx="10">
                  <c:v>16.407707193824162</c:v>
                </c:pt>
                <c:pt idx="11">
                  <c:v>13.332943765947913</c:v>
                </c:pt>
                <c:pt idx="12">
                  <c:v>11.091075132340645</c:v>
                </c:pt>
                <c:pt idx="13">
                  <c:v>18.945702601177739</c:v>
                </c:pt>
                <c:pt idx="14">
                  <c:v>15.236180184445924</c:v>
                </c:pt>
                <c:pt idx="15">
                  <c:v>29.853696756015612</c:v>
                </c:pt>
                <c:pt idx="16">
                  <c:v>36.766383852696059</c:v>
                </c:pt>
                <c:pt idx="17">
                  <c:v>34.865905472199032</c:v>
                </c:pt>
                <c:pt idx="18">
                  <c:v>33.366896083613071</c:v>
                </c:pt>
                <c:pt idx="19">
                  <c:v>30.164281781885993</c:v>
                </c:pt>
                <c:pt idx="20">
                  <c:v>36.573436345850553</c:v>
                </c:pt>
                <c:pt idx="21">
                  <c:v>23.874333728459575</c:v>
                </c:pt>
                <c:pt idx="22">
                  <c:v>20.824872123627113</c:v>
                </c:pt>
                <c:pt idx="23">
                  <c:v>19.855544479582022</c:v>
                </c:pt>
                <c:pt idx="24">
                  <c:v>29.3020209971925</c:v>
                </c:pt>
                <c:pt idx="25">
                  <c:v>32.732617497412605</c:v>
                </c:pt>
                <c:pt idx="26">
                  <c:v>26.804009450538757</c:v>
                </c:pt>
                <c:pt idx="27">
                  <c:v>20.386365693306985</c:v>
                </c:pt>
                <c:pt idx="28">
                  <c:v>22.359802959590791</c:v>
                </c:pt>
                <c:pt idx="29">
                  <c:v>17.00094546815447</c:v>
                </c:pt>
                <c:pt idx="30">
                  <c:v>4.8413473714678412</c:v>
                </c:pt>
                <c:pt idx="31">
                  <c:v>4.2015870872044836</c:v>
                </c:pt>
                <c:pt idx="32">
                  <c:v>5.7872028377502716</c:v>
                </c:pt>
              </c:numCache>
            </c:numRef>
          </c:val>
        </c:ser>
        <c:ser>
          <c:idx val="1"/>
          <c:order val="1"/>
          <c:tx>
            <c:strRef>
              <c:f>Sheet1!$W$7</c:f>
              <c:strCache>
                <c:ptCount val="1"/>
                <c:pt idx="0">
                  <c:v>12 Month % change Pvt C</c:v>
                </c:pt>
              </c:strCache>
            </c:strRef>
          </c:tx>
          <c:spPr>
            <a:ln w="12700">
              <a:solidFill>
                <a:srgbClr val="FF00FF"/>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Sheet1!$W$69:$W$101</c:f>
              <c:numCache>
                <c:formatCode>_-* #,##0_-;\-* #,##0_-;_-* "-"??_-;_-@_-</c:formatCode>
                <c:ptCount val="33"/>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Sheet1!$X$69:$X$101</c:f>
              <c:numCache>
                <c:formatCode>0.0</c:formatCode>
                <c:ptCount val="33"/>
                <c:pt idx="0" formatCode="0">
                  <c:v>0</c:v>
                </c:pt>
                <c:pt idx="1">
                  <c:v>26.198904618230557</c:v>
                </c:pt>
                <c:pt idx="2">
                  <c:v>9.5984441025763303</c:v>
                </c:pt>
                <c:pt idx="3">
                  <c:v>6.2516573320369417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84698624"/>
        <c:axId val="84700160"/>
      </c:lineChart>
      <c:catAx>
        <c:axId val="8469862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4700160"/>
        <c:crosses val="autoZero"/>
        <c:auto val="1"/>
        <c:lblAlgn val="ctr"/>
        <c:lblOffset val="100"/>
        <c:tickLblSkip val="6"/>
        <c:tickMarkSkip val="6"/>
      </c:catAx>
      <c:valAx>
        <c:axId val="84700160"/>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84698624"/>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4.5312500000002524E-2"/>
          <c:y val="0.93690328861855965"/>
          <c:w val="0.90781315616797909"/>
          <c:h val="4.780114722753340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1080157663218918"/>
          <c:y val="2.8355387523630052E-2"/>
        </c:manualLayout>
      </c:layout>
      <c:spPr>
        <a:noFill/>
        <a:ln w="25400">
          <a:noFill/>
        </a:ln>
      </c:spPr>
    </c:title>
    <c:plotArea>
      <c:layout>
        <c:manualLayout>
          <c:layoutTarget val="inner"/>
          <c:xMode val="edge"/>
          <c:yMode val="edge"/>
          <c:x val="2.6132426411104241E-2"/>
          <c:y val="0.12287345935124069"/>
          <c:w val="0.94947815960345405"/>
          <c:h val="0.80718410989189959"/>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83324288"/>
        <c:axId val="84735104"/>
      </c:barChart>
      <c:catAx>
        <c:axId val="83324288"/>
        <c:scaling>
          <c:orientation val="minMax"/>
        </c:scaling>
        <c:axPos val="b"/>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4735104"/>
        <c:crosses val="autoZero"/>
        <c:auto val="1"/>
        <c:lblAlgn val="ctr"/>
        <c:lblOffset val="100"/>
        <c:tickLblSkip val="6"/>
        <c:tickMarkSkip val="6"/>
      </c:catAx>
      <c:valAx>
        <c:axId val="84735104"/>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3324288"/>
        <c:crosses val="autoZero"/>
        <c:crossBetween val="between"/>
        <c:majorUnit val="100"/>
      </c:valAx>
      <c:spPr>
        <a:solidFill>
          <a:srgbClr val="C0C0C0"/>
        </a:solidFill>
        <a:ln w="12700">
          <a:solidFill>
            <a:srgbClr val="808080"/>
          </a:solidFill>
          <a:prstDash val="solid"/>
        </a:ln>
      </c:spPr>
    </c:plotArea>
    <c:legend>
      <c:legendPos val="b"/>
      <c:layout>
        <c:manualLayout>
          <c:xMode val="edge"/>
          <c:yMode val="edge"/>
          <c:x val="0.35365890239330638"/>
          <c:y val="0.95085145547732863"/>
          <c:w val="0.2926831097332348"/>
          <c:h val="3.5916824196597197E-2"/>
        </c:manualLayout>
      </c:layou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a:t>Money Multiplier</a:t>
            </a:r>
          </a:p>
        </c:rich>
      </c:tx>
      <c:layout>
        <c:manualLayout>
          <c:xMode val="edge"/>
          <c:yMode val="edge"/>
          <c:x val="0.45616005546476501"/>
          <c:y val="3.4682080924855488E-2"/>
        </c:manualLayout>
      </c:layout>
      <c:spPr>
        <a:noFill/>
        <a:ln w="25400">
          <a:noFill/>
        </a:ln>
      </c:spPr>
    </c:title>
    <c:plotArea>
      <c:layout>
        <c:manualLayout>
          <c:layoutTarget val="inner"/>
          <c:xMode val="edge"/>
          <c:yMode val="edge"/>
          <c:x val="5.4384047230534124E-2"/>
          <c:y val="0.17052047185534441"/>
          <c:w val="0.9300781954936117"/>
          <c:h val="0.63294887010724465"/>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Sheet1!$AH$81:$AH$104</c:f>
              <c:numCache>
                <c:formatCode>_(* #,##0.0_);_(* \(#,##0.0\);_(*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86500480"/>
        <c:axId val="86502400"/>
      </c:lineChart>
      <c:catAx>
        <c:axId val="865004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6502400"/>
        <c:crosses val="autoZero"/>
        <c:auto val="1"/>
        <c:lblAlgn val="ctr"/>
        <c:lblOffset val="100"/>
        <c:tickLblSkip val="1"/>
        <c:tickMarkSkip val="1"/>
      </c:catAx>
      <c:valAx>
        <c:axId val="86502400"/>
        <c:scaling>
          <c:orientation val="minMax"/>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500480"/>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41776361836349402"/>
          <c:y val="3.6544850498338874E-2"/>
        </c:manualLayout>
      </c:layout>
      <c:spPr>
        <a:noFill/>
        <a:ln w="25400">
          <a:noFill/>
        </a:ln>
      </c:spPr>
    </c:title>
    <c:plotArea>
      <c:layout>
        <c:manualLayout>
          <c:layoutTarget val="inner"/>
          <c:xMode val="edge"/>
          <c:yMode val="edge"/>
          <c:x val="6.9079021337699331E-2"/>
          <c:y val="0.22923625226499644"/>
          <c:w val="0.91447466342287664"/>
          <c:h val="0.57807402745090064"/>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Sheet1!$Z$81:$Z$104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Sheet1!$AA$81:$AA$104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axId val="51163904"/>
        <c:axId val="51165824"/>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Sheet1!$Y$81:$Y$104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51163904"/>
        <c:axId val="51165824"/>
      </c:lineChart>
      <c:catAx>
        <c:axId val="5116390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1165824"/>
        <c:crosses val="autoZero"/>
        <c:auto val="1"/>
        <c:lblAlgn val="ctr"/>
        <c:lblOffset val="100"/>
        <c:tickLblSkip val="1"/>
        <c:tickMarkSkip val="1"/>
      </c:catAx>
      <c:valAx>
        <c:axId val="51165824"/>
        <c:scaling>
          <c:orientation val="minMax"/>
        </c:scaling>
        <c:axPos val="l"/>
        <c:majorGridlines>
          <c:spPr>
            <a:ln w="3175">
              <a:solidFill>
                <a:srgbClr val="000000"/>
              </a:solidFill>
              <a:prstDash val="solid"/>
            </a:ln>
          </c:spPr>
        </c:majorGridlines>
        <c:numFmt formatCode="0.0"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1163904"/>
        <c:crosses val="autoZero"/>
        <c:crossBetween val="between"/>
      </c:valAx>
      <c:spPr>
        <a:solidFill>
          <a:srgbClr val="C0C0C0"/>
        </a:solidFill>
        <a:ln w="12700">
          <a:solidFill>
            <a:srgbClr val="808080"/>
          </a:solidFill>
          <a:prstDash val="solid"/>
        </a:ln>
      </c:spPr>
    </c:plotArea>
    <c:legend>
      <c:legendPos val="b"/>
      <c:layout>
        <c:manualLayout>
          <c:xMode val="edge"/>
          <c:yMode val="edge"/>
          <c:x val="0.45175484643366925"/>
          <c:y val="0.86711102972593457"/>
          <c:w val="0.37061438043931288"/>
          <c:h val="8.6378737541527639E-2"/>
        </c:manualLayout>
      </c:layout>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25" b="1" i="0" u="none" strike="noStrike" baseline="0">
                <a:solidFill>
                  <a:srgbClr val="000000"/>
                </a:solidFill>
                <a:latin typeface="Arial"/>
                <a:ea typeface="Arial"/>
                <a:cs typeface="Arial"/>
              </a:defRPr>
            </a:pPr>
            <a:r>
              <a:rPr lang="en-US"/>
              <a:t>12 month change</a:t>
            </a:r>
          </a:p>
        </c:rich>
      </c:tx>
      <c:layout>
        <c:manualLayout>
          <c:xMode val="edge"/>
          <c:yMode val="edge"/>
          <c:x val="0.40987124463519314"/>
          <c:y val="3.3232628398791542E-2"/>
        </c:manualLayout>
      </c:layout>
      <c:spPr>
        <a:noFill/>
        <a:ln w="25400">
          <a:noFill/>
        </a:ln>
      </c:spPr>
    </c:title>
    <c:plotArea>
      <c:layout>
        <c:manualLayout>
          <c:layoutTarget val="inner"/>
          <c:xMode val="edge"/>
          <c:yMode val="edge"/>
          <c:x val="6.3304721030044933E-2"/>
          <c:y val="0.232628741958468"/>
          <c:w val="0.92167381974248963"/>
          <c:h val="0.59214588862155493"/>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Sheet1!$V$81:$V$104</c:f>
              <c:numCache>
                <c:formatCode>_-* #,##0_-;\-* #,##0_-;_-* "-"??_-;_-@_-</c:formatCode>
                <c:ptCount val="24"/>
                <c:pt idx="0">
                  <c:v>11.091075132340645</c:v>
                </c:pt>
                <c:pt idx="1">
                  <c:v>18.945702601177739</c:v>
                </c:pt>
                <c:pt idx="2">
                  <c:v>15.236180184445924</c:v>
                </c:pt>
                <c:pt idx="3">
                  <c:v>29.853696756015612</c:v>
                </c:pt>
                <c:pt idx="4">
                  <c:v>36.766383852696059</c:v>
                </c:pt>
                <c:pt idx="5">
                  <c:v>34.865905472199032</c:v>
                </c:pt>
                <c:pt idx="6">
                  <c:v>33.366896083613071</c:v>
                </c:pt>
                <c:pt idx="7">
                  <c:v>30.164281781885993</c:v>
                </c:pt>
                <c:pt idx="8">
                  <c:v>36.573436345850553</c:v>
                </c:pt>
                <c:pt idx="9">
                  <c:v>23.874333728459575</c:v>
                </c:pt>
                <c:pt idx="10">
                  <c:v>20.824872123627113</c:v>
                </c:pt>
                <c:pt idx="11">
                  <c:v>19.855544479582022</c:v>
                </c:pt>
                <c:pt idx="12">
                  <c:v>29.3020209971925</c:v>
                </c:pt>
                <c:pt idx="13">
                  <c:v>32.732617497412605</c:v>
                </c:pt>
                <c:pt idx="14">
                  <c:v>26.804009450538757</c:v>
                </c:pt>
                <c:pt idx="15">
                  <c:v>20.386365693306985</c:v>
                </c:pt>
                <c:pt idx="16">
                  <c:v>22.359802959590791</c:v>
                </c:pt>
                <c:pt idx="17">
                  <c:v>17.00094546815447</c:v>
                </c:pt>
                <c:pt idx="18">
                  <c:v>4.8413473714678412</c:v>
                </c:pt>
                <c:pt idx="19">
                  <c:v>4.2015870872044836</c:v>
                </c:pt>
                <c:pt idx="20">
                  <c:v>5.7872028377502716</c:v>
                </c:pt>
                <c:pt idx="21">
                  <c:v>18.389795974164436</c:v>
                </c:pt>
                <c:pt idx="22">
                  <c:v>15.944401663521358</c:v>
                </c:pt>
                <c:pt idx="23">
                  <c:v>10.424680435112531</c:v>
                </c:pt>
              </c:numCache>
            </c:numRef>
          </c:val>
        </c:ser>
        <c:ser>
          <c:idx val="1"/>
          <c:order val="1"/>
          <c:tx>
            <c:strRef>
              <c:f>Sheet1!$W$7</c:f>
              <c:strCache>
                <c:ptCount val="1"/>
                <c:pt idx="0">
                  <c:v>12 Month % change Pvt C</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Sheet1!$W$81:$W$104</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Sheet1!$X$81:$X$104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85302656"/>
        <c:axId val="85304832"/>
      </c:lineChart>
      <c:catAx>
        <c:axId val="8530265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5304832"/>
        <c:crosses val="autoZero"/>
        <c:auto val="1"/>
        <c:lblAlgn val="ctr"/>
        <c:lblOffset val="100"/>
        <c:tickLblSkip val="1"/>
        <c:tickMarkSkip val="1"/>
      </c:catAx>
      <c:valAx>
        <c:axId val="85304832"/>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5302656"/>
        <c:crosses val="autoZero"/>
        <c:crossBetween val="between"/>
      </c:valAx>
      <c:spPr>
        <a:solidFill>
          <a:srgbClr val="C0C0C0"/>
        </a:solidFill>
        <a:ln w="12700">
          <a:solidFill>
            <a:srgbClr val="808080"/>
          </a:solidFill>
          <a:prstDash val="solid"/>
        </a:ln>
      </c:spPr>
    </c:plotArea>
    <c:legend>
      <c:legendPos val="b"/>
      <c:layout>
        <c:manualLayout>
          <c:xMode val="edge"/>
          <c:yMode val="edge"/>
          <c:x val="0.18347639484982051"/>
          <c:y val="0.89728223549093356"/>
          <c:w val="0.68025751072961627"/>
          <c:h val="8.1570996978865246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25"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8212290502801074"/>
          <c:y val="3.8062283737024222E-2"/>
        </c:manualLayout>
      </c:layout>
      <c:spPr>
        <a:noFill/>
        <a:ln w="25400">
          <a:noFill/>
        </a:ln>
      </c:spPr>
    </c:title>
    <c:plotArea>
      <c:layout>
        <c:manualLayout>
          <c:layoutTarget val="inner"/>
          <c:xMode val="edge"/>
          <c:yMode val="edge"/>
          <c:x val="2.0949720670391071E-2"/>
          <c:y val="0.18685152676850167"/>
          <c:w val="0.9594972067039107"/>
          <c:h val="0.68858247827651631"/>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51200768"/>
        <c:axId val="51202304"/>
      </c:barChart>
      <c:catAx>
        <c:axId val="51200768"/>
        <c:scaling>
          <c:orientation val="minMax"/>
        </c:scaling>
        <c:axPos val="b"/>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1202304"/>
        <c:crosses val="autoZero"/>
        <c:auto val="1"/>
        <c:lblAlgn val="ctr"/>
        <c:lblOffset val="100"/>
        <c:tickMarkSkip val="1"/>
      </c:catAx>
      <c:valAx>
        <c:axId val="512023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1200768"/>
        <c:crosses val="autoZero"/>
        <c:crossBetween val="between"/>
      </c:valAx>
      <c:spPr>
        <a:solidFill>
          <a:srgbClr val="C0C0C0"/>
        </a:solidFill>
        <a:ln w="12700">
          <a:solidFill>
            <a:srgbClr val="808080"/>
          </a:solidFill>
          <a:prstDash val="solid"/>
        </a:ln>
      </c:spPr>
    </c:plotArea>
    <c:legend>
      <c:legendPos val="b"/>
      <c:layout>
        <c:manualLayout>
          <c:xMode val="edge"/>
          <c:yMode val="edge"/>
          <c:x val="0.39525139664804482"/>
          <c:y val="0.91349626279414031"/>
          <c:w val="0.21089385474860384"/>
          <c:h val="6.2283737024234891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a:t>Contribution to M2 (Components)</a:t>
            </a:r>
          </a:p>
        </c:rich>
      </c:tx>
      <c:layout>
        <c:manualLayout>
          <c:xMode val="edge"/>
          <c:yMode val="edge"/>
          <c:x val="0.32061064689591445"/>
          <c:y val="4.411798705668836E-2"/>
        </c:manualLayout>
      </c:layout>
      <c:spPr>
        <a:noFill/>
        <a:ln w="25400">
          <a:noFill/>
        </a:ln>
      </c:spPr>
    </c:title>
    <c:plotArea>
      <c:layout>
        <c:manualLayout>
          <c:layoutTarget val="inner"/>
          <c:xMode val="edge"/>
          <c:yMode val="edge"/>
          <c:x val="0.15267175572519084"/>
          <c:y val="0.1390939086490538"/>
          <c:w val="0.82061068702290052"/>
          <c:h val="0.52573790886541527"/>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M2'!$A$696:$A$709</c:f>
              <c:strCache>
                <c:ptCount val="14"/>
                <c:pt idx="0">
                  <c:v>2004 Jan</c:v>
                </c:pt>
                <c:pt idx="1">
                  <c:v>Feb</c:v>
                </c:pt>
                <c:pt idx="2">
                  <c:v>Mar</c:v>
                </c:pt>
                <c:pt idx="3">
                  <c:v>Apr</c:v>
                </c:pt>
                <c:pt idx="4">
                  <c:v>May</c:v>
                </c:pt>
                <c:pt idx="5">
                  <c:v>2004Jun</c:v>
                </c:pt>
                <c:pt idx="6">
                  <c:v>Jul</c:v>
                </c:pt>
                <c:pt idx="7">
                  <c:v>Aug</c:v>
                </c:pt>
                <c:pt idx="8">
                  <c:v>Sep</c:v>
                </c:pt>
                <c:pt idx="9">
                  <c:v>Oct</c:v>
                </c:pt>
                <c:pt idx="10">
                  <c:v>Nov</c:v>
                </c:pt>
                <c:pt idx="11">
                  <c:v>Dec</c:v>
                </c:pt>
                <c:pt idx="12">
                  <c:v>2005</c:v>
                </c:pt>
                <c:pt idx="13">
                  <c:v>2005 Jan</c:v>
                </c:pt>
              </c:strCache>
            </c:strRef>
          </c:cat>
          <c:val>
            <c:numRef>
              <c:f>'Contribution to M2'!$F$696:$F$709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ser>
          <c:idx val="1"/>
          <c:order val="1"/>
          <c:tx>
            <c:strRef>
              <c:f>'Contribution to M2'!$I$692</c:f>
              <c:strCache>
                <c:ptCount val="1"/>
                <c:pt idx="0">
                  <c:v>QM</c:v>
                </c:pt>
              </c:strCache>
            </c:strRef>
          </c:tx>
          <c:spPr>
            <a:solidFill>
              <a:srgbClr val="993366"/>
            </a:solidFill>
            <a:ln w="12700">
              <a:solidFill>
                <a:srgbClr val="000000"/>
              </a:solidFill>
              <a:prstDash val="solid"/>
            </a:ln>
          </c:spPr>
          <c:val>
            <c:numRef>
              <c:f>'Contribution to M2'!$I$696:$I$709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axId val="50802688"/>
        <c:axId val="50804608"/>
      </c:barChart>
      <c:lineChart>
        <c:grouping val="standard"/>
        <c:ser>
          <c:idx val="2"/>
          <c:order val="2"/>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val>
            <c:numRef>
              <c:f>'Contribution to M2'!$J$696:$J$709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marker val="1"/>
        <c:axId val="50802688"/>
        <c:axId val="50804608"/>
      </c:lineChart>
      <c:catAx>
        <c:axId val="50802688"/>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0804608"/>
        <c:crosses val="autoZero"/>
        <c:auto val="1"/>
        <c:lblAlgn val="ctr"/>
        <c:lblOffset val="100"/>
        <c:tickLblSkip val="1"/>
        <c:tickMarkSkip val="1"/>
      </c:catAx>
      <c:valAx>
        <c:axId val="50804608"/>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3.053438904281611E-2"/>
              <c:y val="0.372550858940499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802688"/>
        <c:crosses val="autoZero"/>
        <c:crossBetween val="between"/>
      </c:valAx>
      <c:spPr>
        <a:noFill/>
        <a:ln w="3175">
          <a:solidFill>
            <a:srgbClr val="000000"/>
          </a:solidFill>
          <a:prstDash val="solid"/>
        </a:ln>
      </c:spPr>
    </c:plotArea>
    <c:legend>
      <c:legendPos val="b"/>
      <c:layout>
        <c:manualLayout>
          <c:xMode val="edge"/>
          <c:yMode val="edge"/>
          <c:x val="0.41603057615016481"/>
          <c:y val="0.85784701100090865"/>
          <c:w val="0.29389301997890088"/>
          <c:h val="0.10784407364242"/>
        </c:manualLayout>
      </c:layout>
      <c:spPr>
        <a:solidFill>
          <a:srgbClr val="FFFFFF"/>
        </a:solidFill>
        <a:ln w="3175">
          <a:solidFill>
            <a:srgbClr val="000000"/>
          </a:solidFill>
          <a:prstDash val="solid"/>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b="1"/>
            </a:pPr>
            <a:r>
              <a:rPr lang="en-US" b="1"/>
              <a:t>Contribution to M2 (Counterparts)</a:t>
            </a:r>
          </a:p>
        </c:rich>
      </c:tx>
      <c:layout>
        <c:manualLayout>
          <c:xMode val="edge"/>
          <c:yMode val="edge"/>
          <c:x val="0.26866141732283488"/>
          <c:y val="2.7976667035058231E-2"/>
        </c:manualLayout>
      </c:layout>
      <c:spPr>
        <a:noFill/>
        <a:ln w="25400">
          <a:noFill/>
        </a:ln>
      </c:spPr>
    </c:title>
    <c:plotArea>
      <c:layout>
        <c:manualLayout>
          <c:layoutTarget val="inner"/>
          <c:xMode val="edge"/>
          <c:yMode val="edge"/>
          <c:x val="0.10577497643510085"/>
          <c:y val="0.15820758104825144"/>
          <c:w val="0.88560188138514162"/>
          <c:h val="0.61963833468190765"/>
        </c:manualLayout>
      </c:layout>
      <c:barChart>
        <c:barDir val="col"/>
        <c:grouping val="clustered"/>
        <c:ser>
          <c:idx val="0"/>
          <c:order val="0"/>
          <c:tx>
            <c:strRef>
              <c:f>'Contribution to M2'!$G$114</c:f>
              <c:strCache>
                <c:ptCount val="1"/>
                <c:pt idx="0">
                  <c:v>NFA</c:v>
                </c:pt>
              </c:strCache>
            </c:strRef>
          </c:tx>
          <c:spPr>
            <a:solidFill>
              <a:srgbClr val="9999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M2'!$G$208:$G$212</c:f>
              <c:numCache>
                <c:formatCode>_(* #,##0.0_);_(* \(#,##0.0\);_(* "-"??_);_(@_)</c:formatCode>
                <c:ptCount val="5"/>
                <c:pt idx="0">
                  <c:v>21.19480152636352</c:v>
                </c:pt>
                <c:pt idx="1">
                  <c:v>7.5929189482796628</c:v>
                </c:pt>
                <c:pt idx="2">
                  <c:v>9.3223798401188116</c:v>
                </c:pt>
                <c:pt idx="3">
                  <c:v>31.10652745657087</c:v>
                </c:pt>
                <c:pt idx="4">
                  <c:v>14.182441203627731</c:v>
                </c:pt>
              </c:numCache>
            </c:numRef>
          </c:val>
        </c:ser>
        <c:ser>
          <c:idx val="1"/>
          <c:order val="1"/>
          <c:tx>
            <c:strRef>
              <c:f>'Contribution to M2'!$H$114</c:f>
              <c:strCache>
                <c:ptCount val="1"/>
                <c:pt idx="0">
                  <c:v>C (rest)</c:v>
                </c:pt>
              </c:strCache>
            </c:strRef>
          </c:tx>
          <c:spPr>
            <a:solidFill>
              <a:srgbClr val="993366"/>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M2'!$H$208:$H$212</c:f>
              <c:numCache>
                <c:formatCode>_(* #,##0.0_);_(* \(#,##0.0\);_(* "-"??_);_(@_)</c:formatCode>
                <c:ptCount val="5"/>
                <c:pt idx="0">
                  <c:v>21.506081113580077</c:v>
                </c:pt>
                <c:pt idx="1">
                  <c:v>18.623763930306648</c:v>
                </c:pt>
                <c:pt idx="2">
                  <c:v>18.907912927416014</c:v>
                </c:pt>
                <c:pt idx="3">
                  <c:v>21.633590395494114</c:v>
                </c:pt>
                <c:pt idx="4">
                  <c:v>20.349084485082319</c:v>
                </c:pt>
              </c:numCache>
            </c:numRef>
          </c:val>
        </c:ser>
        <c:ser>
          <c:idx val="2"/>
          <c:order val="2"/>
          <c:tx>
            <c:strRef>
              <c:f>'Contribution to M2'!$I$114</c:f>
              <c:strCache>
                <c:ptCount val="1"/>
                <c:pt idx="0">
                  <c:v>C (Pvt)</c:v>
                </c:pt>
              </c:strCache>
            </c:strRef>
          </c:tx>
          <c:spPr>
            <a:solidFill>
              <a:srgbClr val="FFFFCC"/>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M2'!$I$208:$I$212</c:f>
              <c:numCache>
                <c:formatCode>_(* #,##0.0_);_(* \(#,##0.0\);_(* "-"??_);_(@_)</c:formatCode>
                <c:ptCount val="5"/>
                <c:pt idx="0">
                  <c:v>8.5194395901248345</c:v>
                </c:pt>
                <c:pt idx="1">
                  <c:v>6.9302690986227962</c:v>
                </c:pt>
                <c:pt idx="2">
                  <c:v>6.5102310662946525</c:v>
                </c:pt>
                <c:pt idx="3">
                  <c:v>6.7181961620924673</c:v>
                </c:pt>
                <c:pt idx="4">
                  <c:v>6.3397989555000853</c:v>
                </c:pt>
              </c:numCache>
            </c:numRef>
          </c:val>
        </c:ser>
        <c:ser>
          <c:idx val="3"/>
          <c:order val="3"/>
          <c:tx>
            <c:strRef>
              <c:f>'Contribution to M2'!$J$114</c:f>
              <c:strCache>
                <c:ptCount val="1"/>
                <c:pt idx="0">
                  <c:v>OIN</c:v>
                </c:pt>
              </c:strCache>
            </c:strRef>
          </c:tx>
          <c:spPr>
            <a:solidFill>
              <a:srgbClr val="CCFF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M2'!$J$208:$J$212</c:f>
              <c:numCache>
                <c:formatCode>_(* #,##0.0_);_(* \(#,##0.0\);_(* "-"??_);_(@_)</c:formatCode>
                <c:ptCount val="5"/>
                <c:pt idx="0">
                  <c:v>-12.661773991944342</c:v>
                </c:pt>
                <c:pt idx="1">
                  <c:v>-8.5062780885842866</c:v>
                </c:pt>
                <c:pt idx="2">
                  <c:v>-6.2100979359260213</c:v>
                </c:pt>
                <c:pt idx="3">
                  <c:v>-12.355373498888273</c:v>
                </c:pt>
                <c:pt idx="4">
                  <c:v>1.8532250736718996</c:v>
                </c:pt>
              </c:numCache>
            </c:numRef>
          </c:val>
        </c:ser>
        <c:axId val="50849280"/>
        <c:axId val="50851200"/>
      </c:barChart>
      <c:lineChart>
        <c:grouping val="standard"/>
        <c:ser>
          <c:idx val="4"/>
          <c:order val="4"/>
          <c:tx>
            <c:strRef>
              <c:f>'Contribution to M2'!$K$114</c:f>
              <c:strCache>
                <c:ptCount val="1"/>
                <c:pt idx="0">
                  <c:v>M2</c:v>
                </c:pt>
              </c:strCache>
            </c:strRef>
          </c:tx>
          <c:spPr>
            <a:ln w="12700">
              <a:solidFill>
                <a:srgbClr val="800080"/>
              </a:solidFill>
              <a:prstDash val="solid"/>
            </a:ln>
          </c:spPr>
          <c:marker>
            <c:symbol val="star"/>
            <c:size val="5"/>
            <c:spPr>
              <a:noFill/>
              <a:ln>
                <a:solidFill>
                  <a:srgbClr val="800080"/>
                </a:solidFill>
                <a:prstDash val="solid"/>
              </a:ln>
            </c:spPr>
          </c:marker>
          <c:cat>
            <c:strRef>
              <c:f>'Contribution to M2'!$A$208:$A$212</c:f>
              <c:strCache>
                <c:ptCount val="5"/>
                <c:pt idx="0">
                  <c:v>Jan-11</c:v>
                </c:pt>
                <c:pt idx="1">
                  <c:v>Feb</c:v>
                </c:pt>
                <c:pt idx="2">
                  <c:v>Mar</c:v>
                </c:pt>
                <c:pt idx="3">
                  <c:v>Apr</c:v>
                </c:pt>
                <c:pt idx="4">
                  <c:v>May</c:v>
                </c:pt>
              </c:strCache>
            </c:strRef>
          </c:cat>
          <c:val>
            <c:numRef>
              <c:f>'Contribution to M2'!$K$208:$K$212</c:f>
              <c:numCache>
                <c:formatCode>_(* #,##0.0_);_(* \(#,##0.0\);_(* "-"??_);_(@_)</c:formatCode>
                <c:ptCount val="5"/>
                <c:pt idx="0">
                  <c:v>38.558548238124089</c:v>
                </c:pt>
                <c:pt idx="1">
                  <c:v>24.640673888624818</c:v>
                </c:pt>
                <c:pt idx="2">
                  <c:v>28.530425897903456</c:v>
                </c:pt>
                <c:pt idx="3">
                  <c:v>47.102940515269182</c:v>
                </c:pt>
                <c:pt idx="4">
                  <c:v>42.724549717882034</c:v>
                </c:pt>
              </c:numCache>
            </c:numRef>
          </c:val>
        </c:ser>
        <c:marker val="1"/>
        <c:axId val="50849280"/>
        <c:axId val="50851200"/>
      </c:lineChart>
      <c:catAx>
        <c:axId val="50849280"/>
        <c:scaling>
          <c:orientation val="minMax"/>
        </c:scaling>
        <c:axPos val="b"/>
        <c:numFmt formatCode="@" sourceLinked="1"/>
        <c:tickLblPos val="low"/>
        <c:spPr>
          <a:ln w="3175">
            <a:solidFill>
              <a:srgbClr val="000000"/>
            </a:solidFill>
            <a:prstDash val="solid"/>
          </a:ln>
        </c:spPr>
        <c:txPr>
          <a:bodyPr rot="0" vert="horz"/>
          <a:lstStyle/>
          <a:p>
            <a:pPr>
              <a:defRPr/>
            </a:pPr>
            <a:endParaRPr lang="en-US"/>
          </a:p>
        </c:txPr>
        <c:crossAx val="50851200"/>
        <c:crosses val="autoZero"/>
        <c:auto val="1"/>
        <c:lblAlgn val="ctr"/>
        <c:lblOffset val="100"/>
        <c:tickLblSkip val="1"/>
        <c:tickMarkSkip val="1"/>
      </c:catAx>
      <c:valAx>
        <c:axId val="50851200"/>
        <c:scaling>
          <c:orientation val="minMax"/>
        </c:scaling>
        <c:axPos val="l"/>
        <c:title>
          <c:tx>
            <c:rich>
              <a:bodyPr/>
              <a:lstStyle/>
              <a:p>
                <a:pPr>
                  <a:defRPr/>
                </a:pPr>
                <a:r>
                  <a:rPr lang="en-US"/>
                  <a:t>Percent</a:t>
                </a:r>
              </a:p>
            </c:rich>
          </c:tx>
          <c:layout>
            <c:manualLayout>
              <c:xMode val="edge"/>
              <c:yMode val="edge"/>
              <c:x val="2.3848651324872186E-3"/>
              <c:y val="0.45734152343687384"/>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en-US"/>
          </a:p>
        </c:txPr>
        <c:crossAx val="50849280"/>
        <c:crosses val="autoZero"/>
        <c:crossBetween val="between"/>
      </c:valAx>
      <c:spPr>
        <a:noFill/>
        <a:ln w="12700">
          <a:solidFill>
            <a:srgbClr val="808080"/>
          </a:solidFill>
          <a:prstDash val="solid"/>
        </a:ln>
      </c:spPr>
    </c:plotArea>
    <c:legend>
      <c:legendPos val="b"/>
      <c:layout>
        <c:manualLayout>
          <c:xMode val="edge"/>
          <c:yMode val="edge"/>
          <c:x val="8.2076711856946483E-2"/>
          <c:y val="0.87954539790145303"/>
          <c:w val="0.86165287358526665"/>
          <c:h val="0.10151703864598655"/>
        </c:manualLayout>
      </c:layout>
    </c:legend>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a:t>Contribution to M2 (Components)</a:t>
            </a:r>
          </a:p>
        </c:rich>
      </c:tx>
      <c:layout>
        <c:manualLayout>
          <c:xMode val="edge"/>
          <c:yMode val="edge"/>
          <c:x val="0.32203389830508738"/>
          <c:y val="3.3536585365853661E-2"/>
        </c:manualLayout>
      </c:layout>
      <c:spPr>
        <a:noFill/>
        <a:ln w="25400">
          <a:noFill/>
        </a:ln>
      </c:spPr>
    </c:title>
    <c:plotArea>
      <c:layout>
        <c:manualLayout>
          <c:layoutTarget val="inner"/>
          <c:xMode val="edge"/>
          <c:yMode val="edge"/>
          <c:x val="0.15423728813563936"/>
          <c:y val="0.18902467163781386"/>
          <c:w val="0.82203389830509765"/>
          <c:h val="0.49085438925312191"/>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M2'!$F$694:$F$726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-3.4863454302706667</c:v>
                </c:pt>
                <c:pt idx="28">
                  <c:v>-2.8237728104457571</c:v>
                </c:pt>
                <c:pt idx="29">
                  <c:v>2.9425179264135384</c:v>
                </c:pt>
                <c:pt idx="30">
                  <c:v>-0.32938806346008381</c:v>
                </c:pt>
                <c:pt idx="31">
                  <c:v>12.541260408808247</c:v>
                </c:pt>
                <c:pt idx="32">
                  <c:v>3.177679333278788</c:v>
                </c:pt>
              </c:numCache>
            </c:numRef>
          </c:val>
        </c:ser>
        <c:ser>
          <c:idx val="3"/>
          <c:order val="1"/>
          <c:tx>
            <c:strRef>
              <c:f>'Contribution to M2'!$G$692</c:f>
              <c:strCache>
                <c:ptCount val="1"/>
                <c:pt idx="0">
                  <c:v>C in C</c:v>
                </c:pt>
              </c:strCache>
            </c:strRef>
          </c:tx>
          <c:spPr>
            <a:solidFill>
              <a:srgbClr val="CCFF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M2'!$G$694:$G$726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2.706396407330987</c:v>
                </c:pt>
                <c:pt idx="28">
                  <c:v>2.481956401837853</c:v>
                </c:pt>
                <c:pt idx="29">
                  <c:v>2.2771834959445165</c:v>
                </c:pt>
                <c:pt idx="30">
                  <c:v>-0.61898766053890819</c:v>
                </c:pt>
                <c:pt idx="31">
                  <c:v>10.312067911003648</c:v>
                </c:pt>
                <c:pt idx="32">
                  <c:v>1.549682652858464</c:v>
                </c:pt>
              </c:numCache>
            </c:numRef>
          </c:val>
        </c:ser>
        <c:ser>
          <c:idx val="4"/>
          <c:order val="2"/>
          <c:tx>
            <c:strRef>
              <c:f>'Contribution to M2'!$H$692</c:f>
              <c:strCache>
                <c:ptCount val="1"/>
                <c:pt idx="0">
                  <c:v>DD</c:v>
                </c:pt>
              </c:strCache>
            </c:strRef>
          </c:tx>
          <c:spPr>
            <a:solidFill>
              <a:srgbClr val="6600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M2'!$H$694:$H$726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-6.0470930938220633</c:v>
                </c:pt>
                <c:pt idx="28">
                  <c:v>-5.1653572383885464</c:v>
                </c:pt>
                <c:pt idx="29">
                  <c:v>1.5700011755025267</c:v>
                </c:pt>
                <c:pt idx="30">
                  <c:v>1.2379753210778222</c:v>
                </c:pt>
                <c:pt idx="31">
                  <c:v>-0.11351818313790872</c:v>
                </c:pt>
                <c:pt idx="32">
                  <c:v>-0.63983729384124743</c:v>
                </c:pt>
              </c:numCache>
            </c:numRef>
          </c:val>
        </c:ser>
        <c:ser>
          <c:idx val="1"/>
          <c:order val="3"/>
          <c:tx>
            <c:strRef>
              <c:f>'Contribution to M2'!$I$692</c:f>
              <c:strCache>
                <c:ptCount val="1"/>
                <c:pt idx="0">
                  <c:v>QM</c:v>
                </c:pt>
              </c:strCache>
            </c:strRef>
          </c:tx>
          <c:spPr>
            <a:solidFill>
              <a:srgbClr val="9933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M2'!$I$694:$I$726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35.257676902536716</c:v>
                </c:pt>
                <c:pt idx="28">
                  <c:v>31.461312489791666</c:v>
                </c:pt>
                <c:pt idx="29">
                  <c:v>35.725167509110136</c:v>
                </c:pt>
                <c:pt idx="30">
                  <c:v>35.054646184840095</c:v>
                </c:pt>
                <c:pt idx="31">
                  <c:v>29.949285692187246</c:v>
                </c:pt>
                <c:pt idx="32">
                  <c:v>31.099552324290208</c:v>
                </c:pt>
              </c:numCache>
            </c:numRef>
          </c:val>
        </c:ser>
        <c:axId val="84597376"/>
        <c:axId val="84615936"/>
      </c:barChart>
      <c:lineChart>
        <c:grouping val="standard"/>
        <c:ser>
          <c:idx val="2"/>
          <c:order val="4"/>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M2'!$J$694:$J$726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31.771331472266048</c:v>
                </c:pt>
                <c:pt idx="28">
                  <c:v>28.63753967934591</c:v>
                </c:pt>
                <c:pt idx="29">
                  <c:v>38.667685435523673</c:v>
                </c:pt>
                <c:pt idx="30">
                  <c:v>34.725258121380008</c:v>
                </c:pt>
                <c:pt idx="31">
                  <c:v>42.490546100995495</c:v>
                </c:pt>
                <c:pt idx="32">
                  <c:v>34.277231657568997</c:v>
                </c:pt>
              </c:numCache>
            </c:numRef>
          </c:val>
        </c:ser>
        <c:marker val="1"/>
        <c:axId val="84597376"/>
        <c:axId val="84615936"/>
      </c:lineChart>
      <c:catAx>
        <c:axId val="84597376"/>
        <c:scaling>
          <c:orientation val="minMax"/>
        </c:scaling>
        <c:axPos val="b"/>
        <c:numFmt formatCode="General" sourceLinked="1"/>
        <c:tickLblPos val="low"/>
        <c:spPr>
          <a:ln w="3175">
            <a:solidFill>
              <a:srgbClr val="000000"/>
            </a:solidFill>
            <a:prstDash val="solid"/>
          </a:ln>
        </c:spPr>
        <c:txPr>
          <a:bodyPr rot="-2700000" vert="horz"/>
          <a:lstStyle/>
          <a:p>
            <a:pPr>
              <a:defRPr sz="950" b="0" i="0" u="none" strike="noStrike" baseline="0">
                <a:solidFill>
                  <a:srgbClr val="000000"/>
                </a:solidFill>
                <a:latin typeface="Arial"/>
                <a:ea typeface="Arial"/>
                <a:cs typeface="Arial"/>
              </a:defRPr>
            </a:pPr>
            <a:endParaRPr lang="en-US"/>
          </a:p>
        </c:txPr>
        <c:crossAx val="84615936"/>
        <c:crosses val="autoZero"/>
        <c:auto val="1"/>
        <c:lblAlgn val="ctr"/>
        <c:lblOffset val="100"/>
        <c:tickLblSkip val="2"/>
        <c:tickMarkSkip val="1"/>
      </c:catAx>
      <c:valAx>
        <c:axId val="84615936"/>
        <c:scaling>
          <c:orientation val="minMax"/>
        </c:scaling>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a:t>
                </a:r>
              </a:p>
            </c:rich>
          </c:tx>
          <c:layout>
            <c:manualLayout>
              <c:xMode val="edge"/>
              <c:yMode val="edge"/>
              <c:x val="2.7118644067796599E-2"/>
              <c:y val="0.411586006017581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84597376"/>
        <c:crosses val="autoZero"/>
        <c:crossBetween val="between"/>
      </c:valAx>
      <c:spPr>
        <a:noFill/>
        <a:ln w="3175">
          <a:solidFill>
            <a:srgbClr val="000000"/>
          </a:solidFill>
          <a:prstDash val="solid"/>
        </a:ln>
      </c:spPr>
    </c:plotArea>
    <c:legend>
      <c:legendPos val="b"/>
      <c:layout>
        <c:manualLayout>
          <c:xMode val="edge"/>
          <c:yMode val="edge"/>
          <c:x val="0.3135593220338983"/>
          <c:y val="0.90548908520581251"/>
          <c:w val="0.5016949152542387"/>
          <c:h val="7.3170731707319026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1568649602959565"/>
          <c:y val="0.2191364629643584"/>
          <c:w val="0.84509965743671556"/>
          <c:h val="0.57407580438563688"/>
        </c:manualLayout>
      </c:layout>
      <c:lineChart>
        <c:grouping val="standard"/>
        <c:ser>
          <c:idx val="0"/>
          <c:order val="0"/>
          <c:tx>
            <c:v>Total Reserves</c:v>
          </c:tx>
          <c:spPr>
            <a:ln w="25400">
              <a:solidFill>
                <a:srgbClr val="00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Projection'!$E$65:$L$65</c:f>
              <c:numCache>
                <c:formatCode>0.0</c:formatCode>
                <c:ptCount val="8"/>
                <c:pt idx="0">
                  <c:v>13.353212301228561</c:v>
                </c:pt>
                <c:pt idx="1">
                  <c:v>23.300889664101597</c:v>
                </c:pt>
                <c:pt idx="2">
                  <c:v>-2.0252395965311676</c:v>
                </c:pt>
                <c:pt idx="3">
                  <c:v>6.2020202725455187</c:v>
                </c:pt>
                <c:pt idx="4">
                  <c:v>11.11881050114207</c:v>
                </c:pt>
                <c:pt idx="5">
                  <c:v>10.720454403890614</c:v>
                </c:pt>
                <c:pt idx="6">
                  <c:v>13.973663706137026</c:v>
                </c:pt>
                <c:pt idx="7">
                  <c:v>12.044509349731927</c:v>
                </c:pt>
              </c:numCache>
            </c:numRef>
          </c:val>
        </c:ser>
        <c:ser>
          <c:idx val="1"/>
          <c:order val="1"/>
          <c:tx>
            <c:v>Rupee Reserves</c:v>
          </c:tx>
          <c:spPr>
            <a:ln w="25400">
              <a:solidFill>
                <a:srgbClr val="FF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Projection'!$E$66:$L$66</c:f>
              <c:numCache>
                <c:formatCode>0.0</c:formatCode>
                <c:ptCount val="8"/>
                <c:pt idx="0">
                  <c:v>3.1520980202256821</c:v>
                </c:pt>
                <c:pt idx="1">
                  <c:v>-9.1086498466106978</c:v>
                </c:pt>
                <c:pt idx="2">
                  <c:v>31.010014563908527</c:v>
                </c:pt>
                <c:pt idx="3">
                  <c:v>-17.983052284870134</c:v>
                </c:pt>
                <c:pt idx="4">
                  <c:v>7.4531495607687193</c:v>
                </c:pt>
                <c:pt idx="5">
                  <c:v>0.47281397378595713</c:v>
                </c:pt>
                <c:pt idx="6">
                  <c:v>18.896489350742929</c:v>
                </c:pt>
                <c:pt idx="7">
                  <c:v>7.4531495607687193</c:v>
                </c:pt>
              </c:numCache>
            </c:numRef>
          </c:val>
        </c:ser>
        <c:ser>
          <c:idx val="2"/>
          <c:order val="2"/>
          <c:tx>
            <c:v>Convertible Currency Reserves</c:v>
          </c:tx>
          <c:spPr>
            <a:ln w="25400">
              <a:solidFill>
                <a:srgbClr val="FF0000"/>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Projection'!$E$67:$L$67</c:f>
              <c:numCache>
                <c:formatCode>0.0</c:formatCode>
                <c:ptCount val="8"/>
                <c:pt idx="0">
                  <c:v>16.552024636054284</c:v>
                </c:pt>
                <c:pt idx="1">
                  <c:v>29.165357297712806</c:v>
                </c:pt>
                <c:pt idx="2">
                  <c:v>-8.0464033210243375</c:v>
                </c:pt>
                <c:pt idx="3">
                  <c:v>13.929757391690384</c:v>
                </c:pt>
                <c:pt idx="4">
                  <c:v>13</c:v>
                </c:pt>
                <c:pt idx="5">
                  <c:v>13</c:v>
                </c:pt>
                <c:pt idx="6">
                  <c:v>13</c:v>
                </c:pt>
                <c:pt idx="7">
                  <c:v>13</c:v>
                </c:pt>
              </c:numCache>
            </c:numRef>
          </c:val>
        </c:ser>
        <c:ser>
          <c:idx val="3"/>
          <c:order val="3"/>
          <c:tx>
            <c:strRef>
              <c:f>'F:\[Modify tables _ January 2006 back up.xls]Reserves Projection'!$A$68</c:f>
              <c:strCache>
                <c:ptCount val="1"/>
                <c:pt idx="0">
                  <c:v>Real GDP </c:v>
                </c:pt>
              </c:strCache>
            </c:strRef>
          </c:tx>
          <c:spPr>
            <a:ln w="38100">
              <a:solidFill>
                <a:srgbClr val="00FFFF"/>
              </a:solidFill>
              <a:prstDash val="solid"/>
            </a:ln>
          </c:spPr>
          <c:marker>
            <c:symbol val="none"/>
          </c:marker>
          <c:val>
            <c:numRef>
              <c:f>'Reserves Projection'!$E$68:$L$68</c:f>
              <c:numCache>
                <c:formatCode>0.0</c:formatCode>
                <c:ptCount val="8"/>
                <c:pt idx="0">
                  <c:v>7.5</c:v>
                </c:pt>
                <c:pt idx="1">
                  <c:v>8.9</c:v>
                </c:pt>
                <c:pt idx="2">
                  <c:v>7.1</c:v>
                </c:pt>
                <c:pt idx="3">
                  <c:v>7.5</c:v>
                </c:pt>
                <c:pt idx="4">
                  <c:v>5.8</c:v>
                </c:pt>
                <c:pt idx="5">
                  <c:v>6.6192414574931799</c:v>
                </c:pt>
                <c:pt idx="6">
                  <c:v>9.9189429276501926</c:v>
                </c:pt>
                <c:pt idx="7">
                  <c:v>4.0735088231358461</c:v>
                </c:pt>
              </c:numCache>
            </c:numRef>
          </c:val>
        </c:ser>
        <c:marker val="1"/>
        <c:axId val="51415296"/>
        <c:axId val="51425280"/>
      </c:lineChart>
      <c:catAx>
        <c:axId val="514152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425280"/>
        <c:crosses val="autoZero"/>
        <c:auto val="1"/>
        <c:lblAlgn val="ctr"/>
        <c:lblOffset val="100"/>
        <c:tickLblSkip val="1"/>
        <c:tickMarkSkip val="1"/>
      </c:catAx>
      <c:valAx>
        <c:axId val="51425280"/>
        <c:scaling>
          <c:orientation val="minMax"/>
          <c:max val="35"/>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415296"/>
        <c:crosses val="autoZero"/>
        <c:crossBetween val="between"/>
      </c:valAx>
      <c:spPr>
        <a:noFill/>
        <a:ln w="25400">
          <a:noFill/>
        </a:ln>
      </c:spPr>
    </c:plotArea>
    <c:legend>
      <c:legendPos val="r"/>
      <c:layout>
        <c:manualLayout>
          <c:xMode val="edge"/>
          <c:yMode val="edge"/>
          <c:x val="0.13137275487622871"/>
          <c:y val="0.82099024658970321"/>
          <c:w val="0.83529576450002574"/>
          <c:h val="0.1327163734163105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 b="1"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2"/>
          <c:order val="0"/>
          <c:tx>
            <c:strRef>
              <c:f>Reserves!$D$86</c:f>
              <c:strCache>
                <c:ptCount val="1"/>
                <c:pt idx="0">
                  <c:v>369.56</c:v>
                </c:pt>
              </c:strCache>
            </c:strRef>
          </c:tx>
          <c:cat>
            <c:strRef>
              <c:f>Reserves!$B$87:$C$93</c:f>
              <c:strCache>
                <c:ptCount val="5"/>
                <c:pt idx="0">
                  <c:v>1998/99</c:v>
                </c:pt>
                <c:pt idx="1">
                  <c:v>1999/00</c:v>
                </c:pt>
                <c:pt idx="2">
                  <c:v>2000/01</c:v>
                </c:pt>
                <c:pt idx="3">
                  <c:v>2001/02</c:v>
                </c:pt>
                <c:pt idx="4">
                  <c:v>Jul-02</c:v>
                </c:pt>
              </c:strCache>
            </c:strRef>
          </c:cat>
          <c:val>
            <c:numRef>
              <c:f>Reserves!$D$87:$D$93</c:f>
            </c:numRef>
          </c:val>
        </c:ser>
        <c:ser>
          <c:idx val="3"/>
          <c:order val="1"/>
          <c:tx>
            <c:strRef>
              <c:f>Reserves!$E$86</c:f>
              <c:strCache>
                <c:ptCount val="1"/>
              </c:strCache>
            </c:strRef>
          </c:tx>
          <c:cat>
            <c:strRef>
              <c:f>Reserves!$B$87:$C$93</c:f>
              <c:strCache>
                <c:ptCount val="5"/>
                <c:pt idx="0">
                  <c:v>1998/99</c:v>
                </c:pt>
                <c:pt idx="1">
                  <c:v>1999/00</c:v>
                </c:pt>
                <c:pt idx="2">
                  <c:v>2000/01</c:v>
                </c:pt>
                <c:pt idx="3">
                  <c:v>2001/02</c:v>
                </c:pt>
                <c:pt idx="4">
                  <c:v>Jul-02</c:v>
                </c:pt>
              </c:strCache>
            </c:strRef>
          </c:cat>
          <c:val>
            <c:numRef>
              <c:f>Reserves!$E$87:$E$93</c:f>
            </c:numRef>
          </c:val>
        </c:ser>
        <c:ser>
          <c:idx val="4"/>
          <c:order val="2"/>
          <c:tx>
            <c:strRef>
              <c:f>Reserves!$F$86</c:f>
              <c:strCache>
                <c:ptCount val="1"/>
              </c:strCache>
            </c:strRef>
          </c:tx>
          <c:cat>
            <c:strRef>
              <c:f>Reserves!$B$87:$C$93</c:f>
              <c:strCache>
                <c:ptCount val="5"/>
                <c:pt idx="0">
                  <c:v>1998/99</c:v>
                </c:pt>
                <c:pt idx="1">
                  <c:v>1999/00</c:v>
                </c:pt>
                <c:pt idx="2">
                  <c:v>2000/01</c:v>
                </c:pt>
                <c:pt idx="3">
                  <c:v>2001/02</c:v>
                </c:pt>
                <c:pt idx="4">
                  <c:v>Jul-02</c:v>
                </c:pt>
              </c:strCache>
            </c:strRef>
          </c:cat>
          <c:val>
            <c:numRef>
              <c:f>Reserves!$F$87:$F$93</c:f>
            </c:numRef>
          </c:val>
        </c:ser>
        <c:ser>
          <c:idx val="0"/>
          <c:order val="3"/>
          <c:tx>
            <c:strRef>
              <c:f>Reserves!$G$86</c:f>
              <c:strCache>
                <c:ptCount val="1"/>
                <c:pt idx="0">
                  <c:v>Indian Rupee</c:v>
                </c:pt>
              </c:strCache>
            </c:strRef>
          </c:tx>
          <c:spPr>
            <a:gradFill rotWithShape="0">
              <a:gsLst>
                <a:gs pos="0">
                  <a:srgbClr val="FF8080"/>
                </a:gs>
                <a:gs pos="100000">
                  <a:srgbClr val="FF99CC"/>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Reserves!$G$87:$G$93</c:f>
            </c:numRef>
          </c:val>
        </c:ser>
        <c:ser>
          <c:idx val="1"/>
          <c:order val="4"/>
          <c:tx>
            <c:strRef>
              <c:f>Reserves!$H$86</c:f>
              <c:strCache>
                <c:ptCount val="1"/>
                <c:pt idx="0">
                  <c:v>Convertible Currency</c:v>
                </c:pt>
              </c:strCache>
            </c:strRef>
          </c:tx>
          <c:spPr>
            <a:gradFill rotWithShape="0">
              <a:gsLst>
                <a:gs pos="0">
                  <a:srgbClr val="CCCCFF"/>
                </a:gs>
                <a:gs pos="100000">
                  <a:srgbClr val="00CCFF"/>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Reserves!$H$87:$H$93</c:f>
            </c:numRef>
          </c:val>
        </c:ser>
        <c:overlap val="100"/>
        <c:axId val="127556224"/>
        <c:axId val="127566208"/>
      </c:barChart>
      <c:catAx>
        <c:axId val="127556224"/>
        <c:scaling>
          <c:orientation val="minMax"/>
        </c:scaling>
        <c:axPos val="b"/>
        <c:numFmt formatCode="General" sourceLinked="1"/>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27566208"/>
        <c:crosses val="autoZero"/>
        <c:auto val="1"/>
        <c:lblAlgn val="ctr"/>
        <c:lblOffset val="100"/>
        <c:tickMarkSkip val="1"/>
      </c:catAx>
      <c:valAx>
        <c:axId val="127566208"/>
        <c:scaling>
          <c:orientation val="minMax"/>
        </c:scaling>
        <c:axPos val="l"/>
        <c:numFmt formatCode="General" sourceLinked="0"/>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27556224"/>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chart>
  <c:spPr>
    <a:gradFill rotWithShape="0">
      <a:gsLst>
        <a:gs pos="0">
          <a:srgbClr val="FFFFFF"/>
        </a:gs>
        <a:gs pos="100000">
          <a:srgbClr val="CCFFFF"/>
        </a:gs>
      </a:gsLst>
      <a:lin ang="5400000" scaled="1"/>
    </a:gra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 b="0"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0"/>
          <c:order val="0"/>
          <c:tx>
            <c:strRef>
              <c:f>Reserves!$B$98:$C$98</c:f>
              <c:strCache>
                <c:ptCount val="1"/>
                <c:pt idx="0">
                  <c:v>Indian Rupee</c:v>
                </c:pt>
              </c:strCache>
            </c:strRef>
          </c:tx>
          <c:spPr>
            <a:gradFill rotWithShape="0">
              <a:gsLst>
                <a:gs pos="0">
                  <a:srgbClr val="FF9900"/>
                </a:gs>
                <a:gs pos="100000">
                  <a:srgbClr val="FFFF00"/>
                </a:gs>
              </a:gsLst>
              <a:lin ang="5400000" scaled="1"/>
            </a:gradFill>
            <a:ln w="3175">
              <a:solidFill>
                <a:srgbClr val="000000"/>
              </a:solidFill>
              <a:prstDash val="solid"/>
            </a:ln>
          </c:spPr>
          <c:cat>
            <c:multiLvlStrRef>
              <c:f>Reserves!$D$97:$I$97</c:f>
            </c:multiLvlStrRef>
          </c:cat>
          <c:val>
            <c:numRef>
              <c:f>Reserves!$D$98:$I$98</c:f>
            </c:numRef>
          </c:val>
        </c:ser>
        <c:ser>
          <c:idx val="1"/>
          <c:order val="1"/>
          <c:tx>
            <c:strRef>
              <c:f>Reserves!$B$99:$C$99</c:f>
              <c:strCache>
                <c:ptCount val="1"/>
                <c:pt idx="0">
                  <c:v>Convertible Currency</c:v>
                </c:pt>
              </c:strCache>
            </c:strRef>
          </c:tx>
          <c:spPr>
            <a:gradFill rotWithShape="0">
              <a:gsLst>
                <a:gs pos="0">
                  <a:srgbClr val="008080"/>
                </a:gs>
                <a:gs pos="100000">
                  <a:srgbClr val="00CCFF"/>
                </a:gs>
              </a:gsLst>
              <a:lin ang="5400000" scaled="1"/>
            </a:gradFill>
            <a:ln w="3175">
              <a:solidFill>
                <a:srgbClr val="000000"/>
              </a:solidFill>
              <a:prstDash val="solid"/>
            </a:ln>
          </c:spPr>
          <c:cat>
            <c:multiLvlStrRef>
              <c:f>Reserves!$D$97:$I$97</c:f>
            </c:multiLvlStrRef>
          </c:cat>
          <c:val>
            <c:numRef>
              <c:f>Reserves!$D$99:$I$99</c:f>
            </c:numRef>
          </c:val>
        </c:ser>
        <c:overlap val="100"/>
        <c:axId val="127849216"/>
        <c:axId val="127850752"/>
      </c:barChart>
      <c:catAx>
        <c:axId val="127849216"/>
        <c:scaling>
          <c:orientation val="minMax"/>
        </c:scaling>
        <c:axPos val="b"/>
        <c:numFmt formatCode="General" sourceLinked="1"/>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27850752"/>
        <c:crosses val="autoZero"/>
        <c:auto val="1"/>
        <c:lblAlgn val="ctr"/>
        <c:lblOffset val="100"/>
        <c:tickMarkSkip val="1"/>
      </c:catAx>
      <c:valAx>
        <c:axId val="127850752"/>
        <c:scaling>
          <c:orientation val="minMax"/>
        </c:scaling>
        <c:axPos val="l"/>
        <c:numFmt formatCode="_(* #,##0_);_(* \(#,##0\);_(* &quot;-&quot;??_);_(@_)" sourceLinked="0"/>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27849216"/>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0" b="1" i="0" u="none" strike="noStrike" baseline="0">
                <a:solidFill>
                  <a:srgbClr val="000000"/>
                </a:solidFill>
                <a:latin typeface="Arial"/>
                <a:ea typeface="Arial"/>
                <a:cs typeface="Arial"/>
              </a:defRPr>
            </a:pPr>
            <a:r>
              <a:rPr lang="en-US"/>
              <a:t>Gross International reserves (USD millions)</a:t>
            </a:r>
          </a:p>
        </c:rich>
      </c:tx>
      <c:spPr>
        <a:noFill/>
        <a:ln w="25400">
          <a:noFill/>
        </a:ln>
      </c:spPr>
    </c:title>
    <c:plotArea>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126184448"/>
        <c:axId val="126202624"/>
      </c:barChart>
      <c:catAx>
        <c:axId val="126184448"/>
        <c:scaling>
          <c:orientation val="minMax"/>
        </c:scaling>
        <c:axPos val="b"/>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26202624"/>
        <c:crosses val="autoZero"/>
        <c:auto val="1"/>
        <c:lblAlgn val="ctr"/>
        <c:lblOffset val="100"/>
        <c:tickMarkSkip val="1"/>
      </c:catAx>
      <c:valAx>
        <c:axId val="12620262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26184448"/>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0" i="0" u="none" strike="noStrike" baseline="0">
                <a:solidFill>
                  <a:srgbClr val="000000"/>
                </a:solidFill>
                <a:latin typeface="Arial"/>
                <a:ea typeface="Arial"/>
                <a:cs typeface="Arial"/>
              </a:defRPr>
            </a:pPr>
            <a:r>
              <a:rPr lang="en-US" sz="950" b="1" i="0" u="sng" strike="noStrike" baseline="0">
                <a:solidFill>
                  <a:srgbClr val="000000"/>
                </a:solidFill>
                <a:latin typeface="Times New Roman"/>
                <a:cs typeface="Times New Roman"/>
              </a:rPr>
              <a:t>Graph 3.1</a:t>
            </a:r>
            <a:endParaRPr lang="en-US" sz="950" b="0" i="0" u="sng" strike="noStrike" baseline="0">
              <a:solidFill>
                <a:srgbClr val="000000"/>
              </a:solidFill>
              <a:latin typeface="Times New Roman"/>
              <a:cs typeface="Times New Roman"/>
            </a:endParaRPr>
          </a:p>
          <a:p>
            <a:pPr>
              <a:defRPr sz="1075" b="0" i="0" u="none" strike="noStrike" baseline="0">
                <a:solidFill>
                  <a:srgbClr val="000000"/>
                </a:solidFill>
                <a:latin typeface="Arial"/>
                <a:ea typeface="Arial"/>
                <a:cs typeface="Arial"/>
              </a:defRPr>
            </a:pPr>
            <a:r>
              <a:rPr lang="en-US" sz="950" b="0" i="0" u="sng" strike="noStrike" baseline="0">
                <a:solidFill>
                  <a:srgbClr val="000000"/>
                </a:solidFill>
                <a:latin typeface="Times New Roman"/>
                <a:cs typeface="Times New Roman"/>
              </a:rPr>
              <a:t>Overall Balance of Payments</a:t>
            </a:r>
          </a:p>
        </c:rich>
      </c:tx>
      <c:layout>
        <c:manualLayout>
          <c:xMode val="edge"/>
          <c:yMode val="edge"/>
          <c:x val="0.35849122633255748"/>
          <c:y val="5.8601134215500943E-2"/>
        </c:manualLayout>
      </c:layout>
      <c:spPr>
        <a:noFill/>
        <a:ln w="25400">
          <a:noFill/>
        </a:ln>
      </c:spPr>
    </c:title>
    <c:plotArea>
      <c:layout>
        <c:manualLayout>
          <c:layoutTarget val="inner"/>
          <c:xMode val="edge"/>
          <c:yMode val="edge"/>
          <c:x val="0.18239031051475391"/>
          <c:y val="0.22117222683223323"/>
          <c:w val="0.7589114069695827"/>
          <c:h val="0.52741069475378699"/>
        </c:manualLayout>
      </c:layout>
      <c:barChart>
        <c:barDir val="col"/>
        <c:grouping val="clustered"/>
        <c:ser>
          <c:idx val="0"/>
          <c:order val="0"/>
          <c:tx>
            <c:strRef>
              <c:f>'\\Rma-server\Applications\RMAHOME\RSDdoc\BackUp\RmaI\Annual Report\Ar2004\Statistics\[BoP.xls]Finalnew'!$A$57</c:f>
              <c:strCache>
                <c:ptCount val="1"/>
                <c:pt idx="0">
                  <c:v>Exports</c:v>
                </c:pt>
              </c:strCache>
            </c:strRef>
          </c:tx>
          <c:spPr>
            <a:pattFill prst="dkVert">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[12]Finalnew!$H$57:$L$57</c:f>
              <c:numCache>
                <c:formatCode>General</c:formatCode>
                <c:ptCount val="5"/>
                <c:pt idx="0">
                  <c:v>0</c:v>
                </c:pt>
                <c:pt idx="1">
                  <c:v>0</c:v>
                </c:pt>
                <c:pt idx="2">
                  <c:v>0</c:v>
                </c:pt>
                <c:pt idx="3">
                  <c:v>0</c:v>
                </c:pt>
                <c:pt idx="4">
                  <c:v>0</c:v>
                </c:pt>
              </c:numCache>
            </c:numRef>
          </c:val>
        </c:ser>
        <c:ser>
          <c:idx val="1"/>
          <c:order val="1"/>
          <c:tx>
            <c:strRef>
              <c:f>'\\Rma-server\Applications\RMAHOME\RSDdoc\BackUp\RmaI\Annual Report\Ar2004\Statistics\[BoP.xls]Finalnew'!$A$58</c:f>
              <c:strCache>
                <c:ptCount val="1"/>
                <c:pt idx="0">
                  <c:v>Imports</c:v>
                </c:pt>
              </c:strCache>
            </c:strRef>
          </c:tx>
          <c:spPr>
            <a:pattFill prst="smGrid">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[12]Finalnew!$H$58:$L$58</c:f>
              <c:numCache>
                <c:formatCode>General</c:formatCode>
                <c:ptCount val="5"/>
                <c:pt idx="0">
                  <c:v>0</c:v>
                </c:pt>
                <c:pt idx="1">
                  <c:v>0</c:v>
                </c:pt>
                <c:pt idx="2">
                  <c:v>0</c:v>
                </c:pt>
                <c:pt idx="3">
                  <c:v>0</c:v>
                </c:pt>
                <c:pt idx="4">
                  <c:v>0</c:v>
                </c:pt>
              </c:numCache>
            </c:numRef>
          </c:val>
        </c:ser>
        <c:ser>
          <c:idx val="2"/>
          <c:order val="2"/>
          <c:tx>
            <c:strRef>
              <c:f>'\\Rma-server\Applications\RMAHOME\RSDdoc\BackUp\RmaI\Annual Report\Ar2004\Statistics\[BoP.xls]Finalnew'!$A$59</c:f>
              <c:strCache>
                <c:ptCount val="1"/>
                <c:pt idx="0">
                  <c:v>Trade Balance</c:v>
                </c:pt>
              </c:strCache>
            </c:strRef>
          </c:tx>
          <c:spPr>
            <a:solidFill>
              <a:srgbClr val="FFFFCC"/>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[12]Finalnew!$H$59:$L$59</c:f>
              <c:numCache>
                <c:formatCode>General</c:formatCode>
                <c:ptCount val="5"/>
                <c:pt idx="0">
                  <c:v>0</c:v>
                </c:pt>
                <c:pt idx="1">
                  <c:v>0</c:v>
                </c:pt>
                <c:pt idx="2">
                  <c:v>0</c:v>
                </c:pt>
                <c:pt idx="3">
                  <c:v>0</c:v>
                </c:pt>
                <c:pt idx="4">
                  <c:v>0</c:v>
                </c:pt>
              </c:numCache>
            </c:numRef>
          </c:val>
        </c:ser>
        <c:ser>
          <c:idx val="3"/>
          <c:order val="3"/>
          <c:tx>
            <c:strRef>
              <c:f>'\\Rma-server\Applications\RMAHOME\RSDdoc\BackUp\RmaI\Annual Report\Ar2004\Statistics\[BoP.xls]Finalnew'!$A$60</c:f>
              <c:strCache>
                <c:ptCount val="1"/>
                <c:pt idx="0">
                  <c:v>Current Account Balance</c:v>
                </c:pt>
              </c:strCache>
            </c:strRef>
          </c:tx>
          <c:spPr>
            <a:pattFill prst="solidDmnd">
              <a:fgClr>
                <a:srgbClr val="000000"/>
              </a:fgClr>
              <a:bgClr>
                <a:srgbClr val="FFFFFF"/>
              </a:bgClr>
            </a:pattFill>
            <a:ln w="12700">
              <a:solidFill>
                <a:srgbClr val="000000"/>
              </a:solidFill>
              <a:prstDash val="solid"/>
            </a:ln>
          </c:spPr>
          <c:dLbls>
            <c:dLbl>
              <c:idx val="0"/>
              <c:delete val="1"/>
            </c:dLbl>
            <c:dLbl>
              <c:idx val="1"/>
              <c:delete val="1"/>
            </c:dLbl>
            <c:dLbl>
              <c:idx val="2"/>
              <c:delete val="1"/>
            </c:dLbl>
            <c:dLbl>
              <c:idx val="3"/>
              <c:layout>
                <c:manualLayout>
                  <c:x val="-9.5777264534898567E-3"/>
                  <c:y val="-4.0030085647787622E-2"/>
                </c:manualLayout>
              </c:layout>
              <c:tx>
                <c:rich>
                  <a:bodyPr/>
                  <a:lstStyle/>
                  <a:p>
                    <a:r>
                      <a:rPr lang="en-US"/>
                      <a:t>44.10
Current a/c
balance </a:t>
                    </a:r>
                  </a:p>
                </c:rich>
              </c:tx>
              <c:dLblPos val="outEnd"/>
            </c:dLbl>
            <c:dLbl>
              <c:idx val="4"/>
              <c:delete val="1"/>
            </c:dLbl>
            <c:spPr>
              <a:noFill/>
              <a:ln w="25400">
                <a:noFill/>
              </a:ln>
            </c:spPr>
            <c:txPr>
              <a:bodyPr/>
              <a:lstStyle/>
              <a:p>
                <a:pPr>
                  <a:defRPr sz="575" b="0" i="0" u="none" strike="noStrike" baseline="0">
                    <a:solidFill>
                      <a:srgbClr val="000000"/>
                    </a:solidFill>
                    <a:latin typeface="Arial"/>
                    <a:ea typeface="Arial"/>
                    <a:cs typeface="Arial"/>
                  </a:defRPr>
                </a:pPr>
                <a:endParaRPr lang="en-US"/>
              </a:p>
            </c:txPr>
            <c:showVal val="1"/>
          </c:dLbls>
          <c:cat>
            <c:numRef>
              <c:f>[12]Finalnew!$H$54:$L$54</c:f>
              <c:numCache>
                <c:formatCode>General</c:formatCode>
                <c:ptCount val="5"/>
                <c:pt idx="0">
                  <c:v>0</c:v>
                </c:pt>
                <c:pt idx="1">
                  <c:v>0</c:v>
                </c:pt>
                <c:pt idx="2">
                  <c:v>0</c:v>
                </c:pt>
                <c:pt idx="3">
                  <c:v>0</c:v>
                </c:pt>
                <c:pt idx="4">
                  <c:v>0</c:v>
                </c:pt>
              </c:numCache>
            </c:numRef>
          </c:cat>
          <c:val>
            <c:numRef>
              <c:f>[12]Finalnew!$H$60:$L$60</c:f>
              <c:numCache>
                <c:formatCode>General</c:formatCode>
                <c:ptCount val="5"/>
                <c:pt idx="0">
                  <c:v>0</c:v>
                </c:pt>
                <c:pt idx="1">
                  <c:v>0</c:v>
                </c:pt>
                <c:pt idx="2">
                  <c:v>0</c:v>
                </c:pt>
                <c:pt idx="3">
                  <c:v>0</c:v>
                </c:pt>
                <c:pt idx="4">
                  <c:v>0</c:v>
                </c:pt>
              </c:numCache>
            </c:numRef>
          </c:val>
        </c:ser>
        <c:ser>
          <c:idx val="4"/>
          <c:order val="4"/>
          <c:tx>
            <c:strRef>
              <c:f>'\\Rma-server\Applications\RMAHOME\RSDdoc\BackUp\RmaI\Annual Report\Ar2004\Statistics\[BoP.xls]Finalnew'!$A$61</c:f>
              <c:strCache>
                <c:ptCount val="1"/>
                <c:pt idx="0">
                  <c:v>Overall Balance</c:v>
                </c:pt>
              </c:strCache>
            </c:strRef>
          </c:tx>
          <c:spPr>
            <a:solidFill>
              <a:srgbClr val="660066"/>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[12]Finalnew!$H$61:$L$61</c:f>
              <c:numCache>
                <c:formatCode>General</c:formatCode>
                <c:ptCount val="5"/>
                <c:pt idx="0">
                  <c:v>0</c:v>
                </c:pt>
                <c:pt idx="1">
                  <c:v>0</c:v>
                </c:pt>
                <c:pt idx="2">
                  <c:v>0</c:v>
                </c:pt>
                <c:pt idx="3">
                  <c:v>0</c:v>
                </c:pt>
                <c:pt idx="4">
                  <c:v>0</c:v>
                </c:pt>
              </c:numCache>
            </c:numRef>
          </c:val>
        </c:ser>
        <c:axId val="128389888"/>
        <c:axId val="128391424"/>
      </c:barChart>
      <c:catAx>
        <c:axId val="128389888"/>
        <c:scaling>
          <c:orientation val="minMax"/>
        </c:scaling>
        <c:axPos val="b"/>
        <c:numFmt formatCode="General" sourceLinked="1"/>
        <c:tickLblPos val="high"/>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28391424"/>
        <c:crosses val="autoZero"/>
        <c:auto val="1"/>
        <c:lblAlgn val="ctr"/>
        <c:lblOffset val="100"/>
        <c:tickLblSkip val="1"/>
        <c:tickMarkSkip val="1"/>
      </c:catAx>
      <c:valAx>
        <c:axId val="128391424"/>
        <c:scaling>
          <c:orientation val="minMax"/>
        </c:scaling>
        <c:axPos val="l"/>
        <c:title>
          <c:tx>
            <c:rich>
              <a:bodyPr/>
              <a:lstStyle/>
              <a:p>
                <a:pPr>
                  <a:defRPr sz="575" b="1" i="0" u="none" strike="noStrike" baseline="0">
                    <a:solidFill>
                      <a:srgbClr val="000000"/>
                    </a:solidFill>
                    <a:latin typeface="Arial"/>
                    <a:ea typeface="Arial"/>
                    <a:cs typeface="Arial"/>
                  </a:defRPr>
                </a:pPr>
                <a:r>
                  <a:rPr lang="en-US"/>
                  <a:t>Millions of Ngultrum</a:t>
                </a:r>
              </a:p>
            </c:rich>
          </c:tx>
          <c:layout>
            <c:manualLayout>
              <c:xMode val="edge"/>
              <c:yMode val="edge"/>
              <c:x val="5.6603993683179477E-2"/>
              <c:y val="0.40264689976134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28389888"/>
        <c:crosses val="autoZero"/>
        <c:crossBetween val="between"/>
      </c:valAx>
      <c:spPr>
        <a:solidFill>
          <a:srgbClr val="C0C0C0"/>
        </a:solidFill>
        <a:ln w="12700">
          <a:solidFill>
            <a:srgbClr val="808080"/>
          </a:solidFill>
          <a:prstDash val="solid"/>
        </a:ln>
      </c:spPr>
    </c:plotArea>
    <c:legend>
      <c:legendPos val="b"/>
      <c:layout>
        <c:manualLayout>
          <c:xMode val="edge"/>
          <c:yMode val="edge"/>
          <c:x val="1.0482180293504305E-2"/>
          <c:y val="0.80340344035445477"/>
          <c:w val="0.97065187606280889"/>
          <c:h val="9.2627599243858244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Times New Roman"/>
                <a:ea typeface="Times New Roman"/>
                <a:cs typeface="Times New Roman"/>
              </a:defRPr>
            </a:pPr>
            <a:r>
              <a:rPr lang="en-US"/>
              <a:t>Graph 3.3: Percentage Share of BOP for 2001/02 (p)</a:t>
            </a:r>
          </a:p>
        </c:rich>
      </c:tx>
      <c:layout>
        <c:manualLayout>
          <c:xMode val="edge"/>
          <c:yMode val="edge"/>
          <c:x val="0.18333383327084121"/>
          <c:y val="8.0555847185805912E-2"/>
        </c:manualLayout>
      </c:layout>
      <c:spPr>
        <a:noFill/>
        <a:ln w="25400">
          <a:noFill/>
        </a:ln>
      </c:spPr>
    </c:title>
    <c:view3D>
      <c:rotY val="270"/>
      <c:perspective val="0"/>
    </c:view3D>
    <c:plotArea>
      <c:layout>
        <c:manualLayout>
          <c:layoutTarget val="inner"/>
          <c:xMode val="edge"/>
          <c:yMode val="edge"/>
          <c:x val="0.38095326672547947"/>
          <c:y val="0.45000122070643273"/>
          <c:w val="0.34047698213593414"/>
          <c:h val="0.15833376284115391"/>
        </c:manualLayout>
      </c:layout>
      <c:pie3DChart>
        <c:varyColors val="1"/>
        <c:ser>
          <c:idx val="0"/>
          <c:order val="0"/>
          <c:tx>
            <c:strRef>
              <c:f>'\\Rma-server\Applications\RMAHOME\RSDdoc\BackUp\RmaI\Annual Report\Ar2004\Statistics\[BoP.xls]Finalnew'!$L$67</c:f>
              <c:strCache>
                <c:ptCount val="1"/>
                <c:pt idx="0">
                  <c:v>2001/02 (p)</c:v>
                </c:pt>
              </c:strCache>
            </c:strRef>
          </c:tx>
          <c:spPr>
            <a:solidFill>
              <a:srgbClr val="9999FF"/>
            </a:solidFill>
            <a:ln w="12700">
              <a:solidFill>
                <a:srgbClr val="000000"/>
              </a:solidFill>
              <a:prstDash val="solid"/>
            </a:ln>
          </c:spPr>
          <c:dPt>
            <c:idx val="1"/>
            <c:spPr>
              <a:pattFill prst="openDmnd">
                <a:fgClr>
                  <a:srgbClr val="000000"/>
                </a:fgClr>
                <a:bgClr>
                  <a:srgbClr val="FFFFFF"/>
                </a:bgClr>
              </a:patt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969696"/>
              </a:solidFill>
              <a:ln w="12700">
                <a:solidFill>
                  <a:srgbClr val="000000"/>
                </a:solidFill>
                <a:prstDash val="solid"/>
              </a:ln>
            </c:spPr>
          </c:dPt>
          <c:dPt>
            <c:idx val="4"/>
            <c:spPr>
              <a:pattFill prst="smGrid">
                <a:fgClr>
                  <a:srgbClr val="000000"/>
                </a:fgClr>
                <a:bgClr>
                  <a:srgbClr val="FFFFFF"/>
                </a:bgClr>
              </a:patt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0000"/>
              </a:solidFill>
              <a:ln w="12700">
                <a:solidFill>
                  <a:srgbClr val="000000"/>
                </a:solidFill>
                <a:prstDash val="solid"/>
              </a:ln>
            </c:spPr>
          </c:dPt>
          <c:dLbls>
            <c:dLbl>
              <c:idx val="0"/>
              <c:layout>
                <c:manualLayout>
                  <c:x val="0.10209674559957529"/>
                  <c:y val="-9.3624373555160248E-2"/>
                </c:manualLayout>
              </c:layout>
              <c:dLblPos val="bestFit"/>
              <c:showCatName val="1"/>
              <c:showPercent val="1"/>
            </c:dLbl>
            <c:dLbl>
              <c:idx val="1"/>
              <c:layout>
                <c:manualLayout>
                  <c:x val="-7.3254177539643734E-3"/>
                  <c:y val="-4.6904688227948993E-2"/>
                </c:manualLayout>
              </c:layout>
              <c:dLblPos val="bestFit"/>
              <c:showCatName val="1"/>
              <c:showPercent val="1"/>
            </c:dLbl>
            <c:dLbl>
              <c:idx val="2"/>
              <c:layout>
                <c:manualLayout>
                  <c:x val="6.1821328167325947E-2"/>
                  <c:y val="3.6269127866051291E-2"/>
                </c:manualLayout>
              </c:layout>
              <c:tx>
                <c:rich>
                  <a:bodyPr/>
                  <a:lstStyle/>
                  <a:p>
                    <a:pPr>
                      <a:defRPr sz="800" b="0" i="0" u="none" strike="noStrike" baseline="0">
                        <a:solidFill>
                          <a:srgbClr val="000000"/>
                        </a:solidFill>
                        <a:latin typeface="Times New Roman"/>
                        <a:ea typeface="Times New Roman"/>
                        <a:cs typeface="Times New Roman"/>
                      </a:defRPr>
                    </a:pPr>
                    <a:r>
                      <a:rPr lang="en-US"/>
                      <a:t>Net Services
1%</a:t>
                    </a:r>
                  </a:p>
                </c:rich>
              </c:tx>
              <c:spPr>
                <a:noFill/>
                <a:ln w="25400">
                  <a:noFill/>
                </a:ln>
              </c:spPr>
              <c:dLblPos val="bestFit"/>
            </c:dLbl>
            <c:dLbl>
              <c:idx val="3"/>
              <c:layout>
                <c:manualLayout>
                  <c:x val="-3.1054044955519691E-2"/>
                  <c:y val="0.10517455149793579"/>
                </c:manualLayout>
              </c:layout>
              <c:tx>
                <c:rich>
                  <a:bodyPr/>
                  <a:lstStyle/>
                  <a:p>
                    <a:pPr>
                      <a:defRPr sz="800" b="0" i="0" u="none" strike="noStrike" baseline="0">
                        <a:solidFill>
                          <a:srgbClr val="000000"/>
                        </a:solidFill>
                        <a:latin typeface="Times New Roman"/>
                        <a:ea typeface="Times New Roman"/>
                        <a:cs typeface="Times New Roman"/>
                      </a:defRPr>
                    </a:pPr>
                    <a:r>
                      <a:rPr lang="en-US"/>
                      <a:t>Net Income
1%</a:t>
                    </a:r>
                  </a:p>
                </c:rich>
              </c:tx>
              <c:spPr>
                <a:noFill/>
                <a:ln w="25400">
                  <a:noFill/>
                </a:ln>
              </c:spPr>
              <c:dLblPos val="bestFit"/>
            </c:dLbl>
            <c:dLbl>
              <c:idx val="4"/>
              <c:layout>
                <c:manualLayout>
                  <c:x val="4.3622282760333773E-2"/>
                  <c:y val="5.2470136434981531E-2"/>
                </c:manualLayout>
              </c:layout>
              <c:tx>
                <c:rich>
                  <a:bodyPr/>
                  <a:lstStyle/>
                  <a:p>
                    <a:pPr>
                      <a:defRPr sz="800" b="0" i="0" u="none" strike="noStrike" baseline="0">
                        <a:solidFill>
                          <a:srgbClr val="000000"/>
                        </a:solidFill>
                        <a:latin typeface="Times New Roman"/>
                        <a:ea typeface="Times New Roman"/>
                        <a:cs typeface="Times New Roman"/>
                      </a:defRPr>
                    </a:pPr>
                    <a:r>
                      <a:rPr lang="en-US"/>
                      <a:t>Net Current Transfers
14%</a:t>
                    </a:r>
                  </a:p>
                </c:rich>
              </c:tx>
              <c:spPr>
                <a:noFill/>
                <a:ln w="25400">
                  <a:noFill/>
                </a:ln>
              </c:spPr>
              <c:dLblPos val="bestFit"/>
            </c:dLbl>
            <c:dLbl>
              <c:idx val="5"/>
              <c:layout>
                <c:manualLayout>
                  <c:x val="-5.1924860744716632E-2"/>
                  <c:y val="0.10196527932512379"/>
                </c:manualLayout>
              </c:layout>
              <c:tx>
                <c:rich>
                  <a:bodyPr/>
                  <a:lstStyle/>
                  <a:p>
                    <a:pPr>
                      <a:defRPr sz="800" b="0" i="0" u="none" strike="noStrike" baseline="0">
                        <a:solidFill>
                          <a:srgbClr val="000000"/>
                        </a:solidFill>
                        <a:latin typeface="Times New Roman"/>
                        <a:ea typeface="Times New Roman"/>
                        <a:cs typeface="Times New Roman"/>
                      </a:defRPr>
                    </a:pPr>
                    <a:r>
                      <a:rPr lang="en-US"/>
                      <a:t>Net Foreign Aid (Loans)
10%</a:t>
                    </a:r>
                  </a:p>
                </c:rich>
              </c:tx>
              <c:spPr>
                <a:noFill/>
                <a:ln w="25400">
                  <a:noFill/>
                </a:ln>
              </c:spPr>
              <c:dLblPos val="bestFit"/>
            </c:dLbl>
            <c:dLbl>
              <c:idx val="6"/>
              <c:layout>
                <c:manualLayout>
                  <c:x val="-3.0473275582552549E-2"/>
                  <c:y val="-8.6256080028806775E-2"/>
                </c:manualLayout>
              </c:layout>
              <c:dLblPos val="bestFit"/>
              <c:showCatName val="1"/>
              <c:showPercent val="1"/>
            </c:dLbl>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CatName val="1"/>
            <c:showPercent val="1"/>
            <c:showLeaderLines val="1"/>
          </c:dLbls>
          <c:cat>
            <c:numRef>
              <c:f>[12]Finalnew!$A$68:$A$74</c:f>
              <c:numCache>
                <c:formatCode>General</c:formatCode>
                <c:ptCount val="7"/>
                <c:pt idx="0">
                  <c:v>0</c:v>
                </c:pt>
                <c:pt idx="1">
                  <c:v>0</c:v>
                </c:pt>
                <c:pt idx="2">
                  <c:v>0</c:v>
                </c:pt>
                <c:pt idx="3">
                  <c:v>0</c:v>
                </c:pt>
                <c:pt idx="4">
                  <c:v>0</c:v>
                </c:pt>
                <c:pt idx="5">
                  <c:v>0</c:v>
                </c:pt>
                <c:pt idx="6">
                  <c:v>0</c:v>
                </c:pt>
              </c:numCache>
            </c:numRef>
          </c:cat>
          <c:val>
            <c:numRef>
              <c:f>[12]Finalnew!$L$68:$L$74</c:f>
              <c:numCache>
                <c:formatCode>General</c:formatCode>
                <c:ptCount val="7"/>
                <c:pt idx="0">
                  <c:v>0</c:v>
                </c:pt>
                <c:pt idx="1">
                  <c:v>0</c:v>
                </c:pt>
                <c:pt idx="2">
                  <c:v>0</c:v>
                </c:pt>
                <c:pt idx="3">
                  <c:v>0</c:v>
                </c:pt>
                <c:pt idx="4">
                  <c:v>0</c:v>
                </c:pt>
                <c:pt idx="5">
                  <c:v>0</c:v>
                </c:pt>
                <c:pt idx="6">
                  <c:v>0</c:v>
                </c:pt>
              </c:numCache>
            </c:numRef>
          </c:val>
        </c:ser>
        <c:dLbls>
          <c:showPercent val="1"/>
        </c:dLbls>
      </c:pie3DChart>
      <c:spPr>
        <a:noFill/>
        <a:ln w="25400">
          <a:noFill/>
        </a:ln>
      </c:spPr>
    </c:plotArea>
    <c:plotVisOnly val="1"/>
    <c:dispBlanksAs val="zero"/>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Times New Roman"/>
                <a:ea typeface="Times New Roman"/>
                <a:cs typeface="Times New Roman"/>
              </a:defRPr>
            </a:pPr>
            <a:r>
              <a:t>Graph 3.15: Actual Share to BOP</a:t>
            </a:r>
          </a:p>
        </c:rich>
      </c:tx>
      <c:layout>
        <c:manualLayout>
          <c:xMode val="edge"/>
          <c:yMode val="edge"/>
          <c:x val="0.23553740699767944"/>
          <c:y val="0.10089686098654722"/>
        </c:manualLayout>
      </c:layout>
      <c:spPr>
        <a:noFill/>
        <a:ln w="25400">
          <a:noFill/>
        </a:ln>
      </c:spPr>
    </c:title>
    <c:plotArea>
      <c:layout>
        <c:manualLayout>
          <c:layoutTarget val="inner"/>
          <c:xMode val="edge"/>
          <c:yMode val="edge"/>
          <c:x val="0.15082659844173571"/>
          <c:y val="0.30044843049327352"/>
          <c:w val="0.46281038425966958"/>
          <c:h val="0.65246636771300448"/>
        </c:manualLayout>
      </c:layout>
      <c:barChart>
        <c:barDir val="col"/>
        <c:grouping val="stacked"/>
        <c:ser>
          <c:idx val="0"/>
          <c:order val="0"/>
          <c:tx>
            <c:strRef>
              <c:f>'\\Rma-server\Applications\RMAHOME\RSDdoc\BackUp\RmaI\Annual Report\Ar2004\Statistics\[BoP.xls]Finalnew'!$A$78</c:f>
              <c:strCache>
                <c:ptCount val="1"/>
                <c:pt idx="0">
                  <c:v>Exports</c:v>
                </c:pt>
              </c:strCache>
            </c:strRef>
          </c:tx>
          <c:spPr>
            <a:solidFill>
              <a:srgbClr val="FFFF99"/>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[12]Finalnew!$J$78:$L$78</c:f>
              <c:numCache>
                <c:formatCode>General</c:formatCode>
                <c:ptCount val="3"/>
                <c:pt idx="0">
                  <c:v>0</c:v>
                </c:pt>
                <c:pt idx="1">
                  <c:v>0</c:v>
                </c:pt>
                <c:pt idx="2">
                  <c:v>0</c:v>
                </c:pt>
              </c:numCache>
            </c:numRef>
          </c:val>
        </c:ser>
        <c:ser>
          <c:idx val="1"/>
          <c:order val="1"/>
          <c:tx>
            <c:strRef>
              <c:f>'\\Rma-server\Applications\RMAHOME\RSDdoc\BackUp\RmaI\Annual Report\Ar2004\Statistics\[BoP.xls]Finalnew'!$A$79</c:f>
              <c:strCache>
                <c:ptCount val="1"/>
                <c:pt idx="0">
                  <c:v>Imports</c:v>
                </c:pt>
              </c:strCache>
            </c:strRef>
          </c:tx>
          <c:spPr>
            <a:solidFill>
              <a:srgbClr val="00CC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[12]Finalnew!$J$79:$L$79</c:f>
              <c:numCache>
                <c:formatCode>General</c:formatCode>
                <c:ptCount val="3"/>
                <c:pt idx="0">
                  <c:v>0</c:v>
                </c:pt>
                <c:pt idx="1">
                  <c:v>0</c:v>
                </c:pt>
                <c:pt idx="2">
                  <c:v>0</c:v>
                </c:pt>
              </c:numCache>
            </c:numRef>
          </c:val>
        </c:ser>
        <c:ser>
          <c:idx val="2"/>
          <c:order val="2"/>
          <c:tx>
            <c:strRef>
              <c:f>'\\Rma-server\Applications\RMAHOME\RSDdoc\BackUp\RmaI\Annual Report\Ar2004\Statistics\[BoP.xls]Finalnew'!$A$80</c:f>
              <c:strCache>
                <c:ptCount val="1"/>
                <c:pt idx="0">
                  <c:v>Services</c:v>
                </c:pt>
              </c:strCache>
            </c:strRef>
          </c:tx>
          <c:spPr>
            <a:solidFill>
              <a:srgbClr val="FF66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[12]Finalnew!$J$80:$L$80</c:f>
              <c:numCache>
                <c:formatCode>General</c:formatCode>
                <c:ptCount val="3"/>
                <c:pt idx="0">
                  <c:v>0</c:v>
                </c:pt>
                <c:pt idx="1">
                  <c:v>0</c:v>
                </c:pt>
                <c:pt idx="2">
                  <c:v>0</c:v>
                </c:pt>
              </c:numCache>
            </c:numRef>
          </c:val>
        </c:ser>
        <c:ser>
          <c:idx val="3"/>
          <c:order val="3"/>
          <c:tx>
            <c:strRef>
              <c:f>'\\Rma-server\Applications\RMAHOME\RSDdoc\BackUp\RmaI\Annual Report\Ar2004\Statistics\[BoP.xls]Finalnew'!$A$81</c:f>
              <c:strCache>
                <c:ptCount val="1"/>
                <c:pt idx="0">
                  <c:v>Income</c:v>
                </c:pt>
              </c:strCache>
            </c:strRef>
          </c:tx>
          <c:spPr>
            <a:solidFill>
              <a:srgbClr val="00808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[12]Finalnew!$J$81:$L$81</c:f>
              <c:numCache>
                <c:formatCode>General</c:formatCode>
                <c:ptCount val="3"/>
                <c:pt idx="0">
                  <c:v>0</c:v>
                </c:pt>
                <c:pt idx="1">
                  <c:v>0</c:v>
                </c:pt>
                <c:pt idx="2">
                  <c:v>0</c:v>
                </c:pt>
              </c:numCache>
            </c:numRef>
          </c:val>
        </c:ser>
        <c:ser>
          <c:idx val="4"/>
          <c:order val="4"/>
          <c:tx>
            <c:strRef>
              <c:f>'\\Rma-server\Applications\RMAHOME\RSDdoc\BackUp\RmaI\Annual Report\Ar2004\Statistics\[BoP.xls]Finalnew'!$A$82</c:f>
              <c:strCache>
                <c:ptCount val="1"/>
                <c:pt idx="0">
                  <c:v>Net Current Transfers</c:v>
                </c:pt>
              </c:strCache>
            </c:strRef>
          </c:tx>
          <c:spPr>
            <a:solidFill>
              <a:srgbClr val="FF99CC"/>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[12]Finalnew!$J$82:$L$82</c:f>
              <c:numCache>
                <c:formatCode>General</c:formatCode>
                <c:ptCount val="3"/>
                <c:pt idx="0">
                  <c:v>0</c:v>
                </c:pt>
                <c:pt idx="1">
                  <c:v>0</c:v>
                </c:pt>
                <c:pt idx="2">
                  <c:v>0</c:v>
                </c:pt>
              </c:numCache>
            </c:numRef>
          </c:val>
        </c:ser>
        <c:ser>
          <c:idx val="5"/>
          <c:order val="5"/>
          <c:tx>
            <c:strRef>
              <c:f>'\\Rma-server\Applications\RMAHOME\RSDdoc\BackUp\RmaI\Annual Report\Ar2004\Statistics\[BoP.xls]Finalnew'!$A$83</c:f>
              <c:strCache>
                <c:ptCount val="1"/>
                <c:pt idx="0">
                  <c:v>FDI</c:v>
                </c:pt>
              </c:strCache>
            </c:strRef>
          </c:tx>
          <c:spPr>
            <a:solidFill>
              <a:srgbClr val="0000FF"/>
            </a:solidFill>
            <a:ln w="12700">
              <a:solidFill>
                <a:srgbClr val="000000"/>
              </a:solidFill>
              <a:prstDash val="solid"/>
            </a:ln>
          </c:spPr>
          <c:dLbls>
            <c:dLbl>
              <c:idx val="0"/>
              <c:delete val="1"/>
            </c:dLbl>
            <c:dLbl>
              <c:idx val="1"/>
              <c:delete val="1"/>
            </c:dLbl>
            <c:dLbl>
              <c:idx val="2"/>
              <c:layout>
                <c:manualLayout>
                  <c:x val="-6.7059272733096073E-2"/>
                  <c:y val="-2.5589021103303796E-2"/>
                </c:manualLayout>
              </c:layout>
              <c:tx>
                <c:rich>
                  <a:bodyPr/>
                  <a:lstStyle/>
                  <a:p>
                    <a:pPr>
                      <a:defRPr sz="1175" b="0" i="0" u="none" strike="noStrike" baseline="0">
                        <a:solidFill>
                          <a:srgbClr val="000000"/>
                        </a:solidFill>
                        <a:latin typeface="Times New Roman"/>
                        <a:ea typeface="Times New Roman"/>
                        <a:cs typeface="Times New Roman"/>
                      </a:defRPr>
                    </a:pPr>
                    <a:r>
                      <a:t>86.8
FDI </a:t>
                    </a:r>
                  </a:p>
                </c:rich>
              </c:tx>
              <c:spPr>
                <a:noFill/>
                <a:ln w="25400">
                  <a:noFill/>
                </a:ln>
              </c:spPr>
              <c:dLblPos val="ctr"/>
            </c:dLbl>
            <c:numFmt formatCode="General" sourceLinked="0"/>
            <c:spPr>
              <a:noFill/>
              <a:ln w="25400">
                <a:noFill/>
              </a:ln>
            </c:spPr>
            <c:txPr>
              <a:bodyPr/>
              <a:lstStyle/>
              <a:p>
                <a:pPr>
                  <a:defRPr sz="1175" b="0" i="0" u="none" strike="noStrike" baseline="0">
                    <a:solidFill>
                      <a:srgbClr val="000000"/>
                    </a:solidFill>
                    <a:latin typeface="Times New Roman"/>
                    <a:ea typeface="Times New Roman"/>
                    <a:cs typeface="Times New Roman"/>
                  </a:defRPr>
                </a:pPr>
                <a:endParaRPr lang="en-US"/>
              </a:p>
            </c:txPr>
            <c:dLblPos val="inEnd"/>
            <c:showVal val="1"/>
          </c:dLbls>
          <c:cat>
            <c:numRef>
              <c:f>[12]Finalnew!$J$77:$L$77</c:f>
              <c:numCache>
                <c:formatCode>General</c:formatCode>
                <c:ptCount val="3"/>
                <c:pt idx="0">
                  <c:v>0</c:v>
                </c:pt>
                <c:pt idx="1">
                  <c:v>0</c:v>
                </c:pt>
                <c:pt idx="2">
                  <c:v>0</c:v>
                </c:pt>
              </c:numCache>
            </c:numRef>
          </c:cat>
          <c:val>
            <c:numRef>
              <c:f>[12]Finalnew!$J$83:$L$83</c:f>
              <c:numCache>
                <c:formatCode>General</c:formatCode>
                <c:ptCount val="3"/>
                <c:pt idx="0">
                  <c:v>0</c:v>
                </c:pt>
                <c:pt idx="1">
                  <c:v>0</c:v>
                </c:pt>
                <c:pt idx="2">
                  <c:v>0</c:v>
                </c:pt>
              </c:numCache>
            </c:numRef>
          </c:val>
        </c:ser>
        <c:ser>
          <c:idx val="6"/>
          <c:order val="6"/>
          <c:tx>
            <c:strRef>
              <c:f>'\\Rma-server\Applications\RMAHOME\RSDdoc\BackUp\RmaI\Annual Report\Ar2004\Statistics\[BoP.xls]Finalnew'!$A$84</c:f>
              <c:strCache>
                <c:ptCount val="1"/>
                <c:pt idx="0">
                  <c:v>Foreign Aid (Loans)</c:v>
                </c:pt>
              </c:strCache>
            </c:strRef>
          </c:tx>
          <c:spPr>
            <a:solidFill>
              <a:srgbClr val="8080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[12]Finalnew!$J$84:$L$84</c:f>
              <c:numCache>
                <c:formatCode>General</c:formatCode>
                <c:ptCount val="3"/>
                <c:pt idx="0">
                  <c:v>0</c:v>
                </c:pt>
                <c:pt idx="1">
                  <c:v>0</c:v>
                </c:pt>
                <c:pt idx="2">
                  <c:v>0</c:v>
                </c:pt>
              </c:numCache>
            </c:numRef>
          </c:val>
        </c:ser>
        <c:ser>
          <c:idx val="7"/>
          <c:order val="7"/>
          <c:tx>
            <c:strRef>
              <c:f>'\\Rma-server\Applications\RMAHOME\RSDdoc\BackUp\RmaI\Annual Report\Ar2004\Statistics\[BoP.xls]Finalnew'!$A$85</c:f>
              <c:strCache>
                <c:ptCount val="1"/>
                <c:pt idx="0">
                  <c:v>Net Errors and Ommissions</c:v>
                </c:pt>
              </c:strCache>
            </c:strRef>
          </c:tx>
          <c:spPr>
            <a:solidFill>
              <a:srgbClr val="FFFF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[12]Finalnew!$J$85:$L$85</c:f>
              <c:numCache>
                <c:formatCode>General</c:formatCode>
                <c:ptCount val="3"/>
                <c:pt idx="0">
                  <c:v>0</c:v>
                </c:pt>
                <c:pt idx="1">
                  <c:v>0</c:v>
                </c:pt>
                <c:pt idx="2">
                  <c:v>0</c:v>
                </c:pt>
              </c:numCache>
            </c:numRef>
          </c:val>
        </c:ser>
        <c:overlap val="90"/>
        <c:axId val="128522880"/>
        <c:axId val="128549248"/>
      </c:barChart>
      <c:catAx>
        <c:axId val="128522880"/>
        <c:scaling>
          <c:orientation val="minMax"/>
        </c:scaling>
        <c:axPos val="b"/>
        <c:numFmt formatCode="General" sourceLinked="1"/>
        <c:majorTickMark val="cross"/>
        <c:minorTickMark val="cross"/>
        <c:tickLblPos val="high"/>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128549248"/>
        <c:crosses val="autoZero"/>
        <c:auto val="1"/>
        <c:lblAlgn val="ctr"/>
        <c:lblOffset val="100"/>
        <c:tickLblSkip val="1"/>
        <c:tickMarkSkip val="1"/>
      </c:catAx>
      <c:valAx>
        <c:axId val="128549248"/>
        <c:scaling>
          <c:orientation val="minMax"/>
        </c:scaling>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Times New Roman"/>
                    <a:ea typeface="Times New Roman"/>
                    <a:cs typeface="Times New Roman"/>
                  </a:defRPr>
                </a:pPr>
                <a:r>
                  <a:t>Millions of Nu.</a:t>
                </a:r>
              </a:p>
            </c:rich>
          </c:tx>
          <c:layout>
            <c:manualLayout>
              <c:xMode val="edge"/>
              <c:yMode val="edge"/>
              <c:x val="1.0330578512396701E-2"/>
              <c:y val="0.455156950672649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128522880"/>
        <c:crosses val="autoZero"/>
        <c:crossBetween val="between"/>
      </c:valAx>
      <c:spPr>
        <a:noFill/>
        <a:ln w="3175">
          <a:solidFill>
            <a:srgbClr val="000000"/>
          </a:solidFill>
          <a:prstDash val="solid"/>
        </a:ln>
      </c:spPr>
    </c:plotArea>
    <c:legend>
      <c:legendPos val="r"/>
      <c:layout>
        <c:manualLayout>
          <c:xMode val="edge"/>
          <c:yMode val="edge"/>
          <c:wMode val="edge"/>
          <c:hMode val="edge"/>
          <c:x val="0.63843040281121877"/>
          <c:y val="1.1210762331838571E-2"/>
          <c:w val="0.90289342964360864"/>
          <c:h val="0.6748878923768552"/>
        </c:manualLayout>
      </c:layout>
      <c:spPr>
        <a:solidFill>
          <a:srgbClr val="FFFFFF"/>
        </a:solidFill>
        <a:ln w="3175">
          <a:solidFill>
            <a:srgbClr val="000000"/>
          </a:solidFill>
          <a:prstDash val="solid"/>
        </a:ln>
      </c:spPr>
      <c:txPr>
        <a:bodyPr/>
        <a:lstStyle/>
        <a:p>
          <a:pPr>
            <a:defRPr sz="26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Selected Components of Bhutan's BOP</a:t>
            </a:r>
          </a:p>
        </c:rich>
      </c:tx>
      <c:layout>
        <c:manualLayout>
          <c:xMode val="edge"/>
          <c:yMode val="edge"/>
          <c:x val="0.24821428571434007"/>
          <c:y val="3.3248081841432187E-2"/>
        </c:manualLayout>
      </c:layout>
      <c:spPr>
        <a:noFill/>
        <a:ln w="25400">
          <a:noFill/>
        </a:ln>
      </c:spPr>
    </c:title>
    <c:plotArea>
      <c:layout>
        <c:manualLayout>
          <c:layoutTarget val="inner"/>
          <c:xMode val="edge"/>
          <c:yMode val="edge"/>
          <c:x val="0.17321428571432976"/>
          <c:y val="0.15601042500504494"/>
          <c:w val="0.81964285714290064"/>
          <c:h val="0.64705963157842583"/>
        </c:manualLayout>
      </c:layout>
      <c:barChart>
        <c:barDir val="col"/>
        <c:grouping val="clustered"/>
        <c:ser>
          <c:idx val="1"/>
          <c:order val="0"/>
          <c:tx>
            <c:strRef>
              <c:f>'\\Rma-server\Applications\RMAHOME\RSDdoc\BackUp\RmaI\Annual Report\Ar2004\Statistics\[BoP.xls]Finalnew'!$A$14</c:f>
              <c:strCache>
                <c:ptCount val="1"/>
                <c:pt idx="0">
                  <c:v>     Trade Balance</c:v>
                </c:pt>
              </c:strCache>
            </c:strRef>
          </c:tx>
          <c:spPr>
            <a:pattFill prst="wdUpDiag">
              <a:fgClr>
                <a:srgbClr val="333333"/>
              </a:fgClr>
              <a:bgClr>
                <a:srgbClr val="FFFFFF"/>
              </a:bgClr>
            </a:patt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[12]Finalnew!$J$14:$M$14</c:f>
              <c:numCache>
                <c:formatCode>General</c:formatCode>
                <c:ptCount val="4"/>
                <c:pt idx="0">
                  <c:v>0</c:v>
                </c:pt>
                <c:pt idx="1">
                  <c:v>0</c:v>
                </c:pt>
                <c:pt idx="2">
                  <c:v>0</c:v>
                </c:pt>
                <c:pt idx="3">
                  <c:v>0</c:v>
                </c:pt>
              </c:numCache>
            </c:numRef>
          </c:val>
        </c:ser>
        <c:ser>
          <c:idx val="0"/>
          <c:order val="1"/>
          <c:tx>
            <c:v>Services balance</c:v>
          </c:tx>
          <c:spPr>
            <a:solidFill>
              <a:srgbClr val="FFCC99"/>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[12]Finalnew!$J$16:$M$16</c:f>
              <c:numCache>
                <c:formatCode>General</c:formatCode>
                <c:ptCount val="4"/>
                <c:pt idx="0">
                  <c:v>0</c:v>
                </c:pt>
                <c:pt idx="1">
                  <c:v>0</c:v>
                </c:pt>
                <c:pt idx="2">
                  <c:v>0</c:v>
                </c:pt>
                <c:pt idx="3">
                  <c:v>0</c:v>
                </c:pt>
              </c:numCache>
            </c:numRef>
          </c:val>
        </c:ser>
        <c:ser>
          <c:idx val="5"/>
          <c:order val="2"/>
          <c:tx>
            <c:v>Income balance</c:v>
          </c:tx>
          <c:spPr>
            <a:solidFill>
              <a:srgbClr val="333333"/>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[12]Finalnew!$J$20:$M$20</c:f>
              <c:numCache>
                <c:formatCode>General</c:formatCode>
                <c:ptCount val="4"/>
                <c:pt idx="0">
                  <c:v>0</c:v>
                </c:pt>
                <c:pt idx="1">
                  <c:v>0</c:v>
                </c:pt>
                <c:pt idx="2">
                  <c:v>0</c:v>
                </c:pt>
                <c:pt idx="3">
                  <c:v>0</c:v>
                </c:pt>
              </c:numCache>
            </c:numRef>
          </c:val>
        </c:ser>
        <c:axId val="128603264"/>
        <c:axId val="128605184"/>
      </c:barChart>
      <c:lineChart>
        <c:grouping val="standard"/>
        <c:ser>
          <c:idx val="2"/>
          <c:order val="3"/>
          <c:tx>
            <c:v>Current transfers balance</c:v>
          </c:tx>
          <c:spPr>
            <a:ln w="12700">
              <a:solidFill>
                <a:srgbClr val="333333"/>
              </a:solidFill>
              <a:prstDash val="solid"/>
            </a:ln>
          </c:spPr>
          <c:marker>
            <c:symbol val="triangle"/>
            <c:size val="6"/>
            <c:spPr>
              <a:solidFill>
                <a:srgbClr val="333333"/>
              </a:solid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[12]Finalnew!$J$24:$M$24</c:f>
              <c:numCache>
                <c:formatCode>General</c:formatCode>
                <c:ptCount val="4"/>
                <c:pt idx="0">
                  <c:v>0</c:v>
                </c:pt>
                <c:pt idx="1">
                  <c:v>0</c:v>
                </c:pt>
                <c:pt idx="2">
                  <c:v>0</c:v>
                </c:pt>
                <c:pt idx="3">
                  <c:v>0</c:v>
                </c:pt>
              </c:numCache>
            </c:numRef>
          </c:val>
        </c:ser>
        <c:ser>
          <c:idx val="3"/>
          <c:order val="4"/>
          <c:tx>
            <c:v>FDI inflows</c:v>
          </c:tx>
          <c:spPr>
            <a:ln w="12700">
              <a:solidFill>
                <a:srgbClr val="333333"/>
              </a:solidFill>
              <a:prstDash val="sysDash"/>
            </a:ln>
          </c:spPr>
          <c:marker>
            <c:symbol val="x"/>
            <c:size val="6"/>
            <c:spPr>
              <a:no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[12]Finalnew!$J$32:$M$32</c:f>
              <c:numCache>
                <c:formatCode>General</c:formatCode>
                <c:ptCount val="4"/>
                <c:pt idx="0">
                  <c:v>0</c:v>
                </c:pt>
                <c:pt idx="1">
                  <c:v>0</c:v>
                </c:pt>
                <c:pt idx="2">
                  <c:v>0</c:v>
                </c:pt>
                <c:pt idx="3">
                  <c:v>0</c:v>
                </c:pt>
              </c:numCache>
            </c:numRef>
          </c:val>
        </c:ser>
        <c:ser>
          <c:idx val="4"/>
          <c:order val="5"/>
          <c:tx>
            <c:v>Inflow of aid loans (net)</c:v>
          </c:tx>
          <c:spPr>
            <a:ln w="12700">
              <a:solidFill>
                <a:srgbClr val="800080"/>
              </a:solidFill>
              <a:prstDash val="solid"/>
            </a:ln>
          </c:spPr>
          <c:marker>
            <c:symbol val="circle"/>
            <c:size val="6"/>
            <c:spPr>
              <a:solidFill>
                <a:srgbClr val="800080"/>
              </a:solidFill>
              <a:ln>
                <a:solidFill>
                  <a:srgbClr val="800080"/>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[12]Finalnew!$J$36:$M$36</c:f>
              <c:numCache>
                <c:formatCode>General</c:formatCode>
                <c:ptCount val="4"/>
                <c:pt idx="0">
                  <c:v>0</c:v>
                </c:pt>
                <c:pt idx="1">
                  <c:v>0</c:v>
                </c:pt>
                <c:pt idx="2">
                  <c:v>0</c:v>
                </c:pt>
                <c:pt idx="3">
                  <c:v>0</c:v>
                </c:pt>
              </c:numCache>
            </c:numRef>
          </c:val>
        </c:ser>
        <c:marker val="1"/>
        <c:axId val="128611456"/>
        <c:axId val="128612992"/>
      </c:lineChart>
      <c:catAx>
        <c:axId val="128603264"/>
        <c:scaling>
          <c:orientation val="minMax"/>
        </c:scaling>
        <c:axPos val="b"/>
        <c:numFmt formatCode="General" sourceLinked="1"/>
        <c:majorTickMark val="cross"/>
        <c:tickLblPos val="high"/>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605184"/>
        <c:crosses val="autoZero"/>
        <c:lblAlgn val="ctr"/>
        <c:lblOffset val="100"/>
        <c:tickLblSkip val="1"/>
        <c:tickMarkSkip val="1"/>
      </c:catAx>
      <c:valAx>
        <c:axId val="128605184"/>
        <c:scaling>
          <c:orientation val="minMax"/>
        </c:scaling>
        <c:axPos val="l"/>
        <c:title>
          <c:tx>
            <c:rich>
              <a:bodyPr/>
              <a:lstStyle/>
              <a:p>
                <a:pPr>
                  <a:defRPr sz="1100" b="0" i="0" u="none" strike="noStrike" baseline="0">
                    <a:solidFill>
                      <a:srgbClr val="000000"/>
                    </a:solidFill>
                    <a:latin typeface="Arial"/>
                    <a:ea typeface="Arial"/>
                    <a:cs typeface="Arial"/>
                  </a:defRPr>
                </a:pPr>
                <a:r>
                  <a:rPr lang="en-US"/>
                  <a:t>Millions of Nu.</a:t>
                </a:r>
              </a:p>
            </c:rich>
          </c:tx>
          <c:layout>
            <c:manualLayout>
              <c:xMode val="edge"/>
              <c:yMode val="edge"/>
              <c:x val="3.5714285714285712E-2"/>
              <c:y val="0.32225090789493555"/>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603264"/>
        <c:crosses val="autoZero"/>
        <c:crossBetween val="between"/>
      </c:valAx>
      <c:catAx>
        <c:axId val="128611456"/>
        <c:scaling>
          <c:orientation val="minMax"/>
        </c:scaling>
        <c:delete val="1"/>
        <c:axPos val="b"/>
        <c:tickLblPos val="none"/>
        <c:crossAx val="128612992"/>
        <c:crosses val="autoZero"/>
        <c:lblAlgn val="ctr"/>
        <c:lblOffset val="100"/>
      </c:catAx>
      <c:valAx>
        <c:axId val="128612992"/>
        <c:scaling>
          <c:orientation val="minMax"/>
        </c:scaling>
        <c:delete val="1"/>
        <c:axPos val="l"/>
        <c:numFmt formatCode="General" sourceLinked="1"/>
        <c:tickLblPos val="none"/>
        <c:crossAx val="128611456"/>
        <c:crosses val="autoZero"/>
        <c:crossBetween val="between"/>
      </c:valAx>
      <c:spPr>
        <a:noFill/>
        <a:ln w="25400">
          <a:noFill/>
        </a:ln>
      </c:spPr>
    </c:plotArea>
    <c:legend>
      <c:legendPos val="r"/>
      <c:layout>
        <c:manualLayout>
          <c:xMode val="edge"/>
          <c:yMode val="edge"/>
          <c:x val="0.13392857142857137"/>
          <c:y val="0.81330030677111653"/>
          <c:w val="0.77321428571428552"/>
          <c:h val="0.17902840150099752"/>
        </c:manualLayout>
      </c:layout>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25" b="1" i="0" u="none" strike="noStrike" baseline="0">
                <a:solidFill>
                  <a:srgbClr val="000000"/>
                </a:solidFill>
                <a:latin typeface="Arial"/>
                <a:ea typeface="Arial"/>
                <a:cs typeface="Arial"/>
              </a:defRPr>
            </a:pPr>
            <a:r>
              <a:rPr lang="en-US"/>
              <a:t>Composition of Total expenditure</a:t>
            </a:r>
          </a:p>
        </c:rich>
      </c:tx>
      <c:layout>
        <c:manualLayout>
          <c:xMode val="edge"/>
          <c:yMode val="edge"/>
          <c:x val="0.2519090113735783"/>
          <c:y val="5.960301837270341E-2"/>
        </c:manualLayout>
      </c:layout>
      <c:spPr>
        <a:noFill/>
        <a:ln w="25400">
          <a:noFill/>
        </a:ln>
      </c:spPr>
    </c:title>
    <c:plotArea>
      <c:layout>
        <c:manualLayout>
          <c:layoutTarget val="inner"/>
          <c:xMode val="edge"/>
          <c:yMode val="edge"/>
          <c:x val="0.24566340015451554"/>
          <c:y val="0.32923489694787539"/>
          <c:w val="0.59542146139145258"/>
          <c:h val="0.46263179484905281"/>
        </c:manualLayout>
      </c:layout>
      <c:barChart>
        <c:barDir val="col"/>
        <c:grouping val="stacked"/>
        <c:ser>
          <c:idx val="0"/>
          <c:order val="0"/>
          <c:tx>
            <c:strRef>
              <c:f>Budget!$B$77</c:f>
              <c:strCache>
                <c:ptCount val="1"/>
                <c:pt idx="0">
                  <c:v> Total Expenditure </c:v>
                </c:pt>
              </c:strCache>
            </c:strRef>
          </c:tx>
          <c:spPr>
            <a:solidFill>
              <a:srgbClr val="9999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Budget!$B$78:$B$83</c:f>
              <c:numCache>
                <c:formatCode>General</c:formatCode>
                <c:ptCount val="5"/>
              </c:numCache>
            </c:numRef>
          </c:val>
        </c:ser>
        <c:ser>
          <c:idx val="1"/>
          <c:order val="1"/>
          <c:tx>
            <c:strRef>
              <c:f>Budget!$C$77</c:f>
              <c:strCache>
                <c:ptCount val="1"/>
                <c:pt idx="0">
                  <c:v> Total Expenditure </c:v>
                </c:pt>
              </c:strCache>
            </c:strRef>
          </c:tx>
          <c:spPr>
            <a:solidFill>
              <a:srgbClr val="993366"/>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Budget!$C$78:$C$83</c:f>
              <c:numCache>
                <c:formatCode>General</c:formatCode>
                <c:ptCount val="5"/>
              </c:numCache>
            </c:numRef>
          </c:val>
        </c:ser>
        <c:ser>
          <c:idx val="2"/>
          <c:order val="2"/>
          <c:tx>
            <c:strRef>
              <c:f>Budget!$D$77</c:f>
              <c:strCache>
                <c:ptCount val="1"/>
                <c:pt idx="0">
                  <c:v> Total Expenditure </c:v>
                </c:pt>
              </c:strCache>
            </c:strRef>
          </c:tx>
          <c:spPr>
            <a:solidFill>
              <a:srgbClr val="FFFFCC"/>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Budget!$D$78:$D$83</c:f>
              <c:numCache>
                <c:formatCode>General</c:formatCode>
                <c:ptCount val="5"/>
              </c:numCache>
            </c:numRef>
          </c:val>
        </c:ser>
        <c:ser>
          <c:idx val="3"/>
          <c:order val="3"/>
          <c:tx>
            <c:strRef>
              <c:f>Budget!$E$77</c:f>
              <c:strCache>
                <c:ptCount val="1"/>
                <c:pt idx="0">
                  <c:v> Total Expenditure </c:v>
                </c:pt>
              </c:strCache>
            </c:strRef>
          </c:tx>
          <c:spPr>
            <a:solidFill>
              <a:srgbClr val="CC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Budget!$E$78:$E$83</c:f>
              <c:numCache>
                <c:formatCode>General</c:formatCode>
                <c:ptCount val="5"/>
              </c:numCache>
            </c:numRef>
          </c:val>
        </c:ser>
        <c:ser>
          <c:idx val="4"/>
          <c:order val="4"/>
          <c:tx>
            <c:strRef>
              <c:f>Budget!$F$77</c:f>
              <c:strCache>
                <c:ptCount val="1"/>
                <c:pt idx="0">
                  <c:v> Current Expenditure</c:v>
                </c:pt>
              </c:strCache>
            </c:strRef>
          </c:tx>
          <c:spPr>
            <a:solidFill>
              <a:srgbClr val="000000"/>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Budget!$F$78:$F$83</c:f>
              <c:numCache>
                <c:formatCode>#,##0.0</c:formatCode>
                <c:ptCount val="5"/>
                <c:pt idx="0">
                  <c:v>3178.297</c:v>
                </c:pt>
                <c:pt idx="1">
                  <c:v>3702.1480000000001</c:v>
                </c:pt>
                <c:pt idx="2">
                  <c:v>4435.6180000000004</c:v>
                </c:pt>
                <c:pt idx="3">
                  <c:v>4467.8879999999999</c:v>
                </c:pt>
                <c:pt idx="4">
                  <c:v>4580.9080000000004</c:v>
                </c:pt>
              </c:numCache>
            </c:numRef>
          </c:val>
        </c:ser>
        <c:ser>
          <c:idx val="5"/>
          <c:order val="5"/>
          <c:tx>
            <c:strRef>
              <c:f>Budget!$G$77</c:f>
              <c:strCache>
                <c:ptCount val="1"/>
                <c:pt idx="0">
                  <c:v>Capital Expenditure</c:v>
                </c:pt>
              </c:strCache>
            </c:strRef>
          </c:tx>
          <c:spPr>
            <a:solidFill>
              <a:srgbClr val="FF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Budget!$G$78:$G$83</c:f>
              <c:numCache>
                <c:formatCode>#,##0.0</c:formatCode>
                <c:ptCount val="5"/>
                <c:pt idx="0">
                  <c:v>4046.0689999999995</c:v>
                </c:pt>
                <c:pt idx="1">
                  <c:v>4921.9290000000001</c:v>
                </c:pt>
                <c:pt idx="2">
                  <c:v>6741.9789999999994</c:v>
                </c:pt>
                <c:pt idx="3">
                  <c:v>5584.1900000000005</c:v>
                </c:pt>
                <c:pt idx="4">
                  <c:v>5364.4110000000001</c:v>
                </c:pt>
              </c:numCache>
            </c:numRef>
          </c:val>
        </c:ser>
        <c:overlap val="100"/>
        <c:axId val="126970880"/>
        <c:axId val="126984960"/>
      </c:barChart>
      <c:catAx>
        <c:axId val="126970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6984960"/>
        <c:crosses val="autoZero"/>
        <c:auto val="1"/>
        <c:lblAlgn val="ctr"/>
        <c:lblOffset val="100"/>
        <c:tickLblSkip val="1"/>
        <c:tickMarkSkip val="1"/>
      </c:catAx>
      <c:valAx>
        <c:axId val="126984960"/>
        <c:scaling>
          <c:orientation val="minMax"/>
        </c:scaling>
        <c:axPos val="l"/>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a:t>Nu. millions</a:t>
                </a:r>
              </a:p>
            </c:rich>
          </c:tx>
          <c:layout>
            <c:manualLayout>
              <c:xMode val="edge"/>
              <c:yMode val="edge"/>
              <c:x val="9.3685258092738505E-2"/>
              <c:y val="0.45695538057742785"/>
            </c:manualLayout>
          </c:layout>
          <c:spPr>
            <a:noFill/>
            <a:ln w="25400">
              <a:noFill/>
            </a:ln>
          </c:spPr>
        </c:title>
        <c:numFmt formatCode="#,##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26970880"/>
        <c:crosses val="autoZero"/>
        <c:crossBetween val="between"/>
      </c:valAx>
      <c:spPr>
        <a:noFill/>
        <a:ln w="25400">
          <a:noFill/>
        </a:ln>
      </c:spPr>
    </c:plotArea>
    <c:legend>
      <c:legendPos val="b"/>
      <c:layout>
        <c:manualLayout>
          <c:xMode val="edge"/>
          <c:yMode val="edge"/>
          <c:x val="1.0409448818897641E-2"/>
          <c:y val="0.79754324743497973"/>
          <c:w val="0.96183464566930665"/>
          <c:h val="0.1333968623240277"/>
        </c:manualLayout>
      </c:layout>
      <c:spPr>
        <a:solidFill>
          <a:srgbClr val="FFFFFF"/>
        </a:solidFill>
        <a:ln w="25400">
          <a:noFill/>
        </a:ln>
      </c:spPr>
      <c:txPr>
        <a:bodyPr/>
        <a:lstStyle/>
        <a:p>
          <a:pPr>
            <a:defRPr sz="2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0" i="0" u="none" strike="noStrike" baseline="0">
                <a:solidFill>
                  <a:srgbClr val="000000"/>
                </a:solidFill>
                <a:latin typeface="Arial"/>
                <a:ea typeface="Arial"/>
                <a:cs typeface="Arial"/>
              </a:defRPr>
            </a:pPr>
            <a:r>
              <a:rPr lang="en-US"/>
              <a:t>Funtional Classification of Capital Expenditure(2001/02)</a:t>
            </a:r>
          </a:p>
        </c:rich>
      </c:tx>
      <c:layout>
        <c:manualLayout>
          <c:xMode val="edge"/>
          <c:yMode val="edge"/>
          <c:x val="0.20833395825521811"/>
          <c:y val="3.225806451613001E-2"/>
        </c:manualLayout>
      </c:layout>
      <c:spPr>
        <a:noFill/>
        <a:ln w="25400">
          <a:noFill/>
        </a:ln>
      </c:spPr>
    </c:title>
    <c:plotArea>
      <c:layout>
        <c:manualLayout>
          <c:layoutTarget val="inner"/>
          <c:xMode val="edge"/>
          <c:yMode val="edge"/>
          <c:x val="0.22321493447421994"/>
          <c:y val="0.41244239631336432"/>
          <c:w val="0.51190624972748056"/>
          <c:h val="0.39631336405537493"/>
        </c:manualLayout>
      </c:layout>
      <c:pieChart>
        <c:varyColors val="1"/>
        <c:ser>
          <c:idx val="0"/>
          <c:order val="0"/>
          <c:spPr>
            <a:solidFill>
              <a:srgbClr val="9999FF"/>
            </a:solidFill>
            <a:ln w="12700">
              <a:solidFill>
                <a:srgbClr val="000000"/>
              </a:solidFill>
              <a:prstDash val="solid"/>
            </a:ln>
          </c:spPr>
          <c:dPt>
            <c:idx val="0"/>
            <c:spPr>
              <a:pattFill prst="dkHorz">
                <a:fgClr>
                  <a:srgbClr val="FFFFFF"/>
                </a:fgClr>
                <a:bgClr>
                  <a:srgbClr val="000000"/>
                </a:bgClr>
              </a:pattFill>
              <a:ln w="12700">
                <a:solidFill>
                  <a:srgbClr val="000000"/>
                </a:solidFill>
                <a:prstDash val="solid"/>
              </a:ln>
            </c:spPr>
          </c:dPt>
          <c:dPt>
            <c:idx val="1"/>
            <c:spPr>
              <a:pattFill prst="lgGrid">
                <a:fgClr>
                  <a:srgbClr val="000000"/>
                </a:fgClr>
                <a:bgClr>
                  <a:srgbClr val="FFFFFF"/>
                </a:bgClr>
              </a:pattFill>
              <a:ln w="12700">
                <a:solidFill>
                  <a:srgbClr val="000000"/>
                </a:solidFill>
                <a:prstDash val="solid"/>
              </a:ln>
            </c:spPr>
          </c:dPt>
          <c:dPt>
            <c:idx val="2"/>
            <c:spPr>
              <a:solidFill>
                <a:srgbClr val="FFFFFF"/>
              </a:solidFill>
              <a:ln w="12700">
                <a:solidFill>
                  <a:srgbClr val="000000"/>
                </a:solidFill>
                <a:prstDash val="solid"/>
              </a:ln>
            </c:spPr>
          </c:dPt>
          <c:dLbls>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n-US"/>
              </a:p>
            </c:txPr>
            <c:showCatName val="1"/>
            <c:showPercent val="1"/>
            <c:showLeaderLines val="1"/>
          </c:dLbls>
          <c:cat>
            <c:strRef>
              <c:f>Budget!$F$93:$H$93</c:f>
              <c:strCache>
                <c:ptCount val="3"/>
                <c:pt idx="0">
                  <c:v>General Public</c:v>
                </c:pt>
                <c:pt idx="1">
                  <c:v>Economic Services</c:v>
                </c:pt>
                <c:pt idx="2">
                  <c:v>Social Services</c:v>
                </c:pt>
              </c:strCache>
            </c:strRef>
          </c:cat>
          <c:val>
            <c:numRef>
              <c:f>Budget!$F$94:$H$94</c:f>
              <c:numCache>
                <c:formatCode>General</c:formatCode>
                <c:ptCount val="3"/>
                <c:pt idx="0">
                  <c:v>1371</c:v>
                </c:pt>
                <c:pt idx="1">
                  <c:v>2901</c:v>
                </c:pt>
                <c:pt idx="2">
                  <c:v>1475</c:v>
                </c:pt>
              </c:numCache>
            </c:numRef>
          </c:val>
        </c:ser>
        <c:dLbls>
          <c:showCatName val="1"/>
          <c:showPercent val="1"/>
        </c:dLbls>
        <c:firstSliceAng val="0"/>
      </c:pieChart>
      <c:spPr>
        <a:noFill/>
        <a:ln w="25400">
          <a:noFill/>
        </a:ln>
      </c:spPr>
    </c:plotArea>
    <c:plotVisOnly val="1"/>
    <c:dispBlanksAs val="zero"/>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1" i="0" u="none" strike="noStrike" baseline="0">
                <a:solidFill>
                  <a:srgbClr val="000000"/>
                </a:solidFill>
                <a:latin typeface="Arial"/>
                <a:ea typeface="Arial"/>
                <a:cs typeface="Arial"/>
              </a:defRPr>
            </a:pPr>
            <a:r>
              <a:rPr lang="en-US"/>
              <a:t>Composition of Total Government Resources</a:t>
            </a:r>
          </a:p>
        </c:rich>
      </c:tx>
      <c:layout>
        <c:manualLayout>
          <c:xMode val="edge"/>
          <c:yMode val="edge"/>
          <c:x val="0.19426751592356667"/>
          <c:y val="3.5087719298245612E-2"/>
        </c:manualLayout>
      </c:layout>
      <c:spPr>
        <a:noFill/>
        <a:ln w="25400">
          <a:noFill/>
        </a:ln>
      </c:spPr>
    </c:title>
    <c:plotArea>
      <c:layout>
        <c:manualLayout>
          <c:layoutTarget val="inner"/>
          <c:xMode val="edge"/>
          <c:yMode val="edge"/>
          <c:x val="0.2261146496815287"/>
          <c:y val="0.2046789470227609"/>
          <c:w val="0.71019108280254772"/>
          <c:h val="0.5643290967913267"/>
        </c:manualLayout>
      </c:layout>
      <c:barChart>
        <c:barDir val="col"/>
        <c:grouping val="percentStacked"/>
        <c:ser>
          <c:idx val="0"/>
          <c:order val="0"/>
          <c:tx>
            <c:strRef>
              <c:f>Budget!$F$117</c:f>
              <c:strCache>
                <c:ptCount val="1"/>
                <c:pt idx="0">
                  <c:v>Revenue</c:v>
                </c:pt>
              </c:strCache>
            </c:strRef>
          </c:tx>
          <c:spPr>
            <a:solidFill>
              <a:srgbClr val="000000"/>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Budget!$F$118:$F$122</c:f>
              <c:numCache>
                <c:formatCode>#,##0.0</c:formatCode>
                <c:ptCount val="5"/>
                <c:pt idx="0">
                  <c:v>3133</c:v>
                </c:pt>
                <c:pt idx="1">
                  <c:v>3656.8779999999997</c:v>
                </c:pt>
                <c:pt idx="2">
                  <c:v>4585.3989999999994</c:v>
                </c:pt>
                <c:pt idx="3">
                  <c:v>4975.75</c:v>
                </c:pt>
                <c:pt idx="4">
                  <c:v>5078.1970000000001</c:v>
                </c:pt>
              </c:numCache>
            </c:numRef>
          </c:val>
        </c:ser>
        <c:ser>
          <c:idx val="1"/>
          <c:order val="1"/>
          <c:tx>
            <c:strRef>
              <c:f>Budget!$G$117</c:f>
              <c:strCache>
                <c:ptCount val="1"/>
                <c:pt idx="0">
                  <c:v>Grants</c:v>
                </c:pt>
              </c:strCache>
            </c:strRef>
          </c:tx>
          <c:spPr>
            <a:solidFill>
              <a:srgbClr val="FFFFFF"/>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Budget!$G$118:$G$122</c:f>
              <c:numCache>
                <c:formatCode>#,##0.0</c:formatCode>
                <c:ptCount val="5"/>
                <c:pt idx="0">
                  <c:v>1816.3</c:v>
                </c:pt>
                <c:pt idx="1">
                  <c:v>3262.58</c:v>
                </c:pt>
                <c:pt idx="2">
                  <c:v>3274.1320000000001</c:v>
                </c:pt>
                <c:pt idx="3">
                  <c:v>3710.9940000000001</c:v>
                </c:pt>
                <c:pt idx="4">
                  <c:v>3748.5150000000003</c:v>
                </c:pt>
              </c:numCache>
            </c:numRef>
          </c:val>
        </c:ser>
        <c:overlap val="100"/>
        <c:serLines>
          <c:spPr>
            <a:ln w="3175">
              <a:solidFill>
                <a:srgbClr val="000000"/>
              </a:solidFill>
              <a:prstDash val="solid"/>
            </a:ln>
          </c:spPr>
        </c:serLines>
        <c:axId val="127034496"/>
        <c:axId val="127036032"/>
      </c:barChart>
      <c:catAx>
        <c:axId val="1270344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036032"/>
        <c:crosses val="autoZero"/>
        <c:auto val="1"/>
        <c:lblAlgn val="ctr"/>
        <c:lblOffset val="100"/>
        <c:tickLblSkip val="1"/>
        <c:tickMarkSkip val="1"/>
      </c:catAx>
      <c:valAx>
        <c:axId val="127036032"/>
        <c:scaling>
          <c:orientation val="minMax"/>
        </c:scaling>
        <c:axPos val="l"/>
        <c:numFmt formatCode="0%" sourceLinked="0"/>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n-US"/>
          </a:p>
        </c:txPr>
        <c:crossAx val="127034496"/>
        <c:crosses val="autoZero"/>
        <c:crossBetween val="between"/>
        <c:minorUnit val="2.0000000000000011E-2"/>
      </c:valAx>
      <c:spPr>
        <a:solidFill>
          <a:srgbClr val="FFFFFF"/>
        </a:solidFill>
        <a:ln w="25400">
          <a:noFill/>
        </a:ln>
      </c:spPr>
    </c:plotArea>
    <c:legend>
      <c:legendPos val="b"/>
      <c:layout>
        <c:manualLayout>
          <c:xMode val="edge"/>
          <c:yMode val="edge"/>
          <c:x val="0.32802547770710905"/>
          <c:y val="0.88011941489769918"/>
          <c:w val="0.34713375796179724"/>
          <c:h val="5.8479839142914436E-2"/>
        </c:manualLayout>
      </c:layout>
      <c:spPr>
        <a:solidFill>
          <a:srgbClr val="FFFFFF"/>
        </a:solidFill>
        <a:ln w="25400">
          <a:noFill/>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Nominal GDP forecast 
Annual change 
(Monetary)</a:t>
            </a:r>
          </a:p>
        </c:rich>
      </c:tx>
      <c:layout>
        <c:manualLayout>
          <c:xMode val="edge"/>
          <c:yMode val="edge"/>
          <c:x val="0.3974522292994801"/>
          <c:y val="2.9585798816568046E-2"/>
        </c:manualLayout>
      </c:layout>
      <c:spPr>
        <a:noFill/>
        <a:ln w="25400">
          <a:noFill/>
        </a:ln>
      </c:spPr>
    </c:title>
    <c:plotArea>
      <c:layout>
        <c:manualLayout>
          <c:layoutTarget val="inner"/>
          <c:xMode val="edge"/>
          <c:yMode val="edge"/>
          <c:x val="9.6815286624203814E-2"/>
          <c:y val="0.22485250410754137"/>
          <c:w val="0.88535031847133749"/>
          <c:h val="0.67652990270962265"/>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Count'!$V$24:$V$33</c:f>
              <c:numCache>
                <c:formatCode>0</c:formatCode>
                <c:ptCount val="10"/>
                <c:pt idx="0">
                  <c:v>0</c:v>
                </c:pt>
                <c:pt idx="1">
                  <c:v>0</c:v>
                </c:pt>
                <c:pt idx="2">
                  <c:v>0</c:v>
                </c:pt>
                <c:pt idx="3">
                  <c:v>0</c:v>
                </c:pt>
                <c:pt idx="4">
                  <c:v>0</c:v>
                </c:pt>
                <c:pt idx="5">
                  <c:v>0</c:v>
                </c:pt>
                <c:pt idx="6">
                  <c:v>0</c:v>
                </c:pt>
                <c:pt idx="7">
                  <c:v>17.469369593600483</c:v>
                </c:pt>
                <c:pt idx="8">
                  <c:v>16.022722751025675</c:v>
                </c:pt>
                <c:pt idx="9">
                  <c:v>14.942171875887201</c:v>
                </c:pt>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Count'!$U$24:$U$33</c:f>
              <c:numCache>
                <c:formatCode>0</c:formatCode>
                <c:ptCount val="10"/>
                <c:pt idx="0">
                  <c:v>0</c:v>
                </c:pt>
                <c:pt idx="1">
                  <c:v>0</c:v>
                </c:pt>
                <c:pt idx="2">
                  <c:v>0</c:v>
                </c:pt>
                <c:pt idx="3">
                  <c:v>0</c:v>
                </c:pt>
                <c:pt idx="4">
                  <c:v>0</c:v>
                </c:pt>
                <c:pt idx="5">
                  <c:v>0</c:v>
                </c:pt>
                <c:pt idx="6">
                  <c:v>0</c:v>
                </c:pt>
                <c:pt idx="7">
                  <c:v>0</c:v>
                </c:pt>
                <c:pt idx="8">
                  <c:v>0</c:v>
                </c:pt>
                <c:pt idx="9">
                  <c:v>12.537447721653216</c:v>
                </c:pt>
              </c:numCache>
            </c:numRef>
          </c:val>
        </c:ser>
        <c:marker val="1"/>
        <c:axId val="77881728"/>
        <c:axId val="77883648"/>
      </c:lineChart>
      <c:catAx>
        <c:axId val="77881728"/>
        <c:scaling>
          <c:orientation val="minMax"/>
        </c:scaling>
        <c:axPos val="b"/>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7883648"/>
        <c:crosses val="autoZero"/>
        <c:auto val="1"/>
        <c:lblAlgn val="ctr"/>
        <c:lblOffset val="100"/>
        <c:tickLblSkip val="1"/>
        <c:tickMarkSkip val="1"/>
      </c:catAx>
      <c:valAx>
        <c:axId val="77883648"/>
        <c:scaling>
          <c:orientation val="minMax"/>
        </c:scaling>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en-US"/>
                  <a:t>%</a:t>
                </a:r>
              </a:p>
            </c:rich>
          </c:tx>
          <c:layout>
            <c:manualLayout>
              <c:xMode val="edge"/>
              <c:yMode val="edge"/>
              <c:x val="2.0382165605095551E-2"/>
              <c:y val="0.54240734701060656"/>
            </c:manualLayout>
          </c:layout>
          <c:spPr>
            <a:noFill/>
            <a:ln w="25400">
              <a:noFill/>
            </a:ln>
          </c:spPr>
        </c:title>
        <c:numFmt formatCode="0"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7881728"/>
        <c:crosses val="autoZero"/>
        <c:crossBetween val="between"/>
      </c:valAx>
      <c:spPr>
        <a:noFill/>
        <a:ln w="3175">
          <a:solidFill>
            <a:srgbClr val="000000"/>
          </a:solidFill>
          <a:prstDash val="solid"/>
        </a:ln>
      </c:spPr>
    </c:plotArea>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Projected Deficit Financing for FY 2002/2003
</a:t>
            </a:r>
          </a:p>
        </c:rich>
      </c:tx>
      <c:layout>
        <c:manualLayout>
          <c:xMode val="edge"/>
          <c:yMode val="edge"/>
          <c:x val="0.20449940689934862"/>
          <c:y val="0.15094372637382591"/>
        </c:manualLayout>
      </c:layout>
      <c:spPr>
        <a:noFill/>
        <a:ln w="25400">
          <a:noFill/>
        </a:ln>
      </c:spPr>
    </c:title>
    <c:view3D>
      <c:perspective val="0"/>
    </c:view3D>
    <c:plotArea>
      <c:layout>
        <c:manualLayout>
          <c:layoutTarget val="inner"/>
          <c:xMode val="edge"/>
          <c:yMode val="edge"/>
          <c:x val="0.30674907885408448"/>
          <c:y val="0.50314619922550352"/>
          <c:w val="0.38854883321524608"/>
          <c:h val="0.23584978088700126"/>
        </c:manualLayout>
      </c:layout>
      <c:pie3DChart>
        <c:varyColors val="1"/>
        <c:ser>
          <c:idx val="0"/>
          <c:order val="0"/>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Budget!$B$101:$B$102</c:f>
              <c:numCache>
                <c:formatCode>General</c:formatCode>
                <c:ptCount val="2"/>
              </c:numCache>
            </c:numRef>
          </c:val>
        </c:ser>
        <c:ser>
          <c:idx val="1"/>
          <c:order val="1"/>
          <c:spPr>
            <a:solidFill>
              <a:srgbClr val="993366"/>
            </a:solidFill>
            <a:ln w="12700">
              <a:solidFill>
                <a:srgbClr val="000000"/>
              </a:solidFill>
              <a:prstDash val="solid"/>
            </a:ln>
          </c:spPr>
          <c:explosion val="25"/>
          <c:dPt>
            <c:idx val="0"/>
            <c:spPr>
              <a:solidFill>
                <a:srgbClr val="9999FF"/>
              </a:solidFill>
              <a:ln w="12700">
                <a:solidFill>
                  <a:srgbClr val="000000"/>
                </a:solidFill>
                <a:prstDash val="solid"/>
              </a:ln>
            </c:spPr>
          </c:dPt>
          <c:cat>
            <c:strRef>
              <c:f>Budget!$A$101:$A$102</c:f>
              <c:strCache>
                <c:ptCount val="2"/>
                <c:pt idx="0">
                  <c:v>External Borrowings</c:v>
                </c:pt>
                <c:pt idx="1">
                  <c:v>Internal borrowings</c:v>
                </c:pt>
              </c:strCache>
            </c:strRef>
          </c:cat>
          <c:val>
            <c:numRef>
              <c:f>Budget!$C$101:$C$102</c:f>
              <c:numCache>
                <c:formatCode>General</c:formatCode>
                <c:ptCount val="2"/>
              </c:numCache>
            </c:numRef>
          </c:val>
        </c:ser>
        <c:ser>
          <c:idx val="3"/>
          <c:order val="2"/>
          <c:spPr>
            <a:solidFill>
              <a:srgbClr val="CCFFFF"/>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Budget!$D$101:$D$102</c:f>
              <c:numCache>
                <c:formatCode>General</c:formatCode>
                <c:ptCount val="2"/>
              </c:numCache>
            </c:numRef>
          </c:val>
        </c:ser>
        <c:ser>
          <c:idx val="4"/>
          <c:order val="3"/>
          <c:spPr>
            <a:solidFill>
              <a:srgbClr val="660066"/>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Budget!$E$101:$E$102</c:f>
              <c:numCache>
                <c:formatCode>General</c:formatCode>
                <c:ptCount val="2"/>
              </c:numCache>
            </c:numRef>
          </c:val>
        </c:ser>
        <c:ser>
          <c:idx val="2"/>
          <c:order val="4"/>
          <c:spPr>
            <a:solidFill>
              <a:srgbClr val="FFFFCC"/>
            </a:solidFill>
            <a:ln w="12700">
              <a:solidFill>
                <a:srgbClr val="000000"/>
              </a:solidFill>
              <a:prstDash val="solid"/>
            </a:ln>
          </c:spPr>
          <c:explosion val="25"/>
          <c:dPt>
            <c:idx val="0"/>
            <c:spPr>
              <a:solidFill>
                <a:srgbClr val="000000"/>
              </a:solidFill>
              <a:ln w="12700">
                <a:solidFill>
                  <a:srgbClr val="000000"/>
                </a:solidFill>
                <a:prstDash val="solid"/>
              </a:ln>
            </c:spPr>
          </c:dPt>
          <c:dPt>
            <c:idx val="1"/>
            <c:spPr>
              <a:solidFill>
                <a:srgbClr val="FFFFFF"/>
              </a:solidFill>
              <a:ln w="12700">
                <a:solidFill>
                  <a:srgbClr val="000000"/>
                </a:solidFill>
                <a:prstDash val="solid"/>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showCatName val="1"/>
            <c:showPercent val="1"/>
            <c:showLeaderLines val="1"/>
          </c:dLbls>
          <c:cat>
            <c:strRef>
              <c:f>Budget!$A$101:$A$102</c:f>
              <c:strCache>
                <c:ptCount val="2"/>
                <c:pt idx="0">
                  <c:v>External Borrowings</c:v>
                </c:pt>
                <c:pt idx="1">
                  <c:v>Internal borrowings</c:v>
                </c:pt>
              </c:strCache>
            </c:strRef>
          </c:cat>
          <c:val>
            <c:numRef>
              <c:f>Budget!$F$101:$F$102</c:f>
              <c:numCache>
                <c:formatCode>#,##0.0</c:formatCode>
                <c:ptCount val="2"/>
                <c:pt idx="0">
                  <c:v>1537.3240000000001</c:v>
                </c:pt>
                <c:pt idx="1">
                  <c:v>1353.6489999999999</c:v>
                </c:pt>
              </c:numCache>
            </c:numRef>
          </c:val>
        </c:ser>
      </c:pie3D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0" i="0" u="none" strike="noStrike" baseline="0">
                <a:solidFill>
                  <a:srgbClr val="000000"/>
                </a:solidFill>
                <a:latin typeface="Arial"/>
                <a:ea typeface="Arial"/>
                <a:cs typeface="Arial"/>
              </a:defRPr>
            </a:pPr>
            <a:r>
              <a:rPr lang="en-US"/>
              <a:t>GDP Projection 
Annual change 
(Real)</a:t>
            </a:r>
          </a:p>
        </c:rich>
      </c:tx>
      <c:layout>
        <c:manualLayout>
          <c:xMode val="edge"/>
          <c:yMode val="edge"/>
          <c:x val="0.42564174350001116"/>
          <c:y val="2.9702970297029802E-2"/>
        </c:manualLayout>
      </c:layout>
      <c:spPr>
        <a:noFill/>
        <a:ln w="25400">
          <a:noFill/>
        </a:ln>
      </c:spPr>
    </c:title>
    <c:plotArea>
      <c:layout>
        <c:manualLayout>
          <c:layoutTarget val="inner"/>
          <c:xMode val="edge"/>
          <c:yMode val="edge"/>
          <c:x val="0.10940189203040203"/>
          <c:y val="0.19801999344448923"/>
          <c:w val="0.86666811342850214"/>
          <c:h val="0.71485217633460063"/>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Count'!$AC$23:$AJ$23</c:f>
              <c:numCache>
                <c:formatCode>0</c:formatCode>
                <c:ptCount val="8"/>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Count'!$AC$24:$AJ$24</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26.111141628561519</c:v>
                </c:pt>
              </c:numCache>
            </c:numRef>
          </c:val>
        </c:ser>
        <c:ser>
          <c:idx val="2"/>
          <c:order val="2"/>
          <c:spPr>
            <a:ln w="12700">
              <a:solidFill>
                <a:srgbClr val="339966"/>
              </a:solidFill>
              <a:prstDash val="solid"/>
            </a:ln>
          </c:spPr>
          <c:marker>
            <c:symbol val="triangle"/>
            <c:size val="5"/>
            <c:spPr>
              <a:solidFill>
                <a:srgbClr val="339966"/>
              </a:solidFill>
              <a:ln>
                <a:solidFill>
                  <a:srgbClr val="339966"/>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Count'!$AC$25:$AJ$25</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23.302204213241755</c:v>
                </c:pt>
              </c:numCache>
            </c:numRef>
          </c:val>
        </c:ser>
        <c:ser>
          <c:idx val="3"/>
          <c:order val="3"/>
          <c:spPr>
            <a:ln w="12700">
              <a:solidFill>
                <a:srgbClr val="00FFFF"/>
              </a:solidFill>
              <a:prstDash val="solid"/>
            </a:ln>
          </c:spPr>
          <c:marker>
            <c:symbol val="x"/>
            <c:size val="5"/>
            <c:spPr>
              <a:noFill/>
              <a:ln>
                <a:solidFill>
                  <a:srgbClr val="00FF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Count'!$AC$26:$AJ$26</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8</c:v>
                </c:pt>
              </c:numCache>
            </c:numRef>
          </c:val>
        </c:ser>
        <c:marker val="1"/>
        <c:axId val="81224064"/>
        <c:axId val="81225984"/>
      </c:lineChart>
      <c:catAx>
        <c:axId val="81224064"/>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81225984"/>
        <c:crosses val="autoZero"/>
        <c:auto val="1"/>
        <c:lblAlgn val="ctr"/>
        <c:lblOffset val="100"/>
        <c:tickLblSkip val="1"/>
        <c:tickMarkSkip val="1"/>
      </c:catAx>
      <c:valAx>
        <c:axId val="81225984"/>
        <c:scaling>
          <c:orientation val="minMax"/>
        </c:scaling>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US"/>
                  <a:t>%</a:t>
                </a:r>
              </a:p>
            </c:rich>
          </c:tx>
          <c:layout>
            <c:manualLayout>
              <c:xMode val="edge"/>
              <c:yMode val="edge"/>
              <c:x val="2.735042735042735E-2"/>
              <c:y val="0.5405946830903563"/>
            </c:manualLayout>
          </c:layout>
          <c:spPr>
            <a:noFill/>
            <a:ln w="25400">
              <a:noFill/>
            </a:ln>
          </c:sp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81224064"/>
        <c:crosses val="autoZero"/>
        <c:crossBetween val="between"/>
      </c:valAx>
      <c:spPr>
        <a:noFill/>
        <a:ln w="12700">
          <a:solidFill>
            <a:srgbClr val="808080"/>
          </a:solidFill>
          <a:prstDash val="solid"/>
        </a:ln>
      </c:spPr>
    </c:plotArea>
    <c:plotVisOnly val="1"/>
    <c:dispBlanksAs val="gap"/>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&amp; GDP</a:t>
            </a:r>
          </a:p>
        </c:rich>
      </c:tx>
      <c:layout>
        <c:manualLayout>
          <c:xMode val="edge"/>
          <c:yMode val="edge"/>
          <c:x val="0.29790710943741538"/>
          <c:y val="3.4055727554180001E-2"/>
        </c:manualLayout>
      </c:layout>
      <c:spPr>
        <a:noFill/>
        <a:ln w="25400">
          <a:noFill/>
        </a:ln>
      </c:spPr>
    </c:title>
    <c:plotArea>
      <c:layout>
        <c:manualLayout>
          <c:layoutTarget val="inner"/>
          <c:xMode val="edge"/>
          <c:yMode val="edge"/>
          <c:x val="0.10467005187899329"/>
          <c:y val="0.21052631578948044"/>
          <c:w val="0.85829442540764866"/>
          <c:h val="0.57585139318890965"/>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trendline>
          <c:x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xVal>
          <c:y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yVal>
        </c:ser>
        <c:axId val="82328192"/>
        <c:axId val="82334464"/>
      </c:scatterChart>
      <c:valAx>
        <c:axId val="82328192"/>
        <c:scaling>
          <c:orientation val="minMax"/>
        </c:scaling>
        <c:axPos val="b"/>
        <c:title>
          <c:tx>
            <c:rich>
              <a:bodyPr/>
              <a:lstStyle/>
              <a:p>
                <a:pPr>
                  <a:defRPr sz="1000" b="1" i="0" u="none" strike="noStrike" baseline="0">
                    <a:solidFill>
                      <a:srgbClr val="000000"/>
                    </a:solidFill>
                    <a:latin typeface="Arial"/>
                    <a:ea typeface="Arial"/>
                    <a:cs typeface="Arial"/>
                  </a:defRPr>
                </a:pPr>
                <a:r>
                  <a:rPr lang="en-US"/>
                  <a:t>M2 growth</a:t>
                </a:r>
              </a:p>
            </c:rich>
          </c:tx>
          <c:layout>
            <c:manualLayout>
              <c:xMode val="edge"/>
              <c:yMode val="edge"/>
              <c:x val="0.47665123985105728"/>
              <c:y val="0.8823529411764705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2334464"/>
        <c:crosses val="autoZero"/>
        <c:crossBetween val="midCat"/>
      </c:valAx>
      <c:valAx>
        <c:axId val="82334464"/>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Nominal GDP growth</a:t>
                </a:r>
              </a:p>
            </c:rich>
          </c:tx>
          <c:layout>
            <c:manualLayout>
              <c:xMode val="edge"/>
              <c:yMode val="edge"/>
              <c:x val="2.5764895330112583E-2"/>
              <c:y val="0.28792569659449685"/>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232819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growth &amp; GDP (n) growth</a:t>
            </a:r>
          </a:p>
        </c:rich>
      </c:tx>
      <c:layout>
        <c:manualLayout>
          <c:xMode val="edge"/>
          <c:yMode val="edge"/>
          <c:x val="0.20570602098161153"/>
          <c:y val="3.313253012048193E-2"/>
        </c:manualLayout>
      </c:layout>
      <c:spPr>
        <a:noFill/>
        <a:ln w="25400">
          <a:noFill/>
        </a:ln>
      </c:spPr>
    </c:title>
    <c:plotArea>
      <c:layout>
        <c:manualLayout>
          <c:layoutTarget val="inner"/>
          <c:xMode val="edge"/>
          <c:yMode val="edge"/>
          <c:x val="0.10210225181566122"/>
          <c:y val="0.20783132530120491"/>
          <c:w val="0.87687816265220064"/>
          <c:h val="0.56626506024096357"/>
        </c:manualLayout>
      </c:layout>
      <c:lineChart>
        <c:grouping val="standard"/>
        <c:ser>
          <c:idx val="0"/>
          <c:order val="0"/>
          <c:tx>
            <c:strRef>
              <c:f>'Yearly Count'!$V$14</c:f>
              <c:strCache>
                <c:ptCount val="1"/>
                <c:pt idx="0">
                  <c:v>M2</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
          <c:order val="1"/>
          <c:tx>
            <c:strRef>
              <c:f>'Yearly Count'!$W$14</c:f>
              <c:strCache>
                <c:ptCount val="1"/>
                <c:pt idx="0">
                  <c:v>GDP (n)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val>
        </c:ser>
        <c:marker val="1"/>
        <c:axId val="82371328"/>
        <c:axId val="82373248"/>
      </c:lineChart>
      <c:catAx>
        <c:axId val="82371328"/>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82373248"/>
        <c:crosses val="autoZero"/>
        <c:auto val="1"/>
        <c:lblAlgn val="ctr"/>
        <c:lblOffset val="100"/>
        <c:tickLblSkip val="1"/>
        <c:tickMarkSkip val="1"/>
      </c:catAx>
      <c:valAx>
        <c:axId val="82373248"/>
        <c:scaling>
          <c:orientation val="minMax"/>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Percent</a:t>
                </a:r>
              </a:p>
            </c:rich>
          </c:tx>
          <c:layout>
            <c:manualLayout>
              <c:xMode val="edge"/>
              <c:yMode val="edge"/>
              <c:x val="2.4024024024024031E-2"/>
              <c:y val="0.40361445783132527"/>
            </c:manualLayout>
          </c:layout>
          <c:spPr>
            <a:noFill/>
            <a:ln w="25400">
              <a:noFill/>
            </a:ln>
          </c:spPr>
        </c:title>
        <c:numFmt formatCode="0"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82371328"/>
        <c:crosses val="autoZero"/>
        <c:crossBetween val="between"/>
      </c:valAx>
      <c:spPr>
        <a:solidFill>
          <a:srgbClr val="C0C0C0"/>
        </a:solidFill>
        <a:ln w="12700">
          <a:solidFill>
            <a:srgbClr val="808080"/>
          </a:solidFill>
          <a:prstDash val="solid"/>
        </a:ln>
      </c:spPr>
    </c:plotArea>
    <c:legend>
      <c:legendPos val="b"/>
      <c:layout>
        <c:manualLayout>
          <c:xMode val="edge"/>
          <c:yMode val="edge"/>
          <c:x val="0.42792855847973982"/>
          <c:y val="0.90361445783132532"/>
          <c:w val="0.22522554050113144"/>
          <c:h val="7.530120481927743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0" i="0" u="none" strike="noStrike" baseline="0">
                <a:solidFill>
                  <a:srgbClr val="000000"/>
                </a:solidFill>
                <a:latin typeface="Arial"/>
                <a:ea typeface="Arial"/>
                <a:cs typeface="Arial"/>
              </a:defRPr>
            </a:pPr>
            <a:r>
              <a:t>Real GDP growth
annual change</a:t>
            </a:r>
          </a:p>
        </c:rich>
      </c:tx>
      <c:layout>
        <c:manualLayout>
          <c:xMode val="edge"/>
          <c:yMode val="edge"/>
          <c:x val="0.45040840140023336"/>
          <c:y val="3.3519553072625698E-2"/>
        </c:manualLayout>
      </c:layout>
      <c:spPr>
        <a:noFill/>
        <a:ln w="25400">
          <a:noFill/>
        </a:ln>
      </c:spPr>
    </c:title>
    <c:plotArea>
      <c:layout>
        <c:manualLayout>
          <c:layoutTarget val="inner"/>
          <c:xMode val="edge"/>
          <c:yMode val="edge"/>
          <c:x val="8.7514585764295244E-2"/>
          <c:y val="0.20949749244054353"/>
          <c:w val="0.89614935822637165"/>
          <c:h val="0.72346467389451263"/>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GDPreal!$E$46:$S$46</c:f>
              <c:numCache>
                <c:formatCode>General</c:formatCode>
                <c:ptCount val="15"/>
                <c:pt idx="3">
                  <c:v>4.2320728088988533</c:v>
                </c:pt>
                <c:pt idx="4">
                  <c:v>6.0774250316817708</c:v>
                </c:pt>
                <c:pt idx="5">
                  <c:v>6.1785579322303796</c:v>
                </c:pt>
                <c:pt idx="6">
                  <c:v>5.2796745843485207</c:v>
                </c:pt>
                <c:pt idx="7">
                  <c:v>5.5899641980954495</c:v>
                </c:pt>
                <c:pt idx="8">
                  <c:v>32.477618447247359</c:v>
                </c:pt>
                <c:pt idx="9">
                  <c:v>-13.9362866820783</c:v>
                </c:pt>
                <c:pt idx="10">
                  <c:v>7.4610940807040187</c:v>
                </c:pt>
                <c:pt idx="11">
                  <c:v>8.8506756302832716</c:v>
                </c:pt>
                <c:pt idx="12">
                  <c:v>7.0938169324384317</c:v>
                </c:pt>
                <c:pt idx="13">
                  <c:v>7.5476789962024142</c:v>
                </c:pt>
                <c:pt idx="14">
                  <c:v>6.0596877693141087</c:v>
                </c:pt>
              </c:numCache>
            </c:numRef>
          </c:cat>
          <c:val>
            <c:numRef>
              <c:f>GDPreal!$E$47:$S$47</c:f>
              <c:numCache>
                <c:formatCode>General</c:formatCode>
                <c:ptCount val="15"/>
                <c:pt idx="3">
                  <c:v>571.2599999999984</c:v>
                </c:pt>
                <c:pt idx="4">
                  <c:v>855.07000000000153</c:v>
                </c:pt>
                <c:pt idx="5" formatCode="0.0_)">
                  <c:v>922.13000000000102</c:v>
                </c:pt>
                <c:pt idx="6">
                  <c:v>836.65999999999985</c:v>
                </c:pt>
                <c:pt idx="7">
                  <c:v>932.59999999999491</c:v>
                </c:pt>
                <c:pt idx="8">
                  <c:v>5721.2800000000061</c:v>
                </c:pt>
                <c:pt idx="9">
                  <c:v>-3252.3600000000006</c:v>
                </c:pt>
                <c:pt idx="10">
                  <c:v>1498.559999999994</c:v>
                </c:pt>
                <c:pt idx="11">
                  <c:v>6795.4700000000048</c:v>
                </c:pt>
              </c:numCache>
            </c:numRef>
          </c:val>
        </c:ser>
        <c:marker val="1"/>
        <c:axId val="51583616"/>
        <c:axId val="83284736"/>
      </c:lineChart>
      <c:catAx>
        <c:axId val="51583616"/>
        <c:scaling>
          <c:orientation val="minMax"/>
        </c:scaling>
        <c:axPos val="b"/>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83284736"/>
        <c:crosses val="autoZero"/>
        <c:auto val="1"/>
        <c:lblAlgn val="ctr"/>
        <c:lblOffset val="100"/>
        <c:tickLblSkip val="1"/>
        <c:tickMarkSkip val="1"/>
      </c:catAx>
      <c:valAx>
        <c:axId val="83284736"/>
        <c:scaling>
          <c:orientation val="minMax"/>
        </c:scaling>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Arial"/>
                    <a:ea typeface="Arial"/>
                    <a:cs typeface="Arial"/>
                  </a:defRPr>
                </a:pPr>
                <a:r>
                  <a:t>percent</a:t>
                </a:r>
              </a:p>
            </c:rich>
          </c:tx>
          <c:layout>
            <c:manualLayout>
              <c:xMode val="edge"/>
              <c:yMode val="edge"/>
              <c:x val="1.8669778296387964E-2"/>
              <c:y val="0.51396706696579131"/>
            </c:manualLayout>
          </c:layout>
          <c:spPr>
            <a:noFill/>
            <a:ln w="25400">
              <a:noFill/>
            </a:ln>
          </c:spPr>
        </c:title>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51583616"/>
        <c:crosses val="autoZero"/>
        <c:crossBetween val="between"/>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50" b="1" i="0" u="none" strike="noStrike" baseline="0">
                <a:solidFill>
                  <a:srgbClr val="000000"/>
                </a:solidFill>
                <a:latin typeface="Arial"/>
                <a:ea typeface="Arial"/>
                <a:cs typeface="Arial"/>
              </a:defRPr>
            </a:pPr>
            <a:r>
              <a:t>Real GDP Growth
(by sector)</a:t>
            </a:r>
          </a:p>
        </c:rich>
      </c:tx>
      <c:layout>
        <c:manualLayout>
          <c:xMode val="edge"/>
          <c:yMode val="edge"/>
          <c:x val="0.32956685499066746"/>
          <c:y val="2.9508339016678035E-2"/>
        </c:manualLayout>
      </c:layout>
      <c:spPr>
        <a:noFill/>
        <a:ln w="25400">
          <a:noFill/>
        </a:ln>
      </c:spPr>
    </c:title>
    <c:plotArea>
      <c:layout>
        <c:manualLayout>
          <c:layoutTarget val="inner"/>
          <c:xMode val="edge"/>
          <c:yMode val="edge"/>
          <c:x val="0.22222222222222221"/>
          <c:y val="0.29311550490651872"/>
          <c:w val="0.70621468926553677"/>
          <c:h val="0.40918137597692888"/>
        </c:manualLayout>
      </c:layout>
      <c:lineChart>
        <c:grouping val="standard"/>
        <c:ser>
          <c:idx val="0"/>
          <c:order val="0"/>
          <c:tx>
            <c:strRef>
              <c:f>[8]GDPreal!$B$56</c:f>
              <c:strCache>
                <c:ptCount val="1"/>
                <c:pt idx="0">
                  <c:v>Agriculture</c:v>
                </c:pt>
              </c:strCache>
            </c:strRef>
          </c:tx>
          <c:spPr>
            <a:ln w="12700">
              <a:solidFill>
                <a:srgbClr val="333333"/>
              </a:solidFill>
              <a:prstDash val="solid"/>
            </a:ln>
          </c:spPr>
          <c:marker>
            <c:symbol val="square"/>
            <c:size val="7"/>
            <c:spPr>
              <a:solidFill>
                <a:srgbClr val="333333"/>
              </a:solid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[8]GDPreal!$O$56:$R$56</c:f>
              <c:numCache>
                <c:formatCode>General</c:formatCode>
                <c:ptCount val="4"/>
                <c:pt idx="0">
                  <c:v>5.0423080514592318</c:v>
                </c:pt>
                <c:pt idx="1">
                  <c:v>3.1389168591342407</c:v>
                </c:pt>
                <c:pt idx="2">
                  <c:v>2.7405570620644868</c:v>
                </c:pt>
                <c:pt idx="3">
                  <c:v>2.4675643147769932</c:v>
                </c:pt>
              </c:numCache>
            </c:numRef>
          </c:val>
        </c:ser>
        <c:ser>
          <c:idx val="1"/>
          <c:order val="1"/>
          <c:tx>
            <c:strRef>
              <c:f>[8]GDPreal!$B$58</c:f>
              <c:strCache>
                <c:ptCount val="1"/>
                <c:pt idx="0">
                  <c:v>Industry</c:v>
                </c:pt>
              </c:strCache>
            </c:strRef>
          </c:tx>
          <c:spPr>
            <a:ln w="12700">
              <a:solidFill>
                <a:srgbClr val="333333"/>
              </a:solidFill>
              <a:prstDash val="sysDash"/>
            </a:ln>
          </c:spPr>
          <c:marker>
            <c:symbol val="x"/>
            <c:size val="7"/>
            <c:spPr>
              <a:no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[8]GDPreal!$O$58:$R$58</c:f>
              <c:numCache>
                <c:formatCode>General</c:formatCode>
                <c:ptCount val="4"/>
                <c:pt idx="0">
                  <c:v>13.449562326708955</c:v>
                </c:pt>
                <c:pt idx="1">
                  <c:v>15.990633637015057</c:v>
                </c:pt>
                <c:pt idx="2">
                  <c:v>3.963639973965507</c:v>
                </c:pt>
                <c:pt idx="3">
                  <c:v>7.3343095435156176</c:v>
                </c:pt>
              </c:numCache>
            </c:numRef>
          </c:val>
        </c:ser>
        <c:ser>
          <c:idx val="2"/>
          <c:order val="2"/>
          <c:tx>
            <c:strRef>
              <c:f>[8]GDPreal!$B$61</c:f>
              <c:strCache>
                <c:ptCount val="1"/>
                <c:pt idx="0">
                  <c:v>Services</c:v>
                </c:pt>
              </c:strCache>
            </c:strRef>
          </c:tx>
          <c:spPr>
            <a:ln w="12700">
              <a:solidFill>
                <a:srgbClr val="000080"/>
              </a:solidFill>
              <a:prstDash val="solid"/>
            </a:ln>
          </c:spPr>
          <c:marker>
            <c:symbol val="triangle"/>
            <c:size val="7"/>
            <c:spPr>
              <a:solidFill>
                <a:srgbClr val="000080"/>
              </a:solidFill>
              <a:ln>
                <a:solidFill>
                  <a:srgbClr val="000080"/>
                </a:solidFill>
                <a:prstDash val="solid"/>
              </a:ln>
            </c:spPr>
          </c:marker>
          <c:cat>
            <c:strRef>
              <c:f>[8]GDPreal!$O$55:$R$55</c:f>
              <c:strCache>
                <c:ptCount val="4"/>
                <c:pt idx="0">
                  <c:v>2001</c:v>
                </c:pt>
                <c:pt idx="1">
                  <c:v>2002</c:v>
                </c:pt>
                <c:pt idx="2">
                  <c:v>2003</c:v>
                </c:pt>
                <c:pt idx="3">
                  <c:v>2004 (p)</c:v>
                </c:pt>
              </c:strCache>
            </c:strRef>
          </c:cat>
          <c:val>
            <c:numRef>
              <c:f>[8]GDPreal!$O$62:$R$62</c:f>
              <c:numCache>
                <c:formatCode>General</c:formatCode>
                <c:ptCount val="4"/>
                <c:pt idx="0">
                  <c:v>5.0408336076204092</c:v>
                </c:pt>
                <c:pt idx="1">
                  <c:v>4.182540564644305</c:v>
                </c:pt>
                <c:pt idx="2">
                  <c:v>11.495684475035507</c:v>
                </c:pt>
                <c:pt idx="3">
                  <c:v>9.3525561363180554</c:v>
                </c:pt>
              </c:numCache>
            </c:numRef>
          </c:val>
        </c:ser>
        <c:marker val="1"/>
        <c:axId val="50284032"/>
        <c:axId val="50285952"/>
      </c:lineChart>
      <c:catAx>
        <c:axId val="50284032"/>
        <c:scaling>
          <c:orientation val="minMax"/>
        </c:scaling>
        <c:axPos val="b"/>
        <c:numFmt formatCode="General" sourceLinked="1"/>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50285952"/>
        <c:crosses val="autoZero"/>
        <c:auto val="1"/>
        <c:lblAlgn val="ctr"/>
        <c:lblOffset val="100"/>
        <c:tickLblSkip val="1"/>
        <c:tickMarkSkip val="1"/>
      </c:catAx>
      <c:valAx>
        <c:axId val="50285952"/>
        <c:scaling>
          <c:orientation val="minMax"/>
        </c:scaling>
        <c:axPos val="l"/>
        <c:numFmt formatCode="0.0_)" sourceLinked="0"/>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50284032"/>
        <c:crosses val="autoZero"/>
        <c:crossBetween val="between"/>
      </c:valAx>
      <c:spPr>
        <a:noFill/>
        <a:ln w="25400">
          <a:noFill/>
        </a:ln>
      </c:spPr>
    </c:plotArea>
    <c:legend>
      <c:legendPos val="b"/>
      <c:layout>
        <c:manualLayout>
          <c:xMode val="edge"/>
          <c:yMode val="edge"/>
          <c:wMode val="edge"/>
          <c:hMode val="edge"/>
          <c:x val="9.4161958568738727E-3"/>
          <c:y val="0.88918263169860001"/>
          <c:w val="0.81355932203390002"/>
          <c:h val="0.94426478186276819"/>
        </c:manualLayout>
      </c:layout>
      <c:spPr>
        <a:solidFill>
          <a:srgbClr val="FFFFFF"/>
        </a:solidFill>
        <a:ln w="25400">
          <a:noFill/>
        </a:ln>
      </c:spPr>
      <c:txPr>
        <a:bodyPr/>
        <a:lstStyle/>
        <a:p>
          <a:pPr>
            <a:defRPr sz="3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Money Multiplier</a:t>
            </a:r>
          </a:p>
        </c:rich>
      </c:tx>
      <c:layout>
        <c:manualLayout>
          <c:xMode val="edge"/>
          <c:yMode val="edge"/>
          <c:x val="0.41463451214939595"/>
          <c:y val="2.8462998102466792E-2"/>
        </c:manualLayout>
      </c:layout>
      <c:spPr>
        <a:noFill/>
        <a:ln w="25400">
          <a:noFill/>
        </a:ln>
      </c:spPr>
    </c:title>
    <c:plotArea>
      <c:layout>
        <c:manualLayout>
          <c:layoutTarget val="inner"/>
          <c:xMode val="edge"/>
          <c:yMode val="edge"/>
          <c:x val="8.0139440994054748E-2"/>
          <c:y val="7.5901328273244778E-2"/>
          <c:w val="0.8902446597382847"/>
          <c:h val="0.7836812144212526"/>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none"/>
          </c:marker>
          <c:cat>
            <c:strRef>
              <c:f>Sheet1!$B$57:$B$101</c:f>
              <c:strCache>
                <c:ptCount val="45"/>
                <c:pt idx="0">
                  <c:v>2001 Jan</c:v>
                </c:pt>
                <c:pt idx="1">
                  <c:v>Feb</c:v>
                </c:pt>
                <c:pt idx="2">
                  <c:v>Mar</c:v>
                </c:pt>
                <c:pt idx="3">
                  <c:v>Apr</c:v>
                </c:pt>
                <c:pt idx="4">
                  <c:v>May</c:v>
                </c:pt>
                <c:pt idx="5">
                  <c:v>Jun</c:v>
                </c:pt>
                <c:pt idx="6">
                  <c:v>Jul</c:v>
                </c:pt>
                <c:pt idx="7">
                  <c:v>Aug</c:v>
                </c:pt>
                <c:pt idx="8">
                  <c:v>Sep</c:v>
                </c:pt>
                <c:pt idx="9">
                  <c:v>Oct</c:v>
                </c:pt>
                <c:pt idx="10">
                  <c:v>Nov</c:v>
                </c:pt>
                <c:pt idx="11">
                  <c:v>Dec</c:v>
                </c:pt>
                <c:pt idx="12">
                  <c:v>2002 Jan</c:v>
                </c:pt>
                <c:pt idx="13">
                  <c:v>Feb</c:v>
                </c:pt>
                <c:pt idx="14">
                  <c:v>Mar</c:v>
                </c:pt>
                <c:pt idx="15">
                  <c:v>Apr</c:v>
                </c:pt>
                <c:pt idx="16">
                  <c:v>May</c:v>
                </c:pt>
                <c:pt idx="17">
                  <c:v>Jun</c:v>
                </c:pt>
                <c:pt idx="18">
                  <c:v>Jul</c:v>
                </c:pt>
                <c:pt idx="19">
                  <c:v>Aug</c:v>
                </c:pt>
                <c:pt idx="20">
                  <c:v>Sep</c:v>
                </c:pt>
                <c:pt idx="21">
                  <c:v>Oct</c:v>
                </c:pt>
                <c:pt idx="22">
                  <c:v>Nov</c:v>
                </c:pt>
                <c:pt idx="23">
                  <c:v>Dec</c:v>
                </c:pt>
                <c:pt idx="24">
                  <c:v>2003 Jan</c:v>
                </c:pt>
                <c:pt idx="25">
                  <c:v>Feb</c:v>
                </c:pt>
                <c:pt idx="26">
                  <c:v>Mar</c:v>
                </c:pt>
                <c:pt idx="27">
                  <c:v>Apr</c:v>
                </c:pt>
                <c:pt idx="28">
                  <c:v>May</c:v>
                </c:pt>
                <c:pt idx="29">
                  <c:v>Jun</c:v>
                </c:pt>
                <c:pt idx="30">
                  <c:v>Jul</c:v>
                </c:pt>
                <c:pt idx="31">
                  <c:v>Aug</c:v>
                </c:pt>
                <c:pt idx="32">
                  <c:v>Sep</c:v>
                </c:pt>
                <c:pt idx="33">
                  <c:v>Oct</c:v>
                </c:pt>
                <c:pt idx="34">
                  <c:v>Nov</c:v>
                </c:pt>
                <c:pt idx="35">
                  <c:v>Dec</c:v>
                </c:pt>
                <c:pt idx="36">
                  <c:v>2004 Jan</c:v>
                </c:pt>
                <c:pt idx="37">
                  <c:v>Feb</c:v>
                </c:pt>
                <c:pt idx="38">
                  <c:v>Mar</c:v>
                </c:pt>
                <c:pt idx="39">
                  <c:v>Apr</c:v>
                </c:pt>
                <c:pt idx="40">
                  <c:v>May</c:v>
                </c:pt>
                <c:pt idx="41">
                  <c:v>Jun</c:v>
                </c:pt>
                <c:pt idx="42">
                  <c:v>Jul</c:v>
                </c:pt>
                <c:pt idx="43">
                  <c:v>Aug</c:v>
                </c:pt>
                <c:pt idx="44">
                  <c:v> #REF! </c:v>
                </c:pt>
              </c:strCache>
            </c:strRef>
          </c:cat>
          <c:val>
            <c:numRef>
              <c:f>Sheet1!$AH$57:$AH$101</c:f>
              <c:numCache>
                <c:formatCode>_(* #,##0.0_);_(* \(#,##0.0\);_(* "-"??_);_(@_)</c:formatCode>
                <c:ptCount val="45"/>
                <c:pt idx="0">
                  <c:v>1.7281713250674506</c:v>
                </c:pt>
                <c:pt idx="1">
                  <c:v>1.8372690106967233</c:v>
                </c:pt>
                <c:pt idx="2">
                  <c:v>2.2007939372067851</c:v>
                </c:pt>
                <c:pt idx="3">
                  <c:v>2.1648462761180558</c:v>
                </c:pt>
                <c:pt idx="4">
                  <c:v>0</c:v>
                </c:pt>
                <c:pt idx="5">
                  <c:v>0</c:v>
                </c:pt>
                <c:pt idx="6">
                  <c:v>0</c:v>
                </c:pt>
                <c:pt idx="7">
                  <c:v>0</c:v>
                </c:pt>
                <c:pt idx="8">
                  <c:v>0</c:v>
                </c:pt>
                <c:pt idx="9">
                  <c:v>0</c:v>
                </c:pt>
                <c:pt idx="10">
                  <c:v>0</c:v>
                </c:pt>
                <c:pt idx="11">
                  <c:v>0</c:v>
                </c:pt>
                <c:pt idx="12">
                  <c:v>1.628601058725196</c:v>
                </c:pt>
                <c:pt idx="13">
                  <c:v>1.8819583378449289</c:v>
                </c:pt>
                <c:pt idx="14">
                  <c:v>1.7177036622842199</c:v>
                </c:pt>
                <c:pt idx="15">
                  <c:v>1.5938404978227787</c:v>
                </c:pt>
                <c:pt idx="16">
                  <c:v>1.9510076737841329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er>
        <c:marker val="1"/>
        <c:axId val="84746240"/>
        <c:axId val="84747776"/>
      </c:lineChart>
      <c:catAx>
        <c:axId val="847462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4747776"/>
        <c:crosses val="autoZero"/>
        <c:auto val="1"/>
        <c:lblAlgn val="ctr"/>
        <c:lblOffset val="100"/>
        <c:tickLblSkip val="6"/>
        <c:tickMarkSkip val="6"/>
      </c:catAx>
      <c:valAx>
        <c:axId val="84747776"/>
        <c:scaling>
          <c:orientation val="minMax"/>
          <c:max val="2.5"/>
          <c:min val="1"/>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4746240"/>
        <c:crosses val="autoZero"/>
        <c:crossBetween val="between"/>
        <c:majorUnit val="0.5"/>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266700</xdr:colOff>
      <xdr:row>57</xdr:row>
      <xdr:rowOff>76200</xdr:rowOff>
    </xdr:from>
    <xdr:to>
      <xdr:col>12</xdr:col>
      <xdr:colOff>485775</xdr:colOff>
      <xdr:row>76</xdr:row>
      <xdr:rowOff>85725</xdr:rowOff>
    </xdr:to>
    <xdr:graphicFrame macro="">
      <xdr:nvGraphicFramePr>
        <xdr:cNvPr id="633201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69</xdr:row>
      <xdr:rowOff>76200</xdr:rowOff>
    </xdr:from>
    <xdr:to>
      <xdr:col>12</xdr:col>
      <xdr:colOff>485775</xdr:colOff>
      <xdr:row>88</xdr:row>
      <xdr:rowOff>85725</xdr:rowOff>
    </xdr:to>
    <xdr:graphicFrame macro="">
      <xdr:nvGraphicFramePr>
        <xdr:cNvPr id="633201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486726</xdr:colOff>
      <xdr:row>2</xdr:row>
      <xdr:rowOff>48286</xdr:rowOff>
    </xdr:from>
    <xdr:to>
      <xdr:col>13</xdr:col>
      <xdr:colOff>23811</xdr:colOff>
      <xdr:row>24</xdr:row>
      <xdr:rowOff>41247</xdr:rowOff>
    </xdr:to>
    <xdr:pic>
      <xdr:nvPicPr>
        <xdr:cNvPr id="4" name="Picture 3"/>
        <xdr:cNvPicPr>
          <a:picLocks noChangeAspect="1"/>
        </xdr:cNvPicPr>
      </xdr:nvPicPr>
      <xdr:blipFill>
        <a:blip xmlns:r="http://schemas.openxmlformats.org/officeDocument/2006/relationships" r:embed="rId1"/>
        <a:stretch>
          <a:fillRect/>
        </a:stretch>
      </xdr:blipFill>
      <xdr:spPr>
        <a:xfrm>
          <a:off x="1093945" y="441192"/>
          <a:ext cx="6823710" cy="3660086"/>
        </a:xfrm>
        <a:prstGeom prst="rect">
          <a:avLst/>
        </a:prstGeom>
      </xdr:spPr>
    </xdr:pic>
    <xdr:clientData/>
  </xdr:twoCellAnchor>
  <xdr:twoCellAnchor editAs="oneCell">
    <xdr:from>
      <xdr:col>2</xdr:col>
      <xdr:colOff>44291</xdr:colOff>
      <xdr:row>28</xdr:row>
      <xdr:rowOff>58583</xdr:rowOff>
    </xdr:from>
    <xdr:to>
      <xdr:col>13</xdr:col>
      <xdr:colOff>309563</xdr:colOff>
      <xdr:row>58</xdr:row>
      <xdr:rowOff>139538</xdr:rowOff>
    </xdr:to>
    <xdr:pic>
      <xdr:nvPicPr>
        <xdr:cNvPr id="5" name="Picture 4"/>
        <xdr:cNvPicPr>
          <a:picLocks noChangeAspect="1"/>
        </xdr:cNvPicPr>
      </xdr:nvPicPr>
      <xdr:blipFill>
        <a:blip xmlns:r="http://schemas.openxmlformats.org/officeDocument/2006/relationships" r:embed="rId2"/>
        <a:stretch>
          <a:fillRect/>
        </a:stretch>
      </xdr:blipFill>
      <xdr:spPr>
        <a:xfrm>
          <a:off x="1258729" y="4844896"/>
          <a:ext cx="6944678" cy="5081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523875</xdr:colOff>
      <xdr:row>4</xdr:row>
      <xdr:rowOff>98794</xdr:rowOff>
    </xdr:from>
    <xdr:to>
      <xdr:col>15</xdr:col>
      <xdr:colOff>583406</xdr:colOff>
      <xdr:row>31</xdr:row>
      <xdr:rowOff>87152</xdr:rowOff>
    </xdr:to>
    <xdr:pic>
      <xdr:nvPicPr>
        <xdr:cNvPr id="6" name="Picture 5"/>
        <xdr:cNvPicPr>
          <a:picLocks noChangeAspect="1"/>
        </xdr:cNvPicPr>
      </xdr:nvPicPr>
      <xdr:blipFill>
        <a:blip xmlns:r="http://schemas.openxmlformats.org/officeDocument/2006/relationships" r:embed="rId1"/>
        <a:stretch>
          <a:fillRect/>
        </a:stretch>
      </xdr:blipFill>
      <xdr:spPr>
        <a:xfrm>
          <a:off x="523875" y="825075"/>
          <a:ext cx="9167812" cy="4488921"/>
        </a:xfrm>
        <a:prstGeom prst="rect">
          <a:avLst/>
        </a:prstGeom>
      </xdr:spPr>
    </xdr:pic>
    <xdr:clientData/>
  </xdr:twoCellAnchor>
  <xdr:twoCellAnchor editAs="oneCell">
    <xdr:from>
      <xdr:col>4</xdr:col>
      <xdr:colOff>11907</xdr:colOff>
      <xdr:row>39</xdr:row>
      <xdr:rowOff>72581</xdr:rowOff>
    </xdr:from>
    <xdr:to>
      <xdr:col>12</xdr:col>
      <xdr:colOff>107157</xdr:colOff>
      <xdr:row>61</xdr:row>
      <xdr:rowOff>90488</xdr:rowOff>
    </xdr:to>
    <xdr:pic>
      <xdr:nvPicPr>
        <xdr:cNvPr id="7" name="Picture 6"/>
        <xdr:cNvPicPr>
          <a:picLocks noChangeAspect="1"/>
        </xdr:cNvPicPr>
      </xdr:nvPicPr>
      <xdr:blipFill>
        <a:blip xmlns:r="http://schemas.openxmlformats.org/officeDocument/2006/relationships" r:embed="rId2"/>
        <a:stretch>
          <a:fillRect/>
        </a:stretch>
      </xdr:blipFill>
      <xdr:spPr>
        <a:xfrm>
          <a:off x="2440782" y="6692456"/>
          <a:ext cx="4953000" cy="3685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33726</xdr:colOff>
      <xdr:row>2</xdr:row>
      <xdr:rowOff>10676</xdr:rowOff>
    </xdr:from>
    <xdr:to>
      <xdr:col>10</xdr:col>
      <xdr:colOff>352426</xdr:colOff>
      <xdr:row>23</xdr:row>
      <xdr:rowOff>113149</xdr:rowOff>
    </xdr:to>
    <xdr:pic>
      <xdr:nvPicPr>
        <xdr:cNvPr id="3" name="Picture 2"/>
        <xdr:cNvPicPr>
          <a:picLocks noChangeAspect="1"/>
        </xdr:cNvPicPr>
      </xdr:nvPicPr>
      <xdr:blipFill>
        <a:blip xmlns:r="http://schemas.openxmlformats.org/officeDocument/2006/relationships" r:embed="rId1"/>
        <a:stretch>
          <a:fillRect/>
        </a:stretch>
      </xdr:blipFill>
      <xdr:spPr>
        <a:xfrm>
          <a:off x="1252926" y="401201"/>
          <a:ext cx="5195500" cy="35028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603250</xdr:colOff>
      <xdr:row>2</xdr:row>
      <xdr:rowOff>84668</xdr:rowOff>
    </xdr:from>
    <xdr:to>
      <xdr:col>11</xdr:col>
      <xdr:colOff>323449</xdr:colOff>
      <xdr:row>27</xdr:row>
      <xdr:rowOff>62654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3250" y="476251"/>
          <a:ext cx="6472366" cy="39467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457200</xdr:colOff>
      <xdr:row>28</xdr:row>
      <xdr:rowOff>1361</xdr:rowOff>
    </xdr:to>
    <xdr:pic>
      <xdr:nvPicPr>
        <xdr:cNvPr id="176130" name="Picture 2"/>
        <xdr:cNvPicPr>
          <a:picLocks noChangeAspect="1" noChangeArrowheads="1"/>
        </xdr:cNvPicPr>
      </xdr:nvPicPr>
      <xdr:blipFill>
        <a:blip xmlns:r="http://schemas.openxmlformats.org/officeDocument/2006/relationships" r:embed="rId1"/>
        <a:srcRect/>
        <a:stretch>
          <a:fillRect/>
        </a:stretch>
      </xdr:blipFill>
      <xdr:spPr bwMode="auto">
        <a:xfrm>
          <a:off x="1219200" y="552450"/>
          <a:ext cx="4724400" cy="4049486"/>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171450</xdr:colOff>
      <xdr:row>80</xdr:row>
      <xdr:rowOff>133350</xdr:rowOff>
    </xdr:from>
    <xdr:to>
      <xdr:col>15</xdr:col>
      <xdr:colOff>247650</xdr:colOff>
      <xdr:row>100</xdr:row>
      <xdr:rowOff>57150</xdr:rowOff>
    </xdr:to>
    <xdr:graphicFrame macro="">
      <xdr:nvGraphicFramePr>
        <xdr:cNvPr id="63360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102</xdr:row>
      <xdr:rowOff>152400</xdr:rowOff>
    </xdr:from>
    <xdr:to>
      <xdr:col>7</xdr:col>
      <xdr:colOff>342900</xdr:colOff>
      <xdr:row>117</xdr:row>
      <xdr:rowOff>142875</xdr:rowOff>
    </xdr:to>
    <xdr:graphicFrame macro="">
      <xdr:nvGraphicFramePr>
        <xdr:cNvPr id="633601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381000</xdr:colOff>
      <xdr:row>43</xdr:row>
      <xdr:rowOff>142875</xdr:rowOff>
    </xdr:from>
    <xdr:to>
      <xdr:col>14</xdr:col>
      <xdr:colOff>561975</xdr:colOff>
      <xdr:row>61</xdr:row>
      <xdr:rowOff>76200</xdr:rowOff>
    </xdr:to>
    <xdr:graphicFrame macro="">
      <xdr:nvGraphicFramePr>
        <xdr:cNvPr id="63363137"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314325</xdr:colOff>
      <xdr:row>82</xdr:row>
      <xdr:rowOff>114300</xdr:rowOff>
    </xdr:from>
    <xdr:to>
      <xdr:col>10</xdr:col>
      <xdr:colOff>171450</xdr:colOff>
      <xdr:row>108</xdr:row>
      <xdr:rowOff>171450</xdr:rowOff>
    </xdr:to>
    <xdr:graphicFrame macro="">
      <xdr:nvGraphicFramePr>
        <xdr:cNvPr id="63370500"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114300</xdr:colOff>
      <xdr:row>84</xdr:row>
      <xdr:rowOff>38100</xdr:rowOff>
    </xdr:from>
    <xdr:to>
      <xdr:col>25</xdr:col>
      <xdr:colOff>257175</xdr:colOff>
      <xdr:row>102</xdr:row>
      <xdr:rowOff>9525</xdr:rowOff>
    </xdr:to>
    <xdr:graphicFrame macro="">
      <xdr:nvGraphicFramePr>
        <xdr:cNvPr id="63370501"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304800</xdr:colOff>
      <xdr:row>83</xdr:row>
      <xdr:rowOff>123825</xdr:rowOff>
    </xdr:from>
    <xdr:to>
      <xdr:col>32</xdr:col>
      <xdr:colOff>400050</xdr:colOff>
      <xdr:row>105</xdr:row>
      <xdr:rowOff>152400</xdr:rowOff>
    </xdr:to>
    <xdr:graphicFrame macro="">
      <xdr:nvGraphicFramePr>
        <xdr:cNvPr id="63370502"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333375</xdr:colOff>
      <xdr:row>9</xdr:row>
      <xdr:rowOff>142875</xdr:rowOff>
    </xdr:from>
    <xdr:to>
      <xdr:col>29</xdr:col>
      <xdr:colOff>381000</xdr:colOff>
      <xdr:row>28</xdr:row>
      <xdr:rowOff>66675</xdr:rowOff>
    </xdr:to>
    <xdr:graphicFrame macro="">
      <xdr:nvGraphicFramePr>
        <xdr:cNvPr id="63370503"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81</xdr:row>
      <xdr:rowOff>152400</xdr:rowOff>
    </xdr:from>
    <xdr:to>
      <xdr:col>15</xdr:col>
      <xdr:colOff>523875</xdr:colOff>
      <xdr:row>99</xdr:row>
      <xdr:rowOff>76200</xdr:rowOff>
    </xdr:to>
    <xdr:graphicFrame macro="">
      <xdr:nvGraphicFramePr>
        <xdr:cNvPr id="633879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100</xdr:row>
      <xdr:rowOff>114300</xdr:rowOff>
    </xdr:from>
    <xdr:to>
      <xdr:col>13</xdr:col>
      <xdr:colOff>1152525</xdr:colOff>
      <xdr:row>122</xdr:row>
      <xdr:rowOff>57150</xdr:rowOff>
    </xdr:to>
    <xdr:graphicFrame macro="">
      <xdr:nvGraphicFramePr>
        <xdr:cNvPr id="633879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114</xdr:row>
      <xdr:rowOff>133350</xdr:rowOff>
    </xdr:from>
    <xdr:to>
      <xdr:col>13</xdr:col>
      <xdr:colOff>942975</xdr:colOff>
      <xdr:row>131</xdr:row>
      <xdr:rowOff>152400</xdr:rowOff>
    </xdr:to>
    <xdr:graphicFrame macro="">
      <xdr:nvGraphicFramePr>
        <xdr:cNvPr id="633879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38100</xdr:colOff>
      <xdr:row>93</xdr:row>
      <xdr:rowOff>152400</xdr:rowOff>
    </xdr:from>
    <xdr:to>
      <xdr:col>22</xdr:col>
      <xdr:colOff>247650</xdr:colOff>
      <xdr:row>109</xdr:row>
      <xdr:rowOff>133350</xdr:rowOff>
    </xdr:to>
    <xdr:graphicFrame macro="">
      <xdr:nvGraphicFramePr>
        <xdr:cNvPr id="633879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219075</xdr:colOff>
      <xdr:row>2</xdr:row>
      <xdr:rowOff>66675</xdr:rowOff>
    </xdr:from>
    <xdr:to>
      <xdr:col>6</xdr:col>
      <xdr:colOff>190500</xdr:colOff>
      <xdr:row>36</xdr:row>
      <xdr:rowOff>9525</xdr:rowOff>
    </xdr:to>
    <xdr:pic>
      <xdr:nvPicPr>
        <xdr:cNvPr id="151554"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438275" y="390525"/>
          <a:ext cx="2409825" cy="5448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43</xdr:row>
      <xdr:rowOff>66675</xdr:rowOff>
    </xdr:from>
    <xdr:to>
      <xdr:col>11</xdr:col>
      <xdr:colOff>571500</xdr:colOff>
      <xdr:row>64</xdr:row>
      <xdr:rowOff>123825</xdr:rowOff>
    </xdr:to>
    <xdr:graphicFrame macro="">
      <xdr:nvGraphicFramePr>
        <xdr:cNvPr id="63323396"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152400</xdr:colOff>
      <xdr:row>47</xdr:row>
      <xdr:rowOff>38100</xdr:rowOff>
    </xdr:from>
    <xdr:to>
      <xdr:col>30</xdr:col>
      <xdr:colOff>447675</xdr:colOff>
      <xdr:row>69</xdr:row>
      <xdr:rowOff>114300</xdr:rowOff>
    </xdr:to>
    <xdr:graphicFrame macro="">
      <xdr:nvGraphicFramePr>
        <xdr:cNvPr id="63323397"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152400</xdr:colOff>
      <xdr:row>7</xdr:row>
      <xdr:rowOff>0</xdr:rowOff>
    </xdr:from>
    <xdr:to>
      <xdr:col>32</xdr:col>
      <xdr:colOff>142875</xdr:colOff>
      <xdr:row>26</xdr:row>
      <xdr:rowOff>0</xdr:rowOff>
    </xdr:to>
    <xdr:graphicFrame macro="">
      <xdr:nvGraphicFramePr>
        <xdr:cNvPr id="63323398" name="Chart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333375</xdr:colOff>
      <xdr:row>27</xdr:row>
      <xdr:rowOff>85725</xdr:rowOff>
    </xdr:from>
    <xdr:to>
      <xdr:col>33</xdr:col>
      <xdr:colOff>142875</xdr:colOff>
      <xdr:row>46</xdr:row>
      <xdr:rowOff>104775</xdr:rowOff>
    </xdr:to>
    <xdr:graphicFrame macro="">
      <xdr:nvGraphicFramePr>
        <xdr:cNvPr id="63323399" name="Chart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0.75793</cdr:x>
      <cdr:y>0.64117</cdr:y>
    </cdr:from>
    <cdr:to>
      <cdr:x>0.86505</cdr:x>
      <cdr:y>0.78429</cdr:y>
    </cdr:to>
    <cdr:sp macro="" textlink="">
      <cdr:nvSpPr>
        <cdr:cNvPr id="104449" name="Rectangle 1"/>
        <cdr:cNvSpPr>
          <a:spLocks xmlns:a="http://schemas.openxmlformats.org/drawingml/2006/main" noChangeArrowheads="1"/>
        </cdr:cNvSpPr>
      </cdr:nvSpPr>
      <cdr:spPr bwMode="auto">
        <a:xfrm xmlns:a="http://schemas.openxmlformats.org/drawingml/2006/main">
          <a:off x="5677503" y="3105582"/>
          <a:ext cx="801967" cy="692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0.8527</cdr:x>
      <cdr:y>0.72474</cdr:y>
    </cdr:from>
    <cdr:to>
      <cdr:x>0.96402</cdr:x>
      <cdr:y>0.85978</cdr:y>
    </cdr:to>
    <cdr:sp macro="" textlink="">
      <cdr:nvSpPr>
        <cdr:cNvPr id="104450" name="Rectangle 2"/>
        <cdr:cNvSpPr>
          <a:spLocks xmlns:a="http://schemas.openxmlformats.org/drawingml/2006/main" noChangeArrowheads="1"/>
        </cdr:cNvSpPr>
      </cdr:nvSpPr>
      <cdr:spPr bwMode="auto">
        <a:xfrm xmlns:a="http://schemas.openxmlformats.org/drawingml/2006/main">
          <a:off x="6387078" y="3509961"/>
          <a:ext cx="833380" cy="6534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adjusted forecast</a:t>
          </a:r>
        </a:p>
      </cdr:txBody>
    </cdr:sp>
  </cdr:relSizeAnchor>
</c:userShapes>
</file>

<file path=xl/drawings/drawing4.xml><?xml version="1.0" encoding="utf-8"?>
<c:userShapes xmlns:c="http://schemas.openxmlformats.org/drawingml/2006/chart">
  <cdr:relSizeAnchor xmlns:cdr="http://schemas.openxmlformats.org/drawingml/2006/chartDrawing">
    <cdr:from>
      <cdr:x>0.77473</cdr:x>
      <cdr:y>0.27038</cdr:y>
    </cdr:from>
    <cdr:to>
      <cdr:x>0.98754</cdr:x>
      <cdr:y>0.40663</cdr:y>
    </cdr:to>
    <cdr:sp macro="" textlink="">
      <cdr:nvSpPr>
        <cdr:cNvPr id="103425" name="Rectangle 1"/>
        <cdr:cNvSpPr>
          <a:spLocks xmlns:a="http://schemas.openxmlformats.org/drawingml/2006/main" noChangeArrowheads="1"/>
        </cdr:cNvSpPr>
      </cdr:nvSpPr>
      <cdr:spPr bwMode="auto">
        <a:xfrm xmlns:a="http://schemas.openxmlformats.org/drawingml/2006/main">
          <a:off x="4327449" y="1306309"/>
          <a:ext cx="1187805" cy="656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800" b="0" i="0" strike="noStrike">
              <a:solidFill>
                <a:srgbClr val="000000"/>
              </a:solidFill>
              <a:latin typeface="Arial"/>
              <a:cs typeface="Arial"/>
            </a:rPr>
            <a:t>177% growth in electircity</a:t>
          </a:r>
        </a:p>
      </cdr:txBody>
    </cdr:sp>
  </cdr:relSizeAnchor>
  <cdr:relSizeAnchor xmlns:cdr="http://schemas.openxmlformats.org/drawingml/2006/chartDrawing">
    <cdr:from>
      <cdr:x>0.81872</cdr:x>
      <cdr:y>0.66762</cdr:y>
    </cdr:from>
    <cdr:to>
      <cdr:x>0.9868</cdr:x>
      <cdr:y>0.83892</cdr:y>
    </cdr:to>
    <cdr:sp macro="" textlink="">
      <cdr:nvSpPr>
        <cdr:cNvPr id="103427" name="Rectangle 3"/>
        <cdr:cNvSpPr>
          <a:spLocks xmlns:a="http://schemas.openxmlformats.org/drawingml/2006/main" noChangeArrowheads="1"/>
        </cdr:cNvSpPr>
      </cdr:nvSpPr>
      <cdr:spPr bwMode="auto">
        <a:xfrm xmlns:a="http://schemas.openxmlformats.org/drawingml/2006/main">
          <a:off x="4572965" y="3220872"/>
          <a:ext cx="938175" cy="8255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0.75999</cdr:x>
      <cdr:y>0.42795</cdr:y>
    </cdr:from>
    <cdr:to>
      <cdr:x>0.97353</cdr:x>
      <cdr:y>0.58209</cdr:y>
    </cdr:to>
    <cdr:sp macro="" textlink="">
      <cdr:nvSpPr>
        <cdr:cNvPr id="103429" name="Rectangle 5"/>
        <cdr:cNvSpPr>
          <a:spLocks xmlns:a="http://schemas.openxmlformats.org/drawingml/2006/main" noChangeArrowheads="1"/>
        </cdr:cNvSpPr>
      </cdr:nvSpPr>
      <cdr:spPr bwMode="auto">
        <a:xfrm xmlns:a="http://schemas.openxmlformats.org/drawingml/2006/main">
          <a:off x="4245153" y="2065757"/>
          <a:ext cx="1191920" cy="7429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22860" rIns="27432" bIns="0" anchor="t" upright="1"/>
        <a:lstStyle xmlns:a="http://schemas.openxmlformats.org/drawingml/2006/main"/>
        <a:p xmlns:a="http://schemas.openxmlformats.org/drawingml/2006/main">
          <a:pPr algn="r" rtl="1">
            <a:defRPr sz="1000"/>
          </a:pPr>
          <a:r>
            <a:rPr lang="en-US" sz="800" b="0" i="0" strike="noStrike">
              <a:solidFill>
                <a:srgbClr val="000000"/>
              </a:solidFill>
              <a:latin typeface="Arial"/>
              <a:cs typeface="Arial"/>
            </a:rPr>
            <a:t>153% growth in electircity</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76200</xdr:colOff>
      <xdr:row>50</xdr:row>
      <xdr:rowOff>28575</xdr:rowOff>
    </xdr:from>
    <xdr:to>
      <xdr:col>16</xdr:col>
      <xdr:colOff>981075</xdr:colOff>
      <xdr:row>67</xdr:row>
      <xdr:rowOff>104775</xdr:rowOff>
    </xdr:to>
    <xdr:graphicFrame macro="">
      <xdr:nvGraphicFramePr>
        <xdr:cNvPr id="633283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63</xdr:row>
      <xdr:rowOff>57150</xdr:rowOff>
    </xdr:from>
    <xdr:to>
      <xdr:col>23</xdr:col>
      <xdr:colOff>19050</xdr:colOff>
      <xdr:row>88</xdr:row>
      <xdr:rowOff>133350</xdr:rowOff>
    </xdr:to>
    <xdr:graphicFrame macro="">
      <xdr:nvGraphicFramePr>
        <xdr:cNvPr id="633283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600075</xdr:colOff>
      <xdr:row>0</xdr:row>
      <xdr:rowOff>0</xdr:rowOff>
    </xdr:from>
    <xdr:to>
      <xdr:col>18</xdr:col>
      <xdr:colOff>581025</xdr:colOff>
      <xdr:row>31</xdr:row>
      <xdr:rowOff>0</xdr:rowOff>
    </xdr:to>
    <xdr:graphicFrame macro="">
      <xdr:nvGraphicFramePr>
        <xdr:cNvPr id="63331588"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28575</xdr:rowOff>
    </xdr:from>
    <xdr:to>
      <xdr:col>9</xdr:col>
      <xdr:colOff>581025</xdr:colOff>
      <xdr:row>62</xdr:row>
      <xdr:rowOff>0</xdr:rowOff>
    </xdr:to>
    <xdr:graphicFrame macro="">
      <xdr:nvGraphicFramePr>
        <xdr:cNvPr id="63331589"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10</xdr:col>
      <xdr:colOff>0</xdr:colOff>
      <xdr:row>30</xdr:row>
      <xdr:rowOff>123825</xdr:rowOff>
    </xdr:to>
    <xdr:graphicFrame macro="">
      <xdr:nvGraphicFramePr>
        <xdr:cNvPr id="63331590"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31</xdr:row>
      <xdr:rowOff>9525</xdr:rowOff>
    </xdr:from>
    <xdr:to>
      <xdr:col>18</xdr:col>
      <xdr:colOff>600075</xdr:colOff>
      <xdr:row>62</xdr:row>
      <xdr:rowOff>28575</xdr:rowOff>
    </xdr:to>
    <xdr:graphicFrame macro="">
      <xdr:nvGraphicFramePr>
        <xdr:cNvPr id="63331591"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35</xdr:col>
      <xdr:colOff>66675</xdr:colOff>
      <xdr:row>56</xdr:row>
      <xdr:rowOff>9525</xdr:rowOff>
    </xdr:from>
    <xdr:to>
      <xdr:col>49</xdr:col>
      <xdr:colOff>114300</xdr:colOff>
      <xdr:row>76</xdr:row>
      <xdr:rowOff>28575</xdr:rowOff>
    </xdr:to>
    <xdr:graphicFrame macro="">
      <xdr:nvGraphicFramePr>
        <xdr:cNvPr id="633367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219075</xdr:colOff>
      <xdr:row>77</xdr:row>
      <xdr:rowOff>28575</xdr:rowOff>
    </xdr:from>
    <xdr:to>
      <xdr:col>49</xdr:col>
      <xdr:colOff>371475</xdr:colOff>
      <xdr:row>94</xdr:row>
      <xdr:rowOff>142875</xdr:rowOff>
    </xdr:to>
    <xdr:graphicFrame macro="">
      <xdr:nvGraphicFramePr>
        <xdr:cNvPr id="633367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200025</xdr:colOff>
      <xdr:row>95</xdr:row>
      <xdr:rowOff>142875</xdr:rowOff>
    </xdr:from>
    <xdr:to>
      <xdr:col>49</xdr:col>
      <xdr:colOff>542925</xdr:colOff>
      <xdr:row>115</xdr:row>
      <xdr:rowOff>28575</xdr:rowOff>
    </xdr:to>
    <xdr:graphicFrame macro="">
      <xdr:nvGraphicFramePr>
        <xdr:cNvPr id="633367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117</xdr:row>
      <xdr:rowOff>0</xdr:rowOff>
    </xdr:from>
    <xdr:to>
      <xdr:col>46</xdr:col>
      <xdr:colOff>114300</xdr:colOff>
      <xdr:row>134</xdr:row>
      <xdr:rowOff>0</xdr:rowOff>
    </xdr:to>
    <xdr:graphicFrame macro="">
      <xdr:nvGraphicFramePr>
        <xdr:cNvPr id="633367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38100</xdr:colOff>
      <xdr:row>96</xdr:row>
      <xdr:rowOff>47625</xdr:rowOff>
    </xdr:from>
    <xdr:to>
      <xdr:col>35</xdr:col>
      <xdr:colOff>180975</xdr:colOff>
      <xdr:row>217</xdr:row>
      <xdr:rowOff>95250</xdr:rowOff>
    </xdr:to>
    <xdr:graphicFrame macro="">
      <xdr:nvGraphicFramePr>
        <xdr:cNvPr id="63341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184150</xdr:colOff>
      <xdr:row>91</xdr:row>
      <xdr:rowOff>88901</xdr:rowOff>
    </xdr:from>
    <xdr:to>
      <xdr:col>21</xdr:col>
      <xdr:colOff>533400</xdr:colOff>
      <xdr:row>192</xdr:row>
      <xdr:rowOff>114300</xdr:rowOff>
    </xdr:to>
    <xdr:graphicFrame macro="">
      <xdr:nvGraphicFramePr>
        <xdr:cNvPr id="633417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161925</xdr:colOff>
      <xdr:row>218</xdr:row>
      <xdr:rowOff>104775</xdr:rowOff>
    </xdr:from>
    <xdr:to>
      <xdr:col>21</xdr:col>
      <xdr:colOff>295275</xdr:colOff>
      <xdr:row>265</xdr:row>
      <xdr:rowOff>152400</xdr:rowOff>
    </xdr:to>
    <xdr:graphicFrame macro="">
      <xdr:nvGraphicFramePr>
        <xdr:cNvPr id="633417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283634</xdr:colOff>
      <xdr:row>8</xdr:row>
      <xdr:rowOff>82551</xdr:rowOff>
    </xdr:from>
    <xdr:to>
      <xdr:col>6</xdr:col>
      <xdr:colOff>331259</xdr:colOff>
      <xdr:row>24</xdr:row>
      <xdr:rowOff>82551</xdr:rowOff>
    </xdr:to>
    <xdr:pic>
      <xdr:nvPicPr>
        <xdr:cNvPr id="140290" name="Picture 2" descr="new logo"/>
        <xdr:cNvPicPr>
          <a:picLocks noChangeAspect="1" noChangeArrowheads="1"/>
        </xdr:cNvPicPr>
      </xdr:nvPicPr>
      <xdr:blipFill>
        <a:blip xmlns:r="http://schemas.openxmlformats.org/officeDocument/2006/relationships" r:embed="rId1" cstate="print"/>
        <a:srcRect/>
        <a:stretch>
          <a:fillRect/>
        </a:stretch>
      </xdr:blipFill>
      <xdr:spPr bwMode="auto">
        <a:xfrm>
          <a:off x="855134" y="1468968"/>
          <a:ext cx="3042708" cy="2540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MA_SERVER_PDC\rmahome\RmaI\Selected%20EIs\April%202001\tem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SD%20DOC/RSDdoc--new/BackUp/Monthly%20Bulletin/2016/04%20Apr%202016/Worksheets/Tables_Apr'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SD%20DOC/RSDdoc--new/BackUp/Monthly%20Bulletin/FIs%20Statements/Worksheets/MAB%20Manual%20Upd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B%20&amp;%20BN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B%20&amp;%20BN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SD%20Doc/RSDdoc--new/BackUp/RmaI/Selected%20EIs/2012/Dec/MFS/BOB,BNB,TBank,DPNB,BDB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SD%20Doc/RSDdoc--new/BackUp/RmaI/Selected%20EIs/2012/Dec/MFS/RICB%20&amp;%20BI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HP%20may%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asochhu/BHP%20July%2020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Kurichhu/kurichhu%20sep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June%202002\BoP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P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P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July%2031,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Aug%203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Sep%2030.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Oct%2031,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Nov%2030,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Dec%2031,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an%2031,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Feb%2028,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r%2031,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pr%2031,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y%2031,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ne%2030,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l%203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ug%2031,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Sept%2031,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Oct%2031,%20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Nov%2030%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Dec%2031,%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January%2031,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February%2028,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March%2031,2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pril%2030,20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May%2031,%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ne%2030,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ly%2030,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ugust%2031,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September%203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BOP%20to%20be%20replac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October%2031,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November%2030,2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December%20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anuary%2031,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February%2028,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rch%2031,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pril%2030,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y%2031,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ne%2030,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ly%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ugust%2031,20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September%2030,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October%2031,20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November%203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December%2031,2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anuary%2031,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Febraury%2028,201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rch%2031,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April%2030,20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y%2031,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odify%20tables%20_%20January%202006%20back%20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un%2030,201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ma-server\applications\Monthly%20Bulletin\2005\August\Modify%20tables%20_%20Augus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SD%20Doc/RmaI/Annual%20Report/AR%202011/STATISTICS/BOP%20Workshee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SD%20Doc/RmaI/Annual%20Report/AR%202010/STATISTICS/BOP%20Workshe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SD%20Doc/BackUp/RmaI/Selected%20EIs/2012/June/BOP%20Workshee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SD%20Doc/RmaI/Selected%20EIs/2009/June/BOP%20Workshee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AR%202005%20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ma-server\applications\RMAHOME\RSDdoc\BackUp\RmaI\Selected%20EIs\2006\June\BOP%20_jun_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04\Statistics\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MA-SERVER\Applications\RMAHOME\R&amp;sd%20Doc\Sonam\Sonam\Monthly%20Indicators\2003\February\BoP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a-server\Applications\BackUp\RmaI\Selected%20EIs\2005\December\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SD%20Doc/KEI.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SD%20Doc/Tables%20feb%2020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SD%20Doc/RmaI/Selected%20EIs/2010/Sept/BOP%20Worksheet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SD%20Doc/External%20Debt_Sep%2011%20SEI.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SD%20Doc/RmaI/Selected%20EIs/2012/June/GDP%20and%20exchange%20rates_new.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SD%20Doc/RmaI/Selected%20EIs/2010/Sept/External%20Debt_Sept%20S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ma-server\applications\RmaI\Selected%20EIs\2005\June\RMA%20WK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row r="1">
          <cell r="A1" t="str">
            <v xml:space="preserve">TABLE 16. BALANCE OF PAYMENTS ESTIMATES WITH INDIA </v>
          </cell>
        </row>
        <row r="2">
          <cell r="A2" t="str">
            <v xml:space="preserve">Millions of Ngultrum </v>
          </cell>
        </row>
        <row r="4">
          <cell r="A4" t="str">
            <v/>
          </cell>
          <cell r="B4" t="str">
            <v>Period</v>
          </cell>
          <cell r="C4" t="str">
            <v/>
          </cell>
        </row>
        <row r="5">
          <cell r="L5" t="str">
            <v xml:space="preserve">TABLE 17. BALANCE OF PAYMENTS ESTIMATES WITH THIRD COUNTRIES </v>
          </cell>
          <cell r="W5" t="str">
            <v xml:space="preserve">TABLE 15. BALANCE OF PAYMENTS ESTIMATES </v>
          </cell>
        </row>
        <row r="6">
          <cell r="A6" t="str">
            <v>Item</v>
          </cell>
          <cell r="B6" t="str">
            <v xml:space="preserve">    1990/91 </v>
          </cell>
          <cell r="C6" t="str">
            <v xml:space="preserve">1991/92 </v>
          </cell>
          <cell r="D6" t="str">
            <v xml:space="preserve">1992/93 </v>
          </cell>
          <cell r="E6" t="str">
            <v xml:space="preserve">1993/94 </v>
          </cell>
          <cell r="F6" t="str">
            <v>1994/95</v>
          </cell>
          <cell r="G6" t="str">
            <v xml:space="preserve">1995/96 </v>
          </cell>
        </row>
        <row r="7">
          <cell r="L7" t="str">
            <v xml:space="preserve">Millions of Ngultrum </v>
          </cell>
          <cell r="W7" t="str">
            <v xml:space="preserve">Millions of Ngultrum </v>
          </cell>
        </row>
        <row r="8">
          <cell r="A8" t="str">
            <v>Exports,fob</v>
          </cell>
          <cell r="B8">
            <v>1129.57</v>
          </cell>
          <cell r="C8">
            <v>1465.13</v>
          </cell>
          <cell r="D8">
            <v>1522.18</v>
          </cell>
          <cell r="E8">
            <v>1785.98</v>
          </cell>
          <cell r="F8">
            <v>2059.81</v>
          </cell>
          <cell r="G8">
            <v>3078.95</v>
          </cell>
        </row>
        <row r="9">
          <cell r="A9" t="str">
            <v/>
          </cell>
          <cell r="L9" t="str">
            <v/>
          </cell>
          <cell r="M9" t="str">
            <v xml:space="preserve"> Period</v>
          </cell>
          <cell r="N9" t="str">
            <v/>
          </cell>
          <cell r="W9" t="str">
            <v/>
          </cell>
          <cell r="X9" t="str">
            <v xml:space="preserve"> Period</v>
          </cell>
          <cell r="Y9" t="str">
            <v/>
          </cell>
        </row>
        <row r="10">
          <cell r="A10" t="str">
            <v>Imports,cif</v>
          </cell>
          <cell r="B10">
            <v>-1254.92</v>
          </cell>
          <cell r="C10">
            <v>-1814.14</v>
          </cell>
          <cell r="D10">
            <v>-2086.2600000000002</v>
          </cell>
          <cell r="E10">
            <v>-2065.9</v>
          </cell>
          <cell r="F10">
            <v>-2228.09</v>
          </cell>
          <cell r="G10">
            <v>-2790.52</v>
          </cell>
          <cell r="L10" t="str">
            <v/>
          </cell>
          <cell r="W10" t="str">
            <v/>
          </cell>
        </row>
        <row r="11">
          <cell r="A11" t="str">
            <v/>
          </cell>
          <cell r="L11" t="str">
            <v>Item</v>
          </cell>
          <cell r="M11" t="str">
            <v xml:space="preserve">   1990/91</v>
          </cell>
          <cell r="N11" t="str">
            <v>1991/92</v>
          </cell>
          <cell r="O11" t="str">
            <v>1992/93</v>
          </cell>
          <cell r="P11" t="str">
            <v xml:space="preserve">1993/94 </v>
          </cell>
          <cell r="Q11" t="str">
            <v>1994/95</v>
          </cell>
          <cell r="R11" t="str">
            <v xml:space="preserve">1995/96 </v>
          </cell>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2">
          <cell r="A12" t="str">
            <v xml:space="preserve">  Tala</v>
          </cell>
          <cell r="B12" t="str">
            <v>-</v>
          </cell>
          <cell r="C12" t="str">
            <v>-</v>
          </cell>
          <cell r="D12" t="str">
            <v>-</v>
          </cell>
          <cell r="E12" t="str">
            <v>-</v>
          </cell>
          <cell r="F12" t="str">
            <v>-</v>
          </cell>
          <cell r="G12" t="str">
            <v>-</v>
          </cell>
        </row>
        <row r="13">
          <cell r="A13" t="str">
            <v/>
          </cell>
          <cell r="L13" t="str">
            <v>Exports,fob</v>
          </cell>
          <cell r="M13">
            <v>178.92</v>
          </cell>
          <cell r="N13">
            <v>166.82</v>
          </cell>
          <cell r="O13">
            <v>315.07</v>
          </cell>
          <cell r="P13">
            <v>204.35</v>
          </cell>
          <cell r="Q13">
            <v>136.87</v>
          </cell>
          <cell r="R13">
            <v>270.18</v>
          </cell>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A14" t="str">
            <v xml:space="preserve">  Other</v>
          </cell>
          <cell r="B14">
            <v>-1254.92</v>
          </cell>
          <cell r="C14">
            <v>-1814.14</v>
          </cell>
          <cell r="D14">
            <v>-2086.2600000000002</v>
          </cell>
          <cell r="E14">
            <v>-2065.9</v>
          </cell>
          <cell r="F14">
            <v>-2228.09</v>
          </cell>
          <cell r="G14">
            <v>-2790.52</v>
          </cell>
          <cell r="L14" t="str">
            <v/>
          </cell>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A15" t="str">
            <v/>
          </cell>
          <cell r="L15" t="str">
            <v>Imports,cif</v>
          </cell>
          <cell r="M15">
            <v>-270.52999999999997</v>
          </cell>
          <cell r="N15">
            <v>-334.39</v>
          </cell>
          <cell r="O15">
            <v>-1384.6</v>
          </cell>
          <cell r="P15">
            <v>-848.3</v>
          </cell>
          <cell r="Q15">
            <v>-825.08999999999992</v>
          </cell>
          <cell r="R15">
            <v>-1011.82</v>
          </cell>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A16" t="str">
            <v>Trade balance</v>
          </cell>
          <cell r="B16">
            <v>-125.35</v>
          </cell>
          <cell r="C16">
            <v>-349.01</v>
          </cell>
          <cell r="D16">
            <v>-564.08000000000004</v>
          </cell>
          <cell r="E16">
            <v>-279.92000000000007</v>
          </cell>
          <cell r="F16">
            <v>-168.2800000000002</v>
          </cell>
          <cell r="G16">
            <v>288.42999999999984</v>
          </cell>
          <cell r="L16" t="str">
            <v/>
          </cell>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A17" t="str">
            <v>Service and transfer</v>
          </cell>
          <cell r="L17" t="str">
            <v xml:space="preserve">  Aid-related</v>
          </cell>
          <cell r="M17">
            <v>-115.82</v>
          </cell>
          <cell r="N17">
            <v>-168.69</v>
          </cell>
          <cell r="O17">
            <v>-357.28</v>
          </cell>
          <cell r="P17">
            <v>-378.29</v>
          </cell>
          <cell r="Q17">
            <v>-361.03</v>
          </cell>
          <cell r="R17">
            <v>-416.47</v>
          </cell>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A18" t="str">
            <v>receipts</v>
          </cell>
          <cell r="B18">
            <v>228.68</v>
          </cell>
          <cell r="C18">
            <v>235.12</v>
          </cell>
          <cell r="D18">
            <v>201.37</v>
          </cell>
          <cell r="E18">
            <v>224.93</v>
          </cell>
          <cell r="F18">
            <v>215.93</v>
          </cell>
          <cell r="G18">
            <v>282.26</v>
          </cell>
          <cell r="L18" t="str">
            <v/>
          </cell>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A19" t="str">
            <v>Service and transfer</v>
          </cell>
          <cell r="L19" t="str">
            <v xml:space="preserve">  Other</v>
          </cell>
          <cell r="M19">
            <v>-154.71</v>
          </cell>
          <cell r="N19">
            <v>-165.7</v>
          </cell>
          <cell r="O19">
            <v>-1027.32</v>
          </cell>
          <cell r="P19">
            <v>-470.01</v>
          </cell>
          <cell r="Q19">
            <v>-464.06</v>
          </cell>
          <cell r="R19">
            <v>-595.35</v>
          </cell>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A20" t="str">
            <v>payments</v>
          </cell>
          <cell r="B20">
            <v>-342.16</v>
          </cell>
          <cell r="C20">
            <v>-402.5</v>
          </cell>
          <cell r="D20">
            <v>-495.85</v>
          </cell>
          <cell r="E20">
            <v>-591.34</v>
          </cell>
          <cell r="F20">
            <v>-497.66</v>
          </cell>
          <cell r="G20">
            <v>-776.14</v>
          </cell>
          <cell r="L20" t="str">
            <v/>
          </cell>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A21" t="str">
            <v/>
          </cell>
          <cell r="L21" t="str">
            <v>Trade balance</v>
          </cell>
          <cell r="M21">
            <v>-91.61</v>
          </cell>
          <cell r="N21">
            <v>-167.57</v>
          </cell>
          <cell r="O21">
            <v>-1069.53</v>
          </cell>
          <cell r="P21">
            <v>-643.94999999999993</v>
          </cell>
          <cell r="Q21">
            <v>-688.21999999999991</v>
          </cell>
          <cell r="R21">
            <v>-741.6400000000001</v>
          </cell>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A22" t="str">
            <v>Current account balance</v>
          </cell>
          <cell r="B22">
            <v>-238.83</v>
          </cell>
          <cell r="C22">
            <v>-516.39</v>
          </cell>
          <cell r="D22">
            <v>-858.56</v>
          </cell>
          <cell r="E22">
            <v>-646.33000000000015</v>
          </cell>
          <cell r="F22">
            <v>-450.01000000000022</v>
          </cell>
          <cell r="G22">
            <v>-205.45000000000016</v>
          </cell>
          <cell r="L22" t="str">
            <v/>
          </cell>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A23" t="str">
            <v/>
          </cell>
          <cell r="L23" t="str">
            <v>Service receipts</v>
          </cell>
          <cell r="M23">
            <v>145.93</v>
          </cell>
          <cell r="N23">
            <v>209.47</v>
          </cell>
          <cell r="O23">
            <v>317.42</v>
          </cell>
          <cell r="P23">
            <v>408.86</v>
          </cell>
          <cell r="Q23">
            <v>420.2</v>
          </cell>
          <cell r="R23">
            <v>513.34</v>
          </cell>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A24" t="str">
            <v>Foreign aid</v>
          </cell>
          <cell r="B24">
            <v>730.43</v>
          </cell>
          <cell r="C24">
            <v>554.64</v>
          </cell>
          <cell r="D24">
            <v>700.03</v>
          </cell>
          <cell r="E24">
            <v>849.24</v>
          </cell>
          <cell r="F24">
            <v>805.65</v>
          </cell>
          <cell r="G24">
            <v>682.08999999999992</v>
          </cell>
          <cell r="L24" t="str">
            <v/>
          </cell>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A25" t="str">
            <v/>
          </cell>
          <cell r="L25" t="str">
            <v>Service payments</v>
          </cell>
          <cell r="M25">
            <v>-219</v>
          </cell>
          <cell r="N25">
            <v>-303.94</v>
          </cell>
          <cell r="O25">
            <v>-529.22</v>
          </cell>
          <cell r="P25">
            <v>-585.77</v>
          </cell>
          <cell r="Q25">
            <v>-603.83000000000004</v>
          </cell>
          <cell r="R25">
            <v>-1038.8</v>
          </cell>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A26" t="str">
            <v xml:space="preserve">  Loans (net)</v>
          </cell>
          <cell r="B26">
            <v>-2.14</v>
          </cell>
          <cell r="C26">
            <v>-2.14</v>
          </cell>
          <cell r="D26">
            <v>-193.13</v>
          </cell>
          <cell r="E26">
            <v>-97.14</v>
          </cell>
          <cell r="F26">
            <v>-13.82</v>
          </cell>
          <cell r="G26">
            <v>-385.52</v>
          </cell>
          <cell r="W26" t="str">
            <v xml:space="preserve">  India</v>
          </cell>
          <cell r="X26">
            <v>-342.16</v>
          </cell>
          <cell r="Y26">
            <v>-402.5</v>
          </cell>
          <cell r="Z26">
            <v>-495.85</v>
          </cell>
          <cell r="AA26">
            <v>-591.34</v>
          </cell>
          <cell r="AB26">
            <v>-497.66</v>
          </cell>
          <cell r="AC26">
            <v>-776.14</v>
          </cell>
          <cell r="AD26">
            <v>-913.13</v>
          </cell>
          <cell r="AE26">
            <v>-1819.93</v>
          </cell>
          <cell r="AF26">
            <v>-2822.58</v>
          </cell>
        </row>
        <row r="27">
          <cell r="A27" t="str">
            <v/>
          </cell>
          <cell r="L27" t="str">
            <v>Private transfers</v>
          </cell>
          <cell r="M27">
            <v>90.24</v>
          </cell>
          <cell r="N27">
            <v>138.88999999999999</v>
          </cell>
          <cell r="O27">
            <v>186.74</v>
          </cell>
          <cell r="P27">
            <v>213.61</v>
          </cell>
          <cell r="Q27">
            <v>250.32</v>
          </cell>
          <cell r="R27">
            <v>200.1</v>
          </cell>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A28" t="str">
            <v xml:space="preserve">  Grants</v>
          </cell>
          <cell r="B28">
            <v>732.57</v>
          </cell>
          <cell r="C28">
            <v>556.78</v>
          </cell>
          <cell r="D28">
            <v>893.16</v>
          </cell>
          <cell r="E28">
            <v>946.38</v>
          </cell>
          <cell r="F28">
            <v>819.47</v>
          </cell>
          <cell r="G28">
            <v>1067.6099999999999</v>
          </cell>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A29" t="str">
            <v/>
          </cell>
          <cell r="L29" t="str">
            <v>Current account balance</v>
          </cell>
          <cell r="M29">
            <v>-74.44</v>
          </cell>
          <cell r="N29">
            <v>-123.15</v>
          </cell>
          <cell r="O29">
            <v>-1094.5899999999999</v>
          </cell>
          <cell r="P29">
            <v>-607.24999999999989</v>
          </cell>
          <cell r="Q29">
            <v>-621.53</v>
          </cell>
          <cell r="R29">
            <v>-1067</v>
          </cell>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A30" t="str">
            <v>Other loans</v>
          </cell>
          <cell r="B30" t="str">
            <v>-</v>
          </cell>
          <cell r="C30">
            <v>286</v>
          </cell>
          <cell r="D30">
            <v>347.83</v>
          </cell>
          <cell r="E30">
            <v>229.68</v>
          </cell>
          <cell r="F30">
            <v>0</v>
          </cell>
          <cell r="G30">
            <v>0</v>
          </cell>
          <cell r="L30" t="str">
            <v/>
          </cell>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L31" t="str">
            <v>Foreign aid</v>
          </cell>
          <cell r="M31">
            <v>306.93</v>
          </cell>
          <cell r="N31">
            <v>435.55</v>
          </cell>
          <cell r="O31">
            <v>886.7</v>
          </cell>
          <cell r="P31">
            <v>931.31</v>
          </cell>
          <cell r="Q31">
            <v>887.06000000000006</v>
          </cell>
          <cell r="R31">
            <v>1714.4099999999999</v>
          </cell>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A32" t="str">
            <v>Errors and omissions</v>
          </cell>
          <cell r="B32">
            <v>-664.09</v>
          </cell>
          <cell r="C32">
            <v>-472.4</v>
          </cell>
          <cell r="D32">
            <v>-207.29</v>
          </cell>
          <cell r="E32">
            <v>-387.14999999999986</v>
          </cell>
          <cell r="F32">
            <v>-409.93999999999977</v>
          </cell>
          <cell r="G32">
            <v>-397.04999999999973</v>
          </cell>
          <cell r="L32" t="str">
            <v/>
          </cell>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A33" t="str">
            <v/>
          </cell>
          <cell r="L33" t="str">
            <v xml:space="preserve">  Loans (net)</v>
          </cell>
          <cell r="M33">
            <v>89.94</v>
          </cell>
          <cell r="N33">
            <v>102.72</v>
          </cell>
          <cell r="O33">
            <v>107.56</v>
          </cell>
          <cell r="P33">
            <v>82.51</v>
          </cell>
          <cell r="Q33">
            <v>81.36</v>
          </cell>
          <cell r="R33">
            <v>47.31</v>
          </cell>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A34" t="str">
            <v>Overall balance</v>
          </cell>
          <cell r="B34">
            <v>-172.49</v>
          </cell>
          <cell r="C34">
            <v>-148.15</v>
          </cell>
          <cell r="D34">
            <v>-17.989999999999998</v>
          </cell>
          <cell r="E34">
            <v>45.44</v>
          </cell>
          <cell r="F34">
            <v>-54.3</v>
          </cell>
          <cell r="G34">
            <v>79.59</v>
          </cell>
          <cell r="L34" t="str">
            <v/>
          </cell>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L35" t="str">
            <v xml:space="preserve">  Grants</v>
          </cell>
          <cell r="M35">
            <v>216.99</v>
          </cell>
          <cell r="N35">
            <v>332.83</v>
          </cell>
          <cell r="O35">
            <v>779.14</v>
          </cell>
          <cell r="P35">
            <v>848.8</v>
          </cell>
          <cell r="Q35">
            <v>805.7</v>
          </cell>
          <cell r="R35">
            <v>1667.1</v>
          </cell>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A36" t="str">
            <v>(*) Preliminary estimates.  Total  may not add up due to rounding. -</v>
          </cell>
          <cell r="L36" t="str">
            <v/>
          </cell>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A37" t="str">
            <v xml:space="preserve"> Imports by Tala Hydro Power Project includes only those made by the project  and some imports made  by the contractors</v>
          </cell>
          <cell r="L37" t="str">
            <v>Other loans</v>
          </cell>
          <cell r="M37">
            <v>-51.98</v>
          </cell>
          <cell r="N37">
            <v>-72.3</v>
          </cell>
          <cell r="O37">
            <v>118.11</v>
          </cell>
          <cell r="P37">
            <v>-70.900000000000006</v>
          </cell>
          <cell r="Q37">
            <v>-70.98</v>
          </cell>
          <cell r="R37">
            <v>-77.5</v>
          </cell>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L39" t="str">
            <v>Foreign direct investment</v>
          </cell>
          <cell r="M39">
            <v>7.68</v>
          </cell>
          <cell r="N39">
            <v>22.32</v>
          </cell>
          <cell r="O39" t="str">
            <v>-</v>
          </cell>
          <cell r="P39" t="str">
            <v>-</v>
          </cell>
          <cell r="Q39" t="str">
            <v>-</v>
          </cell>
          <cell r="R39" t="str">
            <v>-</v>
          </cell>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L41" t="str">
            <v>Errors and omissions</v>
          </cell>
          <cell r="M41">
            <v>346.71</v>
          </cell>
          <cell r="N41">
            <v>552.63</v>
          </cell>
          <cell r="O41">
            <v>487.95</v>
          </cell>
          <cell r="P41">
            <v>94.109999999999928</v>
          </cell>
          <cell r="Q41">
            <v>300.62999999999994</v>
          </cell>
          <cell r="R41">
            <v>206.2800000000002</v>
          </cell>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A42" t="str">
            <v/>
          </cell>
          <cell r="L42" t="str">
            <v/>
          </cell>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A43" t="str">
            <v/>
          </cell>
          <cell r="L43" t="str">
            <v>Overall balance</v>
          </cell>
          <cell r="M43">
            <v>534.9</v>
          </cell>
          <cell r="N43">
            <v>815.05</v>
          </cell>
          <cell r="O43">
            <v>398.17</v>
          </cell>
          <cell r="P43">
            <v>347.27</v>
          </cell>
          <cell r="Q43">
            <v>495.18</v>
          </cell>
          <cell r="R43">
            <v>776.19</v>
          </cell>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L45" t="str">
            <v xml:space="preserve">(*) Preliminary  estimates.  Totals may not add up because of rounding.- </v>
          </cell>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6">
          <cell r="L46" t="str">
            <v/>
          </cell>
        </row>
        <row r="47">
          <cell r="L47" t="str">
            <v/>
          </cell>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Yearly Count"/>
      <sheetName val="final outpt"/>
      <sheetName val="GDPreal"/>
      <sheetName val="Monthly Comp"/>
      <sheetName val="Velocity"/>
      <sheetName val="Yearly Comp"/>
      <sheetName val="Monthly Count"/>
      <sheetName val="Charts"/>
      <sheetName val="Sheet2"/>
      <sheetName val="Sheet1"/>
      <sheetName val="Annaul Report"/>
      <sheetName val="Contribution to M2"/>
      <sheetName val="MSA"/>
      <sheetName val="MSL"/>
      <sheetName val="Key Econ. Ind."/>
      <sheetName val="Monetary Survey Components"/>
      <sheetName val="Monetary Survey Counterparts"/>
      <sheetName val="DMBA"/>
      <sheetName val="DMBL"/>
      <sheetName val="BOB Assets"/>
      <sheetName val="BOB Liabs"/>
      <sheetName val="BNB Assets"/>
      <sheetName val="BNB Liabs"/>
      <sheetName val="TBank Assets"/>
      <sheetName val="TBank Liabs"/>
      <sheetName val="DPNB Assets"/>
      <sheetName val="DPNB Liabs"/>
      <sheetName val="BDBL Assets"/>
      <sheetName val="BDBLLiab"/>
      <sheetName val="RICB Assets "/>
      <sheetName val="RICB LIAB"/>
      <sheetName val="BIL Assets"/>
      <sheetName val="BIL Liabs"/>
      <sheetName val="RMAA"/>
      <sheetName val="RMAL"/>
      <sheetName val="CBs Reserves with RMA"/>
      <sheetName val="Foreign Assets of CBs"/>
      <sheetName val="Deposits"/>
      <sheetName val="Deposit Rates Bhutan"/>
      <sheetName val="Lending Rates Bhutan"/>
      <sheetName val="Interest India"/>
      <sheetName val="Key Policy Indic. (Bht &amp; India)"/>
      <sheetName val="Tourist"/>
      <sheetName val="NewCPI"/>
      <sheetName val="Sheet3"/>
      <sheetName val="Reserves"/>
      <sheetName val="ReservesReport(Old)"/>
      <sheetName val="BOPOverall"/>
      <sheetName val="BOPIndia"/>
      <sheetName val="BOPCOTI"/>
      <sheetName val="old NRB REMIT"/>
      <sheetName val="old CPI"/>
      <sheetName val="Budget"/>
      <sheetName val="Int Bht"/>
      <sheetName val="Sheet4"/>
      <sheetName val="Key Ind "/>
      <sheetName val="Credit ratios-for other reports"/>
      <sheetName val="Interest Bhutan Old"/>
      <sheetName val="Nonbank-A"/>
      <sheetName val="Nonban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3">
          <cell r="J63">
            <v>120.2</v>
          </cell>
          <cell r="L63">
            <v>2002.54</v>
          </cell>
          <cell r="M63">
            <v>3.73</v>
          </cell>
        </row>
        <row r="64">
          <cell r="G64">
            <v>-455.73</v>
          </cell>
          <cell r="I64">
            <v>332.73</v>
          </cell>
          <cell r="J64">
            <v>120.55</v>
          </cell>
          <cell r="L64">
            <v>2016.59</v>
          </cell>
          <cell r="M64">
            <v>3.73</v>
          </cell>
        </row>
        <row r="65">
          <cell r="G65">
            <v>220.94</v>
          </cell>
          <cell r="I65">
            <v>312.49</v>
          </cell>
          <cell r="J65">
            <v>112.2</v>
          </cell>
          <cell r="L65">
            <v>2047.02</v>
          </cell>
          <cell r="M65">
            <v>3.73</v>
          </cell>
        </row>
        <row r="66">
          <cell r="C66">
            <v>12966.119999999999</v>
          </cell>
          <cell r="G66">
            <v>-224.88</v>
          </cell>
          <cell r="I66">
            <v>309.73</v>
          </cell>
          <cell r="J66">
            <v>120.78</v>
          </cell>
          <cell r="L66">
            <v>2125.87</v>
          </cell>
          <cell r="M66">
            <v>3.73</v>
          </cell>
        </row>
        <row r="67">
          <cell r="C67">
            <v>13092.109999999999</v>
          </cell>
          <cell r="G67">
            <v>-437.07</v>
          </cell>
          <cell r="I67">
            <v>316.95999999999998</v>
          </cell>
          <cell r="J67">
            <v>123.23</v>
          </cell>
          <cell r="L67">
            <v>2183.67</v>
          </cell>
          <cell r="M67">
            <v>3.73</v>
          </cell>
        </row>
        <row r="68">
          <cell r="C68">
            <v>13745.07</v>
          </cell>
          <cell r="G68">
            <v>-1073.49</v>
          </cell>
          <cell r="I68">
            <v>310.92</v>
          </cell>
          <cell r="J68">
            <v>117.67</v>
          </cell>
          <cell r="L68">
            <v>2217.6799999999998</v>
          </cell>
          <cell r="M68">
            <v>3.73</v>
          </cell>
        </row>
        <row r="69">
          <cell r="C69">
            <v>13842.93</v>
          </cell>
          <cell r="G69">
            <v>-1066.99</v>
          </cell>
          <cell r="I69">
            <v>311.08999999999997</v>
          </cell>
          <cell r="J69">
            <v>111.81</v>
          </cell>
          <cell r="L69">
            <v>2280.69</v>
          </cell>
          <cell r="M69">
            <v>3.73</v>
          </cell>
        </row>
        <row r="70">
          <cell r="C70">
            <v>14823.3</v>
          </cell>
          <cell r="G70">
            <v>-1255.6600000000001</v>
          </cell>
          <cell r="I70">
            <v>315.18</v>
          </cell>
          <cell r="J70">
            <v>117.4</v>
          </cell>
          <cell r="L70">
            <v>2308.7399999999998</v>
          </cell>
          <cell r="M70">
            <v>3.73</v>
          </cell>
        </row>
        <row r="76">
          <cell r="J76">
            <v>71.06</v>
          </cell>
          <cell r="L76">
            <v>2521.4699999999998</v>
          </cell>
          <cell r="M76">
            <v>3.73</v>
          </cell>
        </row>
        <row r="77">
          <cell r="G77">
            <v>-744.49</v>
          </cell>
          <cell r="I77">
            <v>292.33999999999997</v>
          </cell>
          <cell r="J77">
            <v>121.86</v>
          </cell>
          <cell r="L77">
            <v>2607.02</v>
          </cell>
          <cell r="M77">
            <v>3.73</v>
          </cell>
        </row>
        <row r="78">
          <cell r="G78">
            <v>-726.71</v>
          </cell>
          <cell r="I78">
            <v>272.08</v>
          </cell>
          <cell r="J78">
            <v>103.13</v>
          </cell>
          <cell r="L78">
            <v>2617.48</v>
          </cell>
          <cell r="M78">
            <v>3.73</v>
          </cell>
        </row>
        <row r="79">
          <cell r="C79">
            <v>14129.11</v>
          </cell>
          <cell r="G79">
            <v>-630.79999999999995</v>
          </cell>
          <cell r="I79">
            <v>272.3</v>
          </cell>
          <cell r="J79">
            <v>120.72</v>
          </cell>
          <cell r="L79">
            <v>2646.81</v>
          </cell>
          <cell r="M79">
            <v>3.73</v>
          </cell>
        </row>
        <row r="80">
          <cell r="C80">
            <v>14270.35</v>
          </cell>
          <cell r="G80">
            <v>-712.46</v>
          </cell>
          <cell r="I80">
            <v>277.74</v>
          </cell>
          <cell r="J80">
            <v>120.02</v>
          </cell>
          <cell r="L80">
            <v>2747.71</v>
          </cell>
          <cell r="M80">
            <v>3.73</v>
          </cell>
        </row>
        <row r="81">
          <cell r="C81">
            <v>15281.01</v>
          </cell>
          <cell r="G81">
            <v>-988.49</v>
          </cell>
          <cell r="I81">
            <v>360.95</v>
          </cell>
          <cell r="J81">
            <v>110.31</v>
          </cell>
          <cell r="L81">
            <v>2741</v>
          </cell>
          <cell r="M81">
            <v>3.73</v>
          </cell>
        </row>
        <row r="82">
          <cell r="C82">
            <v>15453.98</v>
          </cell>
          <cell r="G82">
            <v>-1041.1600000000001</v>
          </cell>
          <cell r="I82">
            <v>271.92</v>
          </cell>
          <cell r="J82">
            <v>116.79</v>
          </cell>
          <cell r="L82">
            <v>2887.68</v>
          </cell>
          <cell r="M82">
            <v>3.73</v>
          </cell>
        </row>
        <row r="83">
          <cell r="C83">
            <v>17303.730000000003</v>
          </cell>
          <cell r="G83">
            <v>-455.91</v>
          </cell>
          <cell r="I83">
            <v>251.97</v>
          </cell>
          <cell r="J83">
            <v>117.77</v>
          </cell>
          <cell r="L83">
            <v>3031.47</v>
          </cell>
          <cell r="M83">
            <v>3.73</v>
          </cell>
        </row>
        <row r="85">
          <cell r="C85">
            <v>16787.431910120002</v>
          </cell>
          <cell r="G85">
            <v>761.70800000000008</v>
          </cell>
          <cell r="H85">
            <v>569.57593896000003</v>
          </cell>
          <cell r="K85">
            <v>3136.4632831300005</v>
          </cell>
        </row>
        <row r="86">
          <cell r="C86">
            <v>16066.64925889</v>
          </cell>
          <cell r="G86">
            <v>801.19399999999996</v>
          </cell>
          <cell r="H86">
            <v>571.44386765000002</v>
          </cell>
          <cell r="K86">
            <v>3193.28645839</v>
          </cell>
        </row>
        <row r="87">
          <cell r="C87">
            <v>15660.179761289999</v>
          </cell>
          <cell r="G87">
            <v>1055.9889010799998</v>
          </cell>
          <cell r="H87">
            <v>577.70166158999996</v>
          </cell>
          <cell r="K87">
            <v>3252.4206514300004</v>
          </cell>
        </row>
        <row r="88">
          <cell r="C88">
            <v>17790.538244799998</v>
          </cell>
          <cell r="G88">
            <v>690.30755879000003</v>
          </cell>
          <cell r="H88">
            <v>620.66824699000006</v>
          </cell>
          <cell r="K88">
            <v>3252.1915391400007</v>
          </cell>
        </row>
        <row r="89">
          <cell r="C89">
            <v>16553.10882917</v>
          </cell>
          <cell r="G89">
            <v>967.05470616999992</v>
          </cell>
          <cell r="H89">
            <v>729.67711061</v>
          </cell>
          <cell r="K89">
            <v>3318.8300479400004</v>
          </cell>
        </row>
        <row r="90">
          <cell r="C90">
            <v>17519.765861289998</v>
          </cell>
          <cell r="G90">
            <v>1234.4043104099999</v>
          </cell>
          <cell r="H90">
            <v>647.23416997999993</v>
          </cell>
          <cell r="K90">
            <v>3475.4644657000003</v>
          </cell>
        </row>
        <row r="91">
          <cell r="C91">
            <v>17157.31344079</v>
          </cell>
          <cell r="G91">
            <v>1255.4069290400003</v>
          </cell>
          <cell r="H91">
            <v>672.13238363999994</v>
          </cell>
          <cell r="K91">
            <v>3542.9591314699996</v>
          </cell>
        </row>
        <row r="92">
          <cell r="C92">
            <v>16156.297908439999</v>
          </cell>
          <cell r="G92">
            <v>1494.9790622099999</v>
          </cell>
          <cell r="H92">
            <v>644.33580419000009</v>
          </cell>
          <cell r="K92">
            <v>3637.9781020700007</v>
          </cell>
        </row>
        <row r="93">
          <cell r="C93">
            <v>17359.86819628</v>
          </cell>
          <cell r="G93">
            <v>1033.02718458</v>
          </cell>
          <cell r="H93">
            <v>470.89897786000006</v>
          </cell>
          <cell r="K93">
            <v>3750.6908630300004</v>
          </cell>
        </row>
        <row r="94">
          <cell r="C94">
            <v>15771.717497109999</v>
          </cell>
          <cell r="G94">
            <v>1951.4542617599996</v>
          </cell>
          <cell r="H94">
            <v>852.55343163999987</v>
          </cell>
          <cell r="K94">
            <v>3773.0647938400007</v>
          </cell>
        </row>
        <row r="95">
          <cell r="C95">
            <v>16671.97128967</v>
          </cell>
          <cell r="G95">
            <v>729.67380673999992</v>
          </cell>
          <cell r="H95">
            <v>869.41872705999992</v>
          </cell>
          <cell r="K95">
            <v>3983.3294669699999</v>
          </cell>
        </row>
        <row r="96">
          <cell r="C96">
            <v>16802.830873309998</v>
          </cell>
          <cell r="G96">
            <v>387.58973120000002</v>
          </cell>
          <cell r="H96">
            <v>908.05542988000002</v>
          </cell>
          <cell r="K96">
            <v>4017.9046840800002</v>
          </cell>
        </row>
        <row r="98">
          <cell r="C98">
            <v>17867.241480740002</v>
          </cell>
          <cell r="G98">
            <v>28.614047699999901</v>
          </cell>
          <cell r="H98">
            <v>865.66817019999996</v>
          </cell>
          <cell r="K98">
            <v>4075.5383681799999</v>
          </cell>
        </row>
        <row r="99">
          <cell r="C99">
            <v>17847.334201539998</v>
          </cell>
          <cell r="G99">
            <v>-589.90911607999976</v>
          </cell>
          <cell r="H99">
            <v>883.93026774999987</v>
          </cell>
          <cell r="K99">
            <v>4132.2639423899991</v>
          </cell>
        </row>
        <row r="100">
          <cell r="C100">
            <v>17258.4960536</v>
          </cell>
          <cell r="G100">
            <v>-484.31237685999986</v>
          </cell>
          <cell r="H100">
            <v>871.15871996999999</v>
          </cell>
          <cell r="K100">
            <v>4369.9476104099995</v>
          </cell>
        </row>
        <row r="101">
          <cell r="C101">
            <v>17647.085601520001</v>
          </cell>
          <cell r="G101">
            <v>-154.36900000000014</v>
          </cell>
          <cell r="H101">
            <v>891.49847492999993</v>
          </cell>
          <cell r="K101">
            <v>4404.4392741199999</v>
          </cell>
        </row>
        <row r="102">
          <cell r="C102">
            <v>17263.884260269999</v>
          </cell>
          <cell r="G102">
            <v>98.700999999999908</v>
          </cell>
          <cell r="H102">
            <v>895.65019715000005</v>
          </cell>
          <cell r="K102">
            <v>4479.4761917400001</v>
          </cell>
        </row>
        <row r="103">
          <cell r="C103">
            <v>16456.79068409</v>
          </cell>
          <cell r="G103">
            <v>441.65800000000002</v>
          </cell>
          <cell r="H103">
            <v>963.78333597999995</v>
          </cell>
          <cell r="K103">
            <v>4524.0336272900004</v>
          </cell>
        </row>
        <row r="104">
          <cell r="C104">
            <v>15396.256902879999</v>
          </cell>
          <cell r="G104">
            <v>560.90000000000009</v>
          </cell>
          <cell r="H104">
            <v>911.66102279000006</v>
          </cell>
          <cell r="K104">
            <v>4637.9227773699995</v>
          </cell>
        </row>
        <row r="105">
          <cell r="C105">
            <v>15804.83646599</v>
          </cell>
          <cell r="G105">
            <v>863.375</v>
          </cell>
          <cell r="H105">
            <v>926.20712813</v>
          </cell>
          <cell r="K105">
            <v>4777.9757234300005</v>
          </cell>
        </row>
        <row r="106">
          <cell r="C106">
            <v>16192.673246670001</v>
          </cell>
          <cell r="G106">
            <v>514.09800000000007</v>
          </cell>
          <cell r="H106">
            <v>926.51366103999999</v>
          </cell>
          <cell r="K106">
            <v>4968.1814270599998</v>
          </cell>
        </row>
        <row r="107">
          <cell r="C107">
            <v>17162.50578159</v>
          </cell>
          <cell r="G107">
            <v>772.52595130999998</v>
          </cell>
          <cell r="H107">
            <v>976.01749565</v>
          </cell>
          <cell r="K107">
            <v>5007.8948916600002</v>
          </cell>
        </row>
        <row r="108">
          <cell r="C108">
            <v>18124.485463509998</v>
          </cell>
          <cell r="G108">
            <v>963.5763491900002</v>
          </cell>
          <cell r="H108">
            <v>963.94427121000001</v>
          </cell>
          <cell r="K108">
            <v>5069.7837122299998</v>
          </cell>
        </row>
        <row r="109">
          <cell r="C109">
            <v>17327.336808519998</v>
          </cell>
          <cell r="G109">
            <v>1470.1822806899997</v>
          </cell>
          <cell r="H109">
            <v>917.53550705000009</v>
          </cell>
          <cell r="K109">
            <v>5159.7526981800002</v>
          </cell>
        </row>
        <row r="111">
          <cell r="C111">
            <v>17335.075218029997</v>
          </cell>
          <cell r="G111">
            <v>932.95111893999956</v>
          </cell>
          <cell r="H111">
            <v>981.89635542000008</v>
          </cell>
          <cell r="K111">
            <v>5179.0378052199994</v>
          </cell>
        </row>
        <row r="112">
          <cell r="C112">
            <v>19200.406992510001</v>
          </cell>
          <cell r="G112">
            <v>975.26636575999987</v>
          </cell>
          <cell r="H112">
            <v>948.52231881000012</v>
          </cell>
          <cell r="K112">
            <v>5287.8665562899996</v>
          </cell>
        </row>
        <row r="113">
          <cell r="C113">
            <v>19561.421408319999</v>
          </cell>
          <cell r="G113">
            <v>1486.8346094699998</v>
          </cell>
          <cell r="H113">
            <v>925.51731851000011</v>
          </cell>
          <cell r="K113">
            <v>5461.5164037099994</v>
          </cell>
        </row>
        <row r="114">
          <cell r="C114">
            <v>18329.972557880003</v>
          </cell>
          <cell r="G114">
            <v>915.92956859999981</v>
          </cell>
          <cell r="H114">
            <v>889.67813191000005</v>
          </cell>
          <cell r="K114">
            <v>5580.4119098400006</v>
          </cell>
        </row>
        <row r="115">
          <cell r="C115">
            <v>16479.543946670001</v>
          </cell>
          <cell r="G115">
            <v>1606.9819400200001</v>
          </cell>
          <cell r="H115">
            <v>931.07662708999999</v>
          </cell>
          <cell r="K115">
            <v>5612.6274321099991</v>
          </cell>
        </row>
        <row r="116">
          <cell r="C116">
            <v>16397.208078830001</v>
          </cell>
          <cell r="G116">
            <v>1847.5434162699999</v>
          </cell>
          <cell r="H116">
            <v>888.47973134000006</v>
          </cell>
          <cell r="K116">
            <v>5779.0990890600006</v>
          </cell>
        </row>
        <row r="117">
          <cell r="C117">
            <v>17182.208882790001</v>
          </cell>
          <cell r="G117">
            <v>910.69100000000003</v>
          </cell>
          <cell r="H117">
            <v>912.71108214000003</v>
          </cell>
          <cell r="K117">
            <v>5821.8390007199996</v>
          </cell>
        </row>
        <row r="118">
          <cell r="C118">
            <v>17640.65367924</v>
          </cell>
          <cell r="G118">
            <v>686.17200000000003</v>
          </cell>
          <cell r="H118">
            <v>915.97568695000007</v>
          </cell>
          <cell r="K118">
            <v>6054.5568318799997</v>
          </cell>
        </row>
        <row r="119">
          <cell r="C119">
            <v>18113.024024990002</v>
          </cell>
          <cell r="G119">
            <v>274.01199999999994</v>
          </cell>
          <cell r="H119">
            <v>906.01512667000009</v>
          </cell>
          <cell r="K119">
            <v>6219.3721238100006</v>
          </cell>
        </row>
        <row r="120">
          <cell r="C120">
            <v>18991.251050610001</v>
          </cell>
          <cell r="G120">
            <v>-162.33799999999997</v>
          </cell>
          <cell r="H120">
            <v>949.66680421000001</v>
          </cell>
          <cell r="K120">
            <v>6311.0792981299992</v>
          </cell>
        </row>
        <row r="121">
          <cell r="C121">
            <v>21805.597058440002</v>
          </cell>
          <cell r="G121">
            <v>-164.46800000000007</v>
          </cell>
          <cell r="H121">
            <v>933.51094656000009</v>
          </cell>
          <cell r="K121">
            <v>6464.7797020399976</v>
          </cell>
        </row>
        <row r="122">
          <cell r="C122">
            <v>21369.016128309999</v>
          </cell>
          <cell r="G122">
            <v>161.78200000000004</v>
          </cell>
          <cell r="H122">
            <v>810.62115994999999</v>
          </cell>
          <cell r="K122">
            <v>6730.8467051099997</v>
          </cell>
        </row>
        <row r="124">
          <cell r="C124">
            <v>22150.72727032</v>
          </cell>
          <cell r="G124">
            <v>-428.89800000000014</v>
          </cell>
          <cell r="H124">
            <v>980.05223239000009</v>
          </cell>
          <cell r="K124">
            <v>6836.4497698899986</v>
          </cell>
        </row>
        <row r="125">
          <cell r="C125">
            <v>21492.089449439998</v>
          </cell>
          <cell r="G125">
            <v>-695.78800000000001</v>
          </cell>
          <cell r="H125">
            <v>990.71532791000004</v>
          </cell>
          <cell r="K125">
            <v>7175.2566033799994</v>
          </cell>
        </row>
        <row r="126">
          <cell r="C126">
            <v>21394.420843139997</v>
          </cell>
          <cell r="G126">
            <v>22.572000000000003</v>
          </cell>
          <cell r="H126">
            <v>913.87649483000007</v>
          </cell>
          <cell r="K126">
            <v>7478.4328209699997</v>
          </cell>
        </row>
        <row r="127">
          <cell r="C127">
            <v>21070.106406810002</v>
          </cell>
          <cell r="G127">
            <v>-396.33799999999997</v>
          </cell>
          <cell r="H127">
            <v>1075.59457385</v>
          </cell>
          <cell r="K127">
            <v>7488.787320039999</v>
          </cell>
        </row>
        <row r="128">
          <cell r="C128">
            <v>22302.151334909999</v>
          </cell>
          <cell r="G128">
            <v>156.79199999999997</v>
          </cell>
          <cell r="H128">
            <v>1140.6542079999999</v>
          </cell>
          <cell r="K128">
            <v>7551.0610376099985</v>
          </cell>
        </row>
        <row r="129">
          <cell r="C129">
            <v>22505.018268349999</v>
          </cell>
          <cell r="G129">
            <v>-71.418000000000006</v>
          </cell>
          <cell r="H129">
            <v>871.87197389000005</v>
          </cell>
          <cell r="K129">
            <v>7851.4602827999988</v>
          </cell>
        </row>
        <row r="130">
          <cell r="C130">
            <v>22010.412163590001</v>
          </cell>
          <cell r="G130">
            <v>671.45299999999997</v>
          </cell>
          <cell r="H130">
            <v>1108.7377457900002</v>
          </cell>
          <cell r="K130">
            <v>7756.5995228900001</v>
          </cell>
        </row>
        <row r="131">
          <cell r="C131">
            <v>21958.448484370001</v>
          </cell>
          <cell r="G131">
            <v>688.55100000000004</v>
          </cell>
          <cell r="H131">
            <v>1094.7421093800001</v>
          </cell>
          <cell r="K131">
            <v>7896.70881009</v>
          </cell>
        </row>
        <row r="132">
          <cell r="C132">
            <v>21751.909007030001</v>
          </cell>
          <cell r="G132">
            <v>446.85300000000001</v>
          </cell>
          <cell r="H132">
            <v>993.45883812000011</v>
          </cell>
          <cell r="K132">
            <v>8335.4270248700013</v>
          </cell>
        </row>
        <row r="133">
          <cell r="C133">
            <v>22320.403950970001</v>
          </cell>
          <cell r="G133">
            <v>281.56199999999995</v>
          </cell>
          <cell r="H133">
            <v>1093.1629527800001</v>
          </cell>
          <cell r="K133">
            <v>8383.4090814399988</v>
          </cell>
        </row>
        <row r="134">
          <cell r="C134">
            <v>23837.928868610004</v>
          </cell>
          <cell r="G134">
            <v>-334.46845249</v>
          </cell>
          <cell r="H134">
            <v>1105.41495459</v>
          </cell>
          <cell r="K134">
            <v>8561.7194120699987</v>
          </cell>
        </row>
      </sheetData>
      <sheetData sheetId="21">
        <row r="62">
          <cell r="D62">
            <v>4286.95</v>
          </cell>
          <cell r="J62">
            <v>6.19</v>
          </cell>
          <cell r="K62">
            <v>4699.8999999999996</v>
          </cell>
        </row>
        <row r="63">
          <cell r="D63">
            <v>4477.8599999999997</v>
          </cell>
          <cell r="E63">
            <v>1483.09</v>
          </cell>
          <cell r="J63">
            <v>5.52</v>
          </cell>
          <cell r="K63">
            <v>5381.44</v>
          </cell>
        </row>
        <row r="64">
          <cell r="D64">
            <v>4736.32</v>
          </cell>
          <cell r="E64">
            <v>1432.59</v>
          </cell>
          <cell r="J64">
            <v>-144.47999999999999</v>
          </cell>
          <cell r="K64">
            <v>4344.57</v>
          </cell>
        </row>
        <row r="65">
          <cell r="D65">
            <v>4756.3399999999992</v>
          </cell>
          <cell r="E65">
            <v>1408.25</v>
          </cell>
          <cell r="J65">
            <v>4.75</v>
          </cell>
          <cell r="K65">
            <v>4789.38</v>
          </cell>
        </row>
        <row r="66">
          <cell r="D66">
            <v>4452.5</v>
          </cell>
          <cell r="E66">
            <v>1407.53</v>
          </cell>
          <cell r="J66">
            <v>4.5999999999999996</v>
          </cell>
          <cell r="K66">
            <v>4917.09</v>
          </cell>
        </row>
        <row r="67">
          <cell r="D67">
            <v>5168.1399999999994</v>
          </cell>
          <cell r="E67">
            <v>1441.23</v>
          </cell>
          <cell r="J67">
            <v>5</v>
          </cell>
          <cell r="K67">
            <v>4596.8100000000004</v>
          </cell>
        </row>
        <row r="68">
          <cell r="D68">
            <v>4694.4800000000005</v>
          </cell>
          <cell r="E68">
            <v>1596.94</v>
          </cell>
          <cell r="J68">
            <v>5</v>
          </cell>
          <cell r="K68">
            <v>5244.15</v>
          </cell>
        </row>
        <row r="69">
          <cell r="D69">
            <v>4934.4599999999991</v>
          </cell>
          <cell r="E69">
            <v>1609.85</v>
          </cell>
          <cell r="J69">
            <v>5.16</v>
          </cell>
          <cell r="K69">
            <v>5505.48</v>
          </cell>
        </row>
        <row r="75">
          <cell r="J75">
            <v>10.7</v>
          </cell>
          <cell r="K75">
            <v>5423.2</v>
          </cell>
        </row>
        <row r="76">
          <cell r="D76">
            <v>5019.4500000000007</v>
          </cell>
          <cell r="E76">
            <v>1600.19</v>
          </cell>
          <cell r="J76">
            <v>10.39</v>
          </cell>
          <cell r="K76">
            <v>5541.65</v>
          </cell>
        </row>
        <row r="77">
          <cell r="D77">
            <v>6287.45</v>
          </cell>
          <cell r="E77">
            <v>1583.55</v>
          </cell>
          <cell r="J77">
            <v>10.64</v>
          </cell>
          <cell r="K77">
            <v>4848.13</v>
          </cell>
        </row>
        <row r="78">
          <cell r="D78">
            <v>5245.29</v>
          </cell>
          <cell r="E78">
            <v>1538.42</v>
          </cell>
          <cell r="J78">
            <v>10.64</v>
          </cell>
          <cell r="K78">
            <v>5528.34</v>
          </cell>
        </row>
        <row r="79">
          <cell r="D79">
            <v>5263.1900000000005</v>
          </cell>
          <cell r="E79">
            <v>1546.19</v>
          </cell>
          <cell r="J79">
            <v>10.42</v>
          </cell>
          <cell r="K79">
            <v>5601.3</v>
          </cell>
        </row>
        <row r="80">
          <cell r="D80">
            <v>6130.96</v>
          </cell>
          <cell r="E80">
            <v>1585.69</v>
          </cell>
          <cell r="J80">
            <v>7.82</v>
          </cell>
          <cell r="K80">
            <v>5360.05</v>
          </cell>
        </row>
        <row r="81">
          <cell r="D81">
            <v>9273.67</v>
          </cell>
          <cell r="E81">
            <v>1570.66</v>
          </cell>
          <cell r="J81">
            <v>7.82</v>
          </cell>
          <cell r="K81">
            <v>2066.44</v>
          </cell>
        </row>
        <row r="82">
          <cell r="D82">
            <v>7143.4</v>
          </cell>
          <cell r="E82">
            <v>1648.29</v>
          </cell>
          <cell r="J82">
            <v>11.12</v>
          </cell>
          <cell r="K82">
            <v>6365.98</v>
          </cell>
        </row>
        <row r="84">
          <cell r="D84">
            <v>7688.5139311500006</v>
          </cell>
          <cell r="E84">
            <v>1651.5371685300001</v>
          </cell>
          <cell r="I84">
            <v>6676.4089388200046</v>
          </cell>
        </row>
        <row r="85">
          <cell r="D85">
            <v>7143.9133135499997</v>
          </cell>
          <cell r="E85">
            <v>1750.19737007</v>
          </cell>
          <cell r="I85">
            <v>6551.3059164300012</v>
          </cell>
        </row>
        <row r="86">
          <cell r="D86">
            <v>7062.2141319699995</v>
          </cell>
          <cell r="E86">
            <v>1711.39276473</v>
          </cell>
          <cell r="I86">
            <v>6371.7113995600002</v>
          </cell>
        </row>
        <row r="87">
          <cell r="D87">
            <v>7632.5782238899992</v>
          </cell>
          <cell r="E87">
            <v>1613.7985066000001</v>
          </cell>
          <cell r="I87">
            <v>6792.9211773099996</v>
          </cell>
        </row>
        <row r="88">
          <cell r="D88">
            <v>8069.1888151499988</v>
          </cell>
          <cell r="E88">
            <v>1607.90494367</v>
          </cell>
          <cell r="I88">
            <v>5217.8608291099999</v>
          </cell>
        </row>
        <row r="89">
          <cell r="D89">
            <v>7502.5334454000003</v>
          </cell>
          <cell r="E89">
            <v>1699.00336236</v>
          </cell>
          <cell r="I89">
            <v>6972.2111770399979</v>
          </cell>
        </row>
        <row r="90">
          <cell r="D90">
            <v>8582.8990694800013</v>
          </cell>
          <cell r="E90">
            <v>1688.1594045200002</v>
          </cell>
          <cell r="I90">
            <v>5505.8239112199954</v>
          </cell>
        </row>
        <row r="91">
          <cell r="D91">
            <v>7870.7722320899993</v>
          </cell>
          <cell r="E91">
            <v>1566.9731435800002</v>
          </cell>
          <cell r="I91">
            <v>5519.6383912699966</v>
          </cell>
        </row>
        <row r="92">
          <cell r="D92">
            <v>9239.065809650001</v>
          </cell>
          <cell r="E92">
            <v>1678.7375259600001</v>
          </cell>
          <cell r="I92">
            <v>5233.481808589996</v>
          </cell>
        </row>
        <row r="93">
          <cell r="D93">
            <v>8698.4799208099994</v>
          </cell>
          <cell r="E93">
            <v>1671.6179934499999</v>
          </cell>
          <cell r="I93">
            <v>5737.5258848699959</v>
          </cell>
        </row>
        <row r="94">
          <cell r="D94">
            <v>8785.0292108100002</v>
          </cell>
          <cell r="E94">
            <v>1691.3288987999999</v>
          </cell>
          <cell r="I94">
            <v>5356.1701433899952</v>
          </cell>
        </row>
        <row r="95">
          <cell r="D95">
            <v>7739.80791744</v>
          </cell>
          <cell r="E95">
            <v>1802.3129809499999</v>
          </cell>
          <cell r="I95">
            <v>6319.4765570199997</v>
          </cell>
        </row>
        <row r="97">
          <cell r="D97">
            <v>8232.8677434199999</v>
          </cell>
          <cell r="E97">
            <v>1786.1975058200001</v>
          </cell>
          <cell r="I97">
            <v>6119.3272524299982</v>
          </cell>
        </row>
        <row r="98">
          <cell r="D98">
            <v>8109.4280628199995</v>
          </cell>
          <cell r="E98">
            <v>1811.5375903199999</v>
          </cell>
          <cell r="I98">
            <v>5543.2765299500034</v>
          </cell>
        </row>
        <row r="99">
          <cell r="D99">
            <v>7364.0978657599999</v>
          </cell>
          <cell r="E99">
            <v>1865.3454459100001</v>
          </cell>
          <cell r="I99">
            <v>5902.4713495499955</v>
          </cell>
        </row>
        <row r="100">
          <cell r="D100">
            <v>9563.6460115199989</v>
          </cell>
          <cell r="E100">
            <v>1830.4324098100001</v>
          </cell>
          <cell r="I100">
            <v>4542.7767969400002</v>
          </cell>
        </row>
        <row r="101">
          <cell r="D101">
            <v>8672.6727537999996</v>
          </cell>
          <cell r="E101">
            <v>1901.33244193</v>
          </cell>
          <cell r="I101">
            <v>5699.3451803099988</v>
          </cell>
        </row>
        <row r="102">
          <cell r="D102">
            <v>8524.6633790699998</v>
          </cell>
          <cell r="E102">
            <v>2015.2190587100001</v>
          </cell>
          <cell r="I102">
            <v>5793.6046382999948</v>
          </cell>
        </row>
        <row r="103">
          <cell r="D103">
            <v>7819.1832951700007</v>
          </cell>
          <cell r="E103">
            <v>1898.2921826700001</v>
          </cell>
          <cell r="I103">
            <v>5272.7084474499961</v>
          </cell>
        </row>
        <row r="104">
          <cell r="D104">
            <v>7607.7991423599997</v>
          </cell>
          <cell r="E104">
            <v>1877.1259997000002</v>
          </cell>
          <cell r="I104">
            <v>6038.1487775099986</v>
          </cell>
        </row>
        <row r="105">
          <cell r="D105">
            <v>7092.799251729999</v>
          </cell>
          <cell r="E105">
            <v>1877.16377874</v>
          </cell>
          <cell r="I105">
            <v>7210.6414422800017</v>
          </cell>
        </row>
        <row r="106">
          <cell r="D106">
            <v>8538.8367249300009</v>
          </cell>
          <cell r="E106">
            <v>1930.0046202100002</v>
          </cell>
          <cell r="I106">
            <v>5924.4000165500029</v>
          </cell>
        </row>
        <row r="107">
          <cell r="D107">
            <v>10035.915977189999</v>
          </cell>
          <cell r="E107">
            <v>2000.3480705999998</v>
          </cell>
          <cell r="I107">
            <v>5511.770135769998</v>
          </cell>
        </row>
        <row r="108">
          <cell r="D108">
            <v>8892.9008393999993</v>
          </cell>
          <cell r="E108">
            <v>2070.6814472700003</v>
          </cell>
          <cell r="I108">
            <v>6445.8655359199975</v>
          </cell>
        </row>
        <row r="110">
          <cell r="D110">
            <v>8581.5930879400003</v>
          </cell>
          <cell r="E110">
            <v>2019.5036517200001</v>
          </cell>
          <cell r="I110">
            <v>6283.5945985799908</v>
          </cell>
        </row>
        <row r="111">
          <cell r="D111">
            <v>8680.5142610399998</v>
          </cell>
          <cell r="E111">
            <v>2171.2586620500001</v>
          </cell>
          <cell r="I111">
            <v>8170.5962196899991</v>
          </cell>
        </row>
        <row r="112">
          <cell r="D112">
            <v>9674.1984073299991</v>
          </cell>
          <cell r="E112">
            <v>2177.5256963499996</v>
          </cell>
          <cell r="I112">
            <v>9136.7209831000018</v>
          </cell>
        </row>
        <row r="113">
          <cell r="D113">
            <v>8691.6410733100001</v>
          </cell>
          <cell r="E113">
            <v>2074.21988951</v>
          </cell>
          <cell r="I113">
            <v>8340.5212097700005</v>
          </cell>
        </row>
        <row r="114">
          <cell r="D114">
            <v>9182.1089999899996</v>
          </cell>
          <cell r="E114">
            <v>2099.93105156</v>
          </cell>
          <cell r="I114">
            <v>5631.913397379999</v>
          </cell>
        </row>
        <row r="115">
          <cell r="D115">
            <v>9331.8539046099995</v>
          </cell>
          <cell r="E115">
            <v>2303.3597982299998</v>
          </cell>
          <cell r="I115">
            <v>6535.3996256900027</v>
          </cell>
        </row>
        <row r="116">
          <cell r="D116">
            <v>9157.1916331200009</v>
          </cell>
          <cell r="E116">
            <v>2118.0679180799998</v>
          </cell>
          <cell r="I116">
            <v>6376.1858370500004</v>
          </cell>
        </row>
        <row r="117">
          <cell r="D117">
            <v>8827.58700537</v>
          </cell>
          <cell r="E117">
            <v>2193.0799375000001</v>
          </cell>
          <cell r="I117">
            <v>7614.6850777199988</v>
          </cell>
        </row>
        <row r="118">
          <cell r="D118">
            <v>8735.9355462799995</v>
          </cell>
          <cell r="E118">
            <v>2167.9642688400004</v>
          </cell>
          <cell r="I118">
            <v>7475.1992080299979</v>
          </cell>
        </row>
        <row r="119">
          <cell r="D119">
            <v>9774.6615910200017</v>
          </cell>
          <cell r="E119">
            <v>2346.6934075500003</v>
          </cell>
          <cell r="I119">
            <v>7328.7829995599977</v>
          </cell>
        </row>
        <row r="120">
          <cell r="D120">
            <v>10911.91528189</v>
          </cell>
          <cell r="E120">
            <v>2284.9616578499999</v>
          </cell>
          <cell r="I120">
            <v>7492.8951858299997</v>
          </cell>
        </row>
        <row r="121">
          <cell r="D121">
            <v>10235.00399196</v>
          </cell>
          <cell r="E121">
            <v>2404.4104927999997</v>
          </cell>
          <cell r="I121">
            <v>8202.9786223899991</v>
          </cell>
        </row>
        <row r="123">
          <cell r="D123">
            <v>9604.4441596600009</v>
          </cell>
          <cell r="E123">
            <v>2376.7920547399999</v>
          </cell>
          <cell r="I123">
            <v>8063.3369569799916</v>
          </cell>
        </row>
        <row r="124">
          <cell r="D124">
            <v>9558.8981561499986</v>
          </cell>
          <cell r="E124">
            <v>2398.7306136299994</v>
          </cell>
          <cell r="I124">
            <v>7399.1734909799916</v>
          </cell>
        </row>
        <row r="125">
          <cell r="D125">
            <v>10404.828712729999</v>
          </cell>
          <cell r="E125">
            <v>2270.0232655599998</v>
          </cell>
          <cell r="I125">
            <v>7586.330737479997</v>
          </cell>
        </row>
        <row r="126">
          <cell r="D126">
            <v>11844.737276399999</v>
          </cell>
          <cell r="E126">
            <v>2324.1714184699999</v>
          </cell>
          <cell r="I126">
            <v>4570.9116332799949</v>
          </cell>
        </row>
        <row r="127">
          <cell r="D127">
            <v>10000.768741620001</v>
          </cell>
          <cell r="E127">
            <v>2327.4908968</v>
          </cell>
          <cell r="I127">
            <v>8471.2815840199946</v>
          </cell>
        </row>
        <row r="128">
          <cell r="D128">
            <v>10678.06964365</v>
          </cell>
          <cell r="E128">
            <v>2614.9272281399999</v>
          </cell>
          <cell r="I128">
            <v>7948.2459004100001</v>
          </cell>
        </row>
        <row r="129">
          <cell r="D129">
            <v>10527.92068616</v>
          </cell>
          <cell r="E129">
            <v>2439.35021603</v>
          </cell>
          <cell r="I129">
            <v>8579.301904300004</v>
          </cell>
        </row>
        <row r="130">
          <cell r="D130">
            <v>10363.81561362</v>
          </cell>
          <cell r="E130">
            <v>2463.8162628</v>
          </cell>
          <cell r="I130">
            <v>8589.7576854700019</v>
          </cell>
        </row>
        <row r="131">
          <cell r="D131">
            <v>10592.139037430001</v>
          </cell>
          <cell r="E131">
            <v>2547.0088977300002</v>
          </cell>
          <cell r="I131">
            <v>8051.7161411500065</v>
          </cell>
        </row>
        <row r="132">
          <cell r="D132">
            <v>11069.070144790001</v>
          </cell>
          <cell r="E132">
            <v>2543.98572947</v>
          </cell>
          <cell r="I132">
            <v>8144.8127320900003</v>
          </cell>
        </row>
        <row r="133">
          <cell r="D133">
            <v>11921.563733310002</v>
          </cell>
          <cell r="E133">
            <v>2571.6920613100001</v>
          </cell>
          <cell r="I133">
            <v>8836.4018195099925</v>
          </cell>
        </row>
      </sheetData>
      <sheetData sheetId="22"/>
      <sheetData sheetId="23"/>
      <sheetData sheetId="24"/>
      <sheetData sheetId="25"/>
      <sheetData sheetId="26">
        <row r="46">
          <cell r="D46">
            <v>4710.49</v>
          </cell>
          <cell r="E46">
            <v>231.47</v>
          </cell>
        </row>
        <row r="49">
          <cell r="D49">
            <v>5728.3</v>
          </cell>
          <cell r="E49">
            <v>180.14</v>
          </cell>
        </row>
        <row r="50">
          <cell r="D50">
            <v>5288.38</v>
          </cell>
          <cell r="E50">
            <v>263.25</v>
          </cell>
        </row>
        <row r="51">
          <cell r="D51">
            <v>5319.42</v>
          </cell>
          <cell r="E51">
            <v>220.2</v>
          </cell>
        </row>
        <row r="52">
          <cell r="D52">
            <v>5628.3</v>
          </cell>
          <cell r="E52">
            <v>239.29</v>
          </cell>
        </row>
        <row r="54">
          <cell r="D54">
            <v>5316.64</v>
          </cell>
        </row>
        <row r="55">
          <cell r="D55">
            <v>5798.31</v>
          </cell>
        </row>
        <row r="56">
          <cell r="D56">
            <v>5846.53</v>
          </cell>
        </row>
        <row r="57">
          <cell r="D57">
            <v>5492.66</v>
          </cell>
        </row>
        <row r="58">
          <cell r="D58">
            <v>6069.27</v>
          </cell>
        </row>
        <row r="59">
          <cell r="D59">
            <v>5764.5599999999995</v>
          </cell>
        </row>
        <row r="60">
          <cell r="D60">
            <v>5510.04</v>
          </cell>
          <cell r="E60">
            <v>430.7</v>
          </cell>
        </row>
        <row r="61">
          <cell r="D61">
            <v>5416.13</v>
          </cell>
          <cell r="E61">
            <v>341.48</v>
          </cell>
        </row>
        <row r="62">
          <cell r="D62">
            <v>5577.18</v>
          </cell>
          <cell r="E62">
            <v>255</v>
          </cell>
        </row>
        <row r="63">
          <cell r="D63">
            <v>5786.78</v>
          </cell>
          <cell r="E63">
            <v>222.89</v>
          </cell>
        </row>
        <row r="64">
          <cell r="D64">
            <v>6061.82</v>
          </cell>
          <cell r="E64">
            <v>283.18</v>
          </cell>
        </row>
        <row r="65">
          <cell r="D65">
            <v>6260.8099999999995</v>
          </cell>
          <cell r="E65">
            <v>471.46000000000004</v>
          </cell>
        </row>
        <row r="67">
          <cell r="D67">
            <v>6400.6685472599993</v>
          </cell>
          <cell r="E67">
            <v>489.58771497999999</v>
          </cell>
        </row>
        <row r="68">
          <cell r="D68">
            <v>6458.8240160099995</v>
          </cell>
        </row>
        <row r="69">
          <cell r="D69">
            <v>6461.38853776</v>
          </cell>
        </row>
        <row r="70">
          <cell r="D70">
            <v>6556.1824299599994</v>
          </cell>
        </row>
        <row r="71">
          <cell r="D71">
            <v>7053.6261482</v>
          </cell>
        </row>
        <row r="72">
          <cell r="D72">
            <v>7211.5929645300002</v>
          </cell>
        </row>
        <row r="73">
          <cell r="D73">
            <v>7391.8428773699989</v>
          </cell>
        </row>
        <row r="74">
          <cell r="D74">
            <v>7378.3851131900019</v>
          </cell>
        </row>
        <row r="75">
          <cell r="D75">
            <v>7014.7362794900009</v>
          </cell>
        </row>
        <row r="76">
          <cell r="D76">
            <v>6786.2220510700008</v>
          </cell>
        </row>
        <row r="77">
          <cell r="D77">
            <v>7005.0564319400009</v>
          </cell>
          <cell r="E77">
            <v>1108.1375043</v>
          </cell>
        </row>
        <row r="78">
          <cell r="D78">
            <v>7010.7478494099996</v>
          </cell>
          <cell r="E78">
            <v>1046.3483946000001</v>
          </cell>
        </row>
        <row r="80">
          <cell r="D80">
            <v>7291.3895889100004</v>
          </cell>
          <cell r="E80">
            <v>1193.4774820600001</v>
          </cell>
        </row>
        <row r="81">
          <cell r="D81">
            <v>7466.2524743900003</v>
          </cell>
          <cell r="E81">
            <v>1154.66222844</v>
          </cell>
        </row>
        <row r="82">
          <cell r="D82">
            <v>7484.6924795700015</v>
          </cell>
          <cell r="E82">
            <v>1264.0283122399999</v>
          </cell>
        </row>
        <row r="83">
          <cell r="D83">
            <v>7505.8460034099999</v>
          </cell>
          <cell r="E83">
            <v>1176.3855386999999</v>
          </cell>
        </row>
        <row r="84">
          <cell r="D84">
            <v>7639.2676026499994</v>
          </cell>
          <cell r="E84">
            <v>726.42611239999997</v>
          </cell>
        </row>
        <row r="85">
          <cell r="D85">
            <v>7463.6011830800007</v>
          </cell>
          <cell r="E85">
            <v>604.3964469099999</v>
          </cell>
        </row>
        <row r="86">
          <cell r="D86">
            <v>7837.1815196200005</v>
          </cell>
          <cell r="E86">
            <v>577.66744080000001</v>
          </cell>
        </row>
        <row r="87">
          <cell r="D87">
            <v>8032.5989489100011</v>
          </cell>
          <cell r="E87">
            <v>693.84744877000003</v>
          </cell>
        </row>
        <row r="88">
          <cell r="D88">
            <v>7730.2909562800005</v>
          </cell>
          <cell r="E88">
            <v>567.73468448000006</v>
          </cell>
        </row>
        <row r="89">
          <cell r="D89">
            <v>8947.7962803899991</v>
          </cell>
          <cell r="E89">
            <v>507.91109833999997</v>
          </cell>
        </row>
        <row r="90">
          <cell r="D90">
            <v>9015.9913391499995</v>
          </cell>
          <cell r="E90">
            <v>558.11234403000003</v>
          </cell>
        </row>
        <row r="91">
          <cell r="D91">
            <v>8947.3491612399994</v>
          </cell>
          <cell r="E91">
            <v>588.69175787999995</v>
          </cell>
        </row>
        <row r="93">
          <cell r="D93">
            <v>8981.1652829200011</v>
          </cell>
          <cell r="E93">
            <v>582.60752817000002</v>
          </cell>
        </row>
        <row r="94">
          <cell r="D94">
            <v>9073.7486067900008</v>
          </cell>
          <cell r="E94">
            <v>487.20314585000006</v>
          </cell>
        </row>
        <row r="95">
          <cell r="D95">
            <v>8163.0069617999998</v>
          </cell>
          <cell r="E95">
            <v>461.36338778000004</v>
          </cell>
        </row>
        <row r="96">
          <cell r="D96">
            <v>8228.3448226499986</v>
          </cell>
          <cell r="E96">
            <v>455.48506249999997</v>
          </cell>
        </row>
        <row r="97">
          <cell r="D97">
            <v>9323.9799788900018</v>
          </cell>
          <cell r="E97">
            <v>492.22756963</v>
          </cell>
        </row>
        <row r="98">
          <cell r="D98">
            <v>8559.8728751500003</v>
          </cell>
          <cell r="E98">
            <v>485.20391004999999</v>
          </cell>
        </row>
        <row r="99">
          <cell r="D99">
            <v>8784.7535697999992</v>
          </cell>
          <cell r="E99">
            <v>509.31892568000001</v>
          </cell>
        </row>
        <row r="100">
          <cell r="D100">
            <v>8420.4471072400011</v>
          </cell>
          <cell r="E100">
            <v>434.63900774000001</v>
          </cell>
        </row>
        <row r="101">
          <cell r="D101">
            <v>8687.8707374200003</v>
          </cell>
          <cell r="E101">
            <v>613.41778374</v>
          </cell>
        </row>
        <row r="102">
          <cell r="D102">
            <v>8390.9627161299995</v>
          </cell>
          <cell r="E102">
            <v>595.25184623999996</v>
          </cell>
        </row>
        <row r="103">
          <cell r="D103">
            <v>10073.686840569999</v>
          </cell>
          <cell r="E103">
            <v>560.92239874999996</v>
          </cell>
        </row>
        <row r="104">
          <cell r="D104">
            <v>10131.499256000001</v>
          </cell>
          <cell r="E104">
            <v>502.78412302000004</v>
          </cell>
        </row>
        <row r="106">
          <cell r="D106">
            <v>11272.089496000001</v>
          </cell>
          <cell r="E106">
            <v>598.46065995999993</v>
          </cell>
        </row>
        <row r="107">
          <cell r="D107">
            <v>11387.989654100002</v>
          </cell>
          <cell r="E107">
            <v>616.21207950000007</v>
          </cell>
        </row>
        <row r="108">
          <cell r="D108">
            <v>11167.04505377</v>
          </cell>
          <cell r="E108">
            <v>651.09765496</v>
          </cell>
        </row>
        <row r="109">
          <cell r="D109">
            <v>12152.732979910001</v>
          </cell>
          <cell r="E109">
            <v>669.76841110999999</v>
          </cell>
        </row>
        <row r="110">
          <cell r="D110">
            <v>12061.228278199998</v>
          </cell>
          <cell r="E110">
            <v>617.37997668000003</v>
          </cell>
        </row>
        <row r="111">
          <cell r="D111">
            <v>11853.76784095</v>
          </cell>
          <cell r="E111">
            <v>676.84914002999994</v>
          </cell>
        </row>
        <row r="112">
          <cell r="D112">
            <v>11737.338742209999</v>
          </cell>
          <cell r="E112">
            <v>702.64109959999996</v>
          </cell>
        </row>
        <row r="113">
          <cell r="D113">
            <v>11933.59944025</v>
          </cell>
          <cell r="E113">
            <v>751.27766450000001</v>
          </cell>
        </row>
        <row r="114">
          <cell r="D114">
            <v>12095.40401151</v>
          </cell>
          <cell r="E114">
            <v>788.38867993000008</v>
          </cell>
        </row>
        <row r="115">
          <cell r="D115">
            <v>12038.380409489999</v>
          </cell>
          <cell r="E115">
            <v>826.27469881999991</v>
          </cell>
        </row>
        <row r="116">
          <cell r="D116">
            <v>11660.20989265</v>
          </cell>
          <cell r="E116">
            <v>752.41933730999995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MF"/>
      <sheetName val="Chart1"/>
      <sheetName val="Returns wrksht password"/>
      <sheetName val="BNBAWorksheet"/>
      <sheetName val="BNBLWorksheet"/>
      <sheetName val="BNB Assets"/>
      <sheetName val="BNB Liabilities"/>
      <sheetName val="BOBAworksheet"/>
      <sheetName val="BOBLWorksheet"/>
      <sheetName val="BoB Assets"/>
      <sheetName val="BoB Liabilities"/>
      <sheetName val="DPNBAWorksheet"/>
      <sheetName val="DPNBLWorksheet"/>
      <sheetName val="DPNB Assets"/>
      <sheetName val="DPNB Liabilities"/>
      <sheetName val="TBankAWorksheet"/>
      <sheetName val="TBankLWorksheet"/>
      <sheetName val="TBank Assets"/>
      <sheetName val="TBank Liabilities"/>
      <sheetName val="BDBL Assets worksheet"/>
      <sheetName val="BDBL Liabilities worksheet"/>
      <sheetName val="BDBL Assets"/>
      <sheetName val="BDBL Liabilities"/>
      <sheetName val="DMB Asset"/>
      <sheetName val="DMB Liabilites"/>
      <sheetName val="RMA Assets"/>
      <sheetName val="RMA Liabilities"/>
      <sheetName val="Monetary Survey Assets"/>
      <sheetName val="Monetary Survey Liabilities"/>
      <sheetName val="BDFCLAssets source"/>
      <sheetName val="BDFCLLiabilities Source"/>
      <sheetName val="BDFCLAssets"/>
      <sheetName val="BDFCLliabilities"/>
      <sheetName val="RICBAssets Source"/>
      <sheetName val="RICBL Liabilites Source"/>
      <sheetName val="RICBLAssets"/>
      <sheetName val="RICBLLiabilities"/>
      <sheetName val="BIL Assets Source"/>
      <sheetName val="BIL Liabilities Source"/>
      <sheetName val="BIL Assets"/>
      <sheetName val="BIL Liabilities"/>
      <sheetName val="NBFIs Assets"/>
      <sheetName val="NBFIsLia"/>
      <sheetName val="Finalnew"/>
      <sheetName val="Sheet1"/>
      <sheetName val="DBDL Assets worksheet"/>
    </sheetNames>
    <sheetDataSet>
      <sheetData sheetId="0"/>
      <sheetData sheetId="1" refreshError="1"/>
      <sheetData sheetId="2"/>
      <sheetData sheetId="3"/>
      <sheetData sheetId="4"/>
      <sheetData sheetId="5">
        <row r="10">
          <cell r="C10">
            <v>1840.0901927899999</v>
          </cell>
        </row>
        <row r="40">
          <cell r="J40">
            <v>434.61489440999998</v>
          </cell>
          <cell r="K40">
            <v>3.9511744200000001</v>
          </cell>
          <cell r="O40">
            <v>511.18412934999998</v>
          </cell>
          <cell r="Q40">
            <v>13.626362650000001</v>
          </cell>
        </row>
        <row r="41">
          <cell r="J41">
            <v>372.98361520000003</v>
          </cell>
          <cell r="K41">
            <v>11.02126994</v>
          </cell>
          <cell r="O41">
            <v>612.90340417999994</v>
          </cell>
          <cell r="Q41">
            <v>27.584657489999998</v>
          </cell>
        </row>
        <row r="42">
          <cell r="J42">
            <v>407.08649888999997</v>
          </cell>
          <cell r="K42">
            <v>4.9673798899999992</v>
          </cell>
          <cell r="O42">
            <v>779.24102664999998</v>
          </cell>
          <cell r="Q42">
            <v>21.93731124</v>
          </cell>
        </row>
        <row r="43">
          <cell r="J43">
            <v>395.42522242000001</v>
          </cell>
          <cell r="K43">
            <v>3.5475144900000002</v>
          </cell>
          <cell r="O43">
            <v>565.83531842000002</v>
          </cell>
          <cell r="Q43">
            <v>25.509549610000001</v>
          </cell>
        </row>
        <row r="44">
          <cell r="J44">
            <v>365.64169864000002</v>
          </cell>
          <cell r="K44">
            <v>6.4166795700000003</v>
          </cell>
          <cell r="O44">
            <v>643.07166992999998</v>
          </cell>
          <cell r="Q44">
            <v>35.9577764</v>
          </cell>
        </row>
        <row r="45">
          <cell r="J45">
            <v>370.07351725000001</v>
          </cell>
          <cell r="K45">
            <v>6.0378794999999998</v>
          </cell>
          <cell r="O45">
            <v>637.4970817599999</v>
          </cell>
          <cell r="Q45">
            <v>24.654152199999999</v>
          </cell>
        </row>
        <row r="46">
          <cell r="J46">
            <v>504.63385127000004</v>
          </cell>
          <cell r="K46">
            <v>11.08614169</v>
          </cell>
          <cell r="O46">
            <v>629.61462734999998</v>
          </cell>
          <cell r="Q46">
            <v>15.05172458</v>
          </cell>
        </row>
        <row r="47">
          <cell r="J47">
            <v>602.29259471</v>
          </cell>
          <cell r="K47">
            <v>5.8081574099999997</v>
          </cell>
          <cell r="O47">
            <v>754.73970897999993</v>
          </cell>
          <cell r="Q47">
            <v>21.5021971</v>
          </cell>
        </row>
        <row r="48">
          <cell r="J48">
            <v>529.14412899000001</v>
          </cell>
          <cell r="K48">
            <v>13.45815056</v>
          </cell>
          <cell r="O48">
            <v>896.72342289000005</v>
          </cell>
          <cell r="Q48">
            <v>26.22080755</v>
          </cell>
        </row>
        <row r="49">
          <cell r="J49">
            <v>539.56581112000003</v>
          </cell>
          <cell r="K49">
            <v>8.3343056699999991</v>
          </cell>
          <cell r="O49">
            <v>874.36605509000003</v>
          </cell>
          <cell r="Q49">
            <v>27.1865402</v>
          </cell>
        </row>
        <row r="50">
          <cell r="J50">
            <v>582.05181468000001</v>
          </cell>
          <cell r="K50">
            <v>10.21456302</v>
          </cell>
          <cell r="O50">
            <v>715.9927791099999</v>
          </cell>
          <cell r="Q50">
            <v>33.525204010000003</v>
          </cell>
        </row>
        <row r="51">
          <cell r="J51">
            <v>693.09656367999992</v>
          </cell>
          <cell r="K51">
            <v>11.694707210000001</v>
          </cell>
          <cell r="O51">
            <v>780.65445670000008</v>
          </cell>
          <cell r="Q51">
            <v>21.981861039999998</v>
          </cell>
        </row>
        <row r="52">
          <cell r="J52">
            <v>524.59152214000005</v>
          </cell>
          <cell r="K52">
            <v>11.491844929999999</v>
          </cell>
          <cell r="O52">
            <v>977.75854225000012</v>
          </cell>
          <cell r="Q52">
            <v>26.774434339999999</v>
          </cell>
        </row>
        <row r="53">
          <cell r="J53">
            <v>489.91044628000003</v>
          </cell>
          <cell r="K53">
            <v>4.1969757400000001</v>
          </cell>
          <cell r="O53">
            <v>1119.99091916</v>
          </cell>
          <cell r="Q53">
            <v>23.774127719999999</v>
          </cell>
        </row>
        <row r="54">
          <cell r="J54">
            <v>586.28535918</v>
          </cell>
          <cell r="K54">
            <v>4.6494604400000004</v>
          </cell>
          <cell r="O54">
            <v>1330.3565526699999</v>
          </cell>
          <cell r="Q54">
            <v>35.67776885</v>
          </cell>
        </row>
        <row r="55">
          <cell r="J55">
            <v>473.60293387000002</v>
          </cell>
          <cell r="K55">
            <v>4.4508164500000005</v>
          </cell>
          <cell r="O55">
            <v>1448.38863457</v>
          </cell>
          <cell r="Q55">
            <v>27.854645829999999</v>
          </cell>
        </row>
        <row r="56">
          <cell r="J56">
            <v>355.79764635000004</v>
          </cell>
          <cell r="K56">
            <v>6.89782049</v>
          </cell>
          <cell r="O56">
            <v>1606.1845867500001</v>
          </cell>
          <cell r="Q56">
            <v>23.89317196</v>
          </cell>
        </row>
        <row r="57">
          <cell r="J57">
            <v>448.9454068</v>
          </cell>
          <cell r="K57">
            <v>1.7454099999999999</v>
          </cell>
          <cell r="O57">
            <v>1258.6982083099999</v>
          </cell>
          <cell r="Q57">
            <v>22.722565079999999</v>
          </cell>
        </row>
        <row r="58">
          <cell r="J58">
            <v>512.00021821000007</v>
          </cell>
          <cell r="K58">
            <v>3.3965521299999999</v>
          </cell>
          <cell r="O58">
            <v>1322.00082645</v>
          </cell>
          <cell r="Q58">
            <v>23.674607690000002</v>
          </cell>
        </row>
        <row r="59">
          <cell r="J59">
            <v>488.74471259000001</v>
          </cell>
          <cell r="K59">
            <v>12.07668059</v>
          </cell>
          <cell r="O59">
            <v>1458.4299091600001</v>
          </cell>
          <cell r="Q59">
            <v>24.07476664</v>
          </cell>
        </row>
        <row r="60">
          <cell r="J60">
            <v>671.57703498000001</v>
          </cell>
          <cell r="K60">
            <v>6.9360861799999993</v>
          </cell>
          <cell r="O60">
            <v>1446.1185497199999</v>
          </cell>
          <cell r="Q60">
            <v>20.919640530000002</v>
          </cell>
        </row>
        <row r="61">
          <cell r="J61">
            <v>579.14206582999998</v>
          </cell>
          <cell r="K61">
            <v>4.3311662499999999</v>
          </cell>
          <cell r="O61">
            <v>1521.0270963200001</v>
          </cell>
          <cell r="Q61">
            <v>27.81124947</v>
          </cell>
        </row>
        <row r="62">
          <cell r="J62">
            <v>422.37070933000001</v>
          </cell>
          <cell r="K62">
            <v>19.693730780000003</v>
          </cell>
          <cell r="O62">
            <v>1507.3209306799999</v>
          </cell>
          <cell r="Q62">
            <v>12.874629619999999</v>
          </cell>
        </row>
        <row r="63">
          <cell r="J63">
            <v>250.52268838999998</v>
          </cell>
          <cell r="K63">
            <v>4.6288205199999997</v>
          </cell>
          <cell r="O63">
            <v>1298.0630087499999</v>
          </cell>
          <cell r="Q63">
            <v>13.19288124</v>
          </cell>
        </row>
        <row r="64">
          <cell r="J64">
            <v>171.02654130000002</v>
          </cell>
          <cell r="K64">
            <v>6.7884707100000004</v>
          </cell>
          <cell r="O64">
            <v>1260.02240368</v>
          </cell>
          <cell r="Q64">
            <v>17.633270499999998</v>
          </cell>
        </row>
        <row r="65">
          <cell r="J65">
            <v>181.50371428</v>
          </cell>
          <cell r="K65">
            <v>2.5042803199999999</v>
          </cell>
          <cell r="O65">
            <v>826.08879522999996</v>
          </cell>
          <cell r="Q65">
            <v>14.51772289</v>
          </cell>
        </row>
        <row r="66">
          <cell r="J66">
            <v>225.91808513000001</v>
          </cell>
          <cell r="K66">
            <v>1.0199563899999999</v>
          </cell>
          <cell r="O66">
            <v>643.46158792000006</v>
          </cell>
          <cell r="Q66">
            <v>23.794445879999998</v>
          </cell>
        </row>
        <row r="67">
          <cell r="J67">
            <v>164.73945992</v>
          </cell>
          <cell r="K67">
            <v>1.53525574</v>
          </cell>
          <cell r="O67">
            <v>699.66781085000002</v>
          </cell>
          <cell r="Q67">
            <v>32.001160370000001</v>
          </cell>
        </row>
        <row r="68">
          <cell r="J68">
            <v>220.12808656000001</v>
          </cell>
          <cell r="K68">
            <v>4.2776274400000007</v>
          </cell>
          <cell r="O68">
            <v>619.35297648000005</v>
          </cell>
          <cell r="Q68">
            <v>16.572316659999998</v>
          </cell>
        </row>
        <row r="69">
          <cell r="J69">
            <v>265.08926592</v>
          </cell>
          <cell r="K69">
            <v>2.655675</v>
          </cell>
          <cell r="O69">
            <v>525.75423888</v>
          </cell>
          <cell r="Q69">
            <v>11.533796710000001</v>
          </cell>
        </row>
        <row r="70">
          <cell r="J70">
            <v>248.63389552999999</v>
          </cell>
          <cell r="K70">
            <v>3.4751808900000003</v>
          </cell>
          <cell r="O70">
            <v>347.23046814999998</v>
          </cell>
          <cell r="Q70">
            <v>10.864802279999999</v>
          </cell>
        </row>
        <row r="72">
          <cell r="J72">
            <v>446.87249832000003</v>
          </cell>
          <cell r="K72">
            <v>19.456293710000001</v>
          </cell>
          <cell r="O72">
            <v>404.04553827999996</v>
          </cell>
          <cell r="Q72">
            <v>19.351666179999999</v>
          </cell>
        </row>
        <row r="73">
          <cell r="J73">
            <v>389.47491487999997</v>
          </cell>
          <cell r="K73">
            <v>4.0537011300000003</v>
          </cell>
          <cell r="O73">
            <v>331.72727791</v>
          </cell>
          <cell r="Q73">
            <v>19.039828329999999</v>
          </cell>
        </row>
        <row r="74">
          <cell r="J74">
            <v>329.12558734999999</v>
          </cell>
          <cell r="K74">
            <v>7.2622822899999999</v>
          </cell>
          <cell r="O74">
            <v>351.68678620000003</v>
          </cell>
          <cell r="Q74">
            <v>16.900220989999998</v>
          </cell>
        </row>
        <row r="75">
          <cell r="J75">
            <v>297.37215213000002</v>
          </cell>
          <cell r="K75">
            <v>10.06808974</v>
          </cell>
          <cell r="O75">
            <v>531.19919254000001</v>
          </cell>
          <cell r="Q75">
            <v>15.086389689999999</v>
          </cell>
        </row>
        <row r="76">
          <cell r="J76">
            <v>318.16536145999999</v>
          </cell>
          <cell r="K76">
            <v>3.4703695800000003</v>
          </cell>
          <cell r="O76">
            <v>631.12222811000004</v>
          </cell>
          <cell r="Q76">
            <v>14.34876637</v>
          </cell>
        </row>
        <row r="77">
          <cell r="J77">
            <v>268.62061132000002</v>
          </cell>
          <cell r="K77">
            <v>2.1084858399999997</v>
          </cell>
          <cell r="O77">
            <v>557.29971374999991</v>
          </cell>
          <cell r="Q77">
            <v>20.63829668</v>
          </cell>
        </row>
        <row r="78">
          <cell r="J78">
            <v>115.25842179</v>
          </cell>
          <cell r="K78">
            <v>7.1004655300000001</v>
          </cell>
          <cell r="O78">
            <v>682.05721096999991</v>
          </cell>
          <cell r="Q78">
            <v>35.84734315</v>
          </cell>
        </row>
        <row r="79">
          <cell r="J79">
            <v>133.17556994999998</v>
          </cell>
          <cell r="K79">
            <v>20.092340069999999</v>
          </cell>
          <cell r="O79">
            <v>535.65890265000007</v>
          </cell>
          <cell r="Q79">
            <v>31.978144390000001</v>
          </cell>
        </row>
        <row r="80">
          <cell r="J80">
            <v>284.69475150999995</v>
          </cell>
          <cell r="K80">
            <v>3.0476866899999999</v>
          </cell>
          <cell r="O80">
            <v>525.79830386999993</v>
          </cell>
          <cell r="Q80">
            <v>60.692817929999997</v>
          </cell>
        </row>
        <row r="81">
          <cell r="J81">
            <v>290.90002284999997</v>
          </cell>
          <cell r="K81">
            <v>22.82390603</v>
          </cell>
          <cell r="O81">
            <v>463.60146857999996</v>
          </cell>
          <cell r="Q81">
            <v>18.229039270000001</v>
          </cell>
        </row>
        <row r="82">
          <cell r="J82">
            <v>233.66550901999997</v>
          </cell>
          <cell r="K82">
            <v>3.1441755099999997</v>
          </cell>
          <cell r="O82">
            <v>652.87502484000004</v>
          </cell>
          <cell r="Q82">
            <v>19.68849462</v>
          </cell>
        </row>
        <row r="83">
          <cell r="J83">
            <v>317.70300319</v>
          </cell>
          <cell r="K83">
            <v>1.9232126399999998</v>
          </cell>
          <cell r="O83">
            <v>698.70871188000001</v>
          </cell>
          <cell r="Q83">
            <v>15.357611650000001</v>
          </cell>
        </row>
        <row r="84">
          <cell r="J84">
            <v>296.46517326999998</v>
          </cell>
          <cell r="K84">
            <v>3.9403980199999999</v>
          </cell>
          <cell r="O84">
            <v>833.10928824000007</v>
          </cell>
          <cell r="Q84">
            <v>19.610201230000001</v>
          </cell>
        </row>
        <row r="85">
          <cell r="J85">
            <v>196.91443441999999</v>
          </cell>
          <cell r="K85">
            <v>1.3276520000000001</v>
          </cell>
          <cell r="O85">
            <v>1012.51210156</v>
          </cell>
          <cell r="Q85">
            <v>50.339441640000004</v>
          </cell>
        </row>
        <row r="86">
          <cell r="J86">
            <v>51.456588710000005</v>
          </cell>
          <cell r="K86">
            <v>1.66161008</v>
          </cell>
          <cell r="O86">
            <v>1151.9788441800001</v>
          </cell>
          <cell r="Q86">
            <v>46.3628432</v>
          </cell>
        </row>
        <row r="87">
          <cell r="J87">
            <v>144.03863766999999</v>
          </cell>
          <cell r="K87">
            <v>7.3574231900000004</v>
          </cell>
          <cell r="O87">
            <v>834.78480350999996</v>
          </cell>
          <cell r="Q87">
            <v>21.387257440000003</v>
          </cell>
        </row>
        <row r="88">
          <cell r="J88">
            <v>197.56861062999999</v>
          </cell>
          <cell r="K88">
            <v>10.913307619999999</v>
          </cell>
          <cell r="O88">
            <v>990.15236007999999</v>
          </cell>
          <cell r="Q88">
            <v>34.73897341</v>
          </cell>
        </row>
        <row r="89">
          <cell r="J89">
            <v>242.75568113999998</v>
          </cell>
          <cell r="K89">
            <v>5.9497077200000001</v>
          </cell>
          <cell r="O89">
            <v>1148.35999851</v>
          </cell>
          <cell r="Q89">
            <v>22.521256449999999</v>
          </cell>
        </row>
        <row r="90">
          <cell r="J90">
            <v>299.11384427000002</v>
          </cell>
          <cell r="K90">
            <v>10.33659031</v>
          </cell>
          <cell r="O90">
            <v>1380.67157359</v>
          </cell>
          <cell r="Q90">
            <v>19.033159169999998</v>
          </cell>
        </row>
        <row r="91">
          <cell r="J91">
            <v>262.02954777000002</v>
          </cell>
          <cell r="K91">
            <v>5.2215092800000003</v>
          </cell>
          <cell r="O91">
            <v>1679.2352729000002</v>
          </cell>
          <cell r="Q91">
            <v>22.190573729999997</v>
          </cell>
        </row>
        <row r="92">
          <cell r="J92">
            <v>405.41685468000003</v>
          </cell>
          <cell r="K92">
            <v>6.9658090899999996</v>
          </cell>
          <cell r="O92">
            <v>1840.5527200800002</v>
          </cell>
          <cell r="Q92">
            <v>20.987558539999998</v>
          </cell>
        </row>
        <row r="93">
          <cell r="J93">
            <v>467.48263262</v>
          </cell>
          <cell r="K93">
            <v>0.85026299999999999</v>
          </cell>
          <cell r="O93">
            <v>685.12415403</v>
          </cell>
          <cell r="Q93">
            <v>30.892556370000005</v>
          </cell>
        </row>
        <row r="94">
          <cell r="J94">
            <v>202.53272058000002</v>
          </cell>
          <cell r="K94">
            <v>5.3474604599999997</v>
          </cell>
          <cell r="O94">
            <v>764.58631579000007</v>
          </cell>
          <cell r="Q94">
            <v>9.2997602700000002</v>
          </cell>
        </row>
        <row r="95">
          <cell r="J95">
            <v>171.31560746</v>
          </cell>
          <cell r="K95">
            <v>13.207835339999999</v>
          </cell>
          <cell r="O95">
            <v>794.95130792999998</v>
          </cell>
          <cell r="Q95">
            <v>24.629100270000002</v>
          </cell>
        </row>
        <row r="96">
          <cell r="J96">
            <v>167.07786745999999</v>
          </cell>
          <cell r="K96">
            <v>12.67500034</v>
          </cell>
          <cell r="O96">
            <v>1108.66678757</v>
          </cell>
          <cell r="Q96">
            <v>44.377024790000007</v>
          </cell>
        </row>
        <row r="97">
          <cell r="J97">
            <v>165.67388635999998</v>
          </cell>
          <cell r="K97">
            <v>25.198345719999999</v>
          </cell>
          <cell r="O97">
            <v>1123.7446657999999</v>
          </cell>
          <cell r="Q97">
            <v>28.156426360000001</v>
          </cell>
        </row>
        <row r="98">
          <cell r="J98">
            <v>53.709626450000002</v>
          </cell>
          <cell r="K98">
            <v>26.090120769999999</v>
          </cell>
          <cell r="O98">
            <v>696.30052204000003</v>
          </cell>
          <cell r="Q98">
            <v>31.896762029999994</v>
          </cell>
        </row>
        <row r="99">
          <cell r="J99">
            <v>207.73001886</v>
          </cell>
          <cell r="K99">
            <v>11.468045500000001</v>
          </cell>
          <cell r="O99">
            <v>761.79766156999995</v>
          </cell>
          <cell r="Q99">
            <v>23.967538330000004</v>
          </cell>
        </row>
        <row r="100">
          <cell r="J100">
            <v>74.953439829999994</v>
          </cell>
          <cell r="K100">
            <v>12.19917541</v>
          </cell>
          <cell r="O100">
            <v>728.30813569000009</v>
          </cell>
          <cell r="Q100">
            <v>44.822413749999996</v>
          </cell>
        </row>
        <row r="101">
          <cell r="J101">
            <v>332.85570232999999</v>
          </cell>
          <cell r="K101">
            <v>15.49278091</v>
          </cell>
          <cell r="O101">
            <v>928.02994002000014</v>
          </cell>
          <cell r="Q101">
            <v>63.698706440000002</v>
          </cell>
        </row>
        <row r="102">
          <cell r="J102">
            <v>285.12993997999996</v>
          </cell>
          <cell r="K102">
            <v>6.1315103799999999</v>
          </cell>
          <cell r="O102">
            <v>1016.71453695</v>
          </cell>
          <cell r="Q102">
            <v>84.113326360000016</v>
          </cell>
        </row>
        <row r="103">
          <cell r="J103">
            <v>185.17303938000001</v>
          </cell>
          <cell r="K103">
            <v>7.2254703899999999</v>
          </cell>
          <cell r="O103">
            <v>1254.8536988699998</v>
          </cell>
          <cell r="Q103">
            <v>62.342304679999991</v>
          </cell>
        </row>
        <row r="104">
          <cell r="J104">
            <v>227.83886866999998</v>
          </cell>
          <cell r="K104">
            <v>9.1337301299999982</v>
          </cell>
          <cell r="O104">
            <v>803.84828474000005</v>
          </cell>
          <cell r="Q104">
            <v>27.000763899999999</v>
          </cell>
        </row>
        <row r="105">
          <cell r="J105">
            <v>172.76797256</v>
          </cell>
          <cell r="K105">
            <v>0.427095</v>
          </cell>
          <cell r="O105">
            <v>561.40278061000004</v>
          </cell>
          <cell r="Q105">
            <v>45.052869269999995</v>
          </cell>
        </row>
        <row r="106">
          <cell r="J106">
            <v>196.17531051</v>
          </cell>
          <cell r="K106">
            <v>5.7008349999999997</v>
          </cell>
          <cell r="O106">
            <v>725.48915433000002</v>
          </cell>
          <cell r="Q106">
            <v>31.694396090000001</v>
          </cell>
        </row>
        <row r="107">
          <cell r="J107">
            <v>125.77994225</v>
          </cell>
          <cell r="K107">
            <v>5.4275149999999996</v>
          </cell>
          <cell r="O107">
            <v>916.81475823999983</v>
          </cell>
          <cell r="Q107">
            <v>29.108702390000001</v>
          </cell>
        </row>
        <row r="108">
          <cell r="J108">
            <v>191.36299922000001</v>
          </cell>
          <cell r="K108">
            <v>25.078305</v>
          </cell>
          <cell r="O108">
            <v>702.23580908999998</v>
          </cell>
          <cell r="Q108">
            <v>16.20647181</v>
          </cell>
        </row>
        <row r="109">
          <cell r="J109">
            <v>61.905649440000005</v>
          </cell>
          <cell r="K109">
            <v>19.786570000000001</v>
          </cell>
          <cell r="O109">
            <v>618.42359868000017</v>
          </cell>
          <cell r="Q109">
            <v>46.71167157</v>
          </cell>
        </row>
        <row r="110">
          <cell r="J110">
            <v>130.3754495</v>
          </cell>
          <cell r="K110">
            <v>17.646940000000001</v>
          </cell>
          <cell r="O110">
            <v>525.48824547000004</v>
          </cell>
          <cell r="Q110">
            <v>67.04189246</v>
          </cell>
        </row>
        <row r="111">
          <cell r="J111">
            <v>108.80688719999999</v>
          </cell>
          <cell r="K111">
            <v>9.3439099999999993</v>
          </cell>
          <cell r="O111">
            <v>478.61662504000003</v>
          </cell>
          <cell r="Q111">
            <v>30.426594260000002</v>
          </cell>
        </row>
        <row r="112">
          <cell r="K112">
            <v>5.6443050000000001</v>
          </cell>
        </row>
      </sheetData>
      <sheetData sheetId="6">
        <row r="10">
          <cell r="C10">
            <v>1840.0901927899999</v>
          </cell>
        </row>
      </sheetData>
      <sheetData sheetId="7"/>
      <sheetData sheetId="8"/>
      <sheetData sheetId="9">
        <row r="10">
          <cell r="C10">
            <v>4553.0520254900002</v>
          </cell>
        </row>
        <row r="40">
          <cell r="J40">
            <v>1161.00422994</v>
          </cell>
          <cell r="K40">
            <v>9.3371654700000004</v>
          </cell>
          <cell r="O40">
            <v>873.13424008999993</v>
          </cell>
          <cell r="Q40">
            <v>5.9610177599999998</v>
          </cell>
        </row>
        <row r="41">
          <cell r="J41">
            <v>1555.00619624</v>
          </cell>
          <cell r="K41">
            <v>9.0639017300000013</v>
          </cell>
          <cell r="O41">
            <v>789.32707462000008</v>
          </cell>
          <cell r="Q41">
            <v>4.5533497999999994</v>
          </cell>
        </row>
        <row r="42">
          <cell r="J42">
            <v>1511.9891593299999</v>
          </cell>
          <cell r="K42">
            <v>11.086594300000002</v>
          </cell>
          <cell r="O42">
            <v>1149.0839511199999</v>
          </cell>
          <cell r="Q42">
            <v>9.59155026</v>
          </cell>
        </row>
        <row r="43">
          <cell r="J43">
            <v>2099.41990592</v>
          </cell>
          <cell r="K43">
            <v>23.606326670000001</v>
          </cell>
          <cell r="O43">
            <v>1087.4437148499999</v>
          </cell>
          <cell r="Q43">
            <v>11.01684036</v>
          </cell>
        </row>
        <row r="44">
          <cell r="J44">
            <v>2494.3055074899999</v>
          </cell>
          <cell r="K44">
            <v>19.305402430000001</v>
          </cell>
          <cell r="O44">
            <v>1081.7882933800001</v>
          </cell>
          <cell r="Q44">
            <v>4.9972702499999997</v>
          </cell>
        </row>
        <row r="45">
          <cell r="J45">
            <v>1869.77962882</v>
          </cell>
          <cell r="K45">
            <v>36.150911009999994</v>
          </cell>
          <cell r="O45">
            <v>1140.0410114800002</v>
          </cell>
          <cell r="Q45">
            <v>4.1561388500000005</v>
          </cell>
        </row>
        <row r="46">
          <cell r="J46">
            <v>1821.5978502999999</v>
          </cell>
          <cell r="K46">
            <v>25.348580079999998</v>
          </cell>
          <cell r="O46">
            <v>1547.4070524000001</v>
          </cell>
          <cell r="Q46">
            <v>9.4512227100000015</v>
          </cell>
        </row>
        <row r="47">
          <cell r="J47">
            <v>1378.8428375600001</v>
          </cell>
          <cell r="K47">
            <v>16.395616830000002</v>
          </cell>
          <cell r="O47">
            <v>1420.3569191900001</v>
          </cell>
          <cell r="Q47">
            <v>10.255017759999999</v>
          </cell>
        </row>
        <row r="48">
          <cell r="J48">
            <v>2159.3043982500003</v>
          </cell>
          <cell r="K48">
            <v>34.591501749999999</v>
          </cell>
          <cell r="O48">
            <v>1450.25750401</v>
          </cell>
          <cell r="Q48">
            <v>6.8731394899999998</v>
          </cell>
        </row>
        <row r="49">
          <cell r="J49">
            <v>2717.11605009</v>
          </cell>
          <cell r="K49">
            <v>29.133521239999997</v>
          </cell>
          <cell r="O49">
            <v>1341.98880151</v>
          </cell>
          <cell r="Q49">
            <v>8.4714046300000003</v>
          </cell>
        </row>
        <row r="50">
          <cell r="J50">
            <v>1021.0442373</v>
          </cell>
          <cell r="K50">
            <v>35.407918250000002</v>
          </cell>
          <cell r="O50">
            <v>1388.05650382</v>
          </cell>
          <cell r="Q50">
            <v>14.124713539999998</v>
          </cell>
        </row>
        <row r="51">
          <cell r="J51">
            <v>955.01795219000007</v>
          </cell>
          <cell r="K51">
            <v>16.139917230000002</v>
          </cell>
          <cell r="O51">
            <v>1373.84660678</v>
          </cell>
          <cell r="Q51">
            <v>8.3949852200000006</v>
          </cell>
        </row>
        <row r="52">
          <cell r="J52">
            <v>820.20238209000001</v>
          </cell>
          <cell r="K52">
            <v>28.42550563</v>
          </cell>
          <cell r="O52">
            <v>1178.9297171100002</v>
          </cell>
          <cell r="Q52">
            <v>8.1559059500000011</v>
          </cell>
        </row>
        <row r="53">
          <cell r="J53">
            <v>914.25858829000003</v>
          </cell>
          <cell r="K53">
            <v>26.198767800000002</v>
          </cell>
          <cell r="O53">
            <v>1162.39853064</v>
          </cell>
          <cell r="Q53">
            <v>6.75773256</v>
          </cell>
        </row>
        <row r="54">
          <cell r="J54">
            <v>995.76244851000001</v>
          </cell>
          <cell r="K54">
            <v>16.205858580000001</v>
          </cell>
          <cell r="O54">
            <v>1090.61464667</v>
          </cell>
          <cell r="Q54">
            <v>8.2163812299999996</v>
          </cell>
        </row>
        <row r="55">
          <cell r="J55">
            <v>1557.5787191699999</v>
          </cell>
          <cell r="K55">
            <v>24.153936920000003</v>
          </cell>
          <cell r="O55">
            <v>1223.53466336</v>
          </cell>
          <cell r="Q55">
            <v>7.9525801600000001</v>
          </cell>
        </row>
        <row r="56">
          <cell r="J56">
            <v>2721.6314702000004</v>
          </cell>
          <cell r="K56">
            <v>14.98749278</v>
          </cell>
          <cell r="O56">
            <v>1167.9284381</v>
          </cell>
          <cell r="Q56">
            <v>17.403366079999998</v>
          </cell>
        </row>
        <row r="57">
          <cell r="J57">
            <v>3136.3343735000003</v>
          </cell>
          <cell r="K57">
            <v>15.8124612</v>
          </cell>
          <cell r="O57">
            <v>1183.71528233</v>
          </cell>
          <cell r="Q57">
            <v>3.7239265800000001</v>
          </cell>
        </row>
        <row r="58">
          <cell r="J58">
            <v>1102.53333172</v>
          </cell>
          <cell r="K58">
            <v>24.265549239999999</v>
          </cell>
          <cell r="O58">
            <v>1484.10994237</v>
          </cell>
          <cell r="Q58">
            <v>8.5734172700000002</v>
          </cell>
        </row>
        <row r="59">
          <cell r="J59">
            <v>945.40767826000001</v>
          </cell>
          <cell r="K59">
            <v>12.395843769999999</v>
          </cell>
          <cell r="O59">
            <v>1533.95930593</v>
          </cell>
          <cell r="Q59">
            <v>6.0245894900000003</v>
          </cell>
        </row>
        <row r="60">
          <cell r="J60">
            <v>634.66730964999999</v>
          </cell>
          <cell r="K60">
            <v>25.283918100000001</v>
          </cell>
          <cell r="O60">
            <v>1637.16824744</v>
          </cell>
          <cell r="Q60">
            <v>6.7519062199999995</v>
          </cell>
        </row>
        <row r="61">
          <cell r="J61">
            <v>419.15399087999998</v>
          </cell>
          <cell r="K61">
            <v>28.602329309999998</v>
          </cell>
          <cell r="O61">
            <v>1747.1471959099999</v>
          </cell>
          <cell r="Q61">
            <v>6.6892290700000006</v>
          </cell>
        </row>
        <row r="62">
          <cell r="J62">
            <v>472.12405211999999</v>
          </cell>
          <cell r="K62">
            <v>17.11031311</v>
          </cell>
          <cell r="O62">
            <v>1881.8359492</v>
          </cell>
          <cell r="Q62">
            <v>4.4478854100000005</v>
          </cell>
        </row>
        <row r="63">
          <cell r="J63">
            <v>407.88853340999998</v>
          </cell>
          <cell r="K63">
            <v>20.49615507</v>
          </cell>
          <cell r="O63">
            <v>1936.9417296400002</v>
          </cell>
          <cell r="Q63">
            <v>7.8100034200000001</v>
          </cell>
        </row>
        <row r="64">
          <cell r="J64">
            <v>369.54976956000002</v>
          </cell>
          <cell r="K64">
            <v>12.41134289</v>
          </cell>
          <cell r="O64">
            <v>1943.96284517</v>
          </cell>
          <cell r="Q64">
            <v>5.9943055099999993</v>
          </cell>
        </row>
        <row r="65">
          <cell r="J65">
            <v>1396.8468427599998</v>
          </cell>
          <cell r="K65">
            <v>19.38060239</v>
          </cell>
          <cell r="O65">
            <v>1713.7764495400002</v>
          </cell>
          <cell r="Q65">
            <v>10.50183399</v>
          </cell>
        </row>
        <row r="66">
          <cell r="J66">
            <v>1278.353161</v>
          </cell>
          <cell r="K66">
            <v>52.988214890000002</v>
          </cell>
          <cell r="O66">
            <v>1577.8638656600001</v>
          </cell>
          <cell r="Q66">
            <v>10.21022715</v>
          </cell>
        </row>
        <row r="67">
          <cell r="J67">
            <v>1431.51562747</v>
          </cell>
          <cell r="K67">
            <v>73.721065640000006</v>
          </cell>
          <cell r="O67">
            <v>1477.1015815199999</v>
          </cell>
          <cell r="Q67">
            <v>0</v>
          </cell>
        </row>
        <row r="68">
          <cell r="J68">
            <v>1173.67202122</v>
          </cell>
          <cell r="K68">
            <v>81.121123480000008</v>
          </cell>
          <cell r="O68">
            <v>1548.6890138199999</v>
          </cell>
          <cell r="Q68">
            <v>11.389061740000001</v>
          </cell>
        </row>
        <row r="69">
          <cell r="J69">
            <v>1205.5910214099999</v>
          </cell>
          <cell r="K69">
            <v>56.781136880000005</v>
          </cell>
          <cell r="O69">
            <v>1232.1266324200001</v>
          </cell>
          <cell r="Q69">
            <v>4.6871521999999999</v>
          </cell>
        </row>
        <row r="70">
          <cell r="J70">
            <v>800.99543410999991</v>
          </cell>
          <cell r="K70">
            <v>487.07229582999997</v>
          </cell>
          <cell r="O70">
            <v>1172.46849658</v>
          </cell>
          <cell r="Q70">
            <v>6.7417932199999999</v>
          </cell>
        </row>
        <row r="72">
          <cell r="J72">
            <v>679.09879780000006</v>
          </cell>
          <cell r="K72">
            <v>239.93642531</v>
          </cell>
          <cell r="O72">
            <v>676.58170451000001</v>
          </cell>
          <cell r="Q72">
            <v>15.562952080000001</v>
          </cell>
        </row>
        <row r="73">
          <cell r="J73">
            <v>508.77079544999998</v>
          </cell>
          <cell r="K73">
            <v>65.194898960000003</v>
          </cell>
          <cell r="O73">
            <v>668.22296038000013</v>
          </cell>
          <cell r="Q73">
            <v>7.2773594000000008</v>
          </cell>
        </row>
        <row r="74">
          <cell r="J74">
            <v>605.44126803000006</v>
          </cell>
          <cell r="K74">
            <v>57.590066590000006</v>
          </cell>
          <cell r="O74">
            <v>507.64093273999993</v>
          </cell>
          <cell r="Q74">
            <v>22.74596232</v>
          </cell>
        </row>
        <row r="75">
          <cell r="J75">
            <v>476.75435512000001</v>
          </cell>
          <cell r="K75">
            <v>40.965545429999999</v>
          </cell>
          <cell r="O75">
            <v>489.21169912999994</v>
          </cell>
          <cell r="Q75">
            <v>9.6831050399999992</v>
          </cell>
        </row>
        <row r="76">
          <cell r="J76">
            <v>449.35320533999999</v>
          </cell>
          <cell r="K76">
            <v>59.745951939999998</v>
          </cell>
          <cell r="O76">
            <v>549.55971469999997</v>
          </cell>
          <cell r="Q76">
            <v>11.488337640000001</v>
          </cell>
        </row>
        <row r="77">
          <cell r="J77">
            <v>373.64131944000002</v>
          </cell>
          <cell r="K77">
            <v>47.085265460000002</v>
          </cell>
          <cell r="O77">
            <v>376.87752953</v>
          </cell>
          <cell r="Q77">
            <v>8.0748218400000003</v>
          </cell>
        </row>
        <row r="78">
          <cell r="J78">
            <v>840.30055726000001</v>
          </cell>
          <cell r="K78">
            <v>50.178804970000002</v>
          </cell>
          <cell r="O78">
            <v>527.43748718999996</v>
          </cell>
          <cell r="Q78">
            <v>22.651666389999999</v>
          </cell>
        </row>
        <row r="79">
          <cell r="J79">
            <v>628.82312389999993</v>
          </cell>
          <cell r="K79">
            <v>100.58218221999999</v>
          </cell>
          <cell r="O79">
            <v>447.66232276999995</v>
          </cell>
          <cell r="Q79">
            <v>25.948580570000001</v>
          </cell>
        </row>
        <row r="80">
          <cell r="J80">
            <v>815.29367415000002</v>
          </cell>
          <cell r="K80">
            <v>77.627548329999996</v>
          </cell>
          <cell r="O80">
            <v>307.56949952000002</v>
          </cell>
          <cell r="Q80">
            <v>38.207584750000002</v>
          </cell>
        </row>
        <row r="81">
          <cell r="J81">
            <v>888.33421056999998</v>
          </cell>
          <cell r="K81">
            <v>40.397853259999998</v>
          </cell>
          <cell r="O81">
            <v>802.18101589000014</v>
          </cell>
          <cell r="Q81">
            <v>7.2689121999999999</v>
          </cell>
        </row>
        <row r="82">
          <cell r="J82">
            <v>667.58372236000002</v>
          </cell>
          <cell r="K82">
            <v>62.376750659999999</v>
          </cell>
          <cell r="O82">
            <v>885.73381588000007</v>
          </cell>
          <cell r="Q82">
            <v>12.44853243</v>
          </cell>
        </row>
        <row r="83">
          <cell r="J83">
            <v>515.00019925000004</v>
          </cell>
          <cell r="K83">
            <v>68.116548800000004</v>
          </cell>
          <cell r="O83">
            <v>949.31446110000002</v>
          </cell>
          <cell r="Q83">
            <v>11.05698123</v>
          </cell>
        </row>
        <row r="84">
          <cell r="J84">
            <v>453.47097421000001</v>
          </cell>
          <cell r="K84">
            <v>16.458469239999999</v>
          </cell>
          <cell r="O84">
            <v>787.73521707999998</v>
          </cell>
          <cell r="Q84">
            <v>17.528686910000001</v>
          </cell>
        </row>
        <row r="85">
          <cell r="J85">
            <v>718.71718811999995</v>
          </cell>
          <cell r="K85">
            <v>20.30771631</v>
          </cell>
          <cell r="O85">
            <v>371.06153764999999</v>
          </cell>
          <cell r="Q85">
            <v>11.565096580000001</v>
          </cell>
        </row>
        <row r="86">
          <cell r="J86">
            <v>817.38290790999997</v>
          </cell>
          <cell r="K86">
            <v>39.422817880000004</v>
          </cell>
          <cell r="O86">
            <v>601.92439155000011</v>
          </cell>
          <cell r="Q86">
            <v>13.17944756</v>
          </cell>
        </row>
        <row r="87">
          <cell r="J87">
            <v>396.40809495999997</v>
          </cell>
          <cell r="K87">
            <v>23.432143059999998</v>
          </cell>
          <cell r="O87">
            <v>381.28195956999997</v>
          </cell>
          <cell r="Q87">
            <v>16.15323295</v>
          </cell>
        </row>
        <row r="88">
          <cell r="J88">
            <v>1171.5722533399999</v>
          </cell>
          <cell r="K88">
            <v>36.985529729999996</v>
          </cell>
          <cell r="O88">
            <v>509.11397543000004</v>
          </cell>
          <cell r="Q88">
            <v>22.698668079999997</v>
          </cell>
        </row>
        <row r="89">
          <cell r="J89">
            <v>2122.1817153900001</v>
          </cell>
          <cell r="K89">
            <v>27.68785484</v>
          </cell>
          <cell r="O89">
            <v>495.28697567999995</v>
          </cell>
          <cell r="Q89">
            <v>27.259671440000002</v>
          </cell>
        </row>
        <row r="90">
          <cell r="J90">
            <v>1025.52789968</v>
          </cell>
          <cell r="K90">
            <v>32.16920185</v>
          </cell>
          <cell r="O90">
            <v>361.91899735999999</v>
          </cell>
          <cell r="Q90">
            <v>11.36362688</v>
          </cell>
        </row>
        <row r="91">
          <cell r="J91">
            <v>1025.52789968</v>
          </cell>
          <cell r="K91">
            <v>32.16920185</v>
          </cell>
          <cell r="O91">
            <v>361.91899735999999</v>
          </cell>
          <cell r="Q91">
            <v>11.36362688</v>
          </cell>
        </row>
        <row r="92">
          <cell r="J92">
            <v>1473.49007837</v>
          </cell>
          <cell r="K92">
            <v>18.881006980000002</v>
          </cell>
          <cell r="O92">
            <v>475.05306454999999</v>
          </cell>
          <cell r="Q92">
            <v>13.414277210000002</v>
          </cell>
        </row>
        <row r="93">
          <cell r="J93">
            <v>1234.9793538100002</v>
          </cell>
          <cell r="K93">
            <v>12.668247429999999</v>
          </cell>
          <cell r="O93">
            <v>405.88100184999996</v>
          </cell>
          <cell r="Q93">
            <v>7.1996494599999998</v>
          </cell>
        </row>
        <row r="94">
          <cell r="J94">
            <v>1625.8286305400002</v>
          </cell>
          <cell r="K94">
            <v>26.150147910000001</v>
          </cell>
          <cell r="O94">
            <v>646.55541697000001</v>
          </cell>
          <cell r="Q94">
            <v>13.39183016</v>
          </cell>
        </row>
        <row r="95">
          <cell r="J95">
            <v>4517.369689449999</v>
          </cell>
          <cell r="K95">
            <v>32.854107550000002</v>
          </cell>
          <cell r="O95">
            <v>642.48288866999997</v>
          </cell>
          <cell r="Q95">
            <v>20.605851780000002</v>
          </cell>
        </row>
        <row r="96">
          <cell r="J96">
            <v>1743.1132628200003</v>
          </cell>
          <cell r="K96">
            <v>25.67714569</v>
          </cell>
          <cell r="O96">
            <v>557.16041158000007</v>
          </cell>
          <cell r="Q96">
            <v>24.609218980000001</v>
          </cell>
        </row>
        <row r="97">
          <cell r="J97">
            <v>1442.6640766100002</v>
          </cell>
          <cell r="K97">
            <v>32.48655471</v>
          </cell>
          <cell r="O97">
            <v>488.29407379000003</v>
          </cell>
          <cell r="Q97">
            <v>30.143361819999999</v>
          </cell>
        </row>
        <row r="98">
          <cell r="J98">
            <v>1649.35065209</v>
          </cell>
          <cell r="K98">
            <v>28.359207359999999</v>
          </cell>
          <cell r="O98">
            <v>553.33599427000001</v>
          </cell>
          <cell r="Q98">
            <v>18.733779780000003</v>
          </cell>
        </row>
        <row r="99">
          <cell r="J99">
            <v>958.89624436999998</v>
          </cell>
          <cell r="K99">
            <v>35.917545479999994</v>
          </cell>
          <cell r="O99">
            <v>740.69812324999998</v>
          </cell>
          <cell r="Q99">
            <v>25.629096649999997</v>
          </cell>
        </row>
        <row r="100">
          <cell r="J100">
            <v>1307.0770241600001</v>
          </cell>
          <cell r="K100">
            <v>16.188543849999999</v>
          </cell>
          <cell r="O100">
            <v>613.63580518000003</v>
          </cell>
          <cell r="Q100">
            <v>35.68550106</v>
          </cell>
        </row>
        <row r="101">
          <cell r="J101">
            <v>1939.1069608299999</v>
          </cell>
          <cell r="K101">
            <v>30.07720187</v>
          </cell>
          <cell r="O101">
            <v>502.95080628000005</v>
          </cell>
          <cell r="Q101">
            <v>22.698143909999999</v>
          </cell>
        </row>
        <row r="102">
          <cell r="J102">
            <v>394.54841942999997</v>
          </cell>
          <cell r="K102">
            <v>23.092346809999999</v>
          </cell>
          <cell r="O102">
            <v>533.18692587999999</v>
          </cell>
          <cell r="Q102">
            <v>40.280100990000001</v>
          </cell>
        </row>
        <row r="103">
          <cell r="J103">
            <v>402.64461586000004</v>
          </cell>
          <cell r="K103">
            <v>10.76754742</v>
          </cell>
          <cell r="O103">
            <v>720.48392641000009</v>
          </cell>
          <cell r="Q103">
            <v>40.552002549999997</v>
          </cell>
        </row>
        <row r="104">
          <cell r="J104">
            <v>486.0736852</v>
          </cell>
          <cell r="K104">
            <v>34.031204369999998</v>
          </cell>
          <cell r="O104">
            <v>466.05550558999994</v>
          </cell>
          <cell r="Q104">
            <v>42.049135669999998</v>
          </cell>
        </row>
        <row r="105">
          <cell r="J105">
            <v>446.58990013999994</v>
          </cell>
          <cell r="K105">
            <v>22.595044000000001</v>
          </cell>
          <cell r="O105">
            <v>369.34487947000002</v>
          </cell>
          <cell r="Q105">
            <v>15.770529210000001</v>
          </cell>
        </row>
        <row r="106">
          <cell r="J106">
            <v>408.06593106000003</v>
          </cell>
          <cell r="K106">
            <v>19.197714640000001</v>
          </cell>
          <cell r="O106">
            <v>302.31842648999998</v>
          </cell>
          <cell r="Q106">
            <v>24.828232920000001</v>
          </cell>
        </row>
        <row r="107">
          <cell r="J107">
            <v>292.23149397999998</v>
          </cell>
          <cell r="K107">
            <v>31.434859600000003</v>
          </cell>
          <cell r="O107">
            <v>410.19811538000005</v>
          </cell>
          <cell r="Q107">
            <v>29.049484940000003</v>
          </cell>
        </row>
        <row r="108">
          <cell r="J108">
            <v>560.65404115000001</v>
          </cell>
          <cell r="K108">
            <v>18.702984920000002</v>
          </cell>
          <cell r="O108">
            <v>2066.9186060000002</v>
          </cell>
          <cell r="Q108">
            <v>39.33961034</v>
          </cell>
        </row>
        <row r="109">
          <cell r="J109">
            <v>685.49759245999996</v>
          </cell>
          <cell r="K109">
            <v>43.123539310000005</v>
          </cell>
          <cell r="O109">
            <v>1550.0736475499998</v>
          </cell>
          <cell r="Q109">
            <v>22.213234940000003</v>
          </cell>
        </row>
        <row r="110">
          <cell r="J110">
            <v>250.22854545999996</v>
          </cell>
          <cell r="K110">
            <v>22.354484039999999</v>
          </cell>
          <cell r="O110">
            <v>1244.0606018399999</v>
          </cell>
          <cell r="Q110">
            <v>28.719822090000001</v>
          </cell>
        </row>
        <row r="111">
          <cell r="J111">
            <v>341.71367767000004</v>
          </cell>
          <cell r="K111">
            <v>12.309225</v>
          </cell>
          <cell r="O111">
            <v>1605.3305629500001</v>
          </cell>
          <cell r="Q111">
            <v>29.095329929999998</v>
          </cell>
        </row>
        <row r="112">
          <cell r="K112">
            <v>24.010344069999999</v>
          </cell>
        </row>
      </sheetData>
      <sheetData sheetId="10">
        <row r="5">
          <cell r="H5">
            <v>114057526.58</v>
          </cell>
        </row>
      </sheetData>
      <sheetData sheetId="11"/>
      <sheetData sheetId="12"/>
      <sheetData sheetId="13">
        <row r="10">
          <cell r="C10">
            <v>489.62465936999996</v>
          </cell>
          <cell r="J10">
            <v>108.90842029000001</v>
          </cell>
          <cell r="K10">
            <v>0.33661999999999997</v>
          </cell>
          <cell r="O10">
            <v>4.2986206300000003</v>
          </cell>
          <cell r="Q10">
            <v>0</v>
          </cell>
        </row>
        <row r="11">
          <cell r="J11">
            <v>80.646661710000004</v>
          </cell>
          <cell r="K11">
            <v>0.95931999999999995</v>
          </cell>
          <cell r="O11">
            <v>2.6011360400000001</v>
          </cell>
          <cell r="Q11">
            <v>0</v>
          </cell>
        </row>
        <row r="12">
          <cell r="J12">
            <v>73.063681989999992</v>
          </cell>
          <cell r="K12">
            <v>0.99539999999999995</v>
          </cell>
          <cell r="O12">
            <v>9.0206859699999988</v>
          </cell>
          <cell r="Q12">
            <v>0.51223415000000005</v>
          </cell>
        </row>
        <row r="13">
          <cell r="J13">
            <v>64.66658357</v>
          </cell>
          <cell r="K13">
            <v>0.41831000000000002</v>
          </cell>
          <cell r="O13">
            <v>7.3114104600000003</v>
          </cell>
          <cell r="Q13">
            <v>0.59005705000000008</v>
          </cell>
        </row>
        <row r="14">
          <cell r="J14">
            <v>4305.2020058999997</v>
          </cell>
          <cell r="K14">
            <v>0.73838000000000004</v>
          </cell>
          <cell r="O14">
            <v>6.3290591200000001</v>
          </cell>
          <cell r="Q14">
            <v>1.24207815</v>
          </cell>
        </row>
        <row r="15">
          <cell r="J15">
            <v>260.08787603999997</v>
          </cell>
          <cell r="K15">
            <v>4.7832699999999999</v>
          </cell>
          <cell r="O15">
            <v>54.106675689999996</v>
          </cell>
          <cell r="Q15">
            <v>1.60978607</v>
          </cell>
        </row>
        <row r="16">
          <cell r="J16">
            <v>240.56282734000001</v>
          </cell>
          <cell r="K16">
            <v>2.1064600000000002</v>
          </cell>
          <cell r="O16">
            <v>515.62881045999995</v>
          </cell>
          <cell r="Q16">
            <v>5.4820705099999998</v>
          </cell>
        </row>
        <row r="17">
          <cell r="J17">
            <v>615.82871446000001</v>
          </cell>
          <cell r="K17">
            <v>7.0999400000000001</v>
          </cell>
          <cell r="O17">
            <v>193.17889210999999</v>
          </cell>
          <cell r="Q17">
            <v>5.9349754099999998</v>
          </cell>
        </row>
        <row r="18">
          <cell r="J18">
            <v>440.07946606000002</v>
          </cell>
          <cell r="K18">
            <v>10.11246</v>
          </cell>
          <cell r="O18">
            <v>233.81985203999997</v>
          </cell>
        </row>
        <row r="19">
          <cell r="J19">
            <v>272.78839518000001</v>
          </cell>
          <cell r="K19">
            <v>4.4019700000000004</v>
          </cell>
          <cell r="O19">
            <v>380.55856817</v>
          </cell>
          <cell r="Q19">
            <v>6.5028408300000002</v>
          </cell>
        </row>
        <row r="20">
          <cell r="J20">
            <v>216.57583184999999</v>
          </cell>
          <cell r="K20">
            <v>3.4677699999999998</v>
          </cell>
          <cell r="O20">
            <v>295.73720419</v>
          </cell>
          <cell r="Q20">
            <v>5.9460460300000006</v>
          </cell>
        </row>
        <row r="21">
          <cell r="J21">
            <v>216.00148709000001</v>
          </cell>
          <cell r="K21">
            <v>8.5622199999999999</v>
          </cell>
          <cell r="O21">
            <v>247.73350726999999</v>
          </cell>
          <cell r="Q21">
            <v>5.3438263800000003</v>
          </cell>
        </row>
        <row r="22">
          <cell r="J22">
            <v>344.66183869999998</v>
          </cell>
          <cell r="K22">
            <v>4.9126940000000001</v>
          </cell>
          <cell r="O22">
            <v>52.284582299999997</v>
          </cell>
          <cell r="Q22">
            <v>0.97636687</v>
          </cell>
        </row>
        <row r="23">
          <cell r="J23">
            <v>258.27403449999997</v>
          </cell>
          <cell r="K23">
            <v>14.237819999999999</v>
          </cell>
          <cell r="O23">
            <v>662.17541399000004</v>
          </cell>
          <cell r="Q23">
            <v>8.8096294799999999</v>
          </cell>
        </row>
        <row r="24">
          <cell r="J24">
            <v>217.83513233000002</v>
          </cell>
          <cell r="K24">
            <v>3.10839</v>
          </cell>
          <cell r="O24">
            <v>89.076376589999995</v>
          </cell>
          <cell r="Q24">
            <v>10.71205511</v>
          </cell>
        </row>
        <row r="25">
          <cell r="K25">
            <v>26.758824000000001</v>
          </cell>
        </row>
      </sheetData>
      <sheetData sheetId="14">
        <row r="5">
          <cell r="H5">
            <v>71057700.219999999</v>
          </cell>
        </row>
      </sheetData>
      <sheetData sheetId="15"/>
      <sheetData sheetId="16"/>
      <sheetData sheetId="17">
        <row r="10">
          <cell r="C10">
            <v>87.799481079999993</v>
          </cell>
          <cell r="J10">
            <v>1.9681599999999999</v>
          </cell>
          <cell r="K10">
            <v>1.9681599999999999</v>
          </cell>
          <cell r="O10">
            <v>5.4420400000000001E-2</v>
          </cell>
          <cell r="Q10">
            <v>5.4420400000000001E-2</v>
          </cell>
        </row>
        <row r="11">
          <cell r="J11">
            <v>2.8421099999999999</v>
          </cell>
          <cell r="K11">
            <v>2.8421099999999999</v>
          </cell>
          <cell r="O11">
            <v>0.70764800999999999</v>
          </cell>
          <cell r="Q11">
            <v>0.70764800999999999</v>
          </cell>
        </row>
        <row r="12">
          <cell r="J12">
            <v>52.635440000000003</v>
          </cell>
          <cell r="K12">
            <v>2.63544</v>
          </cell>
          <cell r="O12">
            <v>0.86966363000000002</v>
          </cell>
          <cell r="Q12">
            <v>0.86966363000000002</v>
          </cell>
        </row>
        <row r="13">
          <cell r="J13">
            <v>64.622322929999996</v>
          </cell>
          <cell r="K13">
            <v>0.65722000000000003</v>
          </cell>
          <cell r="O13">
            <v>1.5708390300000001</v>
          </cell>
          <cell r="Q13">
            <v>1.5708390300000001</v>
          </cell>
        </row>
        <row r="14">
          <cell r="J14">
            <v>48.018311409999995</v>
          </cell>
          <cell r="K14">
            <v>0.7147</v>
          </cell>
          <cell r="O14">
            <v>2.3055973999999999</v>
          </cell>
          <cell r="Q14">
            <v>2.3055973999999999</v>
          </cell>
        </row>
        <row r="15">
          <cell r="J15">
            <v>66.637615909999994</v>
          </cell>
          <cell r="K15">
            <v>3.1572049999999998</v>
          </cell>
          <cell r="O15">
            <v>2.1526974800000001</v>
          </cell>
          <cell r="Q15">
            <v>2.1526974800000001</v>
          </cell>
        </row>
        <row r="16">
          <cell r="J16">
            <v>87.865660359999993</v>
          </cell>
          <cell r="K16">
            <v>1.1091470000000001</v>
          </cell>
          <cell r="O16">
            <v>2.6373972299999999</v>
          </cell>
          <cell r="Q16">
            <v>2.6373972299999999</v>
          </cell>
        </row>
        <row r="17">
          <cell r="J17">
            <v>69.126944920000014</v>
          </cell>
          <cell r="K17">
            <v>1.000375</v>
          </cell>
          <cell r="O17">
            <v>3.4434168000000005</v>
          </cell>
          <cell r="Q17">
            <v>3.4434168000000005</v>
          </cell>
        </row>
        <row r="18">
          <cell r="J18">
            <v>90.275228769999998</v>
          </cell>
          <cell r="K18">
            <v>0.76940399999999998</v>
          </cell>
          <cell r="O18">
            <v>4.9710007899999997</v>
          </cell>
          <cell r="Q18">
            <v>0.49200079000000002</v>
          </cell>
        </row>
        <row r="19">
          <cell r="J19">
            <v>64.950128419999999</v>
          </cell>
          <cell r="K19">
            <v>0.37876199999999999</v>
          </cell>
          <cell r="O19">
            <v>5.7432937600000002</v>
          </cell>
          <cell r="Q19">
            <v>0.92010870999999994</v>
          </cell>
        </row>
        <row r="20">
          <cell r="J20">
            <v>44.353085890000003</v>
          </cell>
          <cell r="K20">
            <v>0.79133100000000001</v>
          </cell>
          <cell r="O20">
            <v>1.0160585</v>
          </cell>
          <cell r="Q20">
            <v>1.0160585</v>
          </cell>
        </row>
        <row r="21">
          <cell r="J21">
            <v>50.631731230000007</v>
          </cell>
          <cell r="K21">
            <v>3.7915580000000002</v>
          </cell>
          <cell r="O21">
            <v>8.1506243500000011</v>
          </cell>
          <cell r="Q21">
            <v>2.02080503</v>
          </cell>
        </row>
        <row r="22">
          <cell r="J22">
            <v>28.292883219999997</v>
          </cell>
          <cell r="K22">
            <v>3.1757279999999999</v>
          </cell>
          <cell r="O22">
            <v>9.0394624099999987</v>
          </cell>
          <cell r="Q22">
            <v>2.7771536100000001</v>
          </cell>
        </row>
        <row r="23">
          <cell r="J23">
            <v>34.589244370000003</v>
          </cell>
          <cell r="K23">
            <v>3.4140190000000001</v>
          </cell>
          <cell r="O23">
            <v>17.693508289999997</v>
          </cell>
          <cell r="Q23">
            <v>3.52542534</v>
          </cell>
        </row>
        <row r="24">
          <cell r="J24">
            <v>41.84796841</v>
          </cell>
          <cell r="K24">
            <v>2.0316040000000002</v>
          </cell>
          <cell r="O24">
            <v>13.287539450000001</v>
          </cell>
          <cell r="Q24">
            <v>3.78058973</v>
          </cell>
        </row>
        <row r="25">
          <cell r="K25">
            <v>1.4918309999999999</v>
          </cell>
        </row>
      </sheetData>
      <sheetData sheetId="18">
        <row r="6">
          <cell r="L6">
            <v>156210319.72</v>
          </cell>
        </row>
      </sheetData>
      <sheetData sheetId="19"/>
      <sheetData sheetId="20"/>
      <sheetData sheetId="21">
        <row r="11">
          <cell r="C11">
            <v>19.037914700000002</v>
          </cell>
          <cell r="J11">
            <v>0</v>
          </cell>
          <cell r="K11">
            <v>0</v>
          </cell>
          <cell r="O11">
            <v>0</v>
          </cell>
          <cell r="Q11">
            <v>0</v>
          </cell>
        </row>
        <row r="12">
          <cell r="J12">
            <v>0</v>
          </cell>
          <cell r="K12">
            <v>0</v>
          </cell>
          <cell r="O12">
            <v>0</v>
          </cell>
          <cell r="Q12">
            <v>0</v>
          </cell>
        </row>
        <row r="13">
          <cell r="J13">
            <v>0</v>
          </cell>
          <cell r="K13">
            <v>0</v>
          </cell>
          <cell r="O13">
            <v>0</v>
          </cell>
          <cell r="Q13">
            <v>0</v>
          </cell>
        </row>
        <row r="14">
          <cell r="J14">
            <v>0</v>
          </cell>
          <cell r="K14">
            <v>0</v>
          </cell>
          <cell r="O14">
            <v>0</v>
          </cell>
          <cell r="Q14">
            <v>0</v>
          </cell>
        </row>
      </sheetData>
      <sheetData sheetId="22">
        <row r="11">
          <cell r="C11">
            <v>19.037914700000002</v>
          </cell>
        </row>
      </sheetData>
      <sheetData sheetId="23">
        <row r="5">
          <cell r="D5" t="str">
            <v>Cash in hand (Nu)</v>
          </cell>
        </row>
      </sheetData>
      <sheetData sheetId="24">
        <row r="11">
          <cell r="C11">
            <v>6036.976762620001</v>
          </cell>
          <cell r="D11">
            <v>4289.3067069600002</v>
          </cell>
          <cell r="J11">
            <v>1747.6700556600003</v>
          </cell>
          <cell r="AP11">
            <v>1623.9619130999999</v>
          </cell>
        </row>
        <row r="12">
          <cell r="D12">
            <v>3657.5704795299998</v>
          </cell>
          <cell r="J12">
            <v>1736.14546395</v>
          </cell>
          <cell r="AP12">
            <v>1717.6752205200046</v>
          </cell>
        </row>
        <row r="13">
          <cell r="D13">
            <v>3578.2908980699999</v>
          </cell>
          <cell r="J13">
            <v>1772.5304691700001</v>
          </cell>
          <cell r="AP13">
            <v>1554.3435363399985</v>
          </cell>
        </row>
        <row r="14">
          <cell r="D14">
            <v>4234.5208667799998</v>
          </cell>
          <cell r="J14">
            <v>1784.2588505099998</v>
          </cell>
          <cell r="AP14">
            <v>1996.7420918600037</v>
          </cell>
        </row>
        <row r="15">
          <cell r="D15">
            <v>4547.1613629899994</v>
          </cell>
          <cell r="J15">
            <v>1914.1225084899995</v>
          </cell>
          <cell r="AP15">
            <v>492.06101286000558</v>
          </cell>
        </row>
        <row r="16">
          <cell r="D16">
            <v>3770.5655964600001</v>
          </cell>
          <cell r="J16">
            <v>2032.9644865800001</v>
          </cell>
          <cell r="AP16">
            <v>2240.4977123199969</v>
          </cell>
        </row>
        <row r="17">
          <cell r="D17">
            <v>4825.7734197700011</v>
          </cell>
          <cell r="J17">
            <v>2068.9662451899999</v>
          </cell>
          <cell r="AP17">
            <v>1025.5822901099964</v>
          </cell>
        </row>
        <row r="18">
          <cell r="D18">
            <v>4211.7290146199994</v>
          </cell>
          <cell r="J18">
            <v>2092.0700738899995</v>
          </cell>
          <cell r="AP18">
            <v>1023.3713509599947</v>
          </cell>
        </row>
        <row r="19">
          <cell r="D19">
            <v>5489.2883090600017</v>
          </cell>
          <cell r="J19">
            <v>2071.03997463</v>
          </cell>
          <cell r="AP19">
            <v>688.02286108000044</v>
          </cell>
        </row>
        <row r="20">
          <cell r="D20">
            <v>4924.1563331300003</v>
          </cell>
          <cell r="J20">
            <v>2102.7055942299999</v>
          </cell>
          <cell r="AP20">
            <v>1217.8245824300029</v>
          </cell>
        </row>
        <row r="21">
          <cell r="D21">
            <v>4958.4767859900003</v>
          </cell>
          <cell r="J21">
            <v>2135.22352602</v>
          </cell>
          <cell r="AP21">
            <v>781.69817752999734</v>
          </cell>
        </row>
        <row r="22">
          <cell r="D22">
            <v>3788.0886597799999</v>
          </cell>
          <cell r="J22">
            <v>2149.4062767099999</v>
          </cell>
          <cell r="AP22">
            <v>1331.7397153299971</v>
          </cell>
        </row>
        <row r="23">
          <cell r="D23">
            <v>4259.3595696500006</v>
          </cell>
          <cell r="J23">
            <v>2187.3106679499997</v>
          </cell>
          <cell r="AP23">
            <v>1324.795813089997</v>
          </cell>
        </row>
        <row r="24">
          <cell r="D24">
            <v>4135.1649251199997</v>
          </cell>
          <cell r="J24">
            <v>2162.7255473799996</v>
          </cell>
          <cell r="AP24">
            <v>875.99502742999903</v>
          </cell>
        </row>
        <row r="25">
          <cell r="D25">
            <v>3344.0235588400001</v>
          </cell>
          <cell r="J25">
            <v>2154.7288610099999</v>
          </cell>
          <cell r="AP25">
            <v>1156.2349808199979</v>
          </cell>
        </row>
        <row r="26">
          <cell r="D26">
            <v>5491.582455759999</v>
          </cell>
          <cell r="J26">
            <v>2241.6311459499998</v>
          </cell>
          <cell r="AP26">
            <v>109.59323855000184</v>
          </cell>
        </row>
        <row r="27">
          <cell r="D27">
            <v>4542.6945003700002</v>
          </cell>
          <cell r="J27">
            <v>2228.6458114999996</v>
          </cell>
          <cell r="AP27">
            <v>831.55655884000225</v>
          </cell>
        </row>
        <row r="28">
          <cell r="D28">
            <v>4127.0715338500004</v>
          </cell>
          <cell r="J28">
            <v>2382.37278651</v>
          </cell>
          <cell r="AP28">
            <v>296.07766437999817</v>
          </cell>
        </row>
        <row r="29">
          <cell r="D29">
            <v>3520.2183540400006</v>
          </cell>
          <cell r="J29">
            <v>2400.6727584599998</v>
          </cell>
          <cell r="AP29">
            <v>41.821485529999336</v>
          </cell>
        </row>
        <row r="30">
          <cell r="D30">
            <v>3301.8066055699996</v>
          </cell>
          <cell r="J30">
            <v>2428.8665370900003</v>
          </cell>
          <cell r="AP30">
            <v>767.08660682999471</v>
          </cell>
        </row>
        <row r="31">
          <cell r="D31">
            <v>2787.2670351599995</v>
          </cell>
          <cell r="J31">
            <v>2428.3684378299999</v>
          </cell>
          <cell r="AP31">
            <v>1266.4983989400007</v>
          </cell>
        </row>
        <row r="32">
          <cell r="D32">
            <v>4189.1750098600005</v>
          </cell>
          <cell r="J32">
            <v>2419.6570948599997</v>
          </cell>
          <cell r="AP32">
            <v>667.10424683999736</v>
          </cell>
        </row>
        <row r="33">
          <cell r="D33">
            <v>5584.9297151399996</v>
          </cell>
          <cell r="J33">
            <v>2450.6381914499998</v>
          </cell>
          <cell r="AP33">
            <v>1498.6378525200016</v>
          </cell>
        </row>
        <row r="34">
          <cell r="D34">
            <v>4354.0114150699992</v>
          </cell>
          <cell r="J34">
            <v>2468.2079770599998</v>
          </cell>
          <cell r="AP34">
            <v>1350.3703943300025</v>
          </cell>
        </row>
        <row r="35">
          <cell r="D35">
            <v>4077.4490789100005</v>
          </cell>
          <cell r="J35">
            <v>2484.6403573100001</v>
          </cell>
          <cell r="AP35">
            <v>1236.2397814600008</v>
          </cell>
        </row>
        <row r="36">
          <cell r="D36">
            <v>4108.2699595399999</v>
          </cell>
          <cell r="J36">
            <v>2400.9856394499993</v>
          </cell>
          <cell r="AP36">
            <v>1102.6698982999987</v>
          </cell>
        </row>
        <row r="37">
          <cell r="D37">
            <v>4980.77217277</v>
          </cell>
          <cell r="J37">
            <v>2515.9005382099999</v>
          </cell>
          <cell r="AP37">
            <v>1962.0532293000033</v>
          </cell>
        </row>
        <row r="38">
          <cell r="D38">
            <v>4042.4768397600001</v>
          </cell>
          <cell r="J38">
            <v>2574.94434404</v>
          </cell>
          <cell r="AP38">
            <v>1136.0817122800072</v>
          </cell>
        </row>
        <row r="39">
          <cell r="D39">
            <v>4429.0863886699999</v>
          </cell>
          <cell r="J39">
            <v>2653.0915597599997</v>
          </cell>
          <cell r="AP39">
            <v>783.79460073999871</v>
          </cell>
        </row>
        <row r="40">
          <cell r="D40">
            <v>4159.1109465500003</v>
          </cell>
          <cell r="J40">
            <v>2869.3831598299998</v>
          </cell>
          <cell r="AP40">
            <v>722.72811546999947</v>
          </cell>
        </row>
        <row r="41">
          <cell r="D41">
            <v>4131.4287196499999</v>
          </cell>
          <cell r="J41">
            <v>2907.6949953900003</v>
          </cell>
          <cell r="AP41">
            <v>1009.7501618000024</v>
          </cell>
        </row>
        <row r="42">
          <cell r="D42">
            <v>3716.29521204</v>
          </cell>
          <cell r="J42">
            <v>2918.2118558299999</v>
          </cell>
          <cell r="AP42">
            <v>1099.9359672000028</v>
          </cell>
        </row>
        <row r="43">
          <cell r="D43">
            <v>3621.4585942999997</v>
          </cell>
          <cell r="J43">
            <v>2946.5126831399998</v>
          </cell>
          <cell r="AP43">
            <v>1385.7289198100007</v>
          </cell>
        </row>
        <row r="44">
          <cell r="D44">
            <v>4502.0738885000001</v>
          </cell>
          <cell r="J44">
            <v>2925.8942949699999</v>
          </cell>
          <cell r="AP44">
            <v>1107.0961755999997</v>
          </cell>
        </row>
        <row r="45">
          <cell r="D45">
            <v>5595.0147279100001</v>
          </cell>
          <cell r="J45">
            <v>3031.9388961300006</v>
          </cell>
          <cell r="AP45">
            <v>893.78047492000042</v>
          </cell>
        </row>
        <row r="46">
          <cell r="D46">
            <v>4819.2484791400011</v>
          </cell>
          <cell r="J46">
            <v>3011.3450200199995</v>
          </cell>
          <cell r="AP46">
            <v>1384.9250215300017</v>
          </cell>
        </row>
        <row r="47">
          <cell r="D47">
            <v>4287.8728152700005</v>
          </cell>
          <cell r="J47">
            <v>2939.7792896500005</v>
          </cell>
          <cell r="AP47">
            <v>1534.2686543399977</v>
          </cell>
        </row>
        <row r="48">
          <cell r="D48">
            <v>4229.3463313399998</v>
          </cell>
          <cell r="J48">
            <v>2930.8212111799999</v>
          </cell>
          <cell r="AP48">
            <v>1043.1162884200021</v>
          </cell>
        </row>
        <row r="49">
          <cell r="D49">
            <v>5145.9153705799999</v>
          </cell>
          <cell r="J49">
            <v>2988.8900765899998</v>
          </cell>
          <cell r="AP49">
            <v>1305.1062452600054</v>
          </cell>
        </row>
        <row r="50">
          <cell r="D50">
            <v>6505.6770045800004</v>
          </cell>
          <cell r="J50">
            <v>3014.8888533499999</v>
          </cell>
          <cell r="AP50">
            <v>553.6551882399981</v>
          </cell>
        </row>
        <row r="51">
          <cell r="D51">
            <v>4548.72515638</v>
          </cell>
          <cell r="J51">
            <v>3124.5526884400001</v>
          </cell>
          <cell r="AP51">
            <v>941.24024927999926</v>
          </cell>
        </row>
        <row r="52">
          <cell r="D52">
            <v>4738.4108753300006</v>
          </cell>
          <cell r="J52">
            <v>3324.7315401799997</v>
          </cell>
          <cell r="AP52">
            <v>1146.0019408199987</v>
          </cell>
        </row>
        <row r="53">
          <cell r="D53">
            <v>4814.7850536999995</v>
          </cell>
          <cell r="J53">
            <v>3273.7854164299997</v>
          </cell>
          <cell r="AP53">
            <v>1218.6423649799981</v>
          </cell>
        </row>
        <row r="54">
          <cell r="D54">
            <v>4570.62472755</v>
          </cell>
          <cell r="J54">
            <v>3329.3746232699996</v>
          </cell>
          <cell r="AP54">
            <v>1258.3567312099985</v>
          </cell>
        </row>
        <row r="55">
          <cell r="D55">
            <v>4722.0201121600003</v>
          </cell>
          <cell r="J55">
            <v>3323.1100275399999</v>
          </cell>
          <cell r="AP55">
            <v>849.22579204999784</v>
          </cell>
        </row>
        <row r="56">
          <cell r="D56">
            <v>5206.7045894500006</v>
          </cell>
          <cell r="J56">
            <v>3318.3798258700003</v>
          </cell>
          <cell r="AP56">
            <v>1470.264612789997</v>
          </cell>
        </row>
        <row r="57">
          <cell r="D57">
            <v>5895.0572578199999</v>
          </cell>
          <cell r="J57">
            <v>3454.8144141800003</v>
          </cell>
          <cell r="AP57">
            <v>1895.4468541799979</v>
          </cell>
        </row>
        <row r="58">
          <cell r="AP58">
            <v>2302.0525035200008</v>
          </cell>
        </row>
        <row r="59">
          <cell r="AP59">
            <v>1502.8181891799941</v>
          </cell>
        </row>
        <row r="60">
          <cell r="AP60">
            <v>1880.7212498599984</v>
          </cell>
        </row>
        <row r="61">
          <cell r="AP61">
            <v>1214.6749238400007</v>
          </cell>
        </row>
        <row r="62">
          <cell r="AP62">
            <v>2433.0118784499973</v>
          </cell>
        </row>
        <row r="63">
          <cell r="AP63">
            <v>1623.3116231099957</v>
          </cell>
        </row>
        <row r="64">
          <cell r="AP64">
            <v>2120.4691553000048</v>
          </cell>
        </row>
        <row r="65">
          <cell r="AP65">
            <v>1672.6467520499973</v>
          </cell>
        </row>
        <row r="66">
          <cell r="AP66">
            <v>1879.5038587099989</v>
          </cell>
        </row>
        <row r="67">
          <cell r="AP67">
            <v>365.5431019700045</v>
          </cell>
        </row>
        <row r="68">
          <cell r="AP68">
            <v>276.14874351999606</v>
          </cell>
        </row>
        <row r="69">
          <cell r="AP69">
            <v>1021.9304891300017</v>
          </cell>
        </row>
        <row r="70">
          <cell r="AP70">
            <v>1598.9466908399954</v>
          </cell>
        </row>
        <row r="71">
          <cell r="AP71">
            <v>2028.3635031600024</v>
          </cell>
        </row>
        <row r="72">
          <cell r="AP72">
            <v>2544.0073324300029</v>
          </cell>
        </row>
        <row r="73">
          <cell r="AP73">
            <v>2345.7371303600048</v>
          </cell>
        </row>
        <row r="74">
          <cell r="AP74">
            <v>2415.0207229640073</v>
          </cell>
        </row>
        <row r="75">
          <cell r="AP75">
            <v>1755.0885116299978</v>
          </cell>
        </row>
        <row r="76">
          <cell r="AP76">
            <v>2465.5717557300013</v>
          </cell>
        </row>
        <row r="77">
          <cell r="AP77">
            <v>1334.7475928000022</v>
          </cell>
        </row>
        <row r="78">
          <cell r="AP78">
            <v>1919.422900900001</v>
          </cell>
        </row>
        <row r="79">
          <cell r="AP79">
            <v>-1322.9958231000055</v>
          </cell>
        </row>
        <row r="80">
          <cell r="AP80">
            <v>399.20818754000356</v>
          </cell>
        </row>
        <row r="81">
          <cell r="AP81">
            <v>1988.0027792879991</v>
          </cell>
        </row>
        <row r="82">
          <cell r="AP82">
            <v>4477.7864255384993</v>
          </cell>
        </row>
        <row r="83">
          <cell r="AP83">
            <v>1916.3154430660034</v>
          </cell>
        </row>
        <row r="84">
          <cell r="AP84">
            <v>3161.9534418900039</v>
          </cell>
        </row>
        <row r="85">
          <cell r="AP85">
            <v>2861.3421614500039</v>
          </cell>
        </row>
        <row r="86">
          <cell r="AP86">
            <v>2912.9685462199959</v>
          </cell>
        </row>
        <row r="87">
          <cell r="AP87">
            <v>2609.6410966399999</v>
          </cell>
        </row>
        <row r="88">
          <cell r="AP88">
            <v>2578.6372736399971</v>
          </cell>
        </row>
        <row r="89">
          <cell r="AP89">
            <v>2688.0138864100045</v>
          </cell>
        </row>
        <row r="90">
          <cell r="AP90">
            <v>3084.4658229999914</v>
          </cell>
        </row>
        <row r="91">
          <cell r="AP91">
            <v>2268.2640275200029</v>
          </cell>
        </row>
        <row r="92">
          <cell r="AP92">
            <v>2309.9330369300005</v>
          </cell>
        </row>
        <row r="93">
          <cell r="AP93">
            <v>2555.7855107399955</v>
          </cell>
        </row>
        <row r="94">
          <cell r="AP94">
            <v>2840.8189231200085</v>
          </cell>
        </row>
        <row r="95">
          <cell r="AP95">
            <v>2840.4327453200021</v>
          </cell>
        </row>
        <row r="96">
          <cell r="AP96">
            <v>2792.8470830499937</v>
          </cell>
        </row>
        <row r="97">
          <cell r="AP97">
            <v>2571.9263719270093</v>
          </cell>
        </row>
        <row r="98">
          <cell r="AP98">
            <v>2012.5148148569933</v>
          </cell>
        </row>
        <row r="99">
          <cell r="AP99">
            <v>1552.7176206918957</v>
          </cell>
        </row>
        <row r="100">
          <cell r="AP100">
            <v>1847.8098460180045</v>
          </cell>
        </row>
        <row r="101">
          <cell r="AP101">
            <v>1681.3444115415768</v>
          </cell>
        </row>
        <row r="102">
          <cell r="AP102">
            <v>1518.2231581337692</v>
          </cell>
        </row>
        <row r="103">
          <cell r="AP103">
            <v>942.70070550875971</v>
          </cell>
        </row>
        <row r="104">
          <cell r="AP104">
            <v>115.99348612487665</v>
          </cell>
        </row>
        <row r="105">
          <cell r="AP105">
            <v>1988.9619123757366</v>
          </cell>
        </row>
        <row r="106">
          <cell r="AP106">
            <v>5567.595297074964</v>
          </cell>
        </row>
        <row r="107">
          <cell r="AP107">
            <v>2037.0625703238184</v>
          </cell>
        </row>
        <row r="108">
          <cell r="AP108">
            <v>2044.5330020953188</v>
          </cell>
        </row>
        <row r="109">
          <cell r="AP109">
            <v>2057.8030472085738</v>
          </cell>
        </row>
        <row r="110">
          <cell r="AP110">
            <v>3143.3252958559751</v>
          </cell>
        </row>
        <row r="111">
          <cell r="AP111">
            <v>1223.8979265606758</v>
          </cell>
        </row>
        <row r="112">
          <cell r="AP112">
            <v>2382.3109668269244</v>
          </cell>
        </row>
        <row r="113">
          <cell r="AP113">
            <v>4111.9685006431537</v>
          </cell>
        </row>
        <row r="114">
          <cell r="AP114">
            <v>2716.0763197936685</v>
          </cell>
        </row>
        <row r="115">
          <cell r="AP115">
            <v>2818.05830177194</v>
          </cell>
        </row>
        <row r="116">
          <cell r="AP116">
            <v>2982.9151971798419</v>
          </cell>
        </row>
        <row r="117">
          <cell r="AP117">
            <v>3192.9670718273919</v>
          </cell>
        </row>
        <row r="118">
          <cell r="AP118">
            <v>2709.0993700979961</v>
          </cell>
        </row>
        <row r="119">
          <cell r="AP119">
            <v>2399.7001493314747</v>
          </cell>
        </row>
        <row r="120">
          <cell r="AP120">
            <v>6826.047841348598</v>
          </cell>
        </row>
        <row r="121">
          <cell r="AP121">
            <v>4120.9391841637189</v>
          </cell>
        </row>
        <row r="122">
          <cell r="AP122">
            <v>4358.6639818620024</v>
          </cell>
        </row>
        <row r="123">
          <cell r="AP123">
            <v>4336.5066201512891</v>
          </cell>
        </row>
        <row r="124">
          <cell r="AP124">
            <v>4364.7312021693797</v>
          </cell>
        </row>
        <row r="125">
          <cell r="AP125">
            <v>5051.5468533618696</v>
          </cell>
        </row>
        <row r="126">
          <cell r="AP126">
            <v>3914.3968456551593</v>
          </cell>
        </row>
        <row r="127">
          <cell r="AP127">
            <v>3873.3916573645256</v>
          </cell>
        </row>
        <row r="128">
          <cell r="AP128">
            <v>3642.528958005103</v>
          </cell>
        </row>
        <row r="129">
          <cell r="AP129">
            <v>3571.2951479816838</v>
          </cell>
        </row>
        <row r="130">
          <cell r="AP130">
            <v>3657.3652373632431</v>
          </cell>
        </row>
        <row r="131">
          <cell r="AP131">
            <v>4871.3818766320401</v>
          </cell>
        </row>
        <row r="132">
          <cell r="AP132">
            <v>5118.9555924977467</v>
          </cell>
        </row>
        <row r="133">
          <cell r="AP133">
            <v>5514.9958918806515</v>
          </cell>
        </row>
        <row r="134">
          <cell r="AP134">
            <v>3677.0653899477766</v>
          </cell>
        </row>
        <row r="135">
          <cell r="AP135">
            <v>4769.7481270390999</v>
          </cell>
        </row>
        <row r="136">
          <cell r="AP136">
            <v>3440.8495299475035</v>
          </cell>
        </row>
        <row r="137">
          <cell r="AP137">
            <v>2967.4202355258385</v>
          </cell>
        </row>
        <row r="138">
          <cell r="AP138">
            <v>3755.7446358972957</v>
          </cell>
        </row>
        <row r="139">
          <cell r="AP139">
            <v>5621.2192851981818</v>
          </cell>
        </row>
        <row r="140">
          <cell r="AP140">
            <v>3146.7004115129093</v>
          </cell>
        </row>
        <row r="141">
          <cell r="AP141">
            <v>5238.9135744359228</v>
          </cell>
        </row>
        <row r="142">
          <cell r="AP142">
            <v>5057.6634587879962</v>
          </cell>
        </row>
        <row r="143">
          <cell r="AP143">
            <v>6436.435652915985</v>
          </cell>
        </row>
        <row r="144">
          <cell r="AP144">
            <v>6232.2049657323078</v>
          </cell>
        </row>
        <row r="145">
          <cell r="AP145">
            <v>6625.5853997531958</v>
          </cell>
        </row>
        <row r="146">
          <cell r="AP146">
            <v>5154.0690551036387</v>
          </cell>
        </row>
        <row r="147">
          <cell r="AP147">
            <v>5336.3947571472672</v>
          </cell>
        </row>
        <row r="148">
          <cell r="AP148">
            <v>6602.1287253624905</v>
          </cell>
        </row>
        <row r="149">
          <cell r="AP149">
            <v>6529.1779794325994</v>
          </cell>
        </row>
        <row r="150">
          <cell r="AP150">
            <v>5570.1252833537001</v>
          </cell>
        </row>
        <row r="151">
          <cell r="AP151">
            <v>7432.2487263713992</v>
          </cell>
        </row>
        <row r="152">
          <cell r="AP152">
            <v>6436.9365124731557</v>
          </cell>
        </row>
        <row r="153">
          <cell r="AP153">
            <v>6129.1419182567188</v>
          </cell>
        </row>
        <row r="154">
          <cell r="AP154">
            <v>6108.1822054282384</v>
          </cell>
        </row>
        <row r="155">
          <cell r="AP155">
            <v>2312.789103472227</v>
          </cell>
        </row>
        <row r="156">
          <cell r="AP156">
            <v>6480.9472017285152</v>
          </cell>
        </row>
        <row r="157">
          <cell r="AP157">
            <v>7448.2809506771446</v>
          </cell>
        </row>
        <row r="158">
          <cell r="AP158">
            <v>6176.4134469802375</v>
          </cell>
        </row>
        <row r="159">
          <cell r="AP159">
            <v>6326.3079220448562</v>
          </cell>
        </row>
        <row r="160">
          <cell r="AP160">
            <v>6683.6235773292865</v>
          </cell>
        </row>
        <row r="161">
          <cell r="AP161">
            <v>4937.2533768761205</v>
          </cell>
        </row>
        <row r="162">
          <cell r="AP162">
            <v>6140.6962344049534</v>
          </cell>
        </row>
        <row r="163">
          <cell r="AP163">
            <v>6053.763910767535</v>
          </cell>
        </row>
      </sheetData>
      <sheetData sheetId="25">
        <row r="8">
          <cell r="E8">
            <v>4</v>
          </cell>
        </row>
        <row r="42">
          <cell r="E42">
            <v>10434.421344</v>
          </cell>
        </row>
        <row r="43">
          <cell r="E43">
            <v>11048.252843999999</v>
          </cell>
          <cell r="G43">
            <v>349.37</v>
          </cell>
        </row>
        <row r="44">
          <cell r="D44">
            <v>1411.57</v>
          </cell>
          <cell r="E44">
            <v>12705.291389</v>
          </cell>
          <cell r="G44">
            <v>349.37</v>
          </cell>
        </row>
        <row r="45">
          <cell r="D45">
            <v>891.31</v>
          </cell>
          <cell r="E45">
            <v>13032.323389000001</v>
          </cell>
          <cell r="G45">
            <v>349.37</v>
          </cell>
        </row>
        <row r="46">
          <cell r="D46">
            <v>612.85</v>
          </cell>
          <cell r="E46">
            <v>13264.673389</v>
          </cell>
          <cell r="G46">
            <v>349.37</v>
          </cell>
        </row>
        <row r="47">
          <cell r="D47">
            <v>605.22</v>
          </cell>
          <cell r="E47">
            <v>13849.706888999999</v>
          </cell>
          <cell r="G47">
            <v>349.37</v>
          </cell>
        </row>
        <row r="48">
          <cell r="D48">
            <v>2601.16</v>
          </cell>
          <cell r="E48">
            <v>14232.489889</v>
          </cell>
          <cell r="G48">
            <v>349.37</v>
          </cell>
        </row>
        <row r="49">
          <cell r="D49">
            <v>2539.6799999999998</v>
          </cell>
          <cell r="E49">
            <v>14422.754889</v>
          </cell>
          <cell r="G49">
            <v>349.37</v>
          </cell>
        </row>
        <row r="50">
          <cell r="D50">
            <v>3000.23</v>
          </cell>
          <cell r="E50">
            <v>14255.953889</v>
          </cell>
          <cell r="G50">
            <v>349.37</v>
          </cell>
        </row>
        <row r="51">
          <cell r="D51">
            <v>2587.39</v>
          </cell>
          <cell r="E51">
            <v>14356.317389</v>
          </cell>
          <cell r="G51">
            <v>349.37</v>
          </cell>
        </row>
        <row r="52">
          <cell r="D52">
            <v>1368.45</v>
          </cell>
          <cell r="E52">
            <v>14597.941389</v>
          </cell>
          <cell r="G52">
            <v>349.37</v>
          </cell>
        </row>
        <row r="53">
          <cell r="D53">
            <v>2513.37</v>
          </cell>
          <cell r="E53">
            <v>12686.379688999999</v>
          </cell>
          <cell r="G53">
            <v>349.37</v>
          </cell>
        </row>
        <row r="54">
          <cell r="D54">
            <v>2337.96</v>
          </cell>
          <cell r="E54">
            <v>15854.146000000001</v>
          </cell>
          <cell r="G54">
            <v>349.37</v>
          </cell>
        </row>
        <row r="55">
          <cell r="D55">
            <v>1507.42</v>
          </cell>
          <cell r="E55">
            <v>16799.072689000001</v>
          </cell>
          <cell r="G55">
            <v>349.22</v>
          </cell>
        </row>
        <row r="56">
          <cell r="D56">
            <v>1302.29</v>
          </cell>
          <cell r="E56">
            <v>17061.09</v>
          </cell>
          <cell r="G56">
            <v>349.22</v>
          </cell>
        </row>
        <row r="57">
          <cell r="D57">
            <v>632.55999999999995</v>
          </cell>
          <cell r="E57">
            <v>17240.46</v>
          </cell>
          <cell r="G57">
            <v>349.22</v>
          </cell>
        </row>
        <row r="58">
          <cell r="D58">
            <v>241.58</v>
          </cell>
          <cell r="E58">
            <v>17113.04</v>
          </cell>
          <cell r="G58">
            <v>349.22</v>
          </cell>
        </row>
        <row r="59">
          <cell r="D59">
            <v>222.44</v>
          </cell>
          <cell r="E59">
            <v>17004.339</v>
          </cell>
          <cell r="G59">
            <v>349.22</v>
          </cell>
        </row>
        <row r="60">
          <cell r="D60">
            <v>252.6</v>
          </cell>
          <cell r="E60">
            <v>17346.04073221</v>
          </cell>
          <cell r="G60">
            <v>349.22105199999999</v>
          </cell>
        </row>
        <row r="61">
          <cell r="D61">
            <v>200.76476244999998</v>
          </cell>
          <cell r="E61">
            <v>17809.336632630002</v>
          </cell>
          <cell r="G61">
            <v>349.22105199999999</v>
          </cell>
        </row>
        <row r="62">
          <cell r="D62">
            <v>1664.22342845</v>
          </cell>
          <cell r="E62">
            <v>20215.999572640001</v>
          </cell>
          <cell r="G62">
            <v>349.22105199999999</v>
          </cell>
        </row>
        <row r="63">
          <cell r="D63">
            <v>1563.7422294999999</v>
          </cell>
          <cell r="E63">
            <v>20447.007422189999</v>
          </cell>
          <cell r="G63">
            <v>349.22105199999999</v>
          </cell>
        </row>
        <row r="64">
          <cell r="D64">
            <v>1080.2006414500001</v>
          </cell>
          <cell r="E64">
            <v>20587.80130816</v>
          </cell>
          <cell r="G64">
            <v>349.22105199999999</v>
          </cell>
        </row>
        <row r="65">
          <cell r="D65">
            <v>144.88931062</v>
          </cell>
          <cell r="E65">
            <v>19578.91234825</v>
          </cell>
          <cell r="G65">
            <v>0</v>
          </cell>
        </row>
        <row r="66">
          <cell r="D66">
            <v>153.20400000000001</v>
          </cell>
          <cell r="E66">
            <v>19559.855</v>
          </cell>
          <cell r="G66">
            <v>349.18473599999999</v>
          </cell>
        </row>
        <row r="67">
          <cell r="E67">
            <v>20428.925999999999</v>
          </cell>
          <cell r="G67">
            <v>394.36866600000002</v>
          </cell>
        </row>
        <row r="68">
          <cell r="D68">
            <v>98.405750620000006</v>
          </cell>
          <cell r="E68">
            <v>20654.604049979996</v>
          </cell>
          <cell r="G68">
            <v>98.592166500000005</v>
          </cell>
        </row>
        <row r="69">
          <cell r="D69">
            <v>150.20829062000001</v>
          </cell>
          <cell r="E69">
            <v>20780.666042379999</v>
          </cell>
          <cell r="G69">
            <v>98.592166500000005</v>
          </cell>
        </row>
        <row r="70">
          <cell r="D70">
            <v>93.521536339999997</v>
          </cell>
          <cell r="E70">
            <v>20914.632500770003</v>
          </cell>
          <cell r="G70">
            <v>98.592166500000005</v>
          </cell>
        </row>
        <row r="71">
          <cell r="D71">
            <v>614.55654261999996</v>
          </cell>
          <cell r="E71">
            <v>20942.033305840003</v>
          </cell>
          <cell r="G71">
            <v>98.592166459999987</v>
          </cell>
        </row>
        <row r="72">
          <cell r="D72">
            <v>2276.1510646199999</v>
          </cell>
          <cell r="E72">
            <v>21422.748220370002</v>
          </cell>
          <cell r="G72">
            <v>98.592166500000005</v>
          </cell>
        </row>
        <row r="73">
          <cell r="D73">
            <v>2588.8025506199997</v>
          </cell>
          <cell r="E73">
            <v>21767.789649119997</v>
          </cell>
          <cell r="G73">
            <v>98.592166500000005</v>
          </cell>
        </row>
        <row r="74">
          <cell r="D74">
            <v>223.53849762000002</v>
          </cell>
          <cell r="E74">
            <v>22091.688182860002</v>
          </cell>
          <cell r="G74">
            <v>98.592166500000005</v>
          </cell>
        </row>
        <row r="75">
          <cell r="E75">
            <v>22732.01782936</v>
          </cell>
          <cell r="G75">
            <v>98.592166500000005</v>
          </cell>
        </row>
        <row r="76">
          <cell r="D76">
            <v>120.00538762000001</v>
          </cell>
          <cell r="E76">
            <v>23552.82292658</v>
          </cell>
          <cell r="G76">
            <v>98.592166500000005</v>
          </cell>
        </row>
        <row r="77">
          <cell r="D77">
            <v>146.63452762</v>
          </cell>
          <cell r="E77">
            <v>23778.4583221924</v>
          </cell>
          <cell r="G77">
            <v>98.592166500000005</v>
          </cell>
        </row>
        <row r="78">
          <cell r="D78">
            <v>100.40750174999999</v>
          </cell>
          <cell r="E78">
            <v>25383.360207779999</v>
          </cell>
          <cell r="G78">
            <v>98.592166500000005</v>
          </cell>
        </row>
        <row r="79">
          <cell r="D79">
            <v>135.11288830000001</v>
          </cell>
          <cell r="E79">
            <v>25836.886868309997</v>
          </cell>
          <cell r="G79">
            <v>102.75849475</v>
          </cell>
        </row>
        <row r="80">
          <cell r="D80">
            <v>83.887388299999998</v>
          </cell>
          <cell r="E80">
            <v>25555.697311380001</v>
          </cell>
          <cell r="G80">
            <v>102.75849475</v>
          </cell>
        </row>
        <row r="81">
          <cell r="D81">
            <v>51.257826979999997</v>
          </cell>
          <cell r="E81">
            <v>26611.595214389999</v>
          </cell>
          <cell r="G81">
            <v>102.75849475</v>
          </cell>
        </row>
        <row r="82">
          <cell r="D82">
            <v>1195.6360830399999</v>
          </cell>
          <cell r="E82">
            <v>29009.14969789</v>
          </cell>
          <cell r="G82">
            <v>102.75849475</v>
          </cell>
        </row>
        <row r="83">
          <cell r="D83">
            <v>1688.6143387699999</v>
          </cell>
          <cell r="E83">
            <v>31431.261964869998</v>
          </cell>
          <cell r="G83">
            <v>102.75849475</v>
          </cell>
        </row>
        <row r="84">
          <cell r="D84">
            <v>2755.74152177</v>
          </cell>
          <cell r="E84">
            <v>31799.377636252702</v>
          </cell>
          <cell r="G84">
            <v>102.75849475</v>
          </cell>
        </row>
        <row r="85">
          <cell r="D85">
            <v>2291.8736927700002</v>
          </cell>
          <cell r="E85">
            <v>30969.833476579999</v>
          </cell>
          <cell r="G85">
            <v>102.75849475</v>
          </cell>
        </row>
        <row r="86">
          <cell r="D86">
            <v>1455.20073677</v>
          </cell>
          <cell r="E86">
            <v>31610.796665049998</v>
          </cell>
          <cell r="G86">
            <v>102.75849475</v>
          </cell>
        </row>
        <row r="87">
          <cell r="D87">
            <v>134.08991074000002</v>
          </cell>
          <cell r="E87">
            <v>31966.513076079998</v>
          </cell>
          <cell r="G87">
            <v>102.75849475</v>
          </cell>
        </row>
        <row r="88">
          <cell r="D88">
            <v>177.22025074000001</v>
          </cell>
          <cell r="E88">
            <v>33141.942304079996</v>
          </cell>
          <cell r="G88">
            <v>102.75849475</v>
          </cell>
        </row>
        <row r="89">
          <cell r="D89">
            <v>1242.9521733800002</v>
          </cell>
          <cell r="E89">
            <v>33257.731064789994</v>
          </cell>
          <cell r="G89">
            <v>102.75849475</v>
          </cell>
        </row>
        <row r="90">
          <cell r="D90">
            <v>1242.9521733800002</v>
          </cell>
          <cell r="E90">
            <v>32065.42463519</v>
          </cell>
          <cell r="G90">
            <v>102.75849475</v>
          </cell>
        </row>
        <row r="91">
          <cell r="D91">
            <v>118.40260841</v>
          </cell>
          <cell r="E91">
            <v>34637.327908250001</v>
          </cell>
          <cell r="G91">
            <v>117.81250233777575</v>
          </cell>
        </row>
        <row r="92">
          <cell r="D92">
            <v>426.85795040999994</v>
          </cell>
          <cell r="E92">
            <v>34780.636769370009</v>
          </cell>
          <cell r="G92">
            <v>117.81250233777575</v>
          </cell>
        </row>
        <row r="93">
          <cell r="D93">
            <v>142.29372559000001</v>
          </cell>
          <cell r="E93">
            <v>35279.169594929997</v>
          </cell>
          <cell r="G93">
            <v>117.81250233750001</v>
          </cell>
        </row>
        <row r="94">
          <cell r="D94">
            <v>1630.6314775200001</v>
          </cell>
          <cell r="E94">
            <v>35162.02509933</v>
          </cell>
          <cell r="G94">
            <v>117.81250233750001</v>
          </cell>
        </row>
        <row r="95">
          <cell r="D95">
            <v>1181.5424954100001</v>
          </cell>
          <cell r="E95">
            <v>34242.195530750003</v>
          </cell>
          <cell r="G95">
            <v>117.81250233750001</v>
          </cell>
        </row>
        <row r="96">
          <cell r="D96">
            <v>3416.3865420000002</v>
          </cell>
          <cell r="E96">
            <v>35206.675076740008</v>
          </cell>
          <cell r="G96">
            <v>117.81250233750001</v>
          </cell>
        </row>
        <row r="97">
          <cell r="D97">
            <v>3830.40531741</v>
          </cell>
          <cell r="E97">
            <v>34974.001387590004</v>
          </cell>
          <cell r="G97">
            <v>117.81250233750001</v>
          </cell>
        </row>
        <row r="98">
          <cell r="D98">
            <v>47.335575409999997</v>
          </cell>
          <cell r="E98">
            <v>35887.403351400004</v>
          </cell>
          <cell r="G98">
            <v>117.81250233750001</v>
          </cell>
        </row>
        <row r="99">
          <cell r="D99">
            <v>111.57020881999999</v>
          </cell>
          <cell r="E99">
            <v>36354.901557870005</v>
          </cell>
          <cell r="G99">
            <v>117.81250233750001</v>
          </cell>
        </row>
        <row r="100">
          <cell r="D100">
            <v>1085.29496182</v>
          </cell>
          <cell r="E100">
            <v>35501.816021310005</v>
          </cell>
          <cell r="G100">
            <v>117.81250233750001</v>
          </cell>
        </row>
        <row r="101">
          <cell r="D101">
            <v>121.75284687</v>
          </cell>
          <cell r="E101">
            <v>34780.32176667</v>
          </cell>
          <cell r="G101">
            <v>117.81250233750001</v>
          </cell>
        </row>
        <row r="102">
          <cell r="D102">
            <v>115.68867187000001</v>
          </cell>
          <cell r="E102">
            <v>36721.791759520005</v>
          </cell>
          <cell r="G102">
            <v>117.81250233750001</v>
          </cell>
        </row>
        <row r="103">
          <cell r="D103">
            <v>137.25040540999998</v>
          </cell>
          <cell r="E103">
            <v>36709.051841289998</v>
          </cell>
          <cell r="G103">
            <v>106.00564017249999</v>
          </cell>
        </row>
        <row r="104">
          <cell r="D104">
            <v>138.84720540999999</v>
          </cell>
          <cell r="E104">
            <v>37445.333590499991</v>
          </cell>
          <cell r="G104">
            <v>106.00564017249999</v>
          </cell>
        </row>
        <row r="105">
          <cell r="D105">
            <v>145.16970541000001</v>
          </cell>
          <cell r="E105">
            <v>37465.289791979994</v>
          </cell>
          <cell r="G105">
            <v>106.00564017249999</v>
          </cell>
        </row>
        <row r="106">
          <cell r="D106">
            <v>4483.9360864999999</v>
          </cell>
          <cell r="E106">
            <v>36955.44148229999</v>
          </cell>
          <cell r="G106">
            <v>106.00564017249999</v>
          </cell>
        </row>
        <row r="107">
          <cell r="D107">
            <v>3126.9205264099996</v>
          </cell>
          <cell r="E107">
            <v>36283.179436899998</v>
          </cell>
          <cell r="G107">
            <v>106.00564017249999</v>
          </cell>
        </row>
        <row r="108">
          <cell r="D108">
            <v>4388.3884664099996</v>
          </cell>
          <cell r="E108">
            <v>37663.383209489992</v>
          </cell>
          <cell r="G108">
            <v>106.00564017249999</v>
          </cell>
        </row>
        <row r="109">
          <cell r="D109">
            <v>4919.3477864099996</v>
          </cell>
          <cell r="E109">
            <v>37680.040193499997</v>
          </cell>
          <cell r="G109">
            <v>106.00564017249999</v>
          </cell>
        </row>
        <row r="110">
          <cell r="D110">
            <v>371.53856540999999</v>
          </cell>
          <cell r="E110">
            <v>38162.20936863</v>
          </cell>
          <cell r="G110">
            <v>106.00564017249999</v>
          </cell>
        </row>
        <row r="111">
          <cell r="D111">
            <v>150.50000641</v>
          </cell>
          <cell r="E111">
            <v>37963.601177720004</v>
          </cell>
          <cell r="G111">
            <v>106.00564017249999</v>
          </cell>
        </row>
        <row r="112">
          <cell r="D112">
            <v>172.56190641000001</v>
          </cell>
          <cell r="E112">
            <v>37969.841262739996</v>
          </cell>
          <cell r="G112">
            <v>106.00564017249999</v>
          </cell>
        </row>
        <row r="113">
          <cell r="D113">
            <v>220.24625541</v>
          </cell>
          <cell r="E113">
            <v>38260.472324499991</v>
          </cell>
          <cell r="G113">
            <v>106.0056401675</v>
          </cell>
        </row>
        <row r="114">
          <cell r="D114">
            <v>102.06970640999999</v>
          </cell>
          <cell r="E114">
            <v>40519.500153220004</v>
          </cell>
          <cell r="G114">
            <v>113.09861481</v>
          </cell>
        </row>
        <row r="115">
          <cell r="D115">
            <v>91.16480541</v>
          </cell>
          <cell r="E115">
            <v>40343.193582520005</v>
          </cell>
          <cell r="G115">
            <v>113.09861481</v>
          </cell>
        </row>
        <row r="116">
          <cell r="D116">
            <v>174.66210000000001</v>
          </cell>
        </row>
      </sheetData>
      <sheetData sheetId="26">
        <row r="10">
          <cell r="C10">
            <v>6941.47</v>
          </cell>
        </row>
        <row r="99">
          <cell r="C99">
            <v>20574.672478370001</v>
          </cell>
          <cell r="F99">
            <v>14683.920867370001</v>
          </cell>
        </row>
        <row r="111">
          <cell r="C111">
            <v>19727.626879979998</v>
          </cell>
          <cell r="F111">
            <v>11927.352111979999</v>
          </cell>
        </row>
        <row r="115">
          <cell r="C115">
            <v>23393.19300802</v>
          </cell>
          <cell r="F115">
            <v>15910.522640020001</v>
          </cell>
        </row>
        <row r="116">
          <cell r="B116">
            <v>39929.855557790004</v>
          </cell>
          <cell r="F116">
            <v>17742.30660457</v>
          </cell>
        </row>
        <row r="155">
          <cell r="Y155">
            <v>18105.034899722508</v>
          </cell>
        </row>
      </sheetData>
      <sheetData sheetId="27">
        <row r="10">
          <cell r="C10">
            <v>6941.47</v>
          </cell>
        </row>
      </sheetData>
      <sheetData sheetId="28">
        <row r="13">
          <cell r="D13">
            <v>3947.7883360399996</v>
          </cell>
        </row>
        <row r="102">
          <cell r="C102">
            <v>41778.699127478001</v>
          </cell>
        </row>
        <row r="117">
          <cell r="C117">
            <v>53175.049496575994</v>
          </cell>
        </row>
      </sheetData>
      <sheetData sheetId="29"/>
      <sheetData sheetId="30"/>
      <sheetData sheetId="31"/>
      <sheetData sheetId="32"/>
      <sheetData sheetId="33"/>
      <sheetData sheetId="34"/>
      <sheetData sheetId="35">
        <row r="10">
          <cell r="C10">
            <v>44.443989960000003</v>
          </cell>
        </row>
      </sheetData>
      <sheetData sheetId="36">
        <row r="8">
          <cell r="B8" t="str">
            <v>31+32+33+34+35+36+37+38+39</v>
          </cell>
        </row>
      </sheetData>
      <sheetData sheetId="37"/>
      <sheetData sheetId="38"/>
      <sheetData sheetId="39">
        <row r="9">
          <cell r="C9">
            <v>0</v>
          </cell>
        </row>
      </sheetData>
      <sheetData sheetId="40">
        <row r="9">
          <cell r="C9">
            <v>0</v>
          </cell>
        </row>
      </sheetData>
      <sheetData sheetId="41"/>
      <sheetData sheetId="42"/>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row r="75">
          <cell r="C75">
            <v>4686.26</v>
          </cell>
        </row>
      </sheetData>
      <sheetData sheetId="1">
        <row r="76">
          <cell r="C76">
            <v>2788.23</v>
          </cell>
          <cell r="L76">
            <v>664.25</v>
          </cell>
        </row>
        <row r="77">
          <cell r="L77">
            <v>363.98</v>
          </cell>
        </row>
        <row r="78">
          <cell r="L78">
            <v>-86.42</v>
          </cell>
        </row>
        <row r="79">
          <cell r="L79">
            <v>656.36</v>
          </cell>
        </row>
        <row r="80">
          <cell r="L80">
            <v>553.96</v>
          </cell>
        </row>
      </sheetData>
      <sheetData sheetId="2"/>
      <sheetData sheetId="3"/>
      <sheetData sheetId="4">
        <row r="60">
          <cell r="C60">
            <v>534.23</v>
          </cell>
        </row>
      </sheetData>
      <sheetData sheetId="5">
        <row r="61">
          <cell r="C61">
            <v>621.37</v>
          </cell>
          <cell r="L61">
            <v>54.57</v>
          </cell>
        </row>
        <row r="62">
          <cell r="L62">
            <v>172.52</v>
          </cell>
        </row>
        <row r="63">
          <cell r="L63">
            <v>178.55</v>
          </cell>
        </row>
        <row r="64">
          <cell r="L64">
            <v>134.41999999999999</v>
          </cell>
        </row>
        <row r="65">
          <cell r="L65">
            <v>101.1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sheetData sheetId="1">
        <row r="83">
          <cell r="C83">
            <v>4672.38</v>
          </cell>
          <cell r="L83">
            <v>1341.81</v>
          </cell>
        </row>
      </sheetData>
      <sheetData sheetId="2"/>
      <sheetData sheetId="3"/>
      <sheetData sheetId="4"/>
      <sheetData sheetId="5">
        <row r="68">
          <cell r="C68">
            <v>650.41999999999996</v>
          </cell>
          <cell r="L68">
            <v>148.62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OB Assets"/>
      <sheetName val="BOB Liabs"/>
      <sheetName val="BNB Assets"/>
      <sheetName val="BNB Liabs"/>
      <sheetName val="TBank Assets"/>
      <sheetName val="TBank Liabs"/>
      <sheetName val="DPNB Assets"/>
      <sheetName val="DPNB Liabs"/>
      <sheetName val="BDBL Assets"/>
      <sheetName val="BDB Liab"/>
      <sheetName val="DMBA"/>
      <sheetName val="DMBL"/>
      <sheetName val="ReserveChart"/>
      <sheetName val="Finalnew"/>
    </sheetNames>
    <sheetDataSet>
      <sheetData sheetId="0">
        <row r="148">
          <cell r="C148">
            <v>15973.660126949999</v>
          </cell>
        </row>
        <row r="149">
          <cell r="C149">
            <v>18077.497348140001</v>
          </cell>
        </row>
        <row r="150">
          <cell r="C150">
            <v>17587.528551120002</v>
          </cell>
        </row>
        <row r="151">
          <cell r="C151">
            <v>17187.12764852</v>
          </cell>
        </row>
        <row r="152">
          <cell r="C152">
            <v>16670.25152292</v>
          </cell>
        </row>
        <row r="153">
          <cell r="C153">
            <v>15337.51249619</v>
          </cell>
        </row>
        <row r="154">
          <cell r="C154">
            <v>16966.060453710001</v>
          </cell>
        </row>
        <row r="155">
          <cell r="C155">
            <v>16651.610282829999</v>
          </cell>
        </row>
        <row r="156">
          <cell r="C156">
            <v>17819.512641549998</v>
          </cell>
        </row>
        <row r="157">
          <cell r="C157">
            <v>19083.970160150002</v>
          </cell>
        </row>
        <row r="158">
          <cell r="C158">
            <v>20177.88238155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ICB Assets "/>
      <sheetName val="RICB LIAB"/>
      <sheetName val="BDFC Assets"/>
      <sheetName val="BDFC Liabs"/>
      <sheetName val="BIL Assets"/>
      <sheetName val="BIL Liabs"/>
    </sheetNames>
    <sheetDataSet>
      <sheetData sheetId="0">
        <row r="184">
          <cell r="H184">
            <v>62.115683869999991</v>
          </cell>
        </row>
      </sheetData>
      <sheetData sheetId="1"/>
      <sheetData sheetId="2">
        <row r="77">
          <cell r="C77">
            <v>1181.7261320000002</v>
          </cell>
        </row>
      </sheetData>
      <sheetData sheetId="3"/>
      <sheetData sheetId="4">
        <row r="14">
          <cell r="C14">
            <v>139.31121077</v>
          </cell>
        </row>
        <row r="16">
          <cell r="C16">
            <v>164.35909722</v>
          </cell>
          <cell r="I16">
            <v>0</v>
          </cell>
          <cell r="J16">
            <v>0</v>
          </cell>
          <cell r="K16">
            <v>0</v>
          </cell>
          <cell r="L16">
            <v>93</v>
          </cell>
          <cell r="M16">
            <v>0</v>
          </cell>
        </row>
        <row r="19">
          <cell r="K19">
            <v>48.911646599999997</v>
          </cell>
        </row>
      </sheetData>
      <sheetData sheetId="5"/>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tatement of energy-MAY2013"/>
      <sheetName val="Progress report-MAY2013"/>
    </sheetNames>
    <sheetDataSet>
      <sheetData sheetId="0" refreshError="1"/>
      <sheetData sheetId="1">
        <row r="14">
          <cell r="H14">
            <v>18.805530000000001</v>
          </cell>
        </row>
        <row r="18">
          <cell r="T18">
            <v>22.245506399999996</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tatement of energy-JULY2013"/>
      <sheetName val="Progress report-JULY2013"/>
    </sheetNames>
    <sheetDataSet>
      <sheetData sheetId="0" refreshError="1"/>
      <sheetData sheetId="1">
        <row r="18">
          <cell r="T18">
            <v>57.59944800000001</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KHP'' REPORT"/>
      <sheetName val="KHP'' DATA"/>
    </sheetNames>
    <sheetDataSet>
      <sheetData sheetId="0">
        <row r="14">
          <cell r="G14">
            <v>46.100349999999999</v>
          </cell>
        </row>
        <row r="32">
          <cell r="G32">
            <v>55.271699999999989</v>
          </cell>
        </row>
        <row r="33">
          <cell r="G33">
            <v>16.037245979999998</v>
          </cell>
        </row>
      </sheetData>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WksheetI"/>
      <sheetName val="WsheetCOTI"/>
      <sheetName val="BOPanalytic"/>
      <sheetName val="BOP Stand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D12">
            <v>-3470.86</v>
          </cell>
          <cell r="E12">
            <v>-2914.2</v>
          </cell>
          <cell r="F12">
            <v>-3053.1800000000003</v>
          </cell>
          <cell r="G12">
            <v>-3802.34</v>
          </cell>
          <cell r="H12">
            <v>-4697.21</v>
          </cell>
          <cell r="I12">
            <v>-5226.0999999999995</v>
          </cell>
          <cell r="J12">
            <v>-6913.67</v>
          </cell>
          <cell r="K12">
            <v>-8075.18</v>
          </cell>
          <cell r="L12">
            <v>-9106.2870000000003</v>
          </cell>
        </row>
        <row r="18">
          <cell r="M18">
            <v>2927.8829999999998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P11" t="str">
            <v>1996</v>
          </cell>
        </row>
        <row r="15">
          <cell r="U15">
            <v>46.621000000000002</v>
          </cell>
        </row>
        <row r="18">
          <cell r="M18">
            <v>31.402999999999999</v>
          </cell>
          <cell r="N18">
            <v>31.37</v>
          </cell>
          <cell r="O18">
            <v>31.402000000000001</v>
          </cell>
          <cell r="P18">
            <v>34.988999999999997</v>
          </cell>
          <cell r="Q18">
            <v>35.81</v>
          </cell>
          <cell r="R18">
            <v>42.247999999999998</v>
          </cell>
          <cell r="S18">
            <v>43.137</v>
          </cell>
          <cell r="T18">
            <v>44.688000000000002</v>
          </cell>
          <cell r="U18">
            <v>47.005000000000003</v>
          </cell>
        </row>
        <row r="24">
          <cell r="U24">
            <v>47.917000000000002</v>
          </cell>
        </row>
        <row r="27">
          <cell r="U27">
            <v>47.18633333333333</v>
          </cell>
        </row>
        <row r="31">
          <cell r="N31">
            <v>31.370583333333332</v>
          </cell>
          <cell r="O31">
            <v>31.407833333333329</v>
          </cell>
          <cell r="P31">
            <v>34.294333333333334</v>
          </cell>
          <cell r="Q31">
            <v>35.769583333333337</v>
          </cell>
          <cell r="R31">
            <v>38.394333333333336</v>
          </cell>
          <cell r="S31">
            <v>42.592166666666671</v>
          </cell>
          <cell r="T31">
            <v>43.639416666666669</v>
          </cell>
          <cell r="U31">
            <v>46.386166666666668</v>
          </cell>
        </row>
      </sheetData>
      <sheetData sheetId="18" refreshError="1">
        <row r="23">
          <cell r="B23">
            <v>91.860000000000014</v>
          </cell>
          <cell r="C23">
            <v>102.93</v>
          </cell>
          <cell r="D23">
            <v>118.69</v>
          </cell>
          <cell r="E23">
            <v>140.81</v>
          </cell>
          <cell r="F23">
            <v>149.2962859536442</v>
          </cell>
          <cell r="G23">
            <v>180.74252035599318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17">
          <cell r="H17" t="str">
            <v>Lead Agency</v>
          </cell>
        </row>
        <row r="18">
          <cell r="H18" t="str">
            <v>Co-Lead Agency</v>
          </cell>
        </row>
        <row r="19">
          <cell r="H19" t="str">
            <v>Other Responsible Agency</v>
          </cell>
        </row>
        <row r="20">
          <cell r="J20" t="str">
            <v>Coordinator Name</v>
          </cell>
        </row>
        <row r="21">
          <cell r="J21" t="str">
            <v>Contact Person Name</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Ext.Sector Indicators"/>
      <sheetName val="Original"/>
      <sheetName val="GraphF"/>
      <sheetName val="GraphI"/>
      <sheetName val="GraphT"/>
      <sheetName val="India$"/>
      <sheetName val="India"/>
      <sheetName val="WksheetI"/>
      <sheetName val="New BOPI"/>
      <sheetName val="Indianew"/>
      <sheetName val="ThirdC$"/>
      <sheetName val="ThirdC"/>
      <sheetName val="WsheetCOTI"/>
      <sheetName val="NewBOPCOTI"/>
      <sheetName val="COTInew"/>
      <sheetName val="Final$"/>
      <sheetName val="Final"/>
      <sheetName val="Finalnew"/>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9">
          <cell r="V19">
            <v>48.764000000000003</v>
          </cell>
        </row>
      </sheetData>
      <sheetData sheetId="32" refreshError="1">
        <row r="23">
          <cell r="L23">
            <v>242.83610860470833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1">
          <cell r="P11" t="str">
            <v>1996</v>
          </cell>
        </row>
        <row r="20">
          <cell r="V20">
            <v>48.587000000000003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4">
          <cell r="V24">
            <v>48.137999999999998</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July 31,2007"/>
      <sheetName val="Ext.Sector Indicators"/>
    </sheetNames>
    <sheetDataSet>
      <sheetData sheetId="0" refreshError="1">
        <row r="242">
          <cell r="I242">
            <v>2428.8000000000002</v>
          </cell>
        </row>
      </sheetData>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ug 30,2007"/>
      <sheetName val="Ext.Sector Indicators"/>
    </sheetNames>
    <sheetDataSet>
      <sheetData sheetId="0" refreshError="1">
        <row r="255">
          <cell r="I255">
            <v>2470.8000000000002</v>
          </cell>
        </row>
      </sheetData>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p 30.2007"/>
    </sheetNames>
    <sheetDataSet>
      <sheetData sheetId="0" refreshError="1">
        <row r="254">
          <cell r="I254">
            <v>2392.1999999999998</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Oct 31,2007"/>
      <sheetName val="Ext.Sector Indicators"/>
    </sheetNames>
    <sheetDataSet>
      <sheetData sheetId="0" refreshError="1">
        <row r="257">
          <cell r="I257">
            <v>2370.6</v>
          </cell>
        </row>
      </sheetData>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ov 30,2007"/>
      <sheetName val="Ext.Sector Indicators"/>
    </sheetNames>
    <sheetDataSet>
      <sheetData sheetId="0" refreshError="1">
        <row r="268">
          <cell r="I268">
            <v>2374.1999999999998</v>
          </cell>
        </row>
      </sheetData>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ec 31,2007"/>
      <sheetName val="Ext.Sector Indicators"/>
    </sheetNames>
    <sheetDataSet>
      <sheetData sheetId="0" refreshError="1">
        <row r="257">
          <cell r="I257">
            <v>2366.4</v>
          </cell>
        </row>
      </sheetData>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Jan 31,2008"/>
    </sheetNames>
    <sheetDataSet>
      <sheetData sheetId="0" refreshError="1">
        <row r="257">
          <cell r="I257">
            <v>2364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eb 28,2011"/>
    </sheetNames>
    <sheetDataSet>
      <sheetData sheetId="0" refreshError="1">
        <row r="249">
          <cell r="I249">
            <v>2398.8000000000002</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r 31,2008"/>
      <sheetName val="Finalnew"/>
    </sheetNames>
    <sheetDataSet>
      <sheetData sheetId="0" refreshError="1">
        <row r="253">
          <cell r="I253">
            <v>2406</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pr 31,2008"/>
    </sheetNames>
    <sheetDataSet>
      <sheetData sheetId="0" refreshError="1">
        <row r="253">
          <cell r="I253">
            <v>2410.8000000000002</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ay 31,2008"/>
    </sheetNames>
    <sheetDataSet>
      <sheetData sheetId="0" refreshError="1">
        <row r="252">
          <cell r="I252">
            <v>2555.4</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June 30,2008"/>
    </sheetNames>
    <sheetDataSet>
      <sheetData sheetId="0" refreshError="1">
        <row r="267">
          <cell r="I267">
            <v>2567.4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Jul 31,2008"/>
    </sheetNames>
    <sheetDataSet>
      <sheetData sheetId="0" refreshError="1">
        <row r="251">
          <cell r="I251">
            <v>2533.8000000000002</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ug 31,2008"/>
    </sheetNames>
    <sheetDataSet>
      <sheetData sheetId="0" refreshError="1">
        <row r="265">
          <cell r="I265">
            <v>2602.8000000000002</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ept 31,2008"/>
    </sheetNames>
    <sheetDataSet>
      <sheetData sheetId="0" refreshError="1">
        <row r="267">
          <cell r="I267">
            <v>2785.8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Oct 31, 2008"/>
    </sheetNames>
    <sheetDataSet>
      <sheetData sheetId="0" refreshError="1">
        <row r="269">
          <cell r="I269">
            <v>2997</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v 30 ,2008"/>
    </sheetNames>
    <sheetDataSet>
      <sheetData sheetId="0" refreshError="1">
        <row r="278">
          <cell r="I278">
            <v>3001.8</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ec 31, 2008"/>
    </sheetNames>
    <sheetDataSet>
      <sheetData sheetId="0" refreshError="1">
        <row r="271">
          <cell r="I271">
            <v>2873.4</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January 31,2009"/>
      <sheetName val="Ext.Sector Indicators"/>
    </sheetNames>
    <sheetDataSet>
      <sheetData sheetId="0" refreshError="1">
        <row r="6">
          <cell r="G6">
            <v>327947246.83999997</v>
          </cell>
        </row>
        <row r="270">
          <cell r="I270">
            <v>2951.4</v>
          </cell>
        </row>
      </sheetData>
      <sheetData sheetId="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February 28,2009"/>
    </sheetNames>
    <sheetDataSet>
      <sheetData sheetId="0" refreshError="1">
        <row r="6">
          <cell r="G6">
            <v>239997811.37</v>
          </cell>
        </row>
        <row r="270">
          <cell r="I270">
            <v>2991</v>
          </cell>
        </row>
      </sheetData>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arch 31,2009"/>
    </sheetNames>
    <sheetDataSet>
      <sheetData sheetId="0" refreshError="1">
        <row r="6">
          <cell r="G6">
            <v>294162385.45999998</v>
          </cell>
        </row>
        <row r="277">
          <cell r="I277">
            <v>3032.4</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pril 30,2009"/>
    </sheetNames>
    <sheetDataSet>
      <sheetData sheetId="0" refreshError="1">
        <row r="268">
          <cell r="I268">
            <v>2996.4</v>
          </cell>
        </row>
      </sheetData>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y 31, 2009"/>
    </sheetNames>
    <sheetDataSet>
      <sheetData sheetId="0" refreshError="1">
        <row r="267">
          <cell r="I267">
            <v>2831.4</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June 30,2009"/>
    </sheetNames>
    <sheetDataSet>
      <sheetData sheetId="0" refreshError="1">
        <row r="19">
          <cell r="G19">
            <v>118292605</v>
          </cell>
        </row>
        <row r="274">
          <cell r="I274">
            <v>2910.6</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July 30,2009"/>
    </sheetNames>
    <sheetDataSet>
      <sheetData sheetId="0" refreshError="1">
        <row r="265">
          <cell r="I265">
            <v>2902.8</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gust 31,2009"/>
    </sheetNames>
    <sheetDataSet>
      <sheetData sheetId="0" refreshError="1">
        <row r="265">
          <cell r="I265">
            <v>2932.2</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eptember 30,2009"/>
    </sheetNames>
    <sheetDataSet>
      <sheetData sheetId="0" refreshError="1">
        <row r="18">
          <cell r="H18">
            <v>135422465</v>
          </cell>
        </row>
        <row r="269">
          <cell r="I269">
            <v>2890.8</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ow r="5">
          <cell r="W5" t="str">
            <v xml:space="preserve">TABLE 15. BALANCE OF PAYMENTS ESTIMATES </v>
          </cell>
        </row>
        <row r="7">
          <cell r="W7" t="str">
            <v xml:space="preserve">Millions of Ngultrum </v>
          </cell>
        </row>
        <row r="9">
          <cell r="W9" t="str">
            <v/>
          </cell>
          <cell r="X9" t="str">
            <v xml:space="preserve"> Period</v>
          </cell>
          <cell r="Y9" t="str">
            <v/>
          </cell>
        </row>
        <row r="10">
          <cell r="W10" t="str">
            <v/>
          </cell>
        </row>
        <row r="11">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3">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W26" t="str">
            <v xml:space="preserve">  India</v>
          </cell>
          <cell r="X26">
            <v>-342.16</v>
          </cell>
          <cell r="Y26">
            <v>-402.5</v>
          </cell>
          <cell r="Z26">
            <v>-495.85</v>
          </cell>
          <cell r="AA26">
            <v>-591.34</v>
          </cell>
          <cell r="AB26">
            <v>-497.66</v>
          </cell>
          <cell r="AC26">
            <v>-776.14</v>
          </cell>
          <cell r="AD26">
            <v>-913.13</v>
          </cell>
          <cell r="AE26">
            <v>-1819.93</v>
          </cell>
          <cell r="AF26">
            <v>-2822.58</v>
          </cell>
        </row>
        <row r="27">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7">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October 31,2009"/>
    </sheetNames>
    <sheetDataSet>
      <sheetData sheetId="0" refreshError="1">
        <row r="271">
          <cell r="I271">
            <v>2787</v>
          </cell>
        </row>
      </sheetData>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ovember 30,2009"/>
    </sheetNames>
    <sheetDataSet>
      <sheetData sheetId="0" refreshError="1">
        <row r="271">
          <cell r="I271">
            <v>2808.6</v>
          </cell>
        </row>
      </sheetData>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ecember 31,2009"/>
    </sheetNames>
    <sheetDataSet>
      <sheetData sheetId="0" refreshError="1">
        <row r="19">
          <cell r="H19">
            <v>118651380</v>
          </cell>
        </row>
        <row r="275">
          <cell r="I275">
            <v>2805.6</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January 31,2010"/>
    </sheetNames>
    <sheetDataSet>
      <sheetData sheetId="0" refreshError="1">
        <row r="273">
          <cell r="I273">
            <v>2770.2</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February 28,2010"/>
    </sheetNames>
    <sheetDataSet>
      <sheetData sheetId="0" refreshError="1">
        <row r="272">
          <cell r="I272">
            <v>2788.2</v>
          </cell>
        </row>
      </sheetData>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March 31,2010"/>
    </sheetNames>
    <sheetDataSet>
      <sheetData sheetId="0" refreshError="1">
        <row r="20">
          <cell r="G20">
            <v>1977543.82</v>
          </cell>
        </row>
        <row r="280">
          <cell r="I280">
            <v>2720.4</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pril 30,2010"/>
    </sheetNames>
    <sheetDataSet>
      <sheetData sheetId="0" refreshError="1">
        <row r="273">
          <cell r="I273">
            <v>2672.4</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ay 31,2010"/>
    </sheetNames>
    <sheetDataSet>
      <sheetData sheetId="0" refreshError="1">
        <row r="274">
          <cell r="I274">
            <v>2792.4</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June 30,2010"/>
    </sheetNames>
    <sheetDataSet>
      <sheetData sheetId="0" refreshError="1">
        <row r="20">
          <cell r="G20">
            <v>110705.41</v>
          </cell>
        </row>
        <row r="272">
          <cell r="I272">
            <v>2792.4</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July 31,2010"/>
    </sheetNames>
    <sheetDataSet>
      <sheetData sheetId="0" refreshError="1">
        <row r="252">
          <cell r="I252">
            <v>2820</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ugust 31,2010"/>
    </sheetNames>
    <sheetDataSet>
      <sheetData sheetId="0" refreshError="1">
        <row r="265">
          <cell r="I265">
            <v>2811.6</v>
          </cell>
        </row>
      </sheetData>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eptember 30,2010"/>
    </sheetNames>
    <sheetDataSet>
      <sheetData sheetId="0" refreshError="1">
        <row r="6">
          <cell r="G6">
            <v>265231248.81</v>
          </cell>
        </row>
        <row r="255">
          <cell r="I255">
            <v>2732.4</v>
          </cell>
        </row>
      </sheetData>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ctober 31,2010"/>
    </sheetNames>
    <sheetDataSet>
      <sheetData sheetId="0" refreshError="1">
        <row r="255">
          <cell r="I255">
            <v>2667.6</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November 30,2010"/>
    </sheetNames>
    <sheetDataSet>
      <sheetData sheetId="0" refreshError="1">
        <row r="256">
          <cell r="I256">
            <v>2744.4</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ecember 31,2010"/>
    </sheetNames>
    <sheetDataSet>
      <sheetData sheetId="0" refreshError="1">
        <row r="6">
          <cell r="G6">
            <v>375807900.95999998</v>
          </cell>
        </row>
        <row r="260">
          <cell r="I260">
            <v>2713.8</v>
          </cell>
        </row>
      </sheetData>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January 31,2011"/>
    </sheetNames>
    <sheetDataSet>
      <sheetData sheetId="0" refreshError="1">
        <row r="6">
          <cell r="G6">
            <v>303442221.35000002</v>
          </cell>
        </row>
        <row r="259">
          <cell r="I259">
            <v>2744.4</v>
          </cell>
        </row>
      </sheetData>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Febraury 28,2011"/>
    </sheetNames>
    <sheetDataSet>
      <sheetData sheetId="0" refreshError="1">
        <row r="6">
          <cell r="G6">
            <v>248460886.81</v>
          </cell>
        </row>
        <row r="262">
          <cell r="I262">
            <v>2722.2</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march 31,2011"/>
    </sheetNames>
    <sheetDataSet>
      <sheetData sheetId="0" refreshError="1">
        <row r="6">
          <cell r="G6">
            <v>361804711.69</v>
          </cell>
        </row>
        <row r="263">
          <cell r="I263">
            <v>2679</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April 30,2011"/>
      <sheetName val="Finalnew"/>
    </sheetNames>
    <sheetDataSet>
      <sheetData sheetId="0" refreshError="1">
        <row r="6">
          <cell r="G6">
            <v>347170453.66000003</v>
          </cell>
        </row>
        <row r="259">
          <cell r="I259">
            <v>2658</v>
          </cell>
        </row>
      </sheetData>
      <sheetData sheetId="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may 31,2011"/>
      <sheetName val="Finalnew"/>
    </sheetNames>
    <sheetDataSet>
      <sheetData sheetId="0" refreshError="1">
        <row r="7">
          <cell r="G7">
            <v>62368777.350000001</v>
          </cell>
        </row>
        <row r="261">
          <cell r="I261">
            <v>2712.6</v>
          </cell>
        </row>
      </sheetData>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Reserves"/>
      <sheetName val="Yearly Count"/>
      <sheetName val="final output"/>
      <sheetName val="GDPreal"/>
      <sheetName val="Monthly Comp"/>
      <sheetName val="Yearly Comp"/>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BOPIndia"/>
      <sheetName val="BOPCOTI"/>
      <sheetName val="BOPOverall"/>
      <sheetName val="Key Ind"/>
      <sheetName val="ext ind"/>
    </sheetNames>
    <sheetDataSet>
      <sheetData sheetId="0" refreshError="1"/>
      <sheetData sheetId="1" refreshError="1"/>
      <sheetData sheetId="2" refreshError="1"/>
      <sheetData sheetId="3" refreshError="1">
        <row r="47">
          <cell r="G47">
            <v>0.47281397378595713</v>
          </cell>
          <cell r="H47">
            <v>18.896489350742929</v>
          </cell>
        </row>
      </sheetData>
      <sheetData sheetId="4" refreshError="1">
        <row r="1">
          <cell r="B1">
            <v>2001</v>
          </cell>
          <cell r="C1">
            <v>2002</v>
          </cell>
          <cell r="D1">
            <v>2003</v>
          </cell>
          <cell r="E1">
            <v>2004</v>
          </cell>
          <cell r="F1">
            <v>2005</v>
          </cell>
          <cell r="G1">
            <v>2006</v>
          </cell>
          <cell r="H1">
            <v>2007</v>
          </cell>
        </row>
        <row r="5">
          <cell r="B5">
            <v>-6420.6661839999997</v>
          </cell>
          <cell r="C5">
            <v>-6419.979483383323</v>
          </cell>
          <cell r="D5">
            <v>-7716.0984739999994</v>
          </cell>
          <cell r="E5">
            <v>-8467.4952140000005</v>
          </cell>
          <cell r="F5">
            <v>-9616.5605838637221</v>
          </cell>
          <cell r="G5">
            <v>-10921.557689246703</v>
          </cell>
          <cell r="H5">
            <v>-12403.646950417229</v>
          </cell>
        </row>
        <row r="6">
          <cell r="B6">
            <v>-568.11199999999997</v>
          </cell>
          <cell r="C6">
            <v>-1786.6320000000001</v>
          </cell>
          <cell r="D6">
            <v>-2073.3870000000002</v>
          </cell>
          <cell r="E6">
            <v>-1653.418408</v>
          </cell>
          <cell r="F6">
            <v>-3240</v>
          </cell>
          <cell r="G6">
            <v>-2160</v>
          </cell>
          <cell r="H6">
            <v>-753.12</v>
          </cell>
        </row>
        <row r="9">
          <cell r="B9">
            <v>4700.4704229999998</v>
          </cell>
          <cell r="C9">
            <v>5095.320909</v>
          </cell>
          <cell r="D9">
            <v>6768.8240083000001</v>
          </cell>
          <cell r="E9">
            <v>7574.6002250000001</v>
          </cell>
          <cell r="F9">
            <v>9478.4300561839736</v>
          </cell>
          <cell r="G9">
            <v>11034.122063537938</v>
          </cell>
          <cell r="H9">
            <v>12698.059560379425</v>
          </cell>
        </row>
        <row r="10">
          <cell r="G10">
            <v>847.68</v>
          </cell>
          <cell r="H10">
            <v>4238.3999999999996</v>
          </cell>
        </row>
        <row r="11">
          <cell r="G11">
            <v>1.75</v>
          </cell>
          <cell r="H11">
            <v>1.75</v>
          </cell>
        </row>
        <row r="15">
          <cell r="B15">
            <v>1731.7909999999999</v>
          </cell>
          <cell r="C15">
            <v>129.33699999999999</v>
          </cell>
          <cell r="D15">
            <v>537.20000000000005</v>
          </cell>
          <cell r="E15">
            <v>878</v>
          </cell>
          <cell r="F15">
            <v>1980</v>
          </cell>
          <cell r="G15">
            <v>3759</v>
          </cell>
          <cell r="H15">
            <v>3000</v>
          </cell>
        </row>
        <row r="16">
          <cell r="B16">
            <v>800</v>
          </cell>
          <cell r="C16">
            <v>800</v>
          </cell>
          <cell r="D16">
            <v>1750</v>
          </cell>
          <cell r="E16">
            <v>1750</v>
          </cell>
          <cell r="F16">
            <v>1750</v>
          </cell>
          <cell r="G16">
            <v>1050</v>
          </cell>
          <cell r="H16">
            <v>0</v>
          </cell>
        </row>
        <row r="17">
          <cell r="B17">
            <v>2021.3050000000001</v>
          </cell>
          <cell r="C17">
            <v>5819.02</v>
          </cell>
          <cell r="D17">
            <v>4666.7730000000001</v>
          </cell>
          <cell r="E17">
            <v>4161.6397999999999</v>
          </cell>
          <cell r="F17">
            <v>2700</v>
          </cell>
          <cell r="G17">
            <v>1800</v>
          </cell>
          <cell r="H17">
            <v>627.6</v>
          </cell>
        </row>
        <row r="23">
          <cell r="B23">
            <v>1950.75648</v>
          </cell>
          <cell r="C23">
            <v>3203.5848000000001</v>
          </cell>
          <cell r="D23">
            <v>3346.1817999999998</v>
          </cell>
          <cell r="E23">
            <v>2655.7377999999999</v>
          </cell>
          <cell r="F23">
            <v>2239.547</v>
          </cell>
        </row>
        <row r="28">
          <cell r="B28">
            <v>-685.90340086000003</v>
          </cell>
          <cell r="C28">
            <v>-1021.08211013</v>
          </cell>
          <cell r="D28">
            <v>-1055.7996101399999</v>
          </cell>
          <cell r="E28">
            <v>-1152.64189833</v>
          </cell>
          <cell r="F28">
            <v>-1286.0127656801956</v>
          </cell>
          <cell r="G28">
            <v>-2731.8158225799079</v>
          </cell>
          <cell r="H28">
            <v>-4344.9110870556742</v>
          </cell>
        </row>
        <row r="29">
          <cell r="G29">
            <v>-1433.3</v>
          </cell>
          <cell r="H29">
            <v>-1433.3</v>
          </cell>
        </row>
        <row r="30">
          <cell r="G30">
            <v>-1297</v>
          </cell>
          <cell r="H30">
            <v>-1297</v>
          </cell>
        </row>
        <row r="34">
          <cell r="C34">
            <v>139.80030730872667</v>
          </cell>
          <cell r="D34">
            <v>-3.9571764563656986</v>
          </cell>
          <cell r="E34">
            <v>-74.749229960823982</v>
          </cell>
          <cell r="F34">
            <v>-8.6978192725230183</v>
          </cell>
          <cell r="G34">
            <v>-93.072208512421568</v>
          </cell>
          <cell r="H34">
            <v>2766.0566162524228</v>
          </cell>
        </row>
        <row r="37">
          <cell r="G37">
            <v>357.35769860786468</v>
          </cell>
          <cell r="H37">
            <v>5227.926783475953</v>
          </cell>
        </row>
        <row r="38">
          <cell r="G38">
            <v>847.68</v>
          </cell>
          <cell r="H38">
            <v>4238.3999999999996</v>
          </cell>
        </row>
        <row r="39">
          <cell r="G39">
            <v>2</v>
          </cell>
          <cell r="H39">
            <v>2</v>
          </cell>
        </row>
        <row r="40">
          <cell r="G40">
            <v>1695.36</v>
          </cell>
          <cell r="H40">
            <v>8476.7999999999993</v>
          </cell>
        </row>
        <row r="41">
          <cell r="G41">
            <v>211.9200000000003</v>
          </cell>
          <cell r="H41">
            <v>1059.5999999999985</v>
          </cell>
        </row>
        <row r="42">
          <cell r="G42">
            <v>-59.301926564213773</v>
          </cell>
          <cell r="H42">
            <v>-20.268072677473302</v>
          </cell>
        </row>
        <row r="44">
          <cell r="B44">
            <v>3403.9494800000002</v>
          </cell>
          <cell r="C44">
            <v>7235.9728000000014</v>
          </cell>
          <cell r="D44">
            <v>5939.5677999999989</v>
          </cell>
          <cell r="E44">
            <v>5163.9591920000003</v>
          </cell>
          <cell r="F44">
            <v>1699.5470000000005</v>
          </cell>
          <cell r="G44">
            <v>-1606.8600000000006</v>
          </cell>
          <cell r="H44">
            <v>4561.3799999999992</v>
          </cell>
        </row>
        <row r="48">
          <cell r="B48">
            <v>3403.9494800000002</v>
          </cell>
          <cell r="C48">
            <v>7235.9728000000014</v>
          </cell>
          <cell r="D48">
            <v>5939.5677999999989</v>
          </cell>
          <cell r="E48">
            <v>5163.9591920000003</v>
          </cell>
          <cell r="F48">
            <v>1699.5470000000005</v>
          </cell>
          <cell r="G48">
            <v>-1394.9400000000005</v>
          </cell>
          <cell r="H48">
            <v>5620.98</v>
          </cell>
        </row>
        <row r="49">
          <cell r="B49">
            <v>3972.0614800000003</v>
          </cell>
          <cell r="C49">
            <v>9022.604800000001</v>
          </cell>
          <cell r="D49">
            <v>8012.9547999999995</v>
          </cell>
          <cell r="E49">
            <v>6817.3775999999998</v>
          </cell>
          <cell r="F49">
            <v>4939.5470000000005</v>
          </cell>
          <cell r="G49">
            <v>3495.3599999999997</v>
          </cell>
          <cell r="H49">
            <v>9104.4</v>
          </cell>
        </row>
        <row r="50">
          <cell r="B50">
            <v>-568.11199999999997</v>
          </cell>
          <cell r="C50">
            <v>-1786.6320000000001</v>
          </cell>
          <cell r="D50">
            <v>-2073.3870000000002</v>
          </cell>
          <cell r="E50">
            <v>-1653.418408</v>
          </cell>
          <cell r="F50">
            <v>-3240</v>
          </cell>
          <cell r="G50">
            <v>-4890.3</v>
          </cell>
          <cell r="H50">
            <v>-3483.42</v>
          </cell>
        </row>
        <row r="51">
          <cell r="G51">
            <v>-15.192051271022407</v>
          </cell>
          <cell r="H51">
            <v>-18.850805375575085</v>
          </cell>
        </row>
        <row r="53">
          <cell r="B53">
            <v>3663.88</v>
          </cell>
          <cell r="C53">
            <v>3330.15</v>
          </cell>
          <cell r="D53">
            <v>4362.83</v>
          </cell>
          <cell r="E53">
            <v>3578.26</v>
          </cell>
        </row>
        <row r="57">
          <cell r="B57">
            <v>3663.88</v>
          </cell>
          <cell r="C57">
            <v>3330.15</v>
          </cell>
          <cell r="D57">
            <v>4362.83</v>
          </cell>
          <cell r="E57">
            <v>3578.26</v>
          </cell>
        </row>
      </sheetData>
      <sheetData sheetId="5" refreshError="1"/>
      <sheetData sheetId="6" refreshError="1"/>
      <sheetData sheetId="7" refreshError="1">
        <row r="64">
          <cell r="E64">
            <v>2001</v>
          </cell>
        </row>
        <row r="68">
          <cell r="A68" t="str">
            <v xml:space="preserve">Real GDP </v>
          </cell>
          <cell r="E68">
            <v>7.5</v>
          </cell>
          <cell r="F68">
            <v>8.9</v>
          </cell>
          <cell r="G68">
            <v>7.1</v>
          </cell>
          <cell r="H68">
            <v>7.5</v>
          </cell>
          <cell r="I68">
            <v>5.8</v>
          </cell>
          <cell r="J68">
            <v>6.6192414574931799</v>
          </cell>
          <cell r="K68">
            <v>9.9189429276501926</v>
          </cell>
          <cell r="L68">
            <v>4.0735088231358461</v>
          </cell>
        </row>
      </sheetData>
      <sheetData sheetId="8" refreshError="1">
        <row r="20">
          <cell r="J20">
            <v>217.03286884374</v>
          </cell>
          <cell r="K20">
            <v>240.48732664774005</v>
          </cell>
          <cell r="X20">
            <v>298.21674237508108</v>
          </cell>
          <cell r="AI20">
            <v>287.38677566088739</v>
          </cell>
          <cell r="AU20">
            <v>337.6680678053213</v>
          </cell>
        </row>
        <row r="29">
          <cell r="J29">
            <v>292.59759600042548</v>
          </cell>
        </row>
      </sheetData>
      <sheetData sheetId="9" refreshError="1">
        <row r="21">
          <cell r="B21">
            <v>4563.7000000000007</v>
          </cell>
        </row>
        <row r="22">
          <cell r="B22">
            <v>5662.7499999999991</v>
          </cell>
        </row>
        <row r="23">
          <cell r="B23">
            <v>6048.2712499999998</v>
          </cell>
        </row>
        <row r="24">
          <cell r="B24">
            <v>7673.0929166666647</v>
          </cell>
        </row>
        <row r="25">
          <cell r="B25">
            <v>9228.277500000002</v>
          </cell>
        </row>
        <row r="26">
          <cell r="B26">
            <v>10013.837916666664</v>
          </cell>
        </row>
        <row r="27">
          <cell r="B27">
            <v>11698.607916666668</v>
          </cell>
        </row>
        <row r="28">
          <cell r="B28">
            <v>14169.044563744585</v>
          </cell>
        </row>
        <row r="29">
          <cell r="B29">
            <v>15131.153052717498</v>
          </cell>
        </row>
        <row r="30">
          <cell r="B30">
            <v>17127.173128579809</v>
          </cell>
        </row>
        <row r="34">
          <cell r="Z34">
            <v>6.6192414574931799</v>
          </cell>
        </row>
        <row r="35">
          <cell r="B35">
            <v>19288.492460518184</v>
          </cell>
          <cell r="Z35">
            <v>9.9189429276501926</v>
          </cell>
        </row>
        <row r="36">
          <cell r="B36">
            <v>22359.016566912185</v>
          </cell>
          <cell r="Z36">
            <v>4.0735088231358461</v>
          </cell>
        </row>
        <row r="37">
          <cell r="B37">
            <v>24611.354073546492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Jun 30,2011"/>
    </sheetNames>
    <sheetDataSet>
      <sheetData sheetId="0">
        <row r="6">
          <cell r="G6">
            <v>226592875.55000001</v>
          </cell>
        </row>
        <row r="256">
          <cell r="J256">
            <v>2706</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Assumptions"/>
      <sheetName val="Monthly Comp"/>
      <sheetName val="Velocity"/>
      <sheetName val="Yearly Comp"/>
      <sheetName val="Reserves Projection"/>
      <sheetName val="Yearly Count"/>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Reserves"/>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GDPreal"/>
      <sheetName val="GDPnominal"/>
      <sheetName val="BOPIndia"/>
      <sheetName val="BOPCOTI"/>
      <sheetName val="BOPOverall"/>
      <sheetName val="Key Ind"/>
      <sheetName val="ext ind"/>
      <sheetName val="Ext.Sector 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5">
          <cell r="Y15">
            <v>43.536099999999998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sheetData sheetId="1"/>
      <sheetData sheetId="2"/>
      <sheetData sheetId="3"/>
      <sheetData sheetId="4"/>
      <sheetData sheetId="5"/>
      <sheetData sheetId="6"/>
      <sheetData sheetId="7"/>
      <sheetData sheetId="8"/>
      <sheetData sheetId="9"/>
      <sheetData sheetId="10"/>
      <sheetData sheetId="11">
        <row r="40">
          <cell r="G40">
            <v>655.25023921158333</v>
          </cell>
          <cell r="H40">
            <v>772.74611933251083</v>
          </cell>
          <cell r="I40">
            <v>868.1225009962352</v>
          </cell>
        </row>
        <row r="47">
          <cell r="H47">
            <v>15.285803574038304</v>
          </cell>
          <cell r="I47">
            <v>12.33057546209535</v>
          </cell>
        </row>
        <row r="49">
          <cell r="H49">
            <v>0.32031297255615887</v>
          </cell>
          <cell r="I49">
            <v>0.58419375097816129</v>
          </cell>
        </row>
        <row r="51">
          <cell r="H51">
            <v>79.88750475093579</v>
          </cell>
          <cell r="I51">
            <v>42.506632393968587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s>
    <sheetDataSet>
      <sheetData sheetId="0"/>
      <sheetData sheetId="1">
        <row r="123">
          <cell r="J123">
            <v>-10487.427247351825</v>
          </cell>
        </row>
        <row r="127">
          <cell r="J127">
            <v>-20556.013614084062</v>
          </cell>
          <cell r="K127">
            <v>-19456.541194378107</v>
          </cell>
          <cell r="L127">
            <v>-23271.925077055002</v>
          </cell>
          <cell r="M127">
            <v>-27092.395024571502</v>
          </cell>
        </row>
        <row r="129">
          <cell r="J129">
            <v>-11098.960886084064</v>
          </cell>
        </row>
        <row r="135">
          <cell r="J135">
            <v>-3647.9496889537213</v>
          </cell>
          <cell r="K135">
            <v>-2886.8249439669835</v>
          </cell>
          <cell r="L135">
            <v>-2524.1608675113785</v>
          </cell>
          <cell r="M135">
            <v>-3769.4869836803659</v>
          </cell>
        </row>
        <row r="161">
          <cell r="J161">
            <v>2939.3712665598987</v>
          </cell>
        </row>
        <row r="165">
          <cell r="J165">
            <v>1552.3732235519383</v>
          </cell>
        </row>
        <row r="167">
          <cell r="J167">
            <v>-918.6219433550724</v>
          </cell>
        </row>
        <row r="186">
          <cell r="J186">
            <v>-32.448722918786594</v>
          </cell>
        </row>
        <row r="194">
          <cell r="J194">
            <v>-2.9363391040801941</v>
          </cell>
        </row>
      </sheetData>
      <sheetData sheetId="2"/>
      <sheetData sheetId="3">
        <row r="61">
          <cell r="J61">
            <v>-5253.9463118318099</v>
          </cell>
        </row>
        <row r="69">
          <cell r="J69">
            <v>-3601.1743569999999</v>
          </cell>
        </row>
        <row r="102">
          <cell r="J102">
            <v>1853.1435333400002</v>
          </cell>
        </row>
        <row r="128">
          <cell r="J128">
            <v>-16.256022004430111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9">
          <cell r="Q39">
            <v>9.2472347721520265</v>
          </cell>
          <cell r="R39">
            <v>13.815473027481564</v>
          </cell>
          <cell r="S39">
            <v>12.791489840467934</v>
          </cell>
          <cell r="T39">
            <v>12.427612346974673</v>
          </cell>
          <cell r="U39">
            <v>15.410856503445459</v>
          </cell>
        </row>
      </sheetData>
      <sheetData sheetId="26"/>
      <sheetData sheetId="27"/>
      <sheetData sheetId="28"/>
      <sheetData sheetId="29"/>
      <sheetData sheetId="30"/>
      <sheetData sheetId="3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colour coding"/>
      <sheetName val="GraphF"/>
      <sheetName val="Charts for AR"/>
      <sheetName val="Table 3.1 Overall BOP"/>
      <sheetName val="Table 3.9 Invisibles"/>
      <sheetName val="Table 3.10 K &amp; Fin Acct"/>
      <sheetName val="Overall BOP"/>
      <sheetName val="boptableforar"/>
      <sheetName val="SOURCE FOR INVISIBLES"/>
      <sheetName val="BOP Overall$"/>
      <sheetName val="BOP COTI$"/>
      <sheetName val="BOP India$"/>
      <sheetName val="crosscheck"/>
      <sheetName val="BOP COTI Report"/>
      <sheetName val="BOP India Report"/>
      <sheetName val="Reserves"/>
      <sheetName val="Reserves-ICBS"/>
      <sheetName val="Tourist "/>
      <sheetName val="TourGraph"/>
      <sheetName val="tourism ratios"/>
      <sheetName val="BOP consolidated wksheet"/>
      <sheetName val="BOP COTI ICBS Format"/>
      <sheetName val="BOP India ICBS Format"/>
      <sheetName val="Employees-COTI"/>
      <sheetName val="Employees-INDIA"/>
      <sheetName val="Hydro Imports &amp; Grants"/>
      <sheetName val="BOP India wksheet bpm6"/>
      <sheetName val="trial 3"/>
      <sheetName val="trial 2"/>
      <sheetName val="Misc Services INDIA"/>
      <sheetName val="Direct Investment India"/>
      <sheetName val="Trade Qrtly"/>
      <sheetName val="DACL-Extra"/>
      <sheetName val="Merchanting &amp; Repairs"/>
      <sheetName val="Extra Calcs"/>
      <sheetName val="Reinsurance"/>
      <sheetName val="CC tourist &amp; visa"/>
      <sheetName val="Pvt Debt FDI+"/>
      <sheetName val="Intl Orgs &amp; INGOs"/>
      <sheetName val="Power Exports"/>
      <sheetName val="RMA Investment plus"/>
      <sheetName val="Tourism Revenues -new"/>
      <sheetName val="Indian-Pvt.edu"/>
      <sheetName val="ExRate for BOP"/>
      <sheetName val="GOI &amp; SBI"/>
      <sheetName val="Punatsangchu flows"/>
      <sheetName val="Aid related flows"/>
      <sheetName val="Employees"/>
      <sheetName val="HTF-Interest"/>
      <sheetName val="HTF &amp; AWF interest"/>
      <sheetName val="Bhutan Embassies"/>
      <sheetName val="Working-AR"/>
      <sheetName val="Current Receipts"/>
      <sheetName val="Interest on Investment-old"/>
      <sheetName val="Sheet1"/>
    </sheetNames>
    <sheetDataSet>
      <sheetData sheetId="0"/>
      <sheetData sheetId="1"/>
      <sheetData sheetId="2"/>
      <sheetData sheetId="3"/>
      <sheetData sheetId="4"/>
      <sheetData sheetId="5"/>
      <sheetData sheetId="6">
        <row r="123">
          <cell r="P123">
            <v>-18623.622039885868</v>
          </cell>
        </row>
        <row r="127">
          <cell r="N127">
            <v>-28979.959439838814</v>
          </cell>
          <cell r="O127">
            <v>-39339.954883925537</v>
          </cell>
          <cell r="P127">
            <v>-53704.988828166912</v>
          </cell>
        </row>
        <row r="135">
          <cell r="N135">
            <v>-3603.388841621791</v>
          </cell>
          <cell r="O135">
            <v>-4220.6421872674036</v>
          </cell>
          <cell r="P135">
            <v>-5295.603419365455</v>
          </cell>
        </row>
      </sheetData>
      <sheetData sheetId="7"/>
      <sheetData sheetId="8"/>
      <sheetData sheetId="9"/>
      <sheetData sheetId="10"/>
      <sheetData sheetId="11"/>
      <sheetData sheetId="12"/>
      <sheetData sheetId="13">
        <row r="66">
          <cell r="N66">
            <v>-5450.7303944599998</v>
          </cell>
          <cell r="O66">
            <v>-11022.787355</v>
          </cell>
        </row>
      </sheetData>
      <sheetData sheetId="14">
        <row r="61">
          <cell r="P61">
            <v>-14434.800009335184</v>
          </cell>
        </row>
        <row r="65">
          <cell r="N65">
            <v>-23529.229045378815</v>
          </cell>
          <cell r="O65">
            <v>-28317.167528925536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 val="GOI &amp; SBI"/>
    </sheetNames>
    <sheetDataSet>
      <sheetData sheetId="0" refreshError="1"/>
      <sheetData sheetId="1" refreshError="1">
        <row r="127">
          <cell r="J127">
            <v>-20556.013614084062</v>
          </cell>
          <cell r="K127">
            <v>-19456.541194378107</v>
          </cell>
          <cell r="L127">
            <v>-23271.925077055002</v>
          </cell>
          <cell r="M127">
            <v>-27092.395024571502</v>
          </cell>
        </row>
      </sheetData>
      <sheetData sheetId="2" refreshError="1">
        <row r="10">
          <cell r="G10">
            <v>294.28164800000002</v>
          </cell>
        </row>
        <row r="12">
          <cell r="J12">
            <v>-8293.6930190840612</v>
          </cell>
          <cell r="K12">
            <v>-5675.395329378116</v>
          </cell>
          <cell r="L12">
            <v>-6808.5381665550003</v>
          </cell>
          <cell r="M12">
            <v>-5342.7354885699997</v>
          </cell>
        </row>
      </sheetData>
      <sheetData sheetId="3" refreshError="1">
        <row r="65">
          <cell r="J65">
            <v>-12262.320594999999</v>
          </cell>
          <cell r="K65">
            <v>-13781.145864999991</v>
          </cell>
          <cell r="L65">
            <v>-16463.386910500001</v>
          </cell>
          <cell r="M65">
            <v>-21749.659536001502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10">
          <cell r="B10">
            <v>21874.294665319696</v>
          </cell>
        </row>
      </sheetData>
      <sheetData sheetId="32"/>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Indianew$"/>
      <sheetName val="GraphI"/>
      <sheetName val="COTInew"/>
      <sheetName val="COTInew$"/>
      <sheetName val="Finalnew$"/>
      <sheetName val="ThirdC"/>
      <sheetName val="ThirdC$"/>
      <sheetName val="GraphT"/>
      <sheetName val="Finalnew"/>
      <sheetName val="GraphF"/>
      <sheetName val="graphforinvisible"/>
      <sheetName val="Final$"/>
      <sheetName val="Final"/>
      <sheetName val="Ext.Sector Indicators"/>
      <sheetName val="boptableforar"/>
      <sheetName val="Final$new"/>
      <sheetName val="BOPAnalytic"/>
      <sheetName val="BOPStandard"/>
      <sheetName val="DACL pay."/>
      <sheetName val="Keyind"/>
      <sheetName val="GDPreal"/>
      <sheetName val="GDPnom"/>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 val="Keyind for Annual Report"/>
      <sheetName val="GDP New class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K12">
            <v>-15100936523.084061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J10">
            <v>4987.8599999999997</v>
          </cell>
        </row>
        <row r="18">
          <cell r="O18">
            <v>-2519.9996797795243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N11">
            <v>-10120.913622</v>
          </cell>
        </row>
      </sheetData>
      <sheetData sheetId="11" refreshError="1">
        <row r="12">
          <cell r="N12">
            <v>-8192.4436300840607</v>
          </cell>
        </row>
      </sheetData>
      <sheetData sheetId="12" refreshError="1">
        <row r="12">
          <cell r="N12">
            <v>-11123.490308369754</v>
          </cell>
          <cell r="O12">
            <v>-18313.357252084061</v>
          </cell>
          <cell r="P12">
            <v>64.636788853084781</v>
          </cell>
          <cell r="Q12">
            <v>1.075574560995094</v>
          </cell>
          <cell r="R12">
            <v>-189.58688719433579</v>
          </cell>
          <cell r="S12">
            <v>-11.683101522656223</v>
          </cell>
          <cell r="T12">
            <v>14.161698703403658</v>
          </cell>
        </row>
        <row r="18">
          <cell r="N18">
            <v>-1786.5095181288236</v>
          </cell>
          <cell r="O18">
            <v>-2519.9996797795243</v>
          </cell>
          <cell r="P18">
            <v>41.057165058877082</v>
          </cell>
          <cell r="Q18">
            <v>22.081897403758859</v>
          </cell>
          <cell r="R18">
            <v>-41.63355495841526</v>
          </cell>
          <cell r="S18">
            <v>22.081897403758859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11">
          <cell r="N11">
            <v>1822.38</v>
          </cell>
          <cell r="O11">
            <v>1823.38</v>
          </cell>
          <cell r="P11">
            <v>2421.1799999999998</v>
          </cell>
          <cell r="Q11">
            <v>2069.69</v>
          </cell>
          <cell r="R11">
            <v>1507.42</v>
          </cell>
          <cell r="S11" t="str">
            <v>from RMA worksheet "foreign assets" (now linked to MAB sheets)</v>
          </cell>
        </row>
        <row r="25">
          <cell r="N25">
            <v>249.04981651174546</v>
          </cell>
          <cell r="O25">
            <v>0.29693830462256482</v>
          </cell>
          <cell r="P25">
            <v>287.63209393346381</v>
          </cell>
          <cell r="Q25">
            <v>253.49331965859025</v>
          </cell>
          <cell r="R25">
            <v>364.76110496145913</v>
          </cell>
          <cell r="S25" t="str">
            <v>take from detailed wksheet w/out gold</v>
          </cell>
          <cell r="V25">
            <v>347.26589999999982</v>
          </cell>
          <cell r="W25">
            <v>494.39339999999982</v>
          </cell>
          <cell r="X25">
            <v>758.59065333333353</v>
          </cell>
          <cell r="Y25">
            <v>299.40989162012363</v>
          </cell>
          <cell r="AA25">
            <v>826.52415032597014</v>
          </cell>
          <cell r="AB25">
            <v>945.77591119589533</v>
          </cell>
          <cell r="AC25">
            <v>-209.19359530391174</v>
          </cell>
          <cell r="AD25">
            <v>1130.692501815234</v>
          </cell>
        </row>
        <row r="52">
          <cell r="N52">
            <v>2.2338824709512002</v>
          </cell>
          <cell r="Q52">
            <v>2.4539563252484404</v>
          </cell>
        </row>
        <row r="53">
          <cell r="N53">
            <v>101.95024522849926</v>
          </cell>
          <cell r="Q53">
            <v>16.183087746999806</v>
          </cell>
        </row>
        <row r="64">
          <cell r="N64">
            <v>45.506999999999998</v>
          </cell>
          <cell r="Q64">
            <v>43.584000000000003</v>
          </cell>
          <cell r="R64">
            <v>45.640999999999998</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281818122</v>
          </cell>
          <cell r="D15">
            <v>817949512</v>
          </cell>
          <cell r="E15">
            <v>822786897.28999996</v>
          </cell>
        </row>
        <row r="43">
          <cell r="C43">
            <v>-902269763</v>
          </cell>
          <cell r="D43">
            <v>-981331088.79999995</v>
          </cell>
          <cell r="E43">
            <v>-1022367553.84</v>
          </cell>
        </row>
        <row r="67">
          <cell r="C67">
            <v>143380000</v>
          </cell>
          <cell r="D67">
            <v>227302557.94999999</v>
          </cell>
          <cell r="E67">
            <v>153622096.63</v>
          </cell>
        </row>
        <row r="79">
          <cell r="C79">
            <v>-720090000</v>
          </cell>
          <cell r="D79">
            <v>-628470144.80999994</v>
          </cell>
          <cell r="E79">
            <v>-589333400.86000001</v>
          </cell>
        </row>
        <row r="92">
          <cell r="C92">
            <v>5487950000</v>
          </cell>
          <cell r="D92">
            <v>4118170171</v>
          </cell>
          <cell r="E92">
            <v>3940479357.3400002</v>
          </cell>
        </row>
        <row r="106">
          <cell r="C106">
            <v>-1351600000</v>
          </cell>
          <cell r="D106">
            <v>-1177551000</v>
          </cell>
          <cell r="E106">
            <v>-1107472296</v>
          </cell>
        </row>
      </sheetData>
      <sheetData sheetId="12" refreshError="1"/>
      <sheetData sheetId="13" refreshError="1">
        <row r="20">
          <cell r="C20">
            <v>546217598</v>
          </cell>
          <cell r="D20">
            <v>752332144.12</v>
          </cell>
          <cell r="E20">
            <v>707491022.26999998</v>
          </cell>
        </row>
        <row r="49">
          <cell r="C49">
            <v>-442009608</v>
          </cell>
          <cell r="D49">
            <v>-702399257.13</v>
          </cell>
          <cell r="E49">
            <v>-772307591.96999991</v>
          </cell>
        </row>
        <row r="85">
          <cell r="C85">
            <v>407010000</v>
          </cell>
          <cell r="D85">
            <v>491192661.88999999</v>
          </cell>
          <cell r="E85">
            <v>282705509.48000002</v>
          </cell>
        </row>
        <row r="95">
          <cell r="C95">
            <v>-54220000</v>
          </cell>
          <cell r="D95">
            <v>-55971300</v>
          </cell>
          <cell r="E95">
            <v>-73522135</v>
          </cell>
        </row>
        <row r="110">
          <cell r="C110">
            <v>1508000000</v>
          </cell>
          <cell r="D110">
            <v>1965381632.04</v>
          </cell>
          <cell r="E110">
            <v>2281475543.5054002</v>
          </cell>
        </row>
        <row r="143">
          <cell r="C143">
            <v>-533261250</v>
          </cell>
          <cell r="D143">
            <v>-706305000</v>
          </cell>
          <cell r="E143">
            <v>-1074477000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M6" t="str">
            <v>2002/03</v>
          </cell>
        </row>
        <row r="10">
          <cell r="M10">
            <v>5405.8953600000004</v>
          </cell>
        </row>
        <row r="12">
          <cell r="N12">
            <v>-11153.434986979753</v>
          </cell>
        </row>
        <row r="14">
          <cell r="A14" t="str">
            <v xml:space="preserve">     Trade Balance</v>
          </cell>
        </row>
        <row r="57">
          <cell r="A57" t="str">
            <v>Exports</v>
          </cell>
        </row>
        <row r="58">
          <cell r="A58" t="str">
            <v>Imports</v>
          </cell>
        </row>
        <row r="59">
          <cell r="A59" t="str">
            <v>Trade Balance</v>
          </cell>
        </row>
        <row r="60">
          <cell r="A60" t="str">
            <v>Current Account Balance</v>
          </cell>
        </row>
        <row r="61">
          <cell r="A61" t="str">
            <v>Overall Balance</v>
          </cell>
        </row>
        <row r="67">
          <cell r="L67" t="str">
            <v>2001/02 (p)</v>
          </cell>
        </row>
        <row r="78">
          <cell r="A78" t="str">
            <v>Exports</v>
          </cell>
        </row>
        <row r="79">
          <cell r="A79" t="str">
            <v>Imports</v>
          </cell>
        </row>
        <row r="80">
          <cell r="A80" t="str">
            <v>Services</v>
          </cell>
        </row>
        <row r="81">
          <cell r="A81" t="str">
            <v>Income</v>
          </cell>
        </row>
        <row r="82">
          <cell r="A82" t="str">
            <v>Net Current Transfers</v>
          </cell>
        </row>
        <row r="83">
          <cell r="A83" t="str">
            <v>FDI</v>
          </cell>
        </row>
        <row r="84">
          <cell r="A84" t="str">
            <v>Foreign Aid (Loans)</v>
          </cell>
        </row>
        <row r="85">
          <cell r="A85" t="str">
            <v>Net Errors and Ommissions</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38">
          <cell r="N38">
            <v>31884</v>
          </cell>
          <cell r="O38">
            <v>100</v>
          </cell>
          <cell r="Q38">
            <v>32363</v>
          </cell>
        </row>
        <row r="41">
          <cell r="M41">
            <v>27781</v>
          </cell>
        </row>
      </sheetData>
      <sheetData sheetId="33" refreshError="1"/>
      <sheetData sheetId="34" refreshError="1"/>
      <sheetData sheetId="35" refreshError="1"/>
      <sheetData sheetId="36" refreshError="1"/>
      <sheetData sheetId="37" refreshError="1"/>
      <sheetData sheetId="38">
        <row r="28">
          <cell r="U28">
            <v>46.386166666666668</v>
          </cell>
          <cell r="V28">
            <v>48.207999999999998</v>
          </cell>
          <cell r="W28">
            <v>47.930916666666661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Finalnew"/>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8">
          <cell r="C38">
            <v>7007.4999999999991</v>
          </cell>
          <cell r="D38">
            <v>8150.4999999999991</v>
          </cell>
          <cell r="E38">
            <v>9610.5999999999985</v>
          </cell>
          <cell r="F38">
            <v>11405.6</v>
          </cell>
          <cell r="G38">
            <v>13993.6</v>
          </cell>
          <cell r="H38">
            <v>16077.500000000004</v>
          </cell>
          <cell r="I38">
            <v>18514.100000000006</v>
          </cell>
          <cell r="J38">
            <v>21126.5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2">
          <cell r="I22">
            <v>2393.5</v>
          </cell>
          <cell r="J22">
            <v>2450.8000000000002</v>
          </cell>
          <cell r="K22">
            <v>2284.1999999999998</v>
          </cell>
          <cell r="L22">
            <v>2292.5</v>
          </cell>
          <cell r="M22">
            <v>2501</v>
          </cell>
          <cell r="N22">
            <v>2255.3000000000002</v>
          </cell>
          <cell r="O22">
            <v>2294</v>
          </cell>
          <cell r="P22">
            <v>2535.5</v>
          </cell>
          <cell r="Q22">
            <v>2520.6999999999998</v>
          </cell>
          <cell r="R22">
            <v>2770.6</v>
          </cell>
          <cell r="S22">
            <v>2748.3</v>
          </cell>
        </row>
        <row r="55">
          <cell r="O55">
            <v>2001</v>
          </cell>
          <cell r="P55">
            <v>2002</v>
          </cell>
          <cell r="Q55">
            <v>2003</v>
          </cell>
          <cell r="R55" t="str">
            <v>2004 (p)</v>
          </cell>
        </row>
        <row r="56">
          <cell r="B56" t="str">
            <v>Agriculture</v>
          </cell>
          <cell r="O56">
            <v>5.0423080514592318</v>
          </cell>
          <cell r="P56">
            <v>3.1389168591342407</v>
          </cell>
          <cell r="Q56">
            <v>2.7405570620644868</v>
          </cell>
          <cell r="R56">
            <v>2.4675643147769932</v>
          </cell>
        </row>
        <row r="58">
          <cell r="B58" t="str">
            <v>Industry</v>
          </cell>
          <cell r="O58">
            <v>13.449562326708955</v>
          </cell>
          <cell r="P58">
            <v>15.990633637015057</v>
          </cell>
          <cell r="Q58">
            <v>3.963639973965507</v>
          </cell>
          <cell r="R58">
            <v>7.3343095435156176</v>
          </cell>
        </row>
        <row r="61">
          <cell r="B61" t="str">
            <v>Services</v>
          </cell>
        </row>
        <row r="62">
          <cell r="O62">
            <v>5.0408336076204092</v>
          </cell>
          <cell r="P62">
            <v>4.182540564644305</v>
          </cell>
          <cell r="Q62">
            <v>11.495684475035507</v>
          </cell>
          <cell r="R62">
            <v>9.3525561363180554</v>
          </cell>
        </row>
        <row r="91">
          <cell r="S91">
            <v>1.0417348906596804</v>
          </cell>
        </row>
      </sheetData>
      <sheetData sheetId="32">
        <row r="22">
          <cell r="I22">
            <v>1026.3</v>
          </cell>
          <cell r="J22">
            <v>1122.9000000000001</v>
          </cell>
          <cell r="K22">
            <v>1594.15</v>
          </cell>
          <cell r="L22">
            <v>1788.7</v>
          </cell>
          <cell r="M22">
            <v>2312.9</v>
          </cell>
          <cell r="N22">
            <v>2255.3000000000002</v>
          </cell>
          <cell r="O22">
            <v>2392.1</v>
          </cell>
          <cell r="P22">
            <v>2631.2</v>
          </cell>
          <cell r="Q22">
            <v>2813.1</v>
          </cell>
          <cell r="R22">
            <v>2863</v>
          </cell>
          <cell r="T22">
            <v>5345.9</v>
          </cell>
        </row>
      </sheetData>
      <sheetData sheetId="33"/>
      <sheetData sheetId="34">
        <row r="77">
          <cell r="O77">
            <v>2.5</v>
          </cell>
        </row>
        <row r="79">
          <cell r="O79">
            <v>2.6429871965394245</v>
          </cell>
        </row>
        <row r="80">
          <cell r="O80">
            <v>2</v>
          </cell>
        </row>
        <row r="81">
          <cell r="O81">
            <v>3</v>
          </cell>
        </row>
        <row r="83">
          <cell r="O83">
            <v>7</v>
          </cell>
        </row>
        <row r="84">
          <cell r="O84">
            <v>5</v>
          </cell>
        </row>
        <row r="85">
          <cell r="N85">
            <v>4.1537485211048137</v>
          </cell>
        </row>
        <row r="86">
          <cell r="O86">
            <v>0</v>
          </cell>
        </row>
        <row r="88">
          <cell r="O88">
            <v>9.6906113235877704</v>
          </cell>
        </row>
        <row r="90">
          <cell r="O90">
            <v>7.2568762513532166</v>
          </cell>
        </row>
        <row r="96">
          <cell r="O96">
            <v>6.1295898880504911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Keyind for Annual Report"/>
      <sheetName val="Sheet1"/>
    </sheetNames>
    <sheetDataSet>
      <sheetData sheetId="0">
        <row r="6">
          <cell r="Q6">
            <v>6.7280402309805085</v>
          </cell>
          <cell r="R6">
            <v>11.768646200896203</v>
          </cell>
        </row>
        <row r="7">
          <cell r="Q7">
            <v>6.14</v>
          </cell>
          <cell r="R7">
            <v>8.33</v>
          </cell>
        </row>
        <row r="8">
          <cell r="Q8">
            <v>10.644977168949787</v>
          </cell>
          <cell r="R8">
            <v>9.8679471788715407</v>
          </cell>
        </row>
        <row r="11">
          <cell r="R11">
            <v>30549.657999999999</v>
          </cell>
        </row>
        <row r="12">
          <cell r="R12">
            <v>13313.994999999999</v>
          </cell>
        </row>
        <row r="13">
          <cell r="R13">
            <v>34196.614999999998</v>
          </cell>
        </row>
        <row r="14">
          <cell r="R14">
            <v>1463.3940000000002</v>
          </cell>
        </row>
        <row r="15">
          <cell r="R15">
            <v>-3646.9569999999985</v>
          </cell>
        </row>
        <row r="16">
          <cell r="R16">
            <v>-5.0318401823459906</v>
          </cell>
        </row>
        <row r="29">
          <cell r="R29">
            <v>-23544.890359626912</v>
          </cell>
        </row>
        <row r="30">
          <cell r="R30">
            <v>-15160.015781026912</v>
          </cell>
        </row>
        <row r="31">
          <cell r="R31">
            <v>-16088.936876262922</v>
          </cell>
        </row>
        <row r="32">
          <cell r="R32">
            <v>-22.198495640394992</v>
          </cell>
        </row>
        <row r="33">
          <cell r="R33">
            <v>-13193.896400335185</v>
          </cell>
        </row>
        <row r="34">
          <cell r="R34">
            <v>-18.204102233428237</v>
          </cell>
        </row>
        <row r="35">
          <cell r="R35">
            <v>12467.872517231714</v>
          </cell>
        </row>
        <row r="36">
          <cell r="R36">
            <v>7869.9697960000003</v>
          </cell>
        </row>
        <row r="37">
          <cell r="R37">
            <v>-520.21817598976304</v>
          </cell>
        </row>
        <row r="38">
          <cell r="R38">
            <v>4473.1513911589973</v>
          </cell>
        </row>
        <row r="39">
          <cell r="R39">
            <v>6.1717708521791517</v>
          </cell>
        </row>
        <row r="42">
          <cell r="R42">
            <v>906.03195578215389</v>
          </cell>
        </row>
        <row r="43">
          <cell r="R43">
            <v>9.0800833520469322</v>
          </cell>
        </row>
        <row r="44">
          <cell r="R44">
            <v>80.938058138461514</v>
          </cell>
        </row>
        <row r="47">
          <cell r="R47">
            <v>51.653528652690639</v>
          </cell>
        </row>
        <row r="52">
          <cell r="Q52">
            <v>61222.590000000004</v>
          </cell>
          <cell r="R52">
            <v>72477.600000000006</v>
          </cell>
        </row>
      </sheetData>
      <sheetData sheetId="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Yearly Count"/>
      <sheetName val="final outpt"/>
      <sheetName val="GDPreal"/>
      <sheetName val="Monthly Comp"/>
      <sheetName val="Velocity"/>
      <sheetName val="Yearly Comp"/>
      <sheetName val="Monthly Count"/>
      <sheetName val="Charts"/>
      <sheetName val="Sheet2"/>
      <sheetName val="Sheet1"/>
      <sheetName val="Annaul Report"/>
      <sheetName val="Contribution to M2"/>
      <sheetName val="Monetary1"/>
      <sheetName val="Monetary2"/>
      <sheetName val="MSA"/>
      <sheetName val="MSL"/>
      <sheetName val="DMBA"/>
      <sheetName val="DMBL"/>
      <sheetName val="Credit"/>
      <sheetName val="Deposits"/>
      <sheetName val="NBFIs"/>
      <sheetName val="CBs Reserves with RMA"/>
      <sheetName val="Foreign Assets of CBs"/>
      <sheetName val="RV and FORIGN A CBs"/>
      <sheetName val="Sheet3"/>
      <sheetName val="Gross Report"/>
      <sheetName val="Reserve Report ( new)"/>
      <sheetName val="Reserves"/>
      <sheetName val="ReservesReport(Old)"/>
      <sheetName val="External Debt"/>
      <sheetName val="Exrate"/>
      <sheetName val="BOPOverall"/>
      <sheetName val="BOPIndia"/>
      <sheetName val="BOPCOTI"/>
      <sheetName val="Power consolidated"/>
      <sheetName val="Power Rs flows for BOP"/>
      <sheetName val="CHPCL"/>
      <sheetName val="powerprojects"/>
      <sheetName val="Tourist"/>
      <sheetName val="old NRB REMIT"/>
      <sheetName val="old CPI"/>
      <sheetName val="NewCPI"/>
      <sheetName val="Budget"/>
      <sheetName val="Int Bht"/>
      <sheetName val="Interest"/>
      <sheetName val="Sheet4"/>
      <sheetName val="Majore Indust"/>
      <sheetName val="ext ind"/>
      <sheetName val="Ratios"/>
      <sheetName val="NRB Remittanc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00">
          <cell r="C200">
            <v>52670.679919921007</v>
          </cell>
        </row>
        <row r="201">
          <cell r="C201">
            <v>54549.794057424981</v>
          </cell>
        </row>
        <row r="202">
          <cell r="C202">
            <v>58284.754571967023</v>
          </cell>
        </row>
        <row r="330">
          <cell r="C330">
            <v>21.212827038141999</v>
          </cell>
          <cell r="J330">
            <v>31.642883849907761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6">
          <cell r="DT36">
            <v>961.64845427029559</v>
          </cell>
        </row>
        <row r="40">
          <cell r="DT40">
            <v>10.924884519255682</v>
          </cell>
        </row>
      </sheetData>
      <sheetData sheetId="34" refreshError="1"/>
      <sheetData sheetId="35" refreshError="1">
        <row r="39">
          <cell r="AV39">
            <v>363.44738471280357</v>
          </cell>
          <cell r="BH39">
            <v>486.36696190832907</v>
          </cell>
          <cell r="BT39">
            <v>608.40550664989098</v>
          </cell>
        </row>
      </sheetData>
      <sheetData sheetId="36" refreshError="1">
        <row r="6">
          <cell r="CQ6">
            <v>791.64652133647951</v>
          </cell>
        </row>
        <row r="11">
          <cell r="CQ11">
            <v>11.244331484833925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refreshError="1"/>
      <sheetData sheetId="1" refreshError="1"/>
      <sheetData sheetId="2" refreshError="1">
        <row r="123">
          <cell r="K123">
            <v>-1695.7309086676569</v>
          </cell>
          <cell r="L123">
            <v>6417.1733119883629</v>
          </cell>
          <cell r="M123">
            <v>-1080.2222559629545</v>
          </cell>
          <cell r="N123">
            <v>-948.68019633384483</v>
          </cell>
          <cell r="O123">
            <v>-8768.093503239068</v>
          </cell>
        </row>
        <row r="129">
          <cell r="K129">
            <v>-5496.729496378106</v>
          </cell>
          <cell r="L129">
            <v>2061.8372524449987</v>
          </cell>
          <cell r="M129">
            <v>-2921.6116483715014</v>
          </cell>
          <cell r="N129">
            <v>-4322.4280312388182</v>
          </cell>
          <cell r="O129">
            <v>-13938.193354925537</v>
          </cell>
        </row>
        <row r="161">
          <cell r="K161">
            <v>3474.6802925271259</v>
          </cell>
          <cell r="L161">
            <v>783.27114585883373</v>
          </cell>
          <cell r="M161">
            <v>1015.0480894300001</v>
          </cell>
          <cell r="N161">
            <v>4193.307585958737</v>
          </cell>
          <cell r="O161">
            <v>2215.2071746183683</v>
          </cell>
        </row>
        <row r="165">
          <cell r="K165">
            <v>1057.7341632372754</v>
          </cell>
          <cell r="L165">
            <v>-6091.3917626240745</v>
          </cell>
          <cell r="M165">
            <v>-2613.4181635141458</v>
          </cell>
          <cell r="N165">
            <v>1578.343929797903</v>
          </cell>
          <cell r="O165">
            <v>6153.0390733649729</v>
          </cell>
        </row>
        <row r="167">
          <cell r="K167">
            <v>5209.0975902812843</v>
          </cell>
          <cell r="L167">
            <v>5421.2329036913234</v>
          </cell>
          <cell r="M167">
            <v>1957.0398936529002</v>
          </cell>
          <cell r="N167">
            <v>5694.8313709232007</v>
          </cell>
          <cell r="O167">
            <v>4401.4043019975798</v>
          </cell>
        </row>
        <row r="186">
          <cell r="K186">
            <v>-4.6957507198228861</v>
          </cell>
          <cell r="L186">
            <v>15.777271635848578</v>
          </cell>
          <cell r="M186">
            <v>-2.1841875037668559</v>
          </cell>
          <cell r="N186">
            <v>-1.7339219500126641</v>
          </cell>
          <cell r="O186">
            <v>-14.321663789851211</v>
          </cell>
        </row>
        <row r="193">
          <cell r="K193">
            <v>14.424826270584298</v>
          </cell>
          <cell r="L193">
            <v>13.328651099846322</v>
          </cell>
          <cell r="M193">
            <v>3.9570949927146049</v>
          </cell>
          <cell r="N193">
            <v>10.408558283206341</v>
          </cell>
          <cell r="O193">
            <v>7.1891834402915311</v>
          </cell>
        </row>
      </sheetData>
      <sheetData sheetId="3" refreshError="1"/>
      <sheetData sheetId="4" refreshError="1"/>
      <sheetData sheetId="5" refreshError="1"/>
      <sheetData sheetId="6" refreshError="1"/>
      <sheetData sheetId="7" refreshError="1"/>
      <sheetData sheetId="8" refreshError="1"/>
      <sheetData sheetId="9" refreshError="1">
        <row r="61">
          <cell r="K61">
            <v>-2344.5560287225057</v>
          </cell>
          <cell r="L61">
            <v>5882.0951113006149</v>
          </cell>
          <cell r="M61">
            <v>-142.43041920920859</v>
          </cell>
          <cell r="N61">
            <v>-1098.7812376163297</v>
          </cell>
          <cell r="O61">
            <v>-4002.6074199964232</v>
          </cell>
        </row>
        <row r="70">
          <cell r="K70">
            <v>-3170.6727829999909</v>
          </cell>
          <cell r="L70">
            <v>4447.6214299999992</v>
          </cell>
          <cell r="M70">
            <v>-27.833990801500477</v>
          </cell>
          <cell r="N70">
            <v>-278.60133757882068</v>
          </cell>
          <cell r="O70">
            <v>-4933.6404901255373</v>
          </cell>
        </row>
        <row r="103">
          <cell r="K103">
            <v>2324.8129333400002</v>
          </cell>
          <cell r="L103">
            <v>-30.312666659999966</v>
          </cell>
          <cell r="M103">
            <v>482.61006600000002</v>
          </cell>
          <cell r="N103">
            <v>3163.1427960000001</v>
          </cell>
          <cell r="O103">
            <v>794.17479600000001</v>
          </cell>
        </row>
        <row r="129">
          <cell r="K129">
            <v>-6.4924514870044847</v>
          </cell>
          <cell r="L129">
            <v>14.461727593598628</v>
          </cell>
          <cell r="M129">
            <v>-0.28799142035423586</v>
          </cell>
          <cell r="N129">
            <v>-2.0082646539135598</v>
          </cell>
          <cell r="O129">
            <v>-6.5377949871059409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Disbursements Master"/>
      <sheetName val="DISB"/>
      <sheetName val="Debt Service Master"/>
      <sheetName val="DebtService"/>
      <sheetName val="debtservbycredcat"/>
      <sheetName val="Outstanding Master"/>
      <sheetName val="ExtDebtout."/>
      <sheetName val="outdebbycredcat"/>
      <sheetName val="Graph"/>
      <sheetName val="INDICATORS"/>
      <sheetName val="SEIKeyIndic"/>
      <sheetName val="for Annual FIC"/>
      <sheetName val="For AR"/>
      <sheetName val="Public Debt Data Input (1st)"/>
      <sheetName val="Quarterly debt flows (2nd)"/>
      <sheetName val="CC FY (3rd)"/>
      <sheetName val="INR FY (4th)"/>
      <sheetName val="Outsd$ (5th)"/>
      <sheetName val="GOI &amp; SBI"/>
      <sheetName val="Disburs$"/>
      <sheetName val="OldExpend$B"/>
      <sheetName val="BOP COTI Report"/>
      <sheetName val="BOP India Report"/>
      <sheetName val="ForDebt"/>
      <sheetName val="Rupee"/>
      <sheetName val="sectorwise grants"/>
      <sheetName val="G&amp;Ldonors"/>
      <sheetName val="Sectorwise grants new"/>
      <sheetName val="Donor wise new"/>
      <sheetName val="Grant indicat"/>
      <sheetName val="Budget"/>
      <sheetName val="Budget Charts"/>
      <sheetName val="ARKeyInd"/>
      <sheetName val="currcomp."/>
      <sheetName val="ADB"/>
      <sheetName val="Grants table from DPA"/>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s>
    <sheetDataSet>
      <sheetData sheetId="0"/>
      <sheetData sheetId="1"/>
      <sheetData sheetId="2"/>
      <sheetData sheetId="3"/>
      <sheetData sheetId="4"/>
      <sheetData sheetId="5"/>
      <sheetData sheetId="6"/>
      <sheetData sheetId="7"/>
      <sheetData sheetId="8"/>
      <sheetData sheetId="9"/>
      <sheetData sheetId="10">
        <row r="10">
          <cell r="Q10">
            <v>96.734566343178301</v>
          </cell>
          <cell r="R10">
            <v>78.711795161606886</v>
          </cell>
          <cell r="S10">
            <v>66.915953945505578</v>
          </cell>
          <cell r="T10">
            <v>69.450438727773474</v>
          </cell>
          <cell r="U10">
            <v>66.575738193272471</v>
          </cell>
        </row>
        <row r="16">
          <cell r="Q16">
            <v>7.9065466068397203</v>
          </cell>
          <cell r="R16">
            <v>3.6815980795608105</v>
          </cell>
          <cell r="S16">
            <v>18.269661538640786</v>
          </cell>
          <cell r="T16">
            <v>30.513998501329898</v>
          </cell>
          <cell r="U16">
            <v>29.745743789619727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Extra Calcs"/>
      <sheetName val="Changes &amp; Issues"/>
      <sheetName val="BoPI Revised"/>
      <sheetName val="BoPCOTI Revised"/>
      <sheetName val="for AR writeup"/>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sectoral contri. to Real GDP"/>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V37">
            <v>40673.529999999992</v>
          </cell>
          <cell r="Z37">
            <v>72477.600000000006</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3">
          <cell r="AL13">
            <v>4347</v>
          </cell>
        </row>
      </sheetData>
      <sheetData sheetId="57"/>
      <sheetData sheetId="58"/>
      <sheetData sheetId="59"/>
      <sheetData sheetId="60"/>
      <sheetData sheetId="61"/>
      <sheetData sheetId="62"/>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BOP COTI Report"/>
      <sheetName val="BOP India Report"/>
      <sheetName val="Graph"/>
      <sheetName val="for Annual FIC"/>
      <sheetName val="For AR"/>
      <sheetName val="SEIKeyIndic"/>
      <sheetName val="DISB"/>
      <sheetName val="DebtService"/>
      <sheetName val="ExtDebtout."/>
      <sheetName val="outdebbycredcat"/>
      <sheetName val="debtservbycredcat"/>
      <sheetName val="ForDebt"/>
      <sheetName val="Rupee"/>
      <sheetName val="GOI &amp; SBI"/>
      <sheetName val="Public Debt Data Input (1st)"/>
      <sheetName val="Quarterly debt flows (2nd)"/>
      <sheetName val="CC FY (3rd)"/>
      <sheetName val="Disburs$"/>
      <sheetName val="OldExpend$B"/>
      <sheetName val="INR FY (4th)"/>
      <sheetName val="Outsd$ (5th)"/>
      <sheetName val="G&amp;Ldonors"/>
      <sheetName val="sectorwise grants"/>
      <sheetName val="Grant indicat"/>
      <sheetName val="Budget"/>
      <sheetName val="Budget Charts"/>
      <sheetName val="ARKeyInd"/>
      <sheetName val="currcomp."/>
      <sheetName val="ADB"/>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 val="Sheet1"/>
    </sheetNames>
    <sheetDataSet>
      <sheetData sheetId="0" refreshError="1"/>
      <sheetData sheetId="1" refreshError="1"/>
      <sheetData sheetId="2">
        <row r="35">
          <cell r="AA35">
            <v>98.322663572645681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MAASSETS"/>
      <sheetName val="Sheet1"/>
      <sheetName val="RMA Liab"/>
      <sheetName val="Monetary survey"/>
      <sheetName val="Monetary survy1"/>
      <sheetName val="Graph"/>
      <sheetName val="RMAAgrth"/>
      <sheetName val="AnnualM"/>
      <sheetName val="AGrowth"/>
      <sheetName val="MGrowth"/>
      <sheetName val="AnnualA"/>
      <sheetName val="AssetChange"/>
      <sheetName val="MChange"/>
      <sheetName val="9th"/>
    </sheetNames>
    <sheetDataSet>
      <sheetData sheetId="0"/>
      <sheetData sheetId="1"/>
      <sheetData sheetId="2" refreshError="1">
        <row r="76">
          <cell r="D76">
            <v>6022.99</v>
          </cell>
        </row>
        <row r="89">
          <cell r="D89">
            <v>8008.01</v>
          </cell>
        </row>
        <row r="102">
          <cell r="D102">
            <v>9370.25</v>
          </cell>
        </row>
        <row r="115">
          <cell r="D115">
            <v>9340.07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Apex">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64.bin"/><Relationship Id="rId4" Type="http://schemas.openxmlformats.org/officeDocument/2006/relationships/comments" Target="../comments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65.bin"/><Relationship Id="rId4" Type="http://schemas.openxmlformats.org/officeDocument/2006/relationships/comments" Target="../comments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H57"/>
  <sheetViews>
    <sheetView workbookViewId="0">
      <pane xSplit="1" ySplit="5" topLeftCell="B6" activePane="bottomRight" state="frozen"/>
      <selection pane="topRight" activeCell="B1" sqref="B1"/>
      <selection pane="bottomLeft" activeCell="A6" sqref="A6"/>
      <selection pane="bottomRight" activeCell="L50" sqref="L50"/>
    </sheetView>
  </sheetViews>
  <sheetFormatPr defaultRowHeight="12.75"/>
  <cols>
    <col min="1" max="1" width="42.85546875" customWidth="1"/>
  </cols>
  <sheetData>
    <row r="1" spans="1:8">
      <c r="A1" t="s">
        <v>1203</v>
      </c>
    </row>
    <row r="3" spans="1:8">
      <c r="A3" t="s">
        <v>546</v>
      </c>
    </row>
    <row r="4" spans="1:8">
      <c r="A4" s="144"/>
      <c r="B4" s="680" t="s">
        <v>1179</v>
      </c>
      <c r="C4" s="144" t="s">
        <v>1179</v>
      </c>
      <c r="D4" s="144" t="s">
        <v>1179</v>
      </c>
      <c r="E4" s="144" t="s">
        <v>1180</v>
      </c>
      <c r="F4" s="4422" t="s">
        <v>1181</v>
      </c>
      <c r="G4" s="4423"/>
      <c r="H4" s="4424"/>
    </row>
    <row r="5" spans="1:8">
      <c r="A5" s="183" t="s">
        <v>146</v>
      </c>
      <c r="B5" s="719" t="s">
        <v>452</v>
      </c>
      <c r="C5" s="183" t="s">
        <v>609</v>
      </c>
      <c r="D5" s="183" t="s">
        <v>877</v>
      </c>
      <c r="E5" s="183" t="s">
        <v>1164</v>
      </c>
      <c r="F5" s="183" t="s">
        <v>998</v>
      </c>
      <c r="G5" s="183" t="s">
        <v>805</v>
      </c>
      <c r="H5" s="183" t="s">
        <v>806</v>
      </c>
    </row>
    <row r="6" spans="1:8">
      <c r="A6" s="11"/>
      <c r="B6" s="680"/>
      <c r="C6" s="144"/>
      <c r="D6" s="144"/>
      <c r="E6" s="144"/>
      <c r="F6" s="144"/>
      <c r="G6" s="144"/>
      <c r="H6" s="144"/>
    </row>
    <row r="7" spans="1:8">
      <c r="A7" s="11" t="s">
        <v>554</v>
      </c>
      <c r="B7" s="760">
        <v>-1526.5007354762629</v>
      </c>
      <c r="C7" s="762">
        <v>-3678.7598677001597</v>
      </c>
      <c r="D7" s="762">
        <v>-2620.1854533098835</v>
      </c>
      <c r="E7" s="762">
        <v>-3249.2611518122976</v>
      </c>
      <c r="F7" s="762">
        <v>-2599.4476714175235</v>
      </c>
      <c r="G7" s="762">
        <v>677.00122157841042</v>
      </c>
      <c r="H7" s="762">
        <v>1602.071729382385</v>
      </c>
    </row>
    <row r="8" spans="1:8">
      <c r="A8" s="11"/>
      <c r="B8" s="760"/>
      <c r="C8" s="762"/>
      <c r="D8" s="762"/>
      <c r="E8" s="762"/>
      <c r="F8" s="762"/>
      <c r="G8" s="762"/>
      <c r="H8" s="762"/>
    </row>
    <row r="9" spans="1:8">
      <c r="A9" s="11" t="s">
        <v>555</v>
      </c>
      <c r="B9" s="760">
        <v>4700.4704229999998</v>
      </c>
      <c r="C9" s="762">
        <v>5095.320909</v>
      </c>
      <c r="D9" s="762">
        <v>6768.8240083000001</v>
      </c>
      <c r="E9" s="762">
        <v>7574.6002250000001</v>
      </c>
      <c r="F9" s="762">
        <v>9478.4300561839736</v>
      </c>
      <c r="G9" s="762">
        <v>14742.711563537938</v>
      </c>
      <c r="H9" s="762">
        <v>20115.238560379425</v>
      </c>
    </row>
    <row r="10" spans="1:8">
      <c r="A10" s="11" t="s">
        <v>1182</v>
      </c>
      <c r="B10" s="760">
        <v>2027.3699489999999</v>
      </c>
      <c r="C10" s="762">
        <v>1978.3643939999999</v>
      </c>
      <c r="D10" s="762">
        <v>2306.5823399999999</v>
      </c>
      <c r="E10" s="762">
        <v>2091.4299999999998</v>
      </c>
      <c r="F10" s="762">
        <v>2916</v>
      </c>
      <c r="G10" s="762">
        <v>3180</v>
      </c>
      <c r="H10" s="762">
        <v>3298</v>
      </c>
    </row>
    <row r="11" spans="1:8">
      <c r="A11" s="11" t="s">
        <v>1183</v>
      </c>
      <c r="B11" s="760">
        <v>0</v>
      </c>
      <c r="C11" s="762">
        <v>0</v>
      </c>
      <c r="D11" s="762">
        <v>0</v>
      </c>
      <c r="E11" s="762">
        <v>0</v>
      </c>
      <c r="F11" s="762">
        <v>0</v>
      </c>
      <c r="G11" s="762">
        <v>3708.5895</v>
      </c>
      <c r="H11" s="762">
        <v>7417.1790000000019</v>
      </c>
    </row>
    <row r="12" spans="1:8">
      <c r="A12" s="11" t="s">
        <v>1184</v>
      </c>
      <c r="B12" s="760">
        <v>2673.1004739999998</v>
      </c>
      <c r="C12" s="762">
        <v>3116.9565149999999</v>
      </c>
      <c r="D12" s="762">
        <v>4462.2416683000001</v>
      </c>
      <c r="E12" s="762">
        <v>5483.1702249999998</v>
      </c>
      <c r="F12" s="762">
        <v>6562.4300561839727</v>
      </c>
      <c r="G12" s="762">
        <v>7854.1220635379377</v>
      </c>
      <c r="H12" s="762">
        <v>9400.0595603794245</v>
      </c>
    </row>
    <row r="13" spans="1:8">
      <c r="A13" s="11"/>
      <c r="B13" s="760"/>
      <c r="C13" s="762"/>
      <c r="D13" s="762"/>
      <c r="E13" s="762"/>
      <c r="F13" s="762"/>
      <c r="G13" s="762"/>
      <c r="H13" s="762"/>
    </row>
    <row r="14" spans="1:8">
      <c r="A14" s="11" t="s">
        <v>556</v>
      </c>
      <c r="B14" s="760">
        <v>-6988.7781839999998</v>
      </c>
      <c r="C14" s="762">
        <v>-8206.6114833833235</v>
      </c>
      <c r="D14" s="762">
        <v>-9789.4854739999992</v>
      </c>
      <c r="E14" s="762">
        <v>-10120.913622</v>
      </c>
      <c r="F14" s="762">
        <v>-12856.560583863722</v>
      </c>
      <c r="G14" s="762">
        <v>-13081.557689246703</v>
      </c>
      <c r="H14" s="762">
        <v>-13156.76695041723</v>
      </c>
    </row>
    <row r="15" spans="1:8">
      <c r="A15" s="11" t="s">
        <v>1185</v>
      </c>
      <c r="B15" s="760">
        <v>-568.11199999999997</v>
      </c>
      <c r="C15" s="762">
        <v>-1786.6320000000001</v>
      </c>
      <c r="D15" s="762">
        <v>-2073.3870000000002</v>
      </c>
      <c r="E15" s="762">
        <v>-1653.418408</v>
      </c>
      <c r="F15" s="762">
        <v>-3240</v>
      </c>
      <c r="G15" s="762">
        <v>-2160</v>
      </c>
      <c r="H15" s="762">
        <v>-753.12</v>
      </c>
    </row>
    <row r="16" spans="1:8">
      <c r="A16" s="11" t="s">
        <v>1186</v>
      </c>
      <c r="B16" s="760">
        <v>-6420.6661839999997</v>
      </c>
      <c r="C16" s="762">
        <v>-6419.979483383323</v>
      </c>
      <c r="D16" s="762">
        <v>-7716.0984739999994</v>
      </c>
      <c r="E16" s="762">
        <v>-8467.4952140000005</v>
      </c>
      <c r="F16" s="762">
        <v>-9616.5605838637221</v>
      </c>
      <c r="G16" s="762">
        <v>-10921.557689246703</v>
      </c>
      <c r="H16" s="762">
        <v>-12403.646950417229</v>
      </c>
    </row>
    <row r="17" spans="1:8">
      <c r="A17" s="11"/>
      <c r="B17" s="760"/>
      <c r="C17" s="762"/>
      <c r="D17" s="762"/>
      <c r="E17" s="762"/>
      <c r="F17" s="762"/>
      <c r="G17" s="762"/>
      <c r="H17" s="762"/>
    </row>
    <row r="18" spans="1:8">
      <c r="A18" s="11" t="s">
        <v>560</v>
      </c>
      <c r="B18" s="760">
        <v>-2288.307761</v>
      </c>
      <c r="C18" s="762">
        <v>-3111.2905743833235</v>
      </c>
      <c r="D18" s="762">
        <v>-3020.6614656999991</v>
      </c>
      <c r="E18" s="762">
        <v>-2546.3133969999999</v>
      </c>
      <c r="F18" s="762">
        <v>-3378.1305276797484</v>
      </c>
      <c r="G18" s="762">
        <v>1661.1538742912344</v>
      </c>
      <c r="H18" s="762">
        <v>6958.4716099621946</v>
      </c>
    </row>
    <row r="19" spans="1:8">
      <c r="A19" s="11"/>
      <c r="B19" s="760"/>
      <c r="C19" s="762"/>
      <c r="D19" s="762"/>
      <c r="E19" s="762"/>
      <c r="F19" s="762"/>
      <c r="G19" s="762"/>
      <c r="H19" s="762"/>
    </row>
    <row r="20" spans="1:8">
      <c r="A20" s="11" t="s">
        <v>1187</v>
      </c>
      <c r="B20" s="760">
        <v>-311.87350237842224</v>
      </c>
      <c r="C20" s="762">
        <v>-430.89935483249883</v>
      </c>
      <c r="D20" s="762">
        <v>-199.69954677117732</v>
      </c>
      <c r="E20" s="762">
        <v>-884.91021147179049</v>
      </c>
      <c r="F20" s="762">
        <v>-1626.413748199715</v>
      </c>
      <c r="G20" s="762">
        <v>-2515.4782078672015</v>
      </c>
      <c r="H20" s="762">
        <v>-3580.7313029106836</v>
      </c>
    </row>
    <row r="21" spans="1:8">
      <c r="A21" s="11" t="s">
        <v>617</v>
      </c>
      <c r="B21" s="760">
        <v>669.91330445193648</v>
      </c>
      <c r="C21" s="762">
        <v>596.46053749682528</v>
      </c>
      <c r="D21" s="762">
        <v>770.20605484455382</v>
      </c>
      <c r="E21" s="762">
        <v>867.74433118788716</v>
      </c>
      <c r="F21" s="762">
        <v>956.91612530450254</v>
      </c>
      <c r="G21" s="762">
        <v>1055.2514582426172</v>
      </c>
      <c r="H21" s="762">
        <v>1163.6920004549227</v>
      </c>
    </row>
    <row r="22" spans="1:8">
      <c r="A22" s="11" t="s">
        <v>618</v>
      </c>
      <c r="B22" s="760">
        <v>-981.78680683035873</v>
      </c>
      <c r="C22" s="762">
        <v>-1027.3598923293241</v>
      </c>
      <c r="D22" s="762">
        <v>-969.90560161573114</v>
      </c>
      <c r="E22" s="762">
        <v>-1752.6545426596776</v>
      </c>
      <c r="F22" s="762">
        <v>-2583.3298735042176</v>
      </c>
      <c r="G22" s="762">
        <v>-3570.7296661098185</v>
      </c>
      <c r="H22" s="762">
        <v>-4744.4233033656064</v>
      </c>
    </row>
    <row r="23" spans="1:8">
      <c r="A23" s="11"/>
      <c r="B23" s="760"/>
      <c r="C23" s="762"/>
      <c r="D23" s="762"/>
      <c r="E23" s="762"/>
      <c r="F23" s="762"/>
      <c r="G23" s="762"/>
      <c r="H23" s="762"/>
    </row>
    <row r="24" spans="1:8">
      <c r="A24" s="11" t="s">
        <v>561</v>
      </c>
      <c r="B24" s="760">
        <v>-490.41314005000004</v>
      </c>
      <c r="C24" s="762">
        <v>-658.19084823000003</v>
      </c>
      <c r="D24" s="762">
        <v>-806.44992011999989</v>
      </c>
      <c r="E24" s="762">
        <v>-971.15500667000003</v>
      </c>
      <c r="F24" s="762">
        <v>-1088.1149705100124</v>
      </c>
      <c r="G24" s="762">
        <v>-2516.0231723504398</v>
      </c>
      <c r="H24" s="762">
        <v>-4109.6054442969335</v>
      </c>
    </row>
    <row r="25" spans="1:8">
      <c r="A25" s="11" t="s">
        <v>617</v>
      </c>
      <c r="B25" s="760">
        <v>195.49026081</v>
      </c>
      <c r="C25" s="762">
        <v>362.89126189999996</v>
      </c>
      <c r="D25" s="762">
        <v>249.34969002</v>
      </c>
      <c r="E25" s="762">
        <v>181.48689166</v>
      </c>
      <c r="F25" s="762">
        <v>197.89779517018309</v>
      </c>
      <c r="G25" s="762">
        <v>215.79265022946802</v>
      </c>
      <c r="H25" s="762">
        <v>235.30564275874062</v>
      </c>
    </row>
    <row r="26" spans="1:8">
      <c r="A26" s="11" t="s">
        <v>618</v>
      </c>
      <c r="B26" s="760">
        <v>-685.90340086000003</v>
      </c>
      <c r="C26" s="762">
        <v>-1021.08211013</v>
      </c>
      <c r="D26" s="762">
        <v>-1055.7996101399999</v>
      </c>
      <c r="E26" s="762">
        <v>-1152.64189833</v>
      </c>
      <c r="F26" s="762">
        <v>-1286.0127656801956</v>
      </c>
      <c r="G26" s="762">
        <v>-2731.8158225799079</v>
      </c>
      <c r="H26" s="762">
        <v>-4344.9110870556742</v>
      </c>
    </row>
    <row r="27" spans="1:8">
      <c r="A27" s="11"/>
      <c r="B27" s="760"/>
      <c r="C27" s="762"/>
      <c r="D27" s="762"/>
      <c r="E27" s="762"/>
      <c r="F27" s="762"/>
      <c r="G27" s="762"/>
      <c r="H27" s="762"/>
    </row>
    <row r="28" spans="1:8">
      <c r="A28" s="11" t="s">
        <v>562</v>
      </c>
      <c r="B28" s="760">
        <v>1564.0936679521592</v>
      </c>
      <c r="C28" s="762">
        <v>521.6209097456624</v>
      </c>
      <c r="D28" s="762">
        <v>1406.6254792812929</v>
      </c>
      <c r="E28" s="762">
        <v>1153.1174633294931</v>
      </c>
      <c r="F28" s="762">
        <v>3493.2115749719524</v>
      </c>
      <c r="G28" s="762">
        <v>4047.3487275048174</v>
      </c>
      <c r="H28" s="762">
        <v>2333.9368666278074</v>
      </c>
    </row>
    <row r="29" spans="1:8">
      <c r="A29" s="11" t="s">
        <v>617</v>
      </c>
      <c r="B29" s="760">
        <v>2905.5864537980633</v>
      </c>
      <c r="C29" s="762">
        <v>1459.8919416031749</v>
      </c>
      <c r="D29" s="762">
        <v>2324.6722652621124</v>
      </c>
      <c r="E29" s="762">
        <v>3084.8412032621127</v>
      </c>
      <c r="F29" s="762">
        <v>5054.5793837138699</v>
      </c>
      <c r="G29" s="762">
        <v>5516.4618855282724</v>
      </c>
      <c r="H29" s="762">
        <v>3705.2173486467454</v>
      </c>
    </row>
    <row r="30" spans="1:8">
      <c r="A30" s="11" t="s">
        <v>1188</v>
      </c>
      <c r="B30" s="760">
        <v>2858.1</v>
      </c>
      <c r="C30" s="762">
        <v>1442.8</v>
      </c>
      <c r="D30" s="762">
        <v>2309.5092809999996</v>
      </c>
      <c r="E30" s="762">
        <v>3069.6782189999999</v>
      </c>
      <c r="F30" s="762">
        <v>5044.3050000000003</v>
      </c>
      <c r="G30" s="762">
        <v>5509.5</v>
      </c>
      <c r="H30" s="762">
        <v>3700.5</v>
      </c>
    </row>
    <row r="31" spans="1:8">
      <c r="A31" s="11" t="s">
        <v>1162</v>
      </c>
      <c r="B31" s="760">
        <v>2531</v>
      </c>
      <c r="C31" s="762">
        <v>886.6</v>
      </c>
      <c r="D31" s="762">
        <v>2287.1999999999998</v>
      </c>
      <c r="E31" s="762">
        <v>2628</v>
      </c>
      <c r="F31" s="762">
        <v>3730</v>
      </c>
      <c r="G31" s="762">
        <v>4809</v>
      </c>
      <c r="H31" s="762">
        <v>3000</v>
      </c>
    </row>
    <row r="32" spans="1:8">
      <c r="A32" s="11" t="s">
        <v>1189</v>
      </c>
      <c r="B32" s="760">
        <v>327.10000000000002</v>
      </c>
      <c r="C32" s="762">
        <v>556.20000000000005</v>
      </c>
      <c r="D32" s="762">
        <v>22.309280999999999</v>
      </c>
      <c r="E32" s="762">
        <v>441.67821900000001</v>
      </c>
      <c r="F32" s="762">
        <v>1314.3050000000001</v>
      </c>
      <c r="G32" s="762">
        <v>700.5</v>
      </c>
      <c r="H32" s="762">
        <v>700.5</v>
      </c>
    </row>
    <row r="33" spans="1:8">
      <c r="A33" s="11" t="s">
        <v>1190</v>
      </c>
      <c r="B33" s="760">
        <v>47.486453798063501</v>
      </c>
      <c r="C33" s="762">
        <v>17.0919416031747</v>
      </c>
      <c r="D33" s="762">
        <v>15.162984262112801</v>
      </c>
      <c r="E33" s="762">
        <v>15.162984262112788</v>
      </c>
      <c r="F33" s="762">
        <v>10.274383713869225</v>
      </c>
      <c r="G33" s="762">
        <v>6.9618855282721359</v>
      </c>
      <c r="H33" s="762">
        <v>4.7173486467455001</v>
      </c>
    </row>
    <row r="34" spans="1:8">
      <c r="A34" s="11" t="s">
        <v>618</v>
      </c>
      <c r="B34" s="760">
        <v>-1341.4927858459041</v>
      </c>
      <c r="C34" s="762">
        <v>-938.27103185751253</v>
      </c>
      <c r="D34" s="762">
        <v>-918.04678598081966</v>
      </c>
      <c r="E34" s="762">
        <v>-1931.7237399326195</v>
      </c>
      <c r="F34" s="762">
        <v>-1561.3678087419178</v>
      </c>
      <c r="G34" s="762">
        <v>-1469.1131580234551</v>
      </c>
      <c r="H34" s="762">
        <v>-1371.2804820189381</v>
      </c>
    </row>
    <row r="35" spans="1:8">
      <c r="A35" s="11" t="s">
        <v>1191</v>
      </c>
      <c r="B35" s="760">
        <v>-1300.612296</v>
      </c>
      <c r="C35" s="762">
        <v>-901.45799999999997</v>
      </c>
      <c r="D35" s="762">
        <v>-913.17695400000002</v>
      </c>
      <c r="E35" s="762">
        <v>-1826.3539079518</v>
      </c>
      <c r="F35" s="762">
        <v>-1558.0680280702441</v>
      </c>
      <c r="G35" s="762">
        <v>-1466.877238483718</v>
      </c>
      <c r="H35" s="762">
        <v>-1369.7654309638501</v>
      </c>
    </row>
    <row r="36" spans="1:8">
      <c r="A36" s="11" t="s">
        <v>1192</v>
      </c>
      <c r="B36" s="760">
        <v>-40.880489845904002</v>
      </c>
      <c r="C36" s="762">
        <v>-36.813031857512499</v>
      </c>
      <c r="D36" s="762">
        <v>-4.8698319808196198</v>
      </c>
      <c r="E36" s="762">
        <v>-4.8698319808196198</v>
      </c>
      <c r="F36" s="762">
        <v>-3.2997806716737217</v>
      </c>
      <c r="G36" s="762">
        <v>-2.2359195397371541</v>
      </c>
      <c r="H36" s="762">
        <v>-1.5150510550880441</v>
      </c>
    </row>
    <row r="37" spans="1:8">
      <c r="A37" s="11" t="s">
        <v>1193</v>
      </c>
      <c r="B37" s="760">
        <v>0</v>
      </c>
      <c r="C37" s="762">
        <v>0</v>
      </c>
      <c r="D37" s="762">
        <v>0</v>
      </c>
      <c r="E37" s="762">
        <v>-100.5</v>
      </c>
      <c r="F37" s="762">
        <v>0</v>
      </c>
      <c r="G37" s="762">
        <v>0</v>
      </c>
      <c r="H37" s="762">
        <v>0</v>
      </c>
    </row>
    <row r="38" spans="1:8">
      <c r="A38" s="11"/>
      <c r="B38" s="760"/>
      <c r="C38" s="762"/>
      <c r="D38" s="762"/>
      <c r="E38" s="762"/>
      <c r="F38" s="762"/>
      <c r="G38" s="762"/>
      <c r="H38" s="762"/>
    </row>
    <row r="39" spans="1:8">
      <c r="A39" s="11" t="s">
        <v>563</v>
      </c>
      <c r="B39" s="760">
        <v>3884.5114800000001</v>
      </c>
      <c r="C39" s="762">
        <v>8935.0547999999999</v>
      </c>
      <c r="D39" s="762">
        <v>7925.4048000000003</v>
      </c>
      <c r="E39" s="762">
        <v>6543.1609333399992</v>
      </c>
      <c r="F39" s="762">
        <v>4665.2970000000005</v>
      </c>
      <c r="G39" s="762">
        <v>92.45</v>
      </c>
      <c r="H39" s="762">
        <v>-1079.95</v>
      </c>
    </row>
    <row r="40" spans="1:8">
      <c r="A40" s="11"/>
      <c r="B40" s="760"/>
      <c r="C40" s="762"/>
      <c r="D40" s="762"/>
      <c r="E40" s="762"/>
      <c r="F40" s="762"/>
      <c r="G40" s="762"/>
      <c r="H40" s="762"/>
    </row>
    <row r="41" spans="1:8">
      <c r="A41" s="11" t="s">
        <v>1194</v>
      </c>
      <c r="B41" s="760">
        <v>2021.3050000000001</v>
      </c>
      <c r="C41" s="762">
        <v>5819.02</v>
      </c>
      <c r="D41" s="762">
        <v>4666.7730000000001</v>
      </c>
      <c r="E41" s="762">
        <v>4161.6397999999999</v>
      </c>
      <c r="F41" s="762">
        <v>2700</v>
      </c>
      <c r="G41" s="762">
        <v>1800</v>
      </c>
      <c r="H41" s="762">
        <v>627.6</v>
      </c>
    </row>
    <row r="42" spans="1:8">
      <c r="A42" s="11"/>
      <c r="B42" s="760"/>
      <c r="C42" s="762"/>
      <c r="D42" s="762"/>
      <c r="E42" s="762"/>
      <c r="F42" s="762"/>
      <c r="G42" s="762"/>
      <c r="H42" s="762"/>
    </row>
    <row r="43" spans="1:8">
      <c r="A43" s="11" t="s">
        <v>1195</v>
      </c>
      <c r="B43" s="760">
        <v>1863.2064800000001</v>
      </c>
      <c r="C43" s="762">
        <v>3116.0347999999999</v>
      </c>
      <c r="D43" s="762">
        <v>3258.6317999999997</v>
      </c>
      <c r="E43" s="762">
        <v>2381.5211333399998</v>
      </c>
      <c r="F43" s="762">
        <v>1965.297</v>
      </c>
      <c r="G43" s="762">
        <v>-1707.55</v>
      </c>
      <c r="H43" s="762">
        <v>-1707.55</v>
      </c>
    </row>
    <row r="44" spans="1:8">
      <c r="A44" s="11" t="s">
        <v>1196</v>
      </c>
      <c r="B44" s="760">
        <v>1950.75648</v>
      </c>
      <c r="C44" s="762">
        <v>3203.5848000000001</v>
      </c>
      <c r="D44" s="762">
        <v>3346.1817999999998</v>
      </c>
      <c r="E44" s="762">
        <v>2655.7377999999999</v>
      </c>
      <c r="F44" s="762">
        <v>2239.547</v>
      </c>
      <c r="G44" s="762">
        <v>0</v>
      </c>
      <c r="H44" s="762">
        <v>0</v>
      </c>
    </row>
    <row r="45" spans="1:8">
      <c r="A45" s="11" t="s">
        <v>1197</v>
      </c>
      <c r="B45" s="760">
        <v>87.55</v>
      </c>
      <c r="C45" s="762">
        <v>87.55</v>
      </c>
      <c r="D45" s="762">
        <v>87.55</v>
      </c>
      <c r="E45" s="762">
        <v>274.21666666000004</v>
      </c>
      <c r="F45" s="762">
        <v>274.25</v>
      </c>
      <c r="G45" s="762">
        <v>1707.55</v>
      </c>
      <c r="H45" s="762">
        <v>1707.55</v>
      </c>
    </row>
    <row r="46" spans="1:8">
      <c r="A46" s="11" t="s">
        <v>142</v>
      </c>
      <c r="B46" s="760"/>
      <c r="C46" s="762"/>
      <c r="D46" s="762"/>
      <c r="E46" s="762"/>
      <c r="F46" s="762"/>
      <c r="G46" s="762"/>
      <c r="H46" s="762"/>
    </row>
    <row r="47" spans="1:8">
      <c r="A47" s="11" t="s">
        <v>564</v>
      </c>
      <c r="B47" s="760">
        <v>0</v>
      </c>
      <c r="C47" s="762">
        <v>0</v>
      </c>
      <c r="D47" s="762">
        <v>0</v>
      </c>
      <c r="E47" s="762">
        <v>0</v>
      </c>
      <c r="F47" s="762">
        <v>0</v>
      </c>
      <c r="G47" s="762">
        <v>0</v>
      </c>
      <c r="H47" s="762">
        <v>0</v>
      </c>
    </row>
    <row r="48" spans="1:8">
      <c r="A48" s="11" t="s">
        <v>142</v>
      </c>
      <c r="B48" s="760"/>
      <c r="C48" s="762"/>
      <c r="D48" s="762"/>
      <c r="E48" s="762"/>
      <c r="F48" s="762"/>
      <c r="G48" s="762"/>
      <c r="H48" s="762"/>
    </row>
    <row r="49" spans="1:8">
      <c r="A49" s="11" t="s">
        <v>1198</v>
      </c>
      <c r="B49" s="760">
        <v>0</v>
      </c>
      <c r="C49" s="762">
        <v>0</v>
      </c>
      <c r="D49" s="762">
        <v>0</v>
      </c>
      <c r="E49" s="762">
        <v>0</v>
      </c>
      <c r="F49" s="762">
        <v>0</v>
      </c>
      <c r="G49" s="762">
        <v>0</v>
      </c>
      <c r="H49" s="762">
        <v>0</v>
      </c>
    </row>
    <row r="50" spans="1:8">
      <c r="A50" s="11"/>
      <c r="B50" s="760"/>
      <c r="C50" s="762"/>
      <c r="D50" s="762"/>
      <c r="E50" s="762"/>
      <c r="F50" s="762"/>
      <c r="G50" s="762"/>
      <c r="H50" s="762"/>
    </row>
    <row r="51" spans="1:8">
      <c r="A51" s="11" t="s">
        <v>620</v>
      </c>
      <c r="B51" s="760">
        <v>-2246.0507445237372</v>
      </c>
      <c r="C51" s="762">
        <v>-5590.0249322998407</v>
      </c>
      <c r="D51" s="762">
        <v>-4272.5393466901169</v>
      </c>
      <c r="E51" s="762">
        <v>-4078.4697815277013</v>
      </c>
      <c r="F51" s="762">
        <v>-1600.675528582477</v>
      </c>
      <c r="G51" s="762">
        <v>-162.93615157841054</v>
      </c>
      <c r="H51" s="762">
        <v>407.86804461761449</v>
      </c>
    </row>
    <row r="52" spans="1:8">
      <c r="A52" s="11"/>
      <c r="B52" s="760"/>
      <c r="C52" s="762"/>
      <c r="D52" s="762"/>
      <c r="E52" s="762"/>
      <c r="F52" s="762"/>
      <c r="G52" s="762"/>
      <c r="H52" s="762"/>
    </row>
    <row r="53" spans="1:8">
      <c r="A53" s="11" t="s">
        <v>1199</v>
      </c>
      <c r="B53" s="760">
        <v>111.96</v>
      </c>
      <c r="C53" s="762">
        <v>-333.73</v>
      </c>
      <c r="D53" s="762">
        <v>1032.68</v>
      </c>
      <c r="E53" s="762">
        <v>-784.57</v>
      </c>
      <c r="F53" s="762">
        <v>465.17380000000003</v>
      </c>
      <c r="G53" s="762">
        <v>606.51506999999992</v>
      </c>
      <c r="H53" s="762">
        <v>929.98977399999967</v>
      </c>
    </row>
    <row r="54" spans="1:8">
      <c r="A54" s="11"/>
      <c r="B54" s="760"/>
      <c r="C54" s="762"/>
      <c r="D54" s="762"/>
      <c r="E54" s="762"/>
      <c r="F54" s="762"/>
      <c r="G54" s="762"/>
      <c r="H54" s="762"/>
    </row>
    <row r="55" spans="1:8">
      <c r="A55" s="11" t="s">
        <v>1200</v>
      </c>
      <c r="B55" s="760">
        <v>111.96</v>
      </c>
      <c r="C55" s="762">
        <v>-333.73</v>
      </c>
      <c r="D55" s="762">
        <v>1032.68</v>
      </c>
      <c r="E55" s="762">
        <v>-784.57</v>
      </c>
      <c r="F55" s="762">
        <v>465.17380000000003</v>
      </c>
      <c r="G55" s="762">
        <v>606.51506999999992</v>
      </c>
      <c r="H55" s="762">
        <v>929.98977399999967</v>
      </c>
    </row>
    <row r="56" spans="1:8">
      <c r="A56" s="11" t="s">
        <v>1201</v>
      </c>
      <c r="B56" s="760">
        <v>3663.88</v>
      </c>
      <c r="C56" s="762">
        <v>3330.15</v>
      </c>
      <c r="D56" s="762">
        <v>4362.83</v>
      </c>
      <c r="E56" s="762">
        <v>3578.26</v>
      </c>
      <c r="F56" s="762">
        <v>4043.4338000000002</v>
      </c>
      <c r="G56" s="762">
        <v>4649.9488700000002</v>
      </c>
      <c r="H56" s="762">
        <v>5579.9386439999998</v>
      </c>
    </row>
    <row r="57" spans="1:8">
      <c r="A57" s="183" t="s">
        <v>1202</v>
      </c>
      <c r="B57" s="763">
        <v>4394.2064799999998</v>
      </c>
      <c r="C57" s="932">
        <v>4002.6347999999998</v>
      </c>
      <c r="D57" s="932">
        <v>5545.8317999999999</v>
      </c>
      <c r="E57" s="932">
        <v>5009.5211333400002</v>
      </c>
      <c r="F57" s="932">
        <v>5695.2970000000005</v>
      </c>
      <c r="G57" s="932">
        <v>3101.45</v>
      </c>
      <c r="H57" s="932">
        <v>1292.45</v>
      </c>
    </row>
  </sheetData>
  <mergeCells count="1">
    <mergeCell ref="F4:H4"/>
  </mergeCells>
  <phoneticPr fontId="44" type="noConversion"/>
  <pageMargins left="0.75" right="0.18" top="0.25" bottom="0.38" header="0.5" footer="0.5"/>
  <pageSetup scale="80"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3"/>
  <dimension ref="B1:AW91"/>
  <sheetViews>
    <sheetView topLeftCell="A11" zoomScale="75" workbookViewId="0">
      <pane xSplit="3" ySplit="1" topLeftCell="O12" activePane="bottomRight" state="frozen"/>
      <selection activeCell="A11" sqref="A11"/>
      <selection pane="topRight" activeCell="D11" sqref="D11"/>
      <selection pane="bottomLeft" activeCell="A12" sqref="A12"/>
      <selection pane="bottomRight" activeCell="V49" sqref="V49"/>
    </sheetView>
  </sheetViews>
  <sheetFormatPr defaultRowHeight="15"/>
  <cols>
    <col min="1" max="1" width="0.85546875" style="5" customWidth="1"/>
    <col min="2" max="2" width="33.7109375" style="5" customWidth="1"/>
    <col min="3" max="3" width="10.5703125" style="5" hidden="1" customWidth="1"/>
    <col min="4" max="6" width="10.5703125" style="5" customWidth="1"/>
    <col min="7" max="7" width="11" style="5" customWidth="1"/>
    <col min="8" max="8" width="10.42578125" style="5" customWidth="1"/>
    <col min="9" max="17" width="9" style="5" customWidth="1"/>
    <col min="18" max="19" width="9.140625" style="5"/>
    <col min="20" max="20" width="12.85546875" style="5" hidden="1" customWidth="1"/>
    <col min="21" max="21" width="12.85546875" style="5" customWidth="1"/>
    <col min="22" max="23" width="13" style="5" customWidth="1"/>
    <col min="24" max="24" width="9.140625" style="5"/>
    <col min="25" max="25" width="11.85546875" style="5" bestFit="1" customWidth="1"/>
    <col min="26" max="26" width="13.28515625" style="5" bestFit="1" customWidth="1"/>
    <col min="27" max="27" width="11.85546875" style="38" bestFit="1" customWidth="1"/>
    <col min="28" max="16384" width="9.140625" style="5"/>
  </cols>
  <sheetData>
    <row r="1" spans="2:49" ht="15.75">
      <c r="B1" s="4441" t="s">
        <v>1329</v>
      </c>
      <c r="C1" s="4441"/>
      <c r="D1" s="4441"/>
      <c r="E1" s="4441"/>
      <c r="F1" s="4441"/>
      <c r="G1" s="4441"/>
      <c r="H1" s="4441"/>
      <c r="I1" s="4441"/>
      <c r="J1" s="4441"/>
      <c r="K1" s="4441"/>
      <c r="L1" s="4441"/>
      <c r="M1" s="4441"/>
      <c r="N1" s="4441"/>
      <c r="O1" s="4441"/>
      <c r="P1" s="4441"/>
      <c r="Q1" s="4441"/>
      <c r="R1" s="4441"/>
      <c r="S1" s="4441"/>
      <c r="T1" s="4441"/>
      <c r="U1" s="4441"/>
      <c r="V1" s="17"/>
      <c r="W1" s="17"/>
      <c r="X1" s="17"/>
      <c r="Y1" s="17"/>
      <c r="Z1" s="17"/>
      <c r="AA1" s="1052" t="s">
        <v>1312</v>
      </c>
      <c r="AB1" s="17"/>
      <c r="AC1" s="17"/>
      <c r="AD1" s="17"/>
      <c r="AE1" s="17"/>
      <c r="AF1" s="17"/>
      <c r="AG1" s="17"/>
      <c r="AH1" s="17"/>
      <c r="AI1" s="17"/>
      <c r="AJ1" s="17"/>
      <c r="AK1" s="17"/>
      <c r="AL1" s="17"/>
      <c r="AM1" s="17"/>
      <c r="AN1" s="17"/>
      <c r="AO1" s="17"/>
      <c r="AP1" s="17"/>
      <c r="AQ1" s="17"/>
      <c r="AR1" s="17"/>
      <c r="AS1" s="17"/>
      <c r="AT1" s="17"/>
      <c r="AU1" s="17"/>
      <c r="AV1" s="17"/>
      <c r="AW1" s="17"/>
    </row>
    <row r="5" spans="2:49">
      <c r="B5" s="4453" t="s">
        <v>448</v>
      </c>
      <c r="C5" s="4453"/>
      <c r="D5" s="4453"/>
      <c r="E5" s="4453"/>
      <c r="F5" s="4453"/>
      <c r="G5" s="4454"/>
      <c r="H5" s="4454"/>
      <c r="I5" s="4455"/>
    </row>
    <row r="6" spans="2:49" ht="15.75" customHeight="1">
      <c r="B6" s="1053"/>
      <c r="C6" s="1054"/>
      <c r="D6" s="1054"/>
      <c r="E6" s="1054"/>
      <c r="F6" s="1054"/>
      <c r="G6" s="1054"/>
      <c r="H6" s="1054"/>
      <c r="I6" s="1054"/>
      <c r="J6" s="21"/>
      <c r="K6" s="21"/>
      <c r="L6" s="21"/>
      <c r="M6" s="21"/>
      <c r="N6" s="21"/>
      <c r="O6" s="21"/>
      <c r="P6" s="21"/>
      <c r="Q6" s="21"/>
      <c r="R6" s="1055"/>
      <c r="S6" s="1055"/>
      <c r="T6" s="1055"/>
      <c r="U6" s="4456" t="s">
        <v>399</v>
      </c>
      <c r="V6" s="272"/>
      <c r="W6" s="272"/>
    </row>
    <row r="7" spans="2:49">
      <c r="B7" s="1056"/>
      <c r="C7" s="77"/>
      <c r="D7" s="77"/>
      <c r="E7" s="77"/>
      <c r="F7" s="77"/>
      <c r="G7" s="77"/>
      <c r="H7" s="77"/>
      <c r="I7" s="77"/>
      <c r="J7" s="9"/>
      <c r="K7" s="9"/>
      <c r="L7" s="9"/>
      <c r="M7" s="9"/>
      <c r="N7" s="9"/>
      <c r="O7" s="9"/>
      <c r="P7" s="9"/>
      <c r="Q7" s="9"/>
      <c r="R7" s="1057"/>
      <c r="S7" s="1057"/>
      <c r="T7" s="1057"/>
      <c r="U7" s="4457"/>
      <c r="V7" s="113"/>
      <c r="W7" s="113"/>
    </row>
    <row r="8" spans="2:49">
      <c r="B8" s="1058" t="s">
        <v>142</v>
      </c>
      <c r="C8" s="79" t="s">
        <v>527</v>
      </c>
      <c r="D8" s="79"/>
      <c r="E8" s="79"/>
      <c r="F8" s="79"/>
      <c r="G8" s="79"/>
      <c r="H8" s="79"/>
      <c r="I8" s="79" t="s">
        <v>527</v>
      </c>
      <c r="J8" s="9"/>
      <c r="K8" s="9"/>
      <c r="L8" s="25"/>
      <c r="M8" s="25"/>
      <c r="N8" s="25"/>
      <c r="O8" s="25"/>
      <c r="P8" s="25"/>
      <c r="Q8" s="25"/>
      <c r="R8" s="1059"/>
      <c r="S8" s="1059"/>
      <c r="T8" s="1059"/>
      <c r="U8" s="4457"/>
      <c r="V8" s="113"/>
      <c r="W8" s="113"/>
    </row>
    <row r="9" spans="2:49">
      <c r="B9" s="1056"/>
      <c r="C9" s="1013"/>
      <c r="D9" s="1013"/>
      <c r="E9" s="1013"/>
      <c r="F9" s="1013"/>
      <c r="G9" s="154"/>
      <c r="H9" s="154"/>
      <c r="I9" s="31"/>
      <c r="J9" s="31"/>
      <c r="K9" s="31"/>
      <c r="L9" s="8"/>
      <c r="M9" s="27"/>
      <c r="N9" s="27"/>
      <c r="O9" s="273"/>
      <c r="P9" s="27"/>
      <c r="Q9" s="22"/>
      <c r="R9" s="926"/>
      <c r="S9" s="926"/>
      <c r="T9" s="1057"/>
      <c r="U9" s="4457"/>
      <c r="V9" s="113"/>
      <c r="W9" s="113"/>
    </row>
    <row r="10" spans="2:49">
      <c r="B10" s="1056"/>
      <c r="C10" s="81"/>
      <c r="D10" s="81"/>
      <c r="E10" s="81"/>
      <c r="F10" s="81"/>
      <c r="G10" s="156"/>
      <c r="H10" s="156"/>
      <c r="I10" s="8"/>
      <c r="J10" s="8"/>
      <c r="K10" s="8"/>
      <c r="L10" s="8"/>
      <c r="M10" s="8"/>
      <c r="N10" s="8"/>
      <c r="O10" s="8"/>
      <c r="P10" s="8"/>
      <c r="Q10" s="8"/>
      <c r="R10" s="8"/>
      <c r="S10" s="4459" t="s">
        <v>397</v>
      </c>
      <c r="T10" s="1057"/>
      <c r="U10" s="4457"/>
      <c r="V10" s="113"/>
      <c r="W10" s="113"/>
      <c r="X10" s="1060"/>
      <c r="Y10" s="9"/>
    </row>
    <row r="11" spans="2:49">
      <c r="B11" s="1061" t="s">
        <v>182</v>
      </c>
      <c r="C11" s="83" t="s">
        <v>528</v>
      </c>
      <c r="D11" s="1014">
        <v>1990</v>
      </c>
      <c r="E11" s="1014">
        <v>1991</v>
      </c>
      <c r="F11" s="1014">
        <v>1992</v>
      </c>
      <c r="G11" s="168" t="s">
        <v>155</v>
      </c>
      <c r="H11" s="168" t="s">
        <v>156</v>
      </c>
      <c r="I11" s="10" t="s">
        <v>144</v>
      </c>
      <c r="J11" s="10" t="s">
        <v>154</v>
      </c>
      <c r="K11" s="10" t="s">
        <v>529</v>
      </c>
      <c r="L11" s="275">
        <v>1998</v>
      </c>
      <c r="M11" s="275">
        <v>1999</v>
      </c>
      <c r="N11" s="275">
        <v>2000</v>
      </c>
      <c r="O11" s="275">
        <v>2001</v>
      </c>
      <c r="P11" s="275">
        <v>2002</v>
      </c>
      <c r="Q11" s="275">
        <v>2003</v>
      </c>
      <c r="R11" s="1062">
        <v>2004</v>
      </c>
      <c r="S11" s="4460"/>
      <c r="T11" s="1063" t="s">
        <v>40</v>
      </c>
      <c r="U11" s="4458"/>
      <c r="V11" s="1064" t="s">
        <v>1332</v>
      </c>
      <c r="W11" s="1064" t="s">
        <v>1322</v>
      </c>
      <c r="X11" s="1016"/>
      <c r="Y11" s="1016"/>
    </row>
    <row r="12" spans="2:49">
      <c r="B12" s="1065"/>
      <c r="C12" s="80"/>
      <c r="D12" s="80"/>
      <c r="E12" s="80"/>
      <c r="F12" s="80"/>
      <c r="G12" s="154"/>
      <c r="H12" s="154"/>
      <c r="I12" s="31"/>
      <c r="J12" s="31"/>
      <c r="K12" s="31"/>
      <c r="L12" s="31"/>
      <c r="M12" s="31"/>
      <c r="N12" s="31"/>
      <c r="O12" s="31"/>
      <c r="P12" s="31"/>
      <c r="Q12" s="31"/>
      <c r="R12" s="277"/>
      <c r="S12" s="277"/>
      <c r="T12" s="1066"/>
      <c r="U12" s="276"/>
      <c r="V12" s="1067"/>
      <c r="W12" s="1060"/>
      <c r="X12" s="9"/>
      <c r="Y12" s="9"/>
    </row>
    <row r="13" spans="2:49">
      <c r="B13" s="1068" t="s">
        <v>530</v>
      </c>
      <c r="C13" s="81"/>
      <c r="D13" s="81"/>
      <c r="E13" s="81"/>
      <c r="F13" s="81"/>
      <c r="G13" s="156"/>
      <c r="H13" s="156"/>
      <c r="I13" s="8"/>
      <c r="J13" s="8"/>
      <c r="K13" s="8"/>
      <c r="L13" s="8"/>
      <c r="M13" s="8"/>
      <c r="N13" s="8"/>
      <c r="O13" s="8"/>
      <c r="P13" s="8"/>
      <c r="Q13" s="8"/>
      <c r="R13" s="278"/>
      <c r="S13" s="278"/>
      <c r="T13" s="1069"/>
      <c r="U13" s="104"/>
      <c r="V13" s="1067"/>
      <c r="W13" s="1060"/>
      <c r="X13" s="9"/>
      <c r="Y13" s="9"/>
    </row>
    <row r="14" spans="2:49">
      <c r="B14" s="1068" t="s">
        <v>531</v>
      </c>
      <c r="C14" s="282">
        <f>C16+C17+D18</f>
        <v>1693.24</v>
      </c>
      <c r="D14" s="282">
        <f>SUM(D16:D18)</f>
        <v>4735.04</v>
      </c>
      <c r="E14" s="282">
        <f>SUM(E16:E18)</f>
        <v>4703.74</v>
      </c>
      <c r="F14" s="282">
        <f t="shared" ref="F14:Q14" si="0">F16+F17+F18</f>
        <v>4733.45</v>
      </c>
      <c r="G14" s="282">
        <f t="shared" si="0"/>
        <v>4721.1399999999994</v>
      </c>
      <c r="H14" s="282">
        <f t="shared" si="0"/>
        <v>4763.8100000000004</v>
      </c>
      <c r="I14" s="282">
        <f t="shared" si="0"/>
        <v>4833.97</v>
      </c>
      <c r="J14" s="282">
        <f t="shared" si="0"/>
        <v>4932.3</v>
      </c>
      <c r="K14" s="282">
        <f t="shared" si="0"/>
        <v>5124.04</v>
      </c>
      <c r="L14" s="282">
        <f t="shared" si="0"/>
        <v>5243.88</v>
      </c>
      <c r="M14" s="282">
        <f t="shared" si="0"/>
        <v>5323.35</v>
      </c>
      <c r="N14" s="282">
        <f t="shared" si="0"/>
        <v>5568.68</v>
      </c>
      <c r="O14" s="282">
        <f t="shared" si="0"/>
        <v>5849.47</v>
      </c>
      <c r="P14" s="282">
        <f t="shared" si="0"/>
        <v>6033.08</v>
      </c>
      <c r="Q14" s="282">
        <f t="shared" si="0"/>
        <v>6198.42</v>
      </c>
      <c r="R14" s="282">
        <f>R16+R17+R18</f>
        <v>6351.37</v>
      </c>
      <c r="S14" s="282">
        <f>S16+S17+S18</f>
        <v>6493.4</v>
      </c>
      <c r="T14" s="1070">
        <f>S14+(S14*[8]GDPGraph!O77/100)</f>
        <v>6655.7349999999997</v>
      </c>
      <c r="U14" s="1071">
        <f>((R14/Q14)-1)*100</f>
        <v>2.4675643147769932</v>
      </c>
      <c r="V14" s="1072">
        <f>((Q14-P14)/P14)*100</f>
        <v>2.7405570620644868</v>
      </c>
      <c r="W14" s="1073">
        <f>((S14-R14)/R14)*100</f>
        <v>2.2362104553820634</v>
      </c>
      <c r="X14" s="301"/>
      <c r="Y14" s="301"/>
    </row>
    <row r="15" spans="2:49">
      <c r="B15" s="1074"/>
      <c r="C15" s="279"/>
      <c r="D15" s="279"/>
      <c r="E15" s="279"/>
      <c r="F15" s="279"/>
      <c r="G15" s="282"/>
      <c r="H15" s="282"/>
      <c r="I15" s="279"/>
      <c r="J15" s="279"/>
      <c r="K15" s="279"/>
      <c r="L15" s="279"/>
      <c r="M15" s="279"/>
      <c r="N15" s="279"/>
      <c r="O15" s="279"/>
      <c r="P15" s="279"/>
      <c r="Q15" s="279"/>
      <c r="R15" s="1075"/>
      <c r="S15" s="1075"/>
      <c r="T15" s="1047"/>
      <c r="U15" s="1071"/>
      <c r="V15" s="1072"/>
      <c r="W15" s="1073"/>
      <c r="X15" s="301"/>
      <c r="Y15" s="301"/>
    </row>
    <row r="16" spans="2:49">
      <c r="B16" s="1068" t="s">
        <v>532</v>
      </c>
      <c r="C16" s="279">
        <v>309.89999999999998</v>
      </c>
      <c r="D16" s="279">
        <v>1981.66</v>
      </c>
      <c r="E16" s="279">
        <v>2008.99</v>
      </c>
      <c r="F16" s="279">
        <v>2056.44</v>
      </c>
      <c r="G16" s="282">
        <v>2113.87</v>
      </c>
      <c r="H16" s="282">
        <v>2145.17</v>
      </c>
      <c r="I16" s="279">
        <v>2173.04</v>
      </c>
      <c r="J16" s="279">
        <v>2238.66</v>
      </c>
      <c r="K16" s="279">
        <v>2273.64</v>
      </c>
      <c r="L16" s="279">
        <v>2318.5</v>
      </c>
      <c r="M16" s="279">
        <v>2403.34</v>
      </c>
      <c r="N16" s="279">
        <v>2516.1</v>
      </c>
      <c r="O16" s="279">
        <v>2617</v>
      </c>
      <c r="P16" s="279">
        <v>2689.6</v>
      </c>
      <c r="Q16" s="279">
        <v>2769.8</v>
      </c>
      <c r="R16" s="279">
        <v>2826.2</v>
      </c>
      <c r="S16" s="279">
        <v>2882.7</v>
      </c>
      <c r="T16" s="1047">
        <f>S16+(S16*[8]GDPGraph!O79/100)</f>
        <v>2958.8893919146417</v>
      </c>
      <c r="U16" s="1071">
        <f t="shared" ref="U16:U37" si="1">((R16/Q16)-1)*100</f>
        <v>2.0362481045562708</v>
      </c>
      <c r="V16" s="1072">
        <f t="shared" ref="V16:V39" si="2">((Q16-P16)/P16)*100</f>
        <v>2.981856038072586</v>
      </c>
      <c r="W16" s="1073">
        <f t="shared" ref="W16:W39" si="3">((S16-R16)/R16)*100</f>
        <v>1.9991508031986416</v>
      </c>
      <c r="X16" s="301"/>
      <c r="Y16" s="301"/>
    </row>
    <row r="17" spans="2:28">
      <c r="B17" s="1074" t="s">
        <v>533</v>
      </c>
      <c r="C17" s="279">
        <v>139.19999999999999</v>
      </c>
      <c r="D17" s="279">
        <v>1509.24</v>
      </c>
      <c r="E17" s="279">
        <v>1531.9</v>
      </c>
      <c r="F17" s="279">
        <v>1492.02</v>
      </c>
      <c r="G17" s="282">
        <v>1477.03</v>
      </c>
      <c r="H17" s="282">
        <v>1474.14</v>
      </c>
      <c r="I17" s="279">
        <v>1470.44</v>
      </c>
      <c r="J17" s="279">
        <v>1584.05</v>
      </c>
      <c r="K17" s="279">
        <v>1617.46</v>
      </c>
      <c r="L17" s="279">
        <v>1642.6</v>
      </c>
      <c r="M17" s="279">
        <v>1663.25</v>
      </c>
      <c r="N17" s="279">
        <v>1747.45</v>
      </c>
      <c r="O17" s="279">
        <v>1887.84</v>
      </c>
      <c r="P17" s="279">
        <v>1942.59</v>
      </c>
      <c r="Q17" s="279">
        <v>1982.22</v>
      </c>
      <c r="R17" s="279">
        <v>2017.37</v>
      </c>
      <c r="S17" s="279">
        <v>2057.6999999999998</v>
      </c>
      <c r="T17" s="1047">
        <f>S17+(S17*[8]GDPGraph!O80/100)</f>
        <v>2098.8539999999998</v>
      </c>
      <c r="U17" s="1071">
        <f t="shared" si="1"/>
        <v>1.7732643198030473</v>
      </c>
      <c r="V17" s="1072">
        <f t="shared" si="2"/>
        <v>2.0400599200037122</v>
      </c>
      <c r="W17" s="1073">
        <f t="shared" si="3"/>
        <v>1.9991374908916029</v>
      </c>
      <c r="X17" s="301"/>
      <c r="Y17" s="301"/>
    </row>
    <row r="18" spans="2:28">
      <c r="B18" s="1068" t="s">
        <v>539</v>
      </c>
      <c r="C18" s="5">
        <v>172.3</v>
      </c>
      <c r="D18" s="279">
        <v>1244.1400000000001</v>
      </c>
      <c r="E18" s="279">
        <v>1162.8499999999999</v>
      </c>
      <c r="F18" s="279">
        <v>1184.99</v>
      </c>
      <c r="G18" s="282">
        <v>1130.24</v>
      </c>
      <c r="H18" s="282">
        <v>1144.5</v>
      </c>
      <c r="I18" s="279">
        <v>1190.49</v>
      </c>
      <c r="J18" s="279">
        <v>1109.5899999999999</v>
      </c>
      <c r="K18" s="279">
        <v>1232.94</v>
      </c>
      <c r="L18" s="279">
        <v>1282.78</v>
      </c>
      <c r="M18" s="279">
        <v>1256.76</v>
      </c>
      <c r="N18" s="279">
        <v>1305.1300000000001</v>
      </c>
      <c r="O18" s="279">
        <v>1344.63</v>
      </c>
      <c r="P18" s="279">
        <v>1400.89</v>
      </c>
      <c r="Q18" s="279">
        <v>1446.4</v>
      </c>
      <c r="R18" s="279">
        <v>1507.8</v>
      </c>
      <c r="S18" s="279">
        <v>1553</v>
      </c>
      <c r="T18" s="1047">
        <f>S18+(S18*[8]GDPGraph!O81/100)</f>
        <v>1599.59</v>
      </c>
      <c r="U18" s="1071">
        <f t="shared" si="1"/>
        <v>4.2450221238937935</v>
      </c>
      <c r="V18" s="1072">
        <f t="shared" si="2"/>
        <v>3.2486490730892492</v>
      </c>
      <c r="W18" s="1073">
        <f t="shared" si="3"/>
        <v>2.9977450590263994</v>
      </c>
      <c r="X18" s="301"/>
      <c r="Y18" s="301"/>
    </row>
    <row r="19" spans="2:28">
      <c r="B19" s="1074"/>
      <c r="C19" s="279"/>
      <c r="D19" s="279"/>
      <c r="E19" s="279"/>
      <c r="F19" s="279"/>
      <c r="G19" s="282"/>
      <c r="H19" s="282"/>
      <c r="I19" s="279"/>
      <c r="J19" s="279"/>
      <c r="K19" s="279"/>
      <c r="L19" s="279"/>
      <c r="M19" s="279"/>
      <c r="N19" s="279"/>
      <c r="O19" s="279"/>
      <c r="P19" s="279"/>
      <c r="Q19" s="279"/>
      <c r="R19" s="279"/>
      <c r="S19" s="279"/>
      <c r="T19" s="1047"/>
      <c r="U19" s="1071"/>
      <c r="V19" s="1072"/>
      <c r="W19" s="1073"/>
      <c r="X19" s="301"/>
      <c r="Y19" s="301"/>
    </row>
    <row r="20" spans="2:28">
      <c r="B20" s="1068" t="s">
        <v>540</v>
      </c>
      <c r="C20" s="279">
        <v>6.8</v>
      </c>
      <c r="D20" s="279">
        <v>123.9</v>
      </c>
      <c r="E20" s="279">
        <v>188.6</v>
      </c>
      <c r="F20" s="279">
        <v>197.5</v>
      </c>
      <c r="G20" s="282">
        <v>193.5</v>
      </c>
      <c r="H20" s="282">
        <v>211.2</v>
      </c>
      <c r="I20" s="279">
        <v>280.89999999999998</v>
      </c>
      <c r="J20" s="279">
        <v>325</v>
      </c>
      <c r="K20" s="279">
        <v>322</v>
      </c>
      <c r="L20" s="279">
        <v>308.89999999999998</v>
      </c>
      <c r="M20" s="279">
        <v>310.2</v>
      </c>
      <c r="N20" s="279">
        <v>301.39999999999998</v>
      </c>
      <c r="O20" s="279">
        <v>352.4</v>
      </c>
      <c r="P20" s="279">
        <v>389.1</v>
      </c>
      <c r="Q20" s="279">
        <v>411.7</v>
      </c>
      <c r="R20" s="279">
        <v>375.8</v>
      </c>
      <c r="S20" s="279">
        <v>402.1</v>
      </c>
      <c r="T20" s="1047">
        <f>S20+(S20*[8]GDPGraph!O83/100)</f>
        <v>430.24700000000001</v>
      </c>
      <c r="U20" s="1071">
        <f t="shared" si="1"/>
        <v>-8.7199417051250894</v>
      </c>
      <c r="V20" s="1072">
        <f t="shared" si="2"/>
        <v>5.8082755075815893</v>
      </c>
      <c r="W20" s="1073">
        <f t="shared" si="3"/>
        <v>6.9984034060670597</v>
      </c>
      <c r="X20" s="301"/>
      <c r="Y20" s="301"/>
      <c r="Z20" s="5">
        <f>SUM(V20:V22)</f>
        <v>11.999037208323905</v>
      </c>
    </row>
    <row r="21" spans="2:28">
      <c r="B21" s="1068" t="s">
        <v>541</v>
      </c>
      <c r="C21" s="279">
        <v>35.799999999999997</v>
      </c>
      <c r="D21" s="279">
        <v>927</v>
      </c>
      <c r="E21" s="279">
        <v>916</v>
      </c>
      <c r="F21" s="279">
        <v>942</v>
      </c>
      <c r="G21" s="282">
        <v>977</v>
      </c>
      <c r="H21" s="282">
        <v>1087</v>
      </c>
      <c r="I21" s="279">
        <v>1317</v>
      </c>
      <c r="J21" s="279">
        <v>1486</v>
      </c>
      <c r="K21" s="279">
        <v>1529</v>
      </c>
      <c r="L21" s="279">
        <v>1532</v>
      </c>
      <c r="M21" s="279">
        <v>1590</v>
      </c>
      <c r="N21" s="279">
        <v>1659</v>
      </c>
      <c r="O21" s="279">
        <v>1697.7</v>
      </c>
      <c r="P21" s="279">
        <v>1731.5</v>
      </c>
      <c r="Q21" s="279">
        <v>1848.8</v>
      </c>
      <c r="R21" s="279">
        <v>1933</v>
      </c>
      <c r="S21" s="279">
        <v>2029.7</v>
      </c>
      <c r="T21" s="1047">
        <f>S21+(S21*[8]GDPGraph!O84/100)</f>
        <v>2131.1849999999999</v>
      </c>
      <c r="U21" s="1071">
        <f t="shared" si="1"/>
        <v>4.5543054954565232</v>
      </c>
      <c r="V21" s="1072">
        <f t="shared" si="2"/>
        <v>6.7744730002887641</v>
      </c>
      <c r="W21" s="1073">
        <f t="shared" si="3"/>
        <v>5.0025866528711864</v>
      </c>
      <c r="X21" s="301"/>
      <c r="Y21" s="301"/>
      <c r="Z21" s="5" t="e">
        <f>SUM(#REF!)</f>
        <v>#REF!</v>
      </c>
    </row>
    <row r="22" spans="2:28" s="33" customFormat="1">
      <c r="B22" s="1076" t="s">
        <v>1328</v>
      </c>
      <c r="C22" s="282">
        <v>2.5</v>
      </c>
      <c r="D22" s="282">
        <v>1982.8</v>
      </c>
      <c r="E22" s="282">
        <v>1982.2</v>
      </c>
      <c r="F22" s="282">
        <v>2193.3000000000002</v>
      </c>
      <c r="G22" s="282">
        <v>2170.8000000000002</v>
      </c>
      <c r="H22" s="282">
        <v>2185.4</v>
      </c>
      <c r="I22" s="282">
        <v>2393.5</v>
      </c>
      <c r="J22" s="282">
        <v>2450.8000000000002</v>
      </c>
      <c r="K22" s="282">
        <v>2284.1999999999998</v>
      </c>
      <c r="L22" s="282">
        <v>2292.5</v>
      </c>
      <c r="M22" s="282">
        <v>2501</v>
      </c>
      <c r="N22" s="282">
        <v>2255.3000000000002</v>
      </c>
      <c r="O22" s="282">
        <v>2294</v>
      </c>
      <c r="P22" s="282">
        <v>2535.5</v>
      </c>
      <c r="Q22" s="282">
        <v>2520.6999999999998</v>
      </c>
      <c r="R22" s="282">
        <v>2770.6</v>
      </c>
      <c r="S22" s="282">
        <v>2805.5</v>
      </c>
      <c r="T22" s="1070">
        <f>[8]GDPnom!T22/[8]GDPreal!S91</f>
        <v>5131.727897310514</v>
      </c>
      <c r="U22" s="1071">
        <f t="shared" si="1"/>
        <v>9.913912801999448</v>
      </c>
      <c r="V22" s="1072">
        <f t="shared" si="2"/>
        <v>-0.58371129954644774</v>
      </c>
      <c r="W22" s="1073">
        <f t="shared" si="3"/>
        <v>1.2596549483866344</v>
      </c>
      <c r="X22" s="1038"/>
      <c r="Y22" s="1038"/>
      <c r="AA22" s="33">
        <f>(3962/2)*2</f>
        <v>3962</v>
      </c>
      <c r="AB22" s="33" t="s">
        <v>1318</v>
      </c>
    </row>
    <row r="23" spans="2:28">
      <c r="B23" s="1068" t="s">
        <v>542</v>
      </c>
      <c r="C23" s="279">
        <v>88.5</v>
      </c>
      <c r="D23" s="279">
        <v>674.53</v>
      </c>
      <c r="E23" s="279">
        <v>754.71</v>
      </c>
      <c r="F23" s="279">
        <v>971.02</v>
      </c>
      <c r="G23" s="282">
        <v>1079.8900000000001</v>
      </c>
      <c r="H23" s="282">
        <v>1126.5999999999999</v>
      </c>
      <c r="I23" s="279">
        <v>1243.26</v>
      </c>
      <c r="J23" s="279">
        <v>1244.6500000000001</v>
      </c>
      <c r="K23" s="279">
        <v>1316.14</v>
      </c>
      <c r="L23" s="279">
        <v>1544.7</v>
      </c>
      <c r="M23" s="279">
        <v>2149.17</v>
      </c>
      <c r="N23" s="279">
        <v>2673</v>
      </c>
      <c r="O23" s="279">
        <v>3471.1</v>
      </c>
      <c r="P23" s="279">
        <v>4408.8</v>
      </c>
      <c r="Q23" s="279">
        <v>4643</v>
      </c>
      <c r="R23" s="279">
        <v>5036</v>
      </c>
      <c r="S23" s="279">
        <v>5551</v>
      </c>
      <c r="T23" s="1047">
        <f>S23+(S23*[8]GDPGraph!O86/100)</f>
        <v>5551</v>
      </c>
      <c r="U23" s="1071">
        <f t="shared" si="1"/>
        <v>8.4643549429248353</v>
      </c>
      <c r="V23" s="1072">
        <f t="shared" si="2"/>
        <v>5.31210306659408</v>
      </c>
      <c r="W23" s="1073">
        <f t="shared" si="3"/>
        <v>10.2263701350278</v>
      </c>
      <c r="X23" s="301"/>
      <c r="Y23" s="301"/>
      <c r="Z23" s="5">
        <v>2971</v>
      </c>
    </row>
    <row r="24" spans="2:28">
      <c r="B24" s="1044" t="s">
        <v>379</v>
      </c>
      <c r="C24" s="279"/>
      <c r="D24" s="279">
        <v>538</v>
      </c>
      <c r="E24" s="279">
        <v>562.4</v>
      </c>
      <c r="F24" s="279">
        <v>568.4</v>
      </c>
      <c r="G24" s="282">
        <v>619.5</v>
      </c>
      <c r="H24" s="282">
        <v>668.3</v>
      </c>
      <c r="I24" s="279">
        <v>627</v>
      </c>
      <c r="J24" s="279">
        <v>747.9</v>
      </c>
      <c r="K24" s="279">
        <v>834.2</v>
      </c>
      <c r="L24" s="279">
        <v>845.4</v>
      </c>
      <c r="M24" s="279">
        <v>899.2</v>
      </c>
      <c r="N24" s="279">
        <v>1040.5999999999999</v>
      </c>
      <c r="O24" s="282">
        <v>1190.8</v>
      </c>
      <c r="P24" s="279">
        <v>1285.5999999999999</v>
      </c>
      <c r="Q24" s="279">
        <v>1592.8</v>
      </c>
      <c r="R24" s="279">
        <v>1895.7</v>
      </c>
      <c r="S24" s="279">
        <v>2085.3000000000002</v>
      </c>
      <c r="T24" s="1047">
        <f>S24+(S24*[8]GDPGraph!O88/100)</f>
        <v>2287.3783179307761</v>
      </c>
      <c r="U24" s="1071">
        <f t="shared" si="1"/>
        <v>19.016825715720742</v>
      </c>
      <c r="V24" s="1072">
        <f t="shared" si="2"/>
        <v>23.895457373988805</v>
      </c>
      <c r="W24" s="1073">
        <f t="shared" si="3"/>
        <v>10.001582528881158</v>
      </c>
      <c r="X24" s="1042"/>
      <c r="Y24" s="1042"/>
      <c r="Z24" s="5">
        <f>S22*[8]GDPGraph!N85</f>
        <v>11653.341475959554</v>
      </c>
    </row>
    <row r="25" spans="2:28">
      <c r="B25" s="1043" t="s">
        <v>380</v>
      </c>
      <c r="C25" s="279">
        <v>121.5</v>
      </c>
      <c r="D25" s="1077">
        <v>19.3</v>
      </c>
      <c r="E25" s="1077">
        <v>22.9</v>
      </c>
      <c r="F25" s="1077">
        <v>48.8</v>
      </c>
      <c r="G25" s="1077">
        <v>52.5</v>
      </c>
      <c r="H25" s="1077">
        <v>59.1</v>
      </c>
      <c r="I25" s="1077">
        <v>70.099999999999994</v>
      </c>
      <c r="J25" s="1077">
        <v>73.7</v>
      </c>
      <c r="K25" s="1077">
        <v>72.599999999999994</v>
      </c>
      <c r="L25" s="1077">
        <v>78.099999999999994</v>
      </c>
      <c r="M25" s="1077">
        <v>88.5</v>
      </c>
      <c r="N25" s="1077">
        <v>90.1</v>
      </c>
      <c r="O25" s="1077">
        <v>115.2</v>
      </c>
      <c r="P25" s="1077">
        <v>118.7</v>
      </c>
      <c r="Q25" s="1077">
        <v>132.1</v>
      </c>
      <c r="R25" s="1077">
        <v>175.4</v>
      </c>
      <c r="S25" s="1077">
        <v>192.9</v>
      </c>
      <c r="U25" s="1071">
        <f t="shared" si="1"/>
        <v>32.778198334595011</v>
      </c>
      <c r="V25" s="1072">
        <f t="shared" si="2"/>
        <v>11.288963774220717</v>
      </c>
      <c r="W25" s="1073">
        <f t="shared" si="3"/>
        <v>9.9771949828962363</v>
      </c>
      <c r="X25" s="301"/>
      <c r="Y25" s="301"/>
      <c r="Z25" s="283"/>
    </row>
    <row r="26" spans="2:28">
      <c r="B26" s="4444" t="s">
        <v>381</v>
      </c>
      <c r="C26" s="279"/>
      <c r="D26" s="279"/>
      <c r="E26" s="279"/>
      <c r="F26" s="279"/>
      <c r="G26" s="282"/>
      <c r="H26" s="282"/>
      <c r="I26" s="279"/>
      <c r="J26" s="279"/>
      <c r="K26" s="279"/>
      <c r="L26" s="279"/>
      <c r="M26" s="279"/>
      <c r="N26" s="279"/>
      <c r="O26" s="284"/>
      <c r="P26" s="284"/>
      <c r="Q26" s="284"/>
      <c r="R26" s="279"/>
      <c r="S26" s="279"/>
      <c r="T26" s="1047"/>
      <c r="U26" s="1071"/>
      <c r="V26" s="1072"/>
      <c r="W26" s="1073"/>
      <c r="X26" s="1042"/>
      <c r="Y26" s="1042"/>
      <c r="Z26" s="5">
        <f>((Z24/S22)-1)*100</f>
        <v>315.37485211048136</v>
      </c>
    </row>
    <row r="27" spans="2:28">
      <c r="B27" s="4445"/>
      <c r="C27" s="279">
        <v>47.9</v>
      </c>
      <c r="D27" s="279">
        <v>795.67</v>
      </c>
      <c r="E27" s="279">
        <v>827.85</v>
      </c>
      <c r="F27" s="279">
        <v>916.61</v>
      </c>
      <c r="G27" s="282">
        <v>1124.8499999999999</v>
      </c>
      <c r="H27" s="282">
        <v>1132.6500000000001</v>
      </c>
      <c r="I27" s="279">
        <v>1184.3800000000001</v>
      </c>
      <c r="J27" s="279">
        <v>1303.8699999999999</v>
      </c>
      <c r="K27" s="279">
        <v>1480.04</v>
      </c>
      <c r="L27" s="279">
        <v>1658.04</v>
      </c>
      <c r="M27" s="279">
        <v>1775.37</v>
      </c>
      <c r="N27" s="279">
        <v>1881.06</v>
      </c>
      <c r="O27" s="279">
        <v>2019.51</v>
      </c>
      <c r="P27" s="279">
        <v>2111.65</v>
      </c>
      <c r="Q27" s="279">
        <v>2209.62</v>
      </c>
      <c r="R27" s="279">
        <v>2626.8</v>
      </c>
      <c r="S27" s="279">
        <v>2889.5</v>
      </c>
      <c r="T27" s="1047">
        <f>S27+(S27*[8]GDPGraph!O90/100)</f>
        <v>3099.1874392828513</v>
      </c>
      <c r="U27" s="1071">
        <f t="shared" si="1"/>
        <v>18.880169440899365</v>
      </c>
      <c r="V27" s="1072">
        <f t="shared" si="2"/>
        <v>4.6394999171264075</v>
      </c>
      <c r="W27" s="1073">
        <f t="shared" si="3"/>
        <v>10.000761382670923</v>
      </c>
      <c r="X27" s="301"/>
      <c r="Y27" s="301"/>
    </row>
    <row r="28" spans="2:28" ht="30">
      <c r="B28" s="1044" t="s">
        <v>382</v>
      </c>
      <c r="C28" s="279"/>
      <c r="D28" s="279">
        <f>SUM(D29:D30)</f>
        <v>536.04</v>
      </c>
      <c r="E28" s="279">
        <f t="shared" ref="E28:T28" si="4">SUM(E29:E30)</f>
        <v>562.79999999999995</v>
      </c>
      <c r="F28" s="279">
        <f t="shared" si="4"/>
        <v>592.29999999999995</v>
      </c>
      <c r="G28" s="279">
        <f t="shared" si="4"/>
        <v>608.01</v>
      </c>
      <c r="H28" s="279">
        <f t="shared" si="4"/>
        <v>635.31000000000006</v>
      </c>
      <c r="I28" s="279">
        <f t="shared" si="4"/>
        <v>752.24</v>
      </c>
      <c r="J28" s="279">
        <f t="shared" si="4"/>
        <v>749.02</v>
      </c>
      <c r="K28" s="279">
        <f t="shared" si="4"/>
        <v>864.48</v>
      </c>
      <c r="L28" s="279">
        <f t="shared" si="4"/>
        <v>1176.98</v>
      </c>
      <c r="M28" s="279">
        <f t="shared" si="4"/>
        <v>1159.24</v>
      </c>
      <c r="N28" s="279">
        <f t="shared" si="4"/>
        <v>1373.88</v>
      </c>
      <c r="O28" s="279">
        <f t="shared" si="4"/>
        <v>1391.8000000000002</v>
      </c>
      <c r="P28" s="279">
        <f t="shared" si="4"/>
        <v>1226.8</v>
      </c>
      <c r="Q28" s="279">
        <f t="shared" si="4"/>
        <v>1479.8</v>
      </c>
      <c r="R28" s="279">
        <f t="shared" si="4"/>
        <v>1564</v>
      </c>
      <c r="S28" s="279">
        <f t="shared" si="4"/>
        <v>1636.8</v>
      </c>
      <c r="T28" s="281">
        <f t="shared" si="4"/>
        <v>0</v>
      </c>
      <c r="U28" s="1071">
        <f t="shared" si="1"/>
        <v>5.6899581024462798</v>
      </c>
      <c r="V28" s="1072">
        <f t="shared" si="2"/>
        <v>20.622758395826541</v>
      </c>
      <c r="W28" s="1073">
        <f t="shared" si="3"/>
        <v>4.6547314578005086</v>
      </c>
      <c r="X28" s="301"/>
      <c r="Y28" s="301"/>
    </row>
    <row r="29" spans="2:28" ht="18" customHeight="1">
      <c r="B29" s="1043" t="s">
        <v>383</v>
      </c>
      <c r="C29" s="279">
        <v>70.2</v>
      </c>
      <c r="D29" s="279">
        <v>204.64</v>
      </c>
      <c r="E29" s="279">
        <v>238</v>
      </c>
      <c r="F29" s="279">
        <v>231.8</v>
      </c>
      <c r="G29" s="279">
        <v>189.81</v>
      </c>
      <c r="H29" s="279">
        <v>229.71</v>
      </c>
      <c r="I29" s="279">
        <v>336.44</v>
      </c>
      <c r="J29" s="279">
        <v>329.12</v>
      </c>
      <c r="K29" s="279">
        <v>436.58</v>
      </c>
      <c r="L29" s="279">
        <v>721.68</v>
      </c>
      <c r="M29" s="279">
        <v>632.44000000000005</v>
      </c>
      <c r="N29" s="279">
        <v>742.78</v>
      </c>
      <c r="O29" s="279">
        <v>794.6</v>
      </c>
      <c r="P29" s="279">
        <v>677.9</v>
      </c>
      <c r="Q29" s="279">
        <v>789</v>
      </c>
      <c r="R29" s="279">
        <v>864.6</v>
      </c>
      <c r="S29" s="279">
        <v>895.4</v>
      </c>
      <c r="U29" s="1071">
        <f t="shared" si="1"/>
        <v>9.5817490494296553</v>
      </c>
      <c r="V29" s="1072">
        <f t="shared" si="2"/>
        <v>16.388847912671491</v>
      </c>
      <c r="W29" s="1073">
        <f t="shared" si="3"/>
        <v>3.5623409669211141</v>
      </c>
      <c r="X29" s="301"/>
      <c r="Y29" s="301"/>
    </row>
    <row r="30" spans="2:28">
      <c r="B30" s="1043" t="s">
        <v>384</v>
      </c>
      <c r="C30" s="279"/>
      <c r="D30" s="279">
        <v>331.4</v>
      </c>
      <c r="E30" s="279">
        <v>324.8</v>
      </c>
      <c r="F30" s="279">
        <v>360.5</v>
      </c>
      <c r="G30" s="279">
        <v>418.2</v>
      </c>
      <c r="H30" s="279">
        <v>405.6</v>
      </c>
      <c r="I30" s="279">
        <v>415.8</v>
      </c>
      <c r="J30" s="279">
        <v>419.9</v>
      </c>
      <c r="K30" s="279">
        <v>427.9</v>
      </c>
      <c r="L30" s="279">
        <v>455.3</v>
      </c>
      <c r="M30" s="279">
        <v>526.79999999999995</v>
      </c>
      <c r="N30" s="279">
        <v>631.1</v>
      </c>
      <c r="O30" s="279">
        <v>597.20000000000005</v>
      </c>
      <c r="P30" s="279">
        <v>548.9</v>
      </c>
      <c r="Q30" s="279">
        <v>690.8</v>
      </c>
      <c r="R30" s="279">
        <v>699.4</v>
      </c>
      <c r="S30" s="279">
        <v>741.4</v>
      </c>
      <c r="T30" s="1047"/>
      <c r="U30" s="1071">
        <f t="shared" si="1"/>
        <v>1.2449334105385068</v>
      </c>
      <c r="V30" s="1072">
        <f t="shared" si="2"/>
        <v>25.851703406813627</v>
      </c>
      <c r="W30" s="1073">
        <f t="shared" si="3"/>
        <v>6.0051472690877894</v>
      </c>
      <c r="X30" s="301"/>
      <c r="Y30" s="301"/>
    </row>
    <row r="31" spans="2:28">
      <c r="B31" s="1043"/>
      <c r="C31" s="279"/>
      <c r="D31" s="279"/>
      <c r="E31" s="279"/>
      <c r="F31" s="279"/>
      <c r="G31" s="282"/>
      <c r="H31" s="282"/>
      <c r="I31" s="279"/>
      <c r="J31" s="279"/>
      <c r="K31" s="279"/>
      <c r="L31" s="279"/>
      <c r="M31" s="279"/>
      <c r="N31" s="279"/>
      <c r="O31" s="279"/>
      <c r="P31" s="279"/>
      <c r="Q31" s="279"/>
      <c r="R31" s="279"/>
      <c r="S31" s="279"/>
      <c r="T31" s="1047"/>
      <c r="U31" s="1071"/>
      <c r="V31" s="1072"/>
      <c r="W31" s="1073"/>
      <c r="X31" s="301"/>
      <c r="Y31" s="301"/>
    </row>
    <row r="32" spans="2:28" ht="36" customHeight="1">
      <c r="B32" s="1043" t="s">
        <v>1325</v>
      </c>
      <c r="C32" s="279"/>
      <c r="D32" s="279">
        <f>SUM(D33:D34)</f>
        <v>1945.3</v>
      </c>
      <c r="E32" s="279">
        <f t="shared" ref="E32:R32" si="5">SUM(E33:E34)</f>
        <v>1886.9</v>
      </c>
      <c r="F32" s="279">
        <f t="shared" si="5"/>
        <v>1792.6000000000001</v>
      </c>
      <c r="G32" s="279">
        <f t="shared" si="5"/>
        <v>1738.7</v>
      </c>
      <c r="H32" s="279">
        <f t="shared" si="5"/>
        <v>1761.4</v>
      </c>
      <c r="I32" s="279">
        <f t="shared" si="5"/>
        <v>1819.5</v>
      </c>
      <c r="J32" s="279">
        <f t="shared" si="5"/>
        <v>2087</v>
      </c>
      <c r="K32" s="279">
        <f t="shared" si="5"/>
        <v>2379.2000000000003</v>
      </c>
      <c r="L32" s="279">
        <f t="shared" si="5"/>
        <v>2483.8000000000002</v>
      </c>
      <c r="M32" s="279">
        <f t="shared" si="5"/>
        <v>2769.5</v>
      </c>
      <c r="N32" s="279">
        <f t="shared" si="5"/>
        <v>2813.7999999999997</v>
      </c>
      <c r="O32" s="279">
        <f t="shared" si="5"/>
        <v>2865.6</v>
      </c>
      <c r="P32" s="279">
        <f t="shared" si="5"/>
        <v>3156</v>
      </c>
      <c r="Q32" s="279">
        <f t="shared" si="5"/>
        <v>3392.2000000000003</v>
      </c>
      <c r="R32" s="279">
        <f t="shared" si="5"/>
        <v>3399.2</v>
      </c>
      <c r="S32" s="282">
        <v>3730.2</v>
      </c>
      <c r="T32" s="1047">
        <f>S32+(S32*[8]GDPGraph!O96/100)</f>
        <v>3958.8459620040594</v>
      </c>
      <c r="U32" s="1071">
        <f t="shared" si="1"/>
        <v>0.20635575732561584</v>
      </c>
      <c r="V32" s="1072">
        <f t="shared" si="2"/>
        <v>7.4841571609632531</v>
      </c>
      <c r="W32" s="1073">
        <f t="shared" si="3"/>
        <v>9.7375853141915751</v>
      </c>
      <c r="X32" s="161"/>
      <c r="Y32" s="1038"/>
      <c r="Z32" s="33"/>
    </row>
    <row r="33" spans="2:26" ht="18" customHeight="1">
      <c r="B33" s="1078" t="s">
        <v>1323</v>
      </c>
      <c r="C33" s="279"/>
      <c r="D33" s="279">
        <v>1825.2</v>
      </c>
      <c r="E33" s="279">
        <v>1770.4</v>
      </c>
      <c r="F33" s="279">
        <v>1681.9</v>
      </c>
      <c r="G33" s="279">
        <v>1631.4</v>
      </c>
      <c r="H33" s="279">
        <v>1652.7</v>
      </c>
      <c r="I33" s="279">
        <v>1707.2</v>
      </c>
      <c r="J33" s="279">
        <v>1958.2</v>
      </c>
      <c r="K33" s="279">
        <v>2232.3000000000002</v>
      </c>
      <c r="L33" s="279">
        <v>2330.5</v>
      </c>
      <c r="M33" s="279">
        <v>2598.5</v>
      </c>
      <c r="N33" s="279">
        <v>2640.1</v>
      </c>
      <c r="O33" s="279">
        <v>2697.4</v>
      </c>
      <c r="P33" s="279">
        <v>2966.4</v>
      </c>
      <c r="Q33" s="279">
        <v>3188.3</v>
      </c>
      <c r="R33" s="279">
        <v>3178.6</v>
      </c>
      <c r="S33" s="282"/>
      <c r="T33" s="1047"/>
      <c r="U33" s="1071">
        <f t="shared" si="1"/>
        <v>-0.30423736787630329</v>
      </c>
      <c r="V33" s="1072">
        <f t="shared" si="2"/>
        <v>7.4804476806904026</v>
      </c>
      <c r="W33" s="1073">
        <f t="shared" si="3"/>
        <v>-100</v>
      </c>
      <c r="X33" s="301"/>
      <c r="Y33" s="301"/>
    </row>
    <row r="34" spans="2:26" ht="18" customHeight="1">
      <c r="B34" s="1078" t="s">
        <v>1324</v>
      </c>
      <c r="C34" s="279"/>
      <c r="D34" s="279">
        <v>120.1</v>
      </c>
      <c r="E34" s="279">
        <v>116.5</v>
      </c>
      <c r="F34" s="279">
        <v>110.7</v>
      </c>
      <c r="G34" s="282">
        <v>107.3</v>
      </c>
      <c r="H34" s="282">
        <v>108.7</v>
      </c>
      <c r="I34" s="279">
        <v>112.3</v>
      </c>
      <c r="J34" s="279">
        <v>128.80000000000001</v>
      </c>
      <c r="K34" s="279">
        <v>146.9</v>
      </c>
      <c r="L34" s="279">
        <v>153.30000000000001</v>
      </c>
      <c r="M34" s="279">
        <v>171</v>
      </c>
      <c r="N34" s="279">
        <v>173.7</v>
      </c>
      <c r="O34" s="279">
        <v>168.2</v>
      </c>
      <c r="P34" s="284">
        <v>189.6</v>
      </c>
      <c r="Q34" s="284">
        <v>203.9</v>
      </c>
      <c r="R34" s="279">
        <v>220.6</v>
      </c>
      <c r="S34" s="282"/>
      <c r="T34" s="1047"/>
      <c r="U34" s="1071">
        <f t="shared" si="1"/>
        <v>8.1902893575281901</v>
      </c>
      <c r="V34" s="1072">
        <f t="shared" si="2"/>
        <v>7.5421940928270104</v>
      </c>
      <c r="W34" s="1073">
        <f t="shared" si="3"/>
        <v>-100</v>
      </c>
      <c r="X34" s="301"/>
      <c r="Y34" s="301"/>
    </row>
    <row r="35" spans="2:26" ht="25.5">
      <c r="B35" s="1045" t="s">
        <v>1326</v>
      </c>
      <c r="C35" s="279"/>
      <c r="D35" s="1079" t="s">
        <v>244</v>
      </c>
      <c r="E35" s="1079" t="s">
        <v>244</v>
      </c>
      <c r="F35" s="1079" t="s">
        <v>244</v>
      </c>
      <c r="G35" s="1079" t="s">
        <v>244</v>
      </c>
      <c r="H35" s="1079" t="s">
        <v>244</v>
      </c>
      <c r="I35" s="1079" t="s">
        <v>244</v>
      </c>
      <c r="J35" s="1079" t="s">
        <v>244</v>
      </c>
      <c r="K35" s="1079" t="s">
        <v>244</v>
      </c>
      <c r="L35" s="1079" t="s">
        <v>244</v>
      </c>
      <c r="M35" s="1079" t="s">
        <v>244</v>
      </c>
      <c r="N35" s="279">
        <v>96.2</v>
      </c>
      <c r="O35" s="284">
        <v>97.2</v>
      </c>
      <c r="P35" s="284">
        <v>100.3</v>
      </c>
      <c r="Q35" s="284">
        <v>109.5</v>
      </c>
      <c r="R35" s="279">
        <v>119.9</v>
      </c>
      <c r="S35" s="282"/>
      <c r="T35" s="1047"/>
      <c r="U35" s="1071">
        <f t="shared" si="1"/>
        <v>9.4977168949771809</v>
      </c>
      <c r="V35" s="1072">
        <f t="shared" si="2"/>
        <v>9.1724825523429736</v>
      </c>
      <c r="W35" s="1073">
        <f t="shared" si="3"/>
        <v>-100</v>
      </c>
      <c r="X35" s="1042"/>
      <c r="Y35" s="1042"/>
    </row>
    <row r="36" spans="2:26">
      <c r="B36" s="1045" t="s">
        <v>1327</v>
      </c>
      <c r="C36" s="279"/>
      <c r="D36" s="279">
        <v>311.63</v>
      </c>
      <c r="E36" s="279">
        <v>331.25</v>
      </c>
      <c r="F36" s="279">
        <v>325.93</v>
      </c>
      <c r="G36" s="282">
        <v>313.56</v>
      </c>
      <c r="H36" s="282">
        <v>548.44000000000005</v>
      </c>
      <c r="I36" s="279">
        <v>511.43</v>
      </c>
      <c r="J36" s="279">
        <v>478.67</v>
      </c>
      <c r="K36" s="279">
        <v>617.07000000000005</v>
      </c>
      <c r="L36" s="279">
        <v>606.66999999999996</v>
      </c>
      <c r="M36" s="279">
        <v>646.88</v>
      </c>
      <c r="N36" s="279">
        <v>491.4</v>
      </c>
      <c r="O36" s="279">
        <v>532.6</v>
      </c>
      <c r="P36" s="279">
        <v>648</v>
      </c>
      <c r="Q36" s="279">
        <v>987.1</v>
      </c>
      <c r="R36" s="279">
        <v>1230.8</v>
      </c>
      <c r="S36" s="279">
        <v>1317</v>
      </c>
      <c r="T36" s="1047"/>
      <c r="U36" s="1071">
        <f t="shared" si="1"/>
        <v>24.688481410191464</v>
      </c>
      <c r="V36" s="1072">
        <f t="shared" si="2"/>
        <v>52.330246913580247</v>
      </c>
      <c r="W36" s="1073">
        <f t="shared" si="3"/>
        <v>7.0035749106272389</v>
      </c>
      <c r="X36" s="301"/>
      <c r="Y36" s="301"/>
    </row>
    <row r="37" spans="2:26" ht="30">
      <c r="B37" s="1043" t="s">
        <v>398</v>
      </c>
      <c r="C37" s="279">
        <v>-20</v>
      </c>
      <c r="D37" s="279">
        <v>79.7</v>
      </c>
      <c r="E37" s="279">
        <v>40.020000000000003</v>
      </c>
      <c r="F37" s="279">
        <v>103</v>
      </c>
      <c r="G37" s="282">
        <v>101.1</v>
      </c>
      <c r="H37" s="282">
        <v>109.6</v>
      </c>
      <c r="I37" s="279">
        <v>108.6</v>
      </c>
      <c r="J37" s="279">
        <v>32.1</v>
      </c>
      <c r="K37" s="279">
        <v>139.5</v>
      </c>
      <c r="L37" s="279">
        <v>154.9</v>
      </c>
      <c r="M37" s="279">
        <v>196.2</v>
      </c>
      <c r="N37" s="279">
        <v>159.43</v>
      </c>
      <c r="O37" s="279">
        <v>293.83</v>
      </c>
      <c r="P37" s="279">
        <v>251.19</v>
      </c>
      <c r="Q37" s="279">
        <v>365.29</v>
      </c>
      <c r="R37" s="279">
        <v>419.09</v>
      </c>
      <c r="S37" s="279">
        <v>434.2</v>
      </c>
      <c r="T37" s="1047"/>
      <c r="U37" s="1071">
        <f t="shared" si="1"/>
        <v>14.728024309452747</v>
      </c>
      <c r="V37" s="1072">
        <f t="shared" si="2"/>
        <v>45.42378279390104</v>
      </c>
      <c r="W37" s="1073">
        <f t="shared" si="3"/>
        <v>3.6054308143835487</v>
      </c>
      <c r="X37" s="301"/>
      <c r="Y37" s="301"/>
    </row>
    <row r="38" spans="2:26">
      <c r="B38" s="1080"/>
      <c r="C38" s="285"/>
      <c r="D38" s="285"/>
      <c r="E38" s="285"/>
      <c r="F38" s="285"/>
      <c r="G38" s="781"/>
      <c r="H38" s="781"/>
      <c r="I38" s="285"/>
      <c r="J38" s="285"/>
      <c r="K38" s="285"/>
      <c r="L38" s="781"/>
      <c r="M38" s="781"/>
      <c r="N38" s="781"/>
      <c r="O38" s="781"/>
      <c r="P38" s="781"/>
      <c r="Q38" s="781"/>
      <c r="R38" s="1081"/>
      <c r="S38" s="1081"/>
      <c r="T38" s="1082"/>
      <c r="U38" s="1083"/>
      <c r="V38" s="1072"/>
      <c r="W38" s="1073"/>
      <c r="X38" s="301"/>
      <c r="Y38" s="301"/>
    </row>
    <row r="39" spans="2:26">
      <c r="B39" s="1084" t="s">
        <v>543</v>
      </c>
      <c r="C39" s="782">
        <f>SUM(C16:C37)</f>
        <v>974.59999999999991</v>
      </c>
      <c r="D39" s="782">
        <f t="shared" ref="D39:S39" si="6">SUM(D14,D20:D28,D32,D35,D36)-D37</f>
        <v>12509.509999999997</v>
      </c>
      <c r="E39" s="782">
        <f t="shared" si="6"/>
        <v>12699.329999999998</v>
      </c>
      <c r="F39" s="782">
        <f t="shared" si="6"/>
        <v>13178.91</v>
      </c>
      <c r="G39" s="782">
        <f t="shared" si="6"/>
        <v>13498.35</v>
      </c>
      <c r="H39" s="782">
        <f t="shared" si="6"/>
        <v>14069.609999999999</v>
      </c>
      <c r="I39" s="782">
        <f t="shared" si="6"/>
        <v>14924.68</v>
      </c>
      <c r="J39" s="782">
        <f t="shared" si="6"/>
        <v>15846.810000000001</v>
      </c>
      <c r="K39" s="782">
        <f t="shared" si="6"/>
        <v>16683.47</v>
      </c>
      <c r="L39" s="782">
        <f t="shared" si="6"/>
        <v>17616.069999999996</v>
      </c>
      <c r="M39" s="782">
        <f t="shared" si="6"/>
        <v>19016.21</v>
      </c>
      <c r="N39" s="782">
        <f t="shared" si="6"/>
        <v>20084.990000000002</v>
      </c>
      <c r="O39" s="782">
        <f t="shared" si="6"/>
        <v>21583.549999999996</v>
      </c>
      <c r="P39" s="782">
        <f t="shared" si="6"/>
        <v>23493.84</v>
      </c>
      <c r="Q39" s="782">
        <f t="shared" si="6"/>
        <v>25160.449999999993</v>
      </c>
      <c r="R39" s="782">
        <f t="shared" si="6"/>
        <v>27059.480000000003</v>
      </c>
      <c r="S39" s="782">
        <f t="shared" si="6"/>
        <v>28699.200000000001</v>
      </c>
      <c r="T39" s="1085">
        <f>SUM(T16:T37)</f>
        <v>29246.905008442842</v>
      </c>
      <c r="U39" s="286">
        <f>((R39/Q39)-1)*100</f>
        <v>7.5476789962024116</v>
      </c>
      <c r="V39" s="1072">
        <f t="shared" si="2"/>
        <v>7.0938169324384317</v>
      </c>
      <c r="W39" s="1073">
        <f t="shared" si="3"/>
        <v>6.0596877693141087</v>
      </c>
      <c r="X39" s="301"/>
      <c r="Y39" s="9"/>
      <c r="Z39" s="5" t="s">
        <v>924</v>
      </c>
    </row>
    <row r="40" spans="2:26" ht="24" customHeight="1">
      <c r="B40" s="1048" t="s">
        <v>391</v>
      </c>
      <c r="C40" s="1047"/>
      <c r="D40" s="1086">
        <v>2.94</v>
      </c>
      <c r="E40" s="1086">
        <f>((E39-D39)/D39)*100</f>
        <v>1.517405557851599</v>
      </c>
      <c r="F40" s="1086">
        <f t="shared" ref="F40:T40" si="7">((F39-E39)/E39)*100</f>
        <v>3.7764197008818714</v>
      </c>
      <c r="G40" s="1086">
        <f t="shared" si="7"/>
        <v>2.4238726874984389</v>
      </c>
      <c r="H40" s="1086">
        <f t="shared" si="7"/>
        <v>4.2320728088988533</v>
      </c>
      <c r="I40" s="1086">
        <f t="shared" si="7"/>
        <v>6.0774250316817708</v>
      </c>
      <c r="J40" s="1086">
        <f t="shared" si="7"/>
        <v>6.1785579322303796</v>
      </c>
      <c r="K40" s="1086">
        <f t="shared" si="7"/>
        <v>5.2796745843485207</v>
      </c>
      <c r="L40" s="1086">
        <f t="shared" si="7"/>
        <v>5.5899641980954495</v>
      </c>
      <c r="M40" s="1086">
        <f t="shared" si="7"/>
        <v>7.9480837666971311</v>
      </c>
      <c r="N40" s="1086">
        <f t="shared" si="7"/>
        <v>5.6203628378104922</v>
      </c>
      <c r="O40" s="1086">
        <f t="shared" si="7"/>
        <v>7.4610940807040187</v>
      </c>
      <c r="P40" s="1086">
        <f t="shared" si="7"/>
        <v>8.8506756302832716</v>
      </c>
      <c r="Q40" s="1086">
        <f t="shared" si="7"/>
        <v>7.0938169324384317</v>
      </c>
      <c r="R40" s="1086">
        <f t="shared" si="7"/>
        <v>7.5476789962024142</v>
      </c>
      <c r="S40" s="1086">
        <f t="shared" si="7"/>
        <v>6.0596877693141087</v>
      </c>
      <c r="T40" s="1087">
        <f t="shared" si="7"/>
        <v>1.9084330170974839</v>
      </c>
      <c r="U40" s="1087"/>
      <c r="V40" s="1088"/>
      <c r="W40" s="1088"/>
      <c r="X40" s="301"/>
      <c r="Y40" s="9"/>
    </row>
    <row r="41" spans="2:26" ht="46.5" customHeight="1">
      <c r="B41" s="4451" t="s">
        <v>396</v>
      </c>
      <c r="C41" s="4451"/>
      <c r="D41" s="4451"/>
      <c r="E41" s="4451"/>
      <c r="F41" s="4451"/>
      <c r="G41" s="4451"/>
      <c r="H41" s="4451"/>
      <c r="I41" s="4451"/>
      <c r="J41" s="4451"/>
      <c r="K41" s="4451"/>
      <c r="L41" s="4451"/>
      <c r="M41" s="4451"/>
      <c r="N41" s="4451"/>
      <c r="O41" s="4451"/>
      <c r="P41" s="4451"/>
      <c r="Q41" s="4451"/>
      <c r="R41" s="4451"/>
      <c r="S41" s="4451"/>
      <c r="T41" s="4451"/>
      <c r="U41" s="4451"/>
      <c r="V41" s="1089"/>
      <c r="W41" s="1089"/>
      <c r="X41" s="301"/>
      <c r="Y41" s="9"/>
    </row>
    <row r="42" spans="2:26" ht="21" customHeight="1">
      <c r="B42" s="927"/>
      <c r="C42" s="927"/>
      <c r="D42" s="927"/>
      <c r="E42" s="927"/>
      <c r="F42" s="927"/>
      <c r="G42" s="927"/>
      <c r="H42" s="927"/>
      <c r="I42" s="927"/>
      <c r="J42" s="927"/>
      <c r="K42" s="927"/>
      <c r="L42" s="927"/>
      <c r="M42" s="927"/>
      <c r="N42" s="927"/>
      <c r="O42" s="927"/>
      <c r="P42" s="927"/>
      <c r="Q42" s="927"/>
      <c r="R42" s="927"/>
      <c r="S42" s="927"/>
      <c r="T42" s="927"/>
      <c r="U42" s="927"/>
      <c r="V42" s="1089"/>
      <c r="W42" s="1089"/>
      <c r="X42" s="301"/>
      <c r="Y42" s="9"/>
    </row>
    <row r="43" spans="2:26" ht="46.5" customHeight="1">
      <c r="B43" s="288" t="s">
        <v>925</v>
      </c>
      <c r="C43" s="75"/>
      <c r="D43" s="75"/>
      <c r="E43" s="75"/>
      <c r="F43" s="75"/>
      <c r="M43" s="289">
        <f>SUM(M16:M37)</f>
        <v>23337.350000000002</v>
      </c>
      <c r="P43" s="290">
        <f>SUM(P16:P37)</f>
        <v>28379.02</v>
      </c>
      <c r="Q43" s="289">
        <f>SUM(Q16:Q37)</f>
        <v>30763.029999999995</v>
      </c>
      <c r="R43" s="291"/>
      <c r="S43" s="291"/>
      <c r="T43" s="291"/>
      <c r="U43" s="291">
        <f>((T14/S14)-1)*100</f>
        <v>2.4999999999999911</v>
      </c>
      <c r="V43" s="288"/>
      <c r="W43" s="288"/>
      <c r="X43" s="292"/>
      <c r="Y43" s="293">
        <f>SUM(Y16:Y37)</f>
        <v>0</v>
      </c>
      <c r="Z43" s="288" t="s">
        <v>925</v>
      </c>
    </row>
    <row r="44" spans="2:26" ht="30" customHeight="1">
      <c r="B44" s="4452" t="s">
        <v>1319</v>
      </c>
      <c r="C44" s="4452"/>
      <c r="D44" s="4452"/>
      <c r="E44" s="4452"/>
      <c r="F44" s="4452"/>
      <c r="G44" s="4452"/>
      <c r="H44" s="4452"/>
      <c r="I44" s="4452"/>
      <c r="J44" s="4452"/>
      <c r="K44" s="4452"/>
      <c r="L44" s="4452"/>
      <c r="M44" s="4452"/>
      <c r="N44" s="4452"/>
      <c r="O44" s="4452"/>
      <c r="P44" s="4452"/>
      <c r="Q44" s="4452"/>
      <c r="R44" s="779"/>
      <c r="S44" s="779"/>
      <c r="T44" s="779">
        <f>((T39/S39)-1)*100</f>
        <v>1.9084330170974884</v>
      </c>
      <c r="U44" s="779"/>
      <c r="W44" s="5">
        <f>S14/S39</f>
        <v>0.22625717790042926</v>
      </c>
    </row>
    <row r="45" spans="2:26" ht="7.5" customHeight="1">
      <c r="B45" s="4452"/>
      <c r="C45" s="4452"/>
      <c r="D45" s="4452"/>
      <c r="E45" s="4452"/>
      <c r="F45" s="4452"/>
      <c r="G45" s="4452"/>
      <c r="H45" s="4452"/>
      <c r="I45" s="4452"/>
      <c r="J45" s="4452"/>
      <c r="K45" s="4452"/>
      <c r="L45" s="4452"/>
      <c r="M45" s="4452"/>
      <c r="N45" s="4452"/>
      <c r="O45" s="4452"/>
      <c r="P45" s="4452"/>
      <c r="Q45" s="4452"/>
      <c r="R45" s="779"/>
      <c r="S45" s="779"/>
      <c r="T45" s="779"/>
      <c r="U45" s="779"/>
    </row>
    <row r="46" spans="2:26">
      <c r="B46" s="75"/>
      <c r="C46" s="75"/>
      <c r="D46" s="75"/>
      <c r="E46" s="75"/>
      <c r="F46" s="75"/>
      <c r="H46" s="5">
        <f>((H39-G39)/G39)*100</f>
        <v>4.2320728088988533</v>
      </c>
      <c r="I46" s="5">
        <f t="shared" ref="I46:T46" si="8">((I39-H39)/H39)*100</f>
        <v>6.0774250316817708</v>
      </c>
      <c r="J46" s="5">
        <f t="shared" si="8"/>
        <v>6.1785579322303796</v>
      </c>
      <c r="K46" s="5">
        <f t="shared" si="8"/>
        <v>5.2796745843485207</v>
      </c>
      <c r="L46" s="5">
        <f t="shared" si="8"/>
        <v>5.5899641980954495</v>
      </c>
      <c r="M46" s="5">
        <f>((M43-L39)/L39)*100</f>
        <v>32.477618447247359</v>
      </c>
      <c r="N46" s="5">
        <f>((N39-M43)/M43)*100</f>
        <v>-13.9362866820783</v>
      </c>
      <c r="O46" s="5">
        <f t="shared" si="8"/>
        <v>7.4610940807040187</v>
      </c>
      <c r="P46" s="5">
        <f t="shared" si="8"/>
        <v>8.8506756302832716</v>
      </c>
      <c r="Q46" s="5">
        <f t="shared" si="8"/>
        <v>7.0938169324384317</v>
      </c>
      <c r="R46" s="5">
        <f t="shared" si="8"/>
        <v>7.5476789962024142</v>
      </c>
      <c r="S46" s="5">
        <f t="shared" si="8"/>
        <v>6.0596877693141087</v>
      </c>
      <c r="T46" s="5">
        <f t="shared" si="8"/>
        <v>1.9084330170974839</v>
      </c>
    </row>
    <row r="47" spans="2:26">
      <c r="B47" s="75" t="s">
        <v>544</v>
      </c>
      <c r="C47" s="75"/>
      <c r="D47" s="75"/>
      <c r="E47" s="75"/>
      <c r="F47" s="75"/>
      <c r="H47" s="5">
        <f>H39-G39</f>
        <v>571.2599999999984</v>
      </c>
      <c r="I47" s="5">
        <f t="shared" ref="I47:O47" si="9">I39-H39</f>
        <v>855.07000000000153</v>
      </c>
      <c r="J47" s="294">
        <f t="shared" si="9"/>
        <v>922.13000000000102</v>
      </c>
      <c r="K47" s="5">
        <f t="shared" si="9"/>
        <v>836.65999999999985</v>
      </c>
      <c r="L47" s="5">
        <f t="shared" si="9"/>
        <v>932.59999999999491</v>
      </c>
      <c r="M47" s="5">
        <f>M43-L39</f>
        <v>5721.2800000000061</v>
      </c>
      <c r="N47" s="5">
        <f>N39-M43</f>
        <v>-3252.3600000000006</v>
      </c>
      <c r="O47" s="5">
        <f t="shared" si="9"/>
        <v>1498.559999999994</v>
      </c>
      <c r="P47" s="5">
        <f>P43-O39</f>
        <v>6795.4700000000048</v>
      </c>
      <c r="T47" s="5">
        <f>((T22/S22)-1)*100</f>
        <v>82.916695680289209</v>
      </c>
    </row>
    <row r="48" spans="2:26">
      <c r="C48" s="5">
        <f>GEOMEAN(G39:N39)</f>
        <v>16323.943294813669</v>
      </c>
      <c r="H48" s="5" t="e">
        <f>GEOMEAN(H46:N46)</f>
        <v>#NUM!</v>
      </c>
    </row>
    <row r="49" spans="2:22">
      <c r="H49" s="5" t="e">
        <f>GEOMEAN(H47:N47)</f>
        <v>#NUM!</v>
      </c>
    </row>
    <row r="50" spans="2:22">
      <c r="B50" s="5" t="s">
        <v>545</v>
      </c>
      <c r="H50" s="294">
        <f>((H39-G39)/G39)*100</f>
        <v>4.2320728088988533</v>
      </c>
      <c r="I50" s="294">
        <f>((I39-H39)/H39)*100</f>
        <v>6.0774250316817708</v>
      </c>
      <c r="J50" s="294">
        <f>((J39-I39)/I39)*100</f>
        <v>6.1785579322303796</v>
      </c>
      <c r="K50" s="294">
        <f>((K39-J39)/J39)*100</f>
        <v>5.2796745843485207</v>
      </c>
      <c r="L50" s="294">
        <f>((L39-K39)/K39)*100</f>
        <v>5.5899641980954495</v>
      </c>
      <c r="M50" s="294">
        <f>((M43-L39)/L39)*100</f>
        <v>32.477618447247359</v>
      </c>
      <c r="N50" s="294">
        <f>((N39-M43)/M43)*100</f>
        <v>-13.9362866820783</v>
      </c>
      <c r="O50" s="294">
        <f t="shared" ref="O50:T50" si="10">((O39-N39)/N39)*100</f>
        <v>7.4610940807040187</v>
      </c>
      <c r="P50" s="294">
        <f t="shared" si="10"/>
        <v>8.8506756302832716</v>
      </c>
      <c r="Q50" s="294">
        <f t="shared" si="10"/>
        <v>7.0938169324384317</v>
      </c>
      <c r="R50" s="294">
        <f t="shared" si="10"/>
        <v>7.5476789962024142</v>
      </c>
      <c r="S50" s="294">
        <f>((S39-R39)/R39)*100</f>
        <v>6.0596877693141087</v>
      </c>
      <c r="T50" s="294">
        <f t="shared" si="10"/>
        <v>1.9084330170974839</v>
      </c>
      <c r="U50" s="294">
        <f>AVERAGE(P50:S50)</f>
        <v>7.3879648320595566</v>
      </c>
      <c r="V50" s="5" t="s">
        <v>1330</v>
      </c>
    </row>
    <row r="51" spans="2:22">
      <c r="H51" s="5" t="e">
        <f>(H49-1)*100</f>
        <v>#NUM!</v>
      </c>
    </row>
    <row r="52" spans="2:22" ht="19.5">
      <c r="B52" s="1049" t="s">
        <v>392</v>
      </c>
    </row>
    <row r="53" spans="2:22" ht="18">
      <c r="B53" s="1050" t="s">
        <v>393</v>
      </c>
    </row>
    <row r="54" spans="2:22">
      <c r="B54" s="274"/>
    </row>
    <row r="55" spans="2:22">
      <c r="M55" s="1090">
        <v>1999</v>
      </c>
      <c r="N55" s="1090">
        <v>2000</v>
      </c>
      <c r="O55" s="1090">
        <v>2001</v>
      </c>
      <c r="P55" s="1090">
        <v>2002</v>
      </c>
      <c r="Q55" s="1090">
        <v>2003</v>
      </c>
      <c r="R55" s="1091" t="s">
        <v>1331</v>
      </c>
      <c r="S55" s="1091"/>
      <c r="T55" s="1091"/>
      <c r="U55" s="1091"/>
    </row>
    <row r="56" spans="2:22">
      <c r="B56" s="5" t="s">
        <v>1333</v>
      </c>
      <c r="M56" s="5">
        <f>((M14-L14)/L14)*100</f>
        <v>1.5154809034531731</v>
      </c>
      <c r="N56" s="5">
        <f>((N14-M14)/M14)*100</f>
        <v>4.6085641560295665</v>
      </c>
      <c r="O56" s="5">
        <f>((O14-N14)/N14)*100</f>
        <v>5.0423080514592318</v>
      </c>
      <c r="P56" s="5">
        <f>((P14-O14)/O14)*100</f>
        <v>3.1389168591342407</v>
      </c>
      <c r="Q56" s="5">
        <f>((Q14-P14)/P14)*100</f>
        <v>2.7405570620644868</v>
      </c>
      <c r="R56" s="1092">
        <f>U14</f>
        <v>2.4675643147769932</v>
      </c>
      <c r="S56" s="1092"/>
      <c r="T56" s="1092"/>
      <c r="U56" s="1092"/>
      <c r="V56" s="5" t="s">
        <v>1316</v>
      </c>
    </row>
    <row r="57" spans="2:22">
      <c r="B57" s="5" t="s">
        <v>1315</v>
      </c>
      <c r="L57" s="1093">
        <f t="shared" ref="L57:R57" si="11">L20+L21+L22+L23</f>
        <v>5678.0999999999995</v>
      </c>
      <c r="M57" s="1093">
        <f t="shared" si="11"/>
        <v>6550.37</v>
      </c>
      <c r="N57" s="1093">
        <f t="shared" si="11"/>
        <v>6888.7000000000007</v>
      </c>
      <c r="O57" s="1093">
        <f t="shared" si="11"/>
        <v>7815.2000000000007</v>
      </c>
      <c r="P57" s="1093">
        <f t="shared" si="11"/>
        <v>9064.9000000000015</v>
      </c>
      <c r="Q57" s="1093">
        <f t="shared" si="11"/>
        <v>9424.2000000000007</v>
      </c>
      <c r="R57" s="1091">
        <f t="shared" si="11"/>
        <v>10115.4</v>
      </c>
      <c r="S57" s="1092"/>
      <c r="T57" s="1092"/>
      <c r="U57" s="1092"/>
    </row>
    <row r="58" spans="2:22">
      <c r="B58" s="5" t="s">
        <v>1321</v>
      </c>
      <c r="M58" s="5">
        <f t="shared" ref="M58:R58" si="12">((M57-L57)/L57)*100</f>
        <v>15.362004896003953</v>
      </c>
      <c r="N58" s="5">
        <f t="shared" si="12"/>
        <v>5.165051745168606</v>
      </c>
      <c r="O58" s="5">
        <f t="shared" si="12"/>
        <v>13.449562326708955</v>
      </c>
      <c r="P58" s="5">
        <f t="shared" si="12"/>
        <v>15.990633637015057</v>
      </c>
      <c r="Q58" s="5">
        <f t="shared" si="12"/>
        <v>3.963639973965507</v>
      </c>
      <c r="R58" s="274">
        <f t="shared" si="12"/>
        <v>7.3343095435156176</v>
      </c>
      <c r="S58" s="1092"/>
      <c r="T58" s="1092"/>
      <c r="U58" s="1092"/>
      <c r="V58" s="5" t="s">
        <v>1316</v>
      </c>
    </row>
    <row r="59" spans="2:22">
      <c r="R59" s="1092"/>
      <c r="S59" s="1092"/>
      <c r="T59" s="1092"/>
      <c r="U59" s="1092"/>
    </row>
    <row r="60" spans="2:22">
      <c r="B60" s="5" t="s">
        <v>1314</v>
      </c>
      <c r="R60" s="1092"/>
      <c r="S60" s="1092"/>
      <c r="T60" s="1092"/>
      <c r="U60" s="1092"/>
    </row>
    <row r="61" spans="2:22">
      <c r="B61" s="5" t="s">
        <v>594</v>
      </c>
      <c r="L61" s="1093">
        <f t="shared" ref="L61:R61" si="13">L24+L27+L28+L32</f>
        <v>6164.22</v>
      </c>
      <c r="M61" s="1093">
        <f t="shared" si="13"/>
        <v>6603.3099999999995</v>
      </c>
      <c r="N61" s="1093">
        <f t="shared" si="13"/>
        <v>7109.34</v>
      </c>
      <c r="O61" s="1093">
        <f t="shared" si="13"/>
        <v>7467.7100000000009</v>
      </c>
      <c r="P61" s="1093">
        <f t="shared" si="13"/>
        <v>7780.05</v>
      </c>
      <c r="Q61" s="1093">
        <f t="shared" si="13"/>
        <v>8674.42</v>
      </c>
      <c r="R61" s="1091">
        <f t="shared" si="13"/>
        <v>9485.7000000000007</v>
      </c>
      <c r="S61" s="1092"/>
      <c r="T61" s="1092"/>
      <c r="U61" s="1092"/>
    </row>
    <row r="62" spans="2:22">
      <c r="M62" s="5">
        <f t="shared" ref="M62:R62" si="14">((M61-L61)/L61)*100</f>
        <v>7.1232045579164796</v>
      </c>
      <c r="N62" s="5">
        <f t="shared" si="14"/>
        <v>7.663277962112951</v>
      </c>
      <c r="O62" s="5">
        <f t="shared" si="14"/>
        <v>5.0408336076204092</v>
      </c>
      <c r="P62" s="5">
        <f t="shared" si="14"/>
        <v>4.182540564644305</v>
      </c>
      <c r="Q62" s="5">
        <f t="shared" si="14"/>
        <v>11.495684475035507</v>
      </c>
      <c r="R62" s="1092">
        <f t="shared" si="14"/>
        <v>9.3525561363180554</v>
      </c>
      <c r="S62" s="1092"/>
      <c r="T62" s="1092"/>
      <c r="U62" s="1092"/>
      <c r="V62" s="5" t="s">
        <v>1316</v>
      </c>
    </row>
    <row r="64" spans="2:22">
      <c r="L64" s="5" t="s">
        <v>1320</v>
      </c>
    </row>
    <row r="90" spans="2:19" s="1094" customFormat="1">
      <c r="B90" s="1094" t="s">
        <v>1317</v>
      </c>
    </row>
    <row r="91" spans="2:19" s="1094" customFormat="1">
      <c r="B91" s="1094" t="s">
        <v>1313</v>
      </c>
      <c r="I91" s="1094">
        <f>[8]GDPnom!I22/[8]GDPreal!I22</f>
        <v>0.42878629621892622</v>
      </c>
      <c r="J91" s="1094">
        <f>[8]GDPnom!J22/[8]GDPreal!J22</f>
        <v>0.45817692182144604</v>
      </c>
      <c r="K91" s="1094">
        <f>[8]GDPnom!K22/[8]GDPreal!K22</f>
        <v>0.69790298572804488</v>
      </c>
      <c r="L91" s="1094">
        <f>[8]GDPnom!L22/[8]GDPreal!L22</f>
        <v>0.78023991275899673</v>
      </c>
      <c r="M91" s="1094">
        <f>[8]GDPnom!M22/[8]GDPreal!M22</f>
        <v>0.92479008396641349</v>
      </c>
      <c r="N91" s="1094">
        <f>[8]GDPnom!N22/[8]GDPreal!N22</f>
        <v>1</v>
      </c>
      <c r="O91" s="1094">
        <f>[8]GDPnom!O22/[8]GDPreal!O22</f>
        <v>1.0427637314734088</v>
      </c>
      <c r="P91" s="1094">
        <f>[8]GDPnom!P22/[8]GDPreal!P22</f>
        <v>1.0377440347071583</v>
      </c>
      <c r="Q91" s="1094">
        <f>[8]GDPnom!Q22/[8]GDPreal!Q22</f>
        <v>1.1159995239417622</v>
      </c>
      <c r="R91" s="1094" t="e">
        <f>[8]GDPnom!#REF!/[8]GDPreal!R22</f>
        <v>#REF!</v>
      </c>
      <c r="S91" s="1094">
        <f>[8]GDPnom!R22/[8]GDPreal!S22</f>
        <v>1.0417348906596804</v>
      </c>
    </row>
  </sheetData>
  <mergeCells count="7">
    <mergeCell ref="B41:U41"/>
    <mergeCell ref="B44:Q45"/>
    <mergeCell ref="B1:U1"/>
    <mergeCell ref="B5:I5"/>
    <mergeCell ref="U6:U11"/>
    <mergeCell ref="S10:S11"/>
    <mergeCell ref="B26:B27"/>
  </mergeCells>
  <phoneticPr fontId="0" type="noConversion"/>
  <pageMargins left="0.75" right="0.75" top="1" bottom="1" header="0.5" footer="0.5"/>
  <pageSetup paperSize="9" scale="7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14" enableFormatConditionsCalculation="0">
    <tabColor indexed="46"/>
  </sheetPr>
  <dimension ref="A1:J240"/>
  <sheetViews>
    <sheetView zoomScale="75" workbookViewId="0">
      <pane xSplit="1" ySplit="9" topLeftCell="B10" activePane="bottomRight" state="frozen"/>
      <selection pane="topRight" activeCell="B1" sqref="B1"/>
      <selection pane="bottomLeft" activeCell="A10" sqref="A10"/>
      <selection pane="bottomRight" activeCell="E103" sqref="E103"/>
    </sheetView>
  </sheetViews>
  <sheetFormatPr defaultRowHeight="12.75"/>
  <cols>
    <col min="1" max="1" width="9.140625" style="700"/>
  </cols>
  <sheetData>
    <row r="1" spans="1:10" s="700" customFormat="1">
      <c r="A1" s="724" t="s">
        <v>48</v>
      </c>
      <c r="B1" s="724"/>
      <c r="C1" s="724"/>
      <c r="D1" s="724"/>
      <c r="E1" s="724"/>
      <c r="F1" s="724"/>
      <c r="G1" s="724"/>
      <c r="H1" s="724"/>
      <c r="I1" s="724"/>
      <c r="J1" s="724"/>
    </row>
    <row r="2" spans="1:10" s="700" customFormat="1">
      <c r="A2" s="724"/>
      <c r="B2" s="724"/>
      <c r="C2" s="724"/>
      <c r="D2" s="724"/>
      <c r="E2" s="724"/>
      <c r="F2" s="724"/>
      <c r="G2" s="724"/>
      <c r="H2" s="724"/>
      <c r="I2" s="724"/>
      <c r="J2" s="724"/>
    </row>
    <row r="3" spans="1:10" s="700" customFormat="1" ht="12.75" customHeight="1">
      <c r="A3" s="4461"/>
      <c r="B3" s="4464" t="s">
        <v>220</v>
      </c>
      <c r="C3" s="4465"/>
      <c r="D3" s="4465"/>
      <c r="E3" s="4465"/>
      <c r="F3" s="4465"/>
      <c r="G3" s="4465"/>
      <c r="H3" s="4465"/>
      <c r="I3" s="4465"/>
      <c r="J3" s="4466"/>
    </row>
    <row r="4" spans="1:10" s="700" customFormat="1">
      <c r="A4" s="4462"/>
      <c r="B4" s="4467" t="s">
        <v>152</v>
      </c>
      <c r="C4" s="4464" t="s">
        <v>221</v>
      </c>
      <c r="D4" s="4465"/>
      <c r="E4" s="4465"/>
      <c r="F4" s="4465"/>
      <c r="G4" s="4466"/>
      <c r="H4" s="4464" t="s">
        <v>232</v>
      </c>
      <c r="I4" s="4465"/>
      <c r="J4" s="4466"/>
    </row>
    <row r="5" spans="1:10" s="700" customFormat="1" ht="12.75" customHeight="1">
      <c r="A5" s="4462"/>
      <c r="B5" s="4468"/>
      <c r="C5" s="4467" t="s">
        <v>152</v>
      </c>
      <c r="D5" s="4464" t="s">
        <v>228</v>
      </c>
      <c r="E5" s="4465"/>
      <c r="F5" s="4465"/>
      <c r="G5" s="4466"/>
      <c r="H5" s="4467" t="s">
        <v>152</v>
      </c>
      <c r="I5" s="4467" t="s">
        <v>219</v>
      </c>
      <c r="J5" s="4467" t="s">
        <v>233</v>
      </c>
    </row>
    <row r="6" spans="1:10" s="700" customFormat="1" ht="12.75" customHeight="1">
      <c r="A6" s="4462"/>
      <c r="B6" s="4468"/>
      <c r="C6" s="4468"/>
      <c r="D6" s="4467" t="s">
        <v>462</v>
      </c>
      <c r="E6" s="4464" t="s">
        <v>229</v>
      </c>
      <c r="F6" s="4465"/>
      <c r="G6" s="4466"/>
      <c r="H6" s="4468"/>
      <c r="I6" s="4468"/>
      <c r="J6" s="4468"/>
    </row>
    <row r="7" spans="1:10" s="700" customFormat="1" ht="25.5">
      <c r="A7" s="4463"/>
      <c r="B7" s="4469"/>
      <c r="C7" s="4469"/>
      <c r="D7" s="4469"/>
      <c r="E7" s="725" t="s">
        <v>152</v>
      </c>
      <c r="F7" s="726" t="s">
        <v>230</v>
      </c>
      <c r="G7" s="726" t="s">
        <v>231</v>
      </c>
      <c r="H7" s="4469"/>
      <c r="I7" s="4469"/>
      <c r="J7" s="4469"/>
    </row>
    <row r="8" spans="1:10" s="700" customFormat="1">
      <c r="A8" s="727"/>
      <c r="B8" s="728"/>
      <c r="C8" s="729"/>
      <c r="D8" s="729"/>
      <c r="E8" s="729"/>
      <c r="F8" s="729"/>
      <c r="G8" s="729"/>
      <c r="H8" s="729"/>
      <c r="I8" s="729"/>
      <c r="J8" s="730"/>
    </row>
    <row r="9" spans="1:10" s="700" customFormat="1" ht="22.5" customHeight="1">
      <c r="A9" s="731"/>
      <c r="B9" s="4470" t="s">
        <v>153</v>
      </c>
      <c r="C9" s="4471"/>
      <c r="D9" s="4471"/>
      <c r="E9" s="4471"/>
      <c r="F9" s="4471"/>
      <c r="G9" s="4471"/>
      <c r="H9" s="4471"/>
      <c r="I9" s="4471"/>
      <c r="J9" s="4472"/>
    </row>
    <row r="10" spans="1:10">
      <c r="A10" s="732" t="s">
        <v>1249</v>
      </c>
    </row>
    <row r="11" spans="1:10">
      <c r="A11" s="732" t="s">
        <v>162</v>
      </c>
      <c r="B11" s="737" t="e">
        <f>SUM('Monetary Survey Components'!#REF!)/2</f>
        <v>#REF!</v>
      </c>
      <c r="C11" s="737" t="e">
        <f>SUM('Monetary Survey Components'!#REF!)/2</f>
        <v>#REF!</v>
      </c>
      <c r="D11" s="737" t="e">
        <f>SUM('Monetary Survey Components'!#REF!)/2</f>
        <v>#REF!</v>
      </c>
      <c r="E11" s="737" t="e">
        <f>SUM('Monetary Survey Components'!#REF!)/2</f>
        <v>#REF!</v>
      </c>
      <c r="F11" s="737" t="e">
        <f>SUM('Monetary Survey Components'!#REF!)/2</f>
        <v>#REF!</v>
      </c>
      <c r="G11" s="737" t="e">
        <f>SUM('Monetary Survey Components'!#REF!)/2</f>
        <v>#REF!</v>
      </c>
      <c r="H11" s="737" t="e">
        <f>SUM('Monetary Survey Components'!#REF!)/2</f>
        <v>#REF!</v>
      </c>
      <c r="I11" s="737" t="e">
        <f>SUM('Monetary Survey Components'!#REF!)/2</f>
        <v>#REF!</v>
      </c>
      <c r="J11" s="737" t="e">
        <f>SUM('Monetary Survey Components'!#REF!)/2</f>
        <v>#REF!</v>
      </c>
    </row>
    <row r="12" spans="1:10">
      <c r="A12" s="732" t="s">
        <v>163</v>
      </c>
      <c r="B12" s="737" t="e">
        <f>SUM('Monetary Survey Components'!#REF!)/2</f>
        <v>#REF!</v>
      </c>
      <c r="C12" s="737" t="e">
        <f>SUM('Monetary Survey Components'!#REF!)/2</f>
        <v>#REF!</v>
      </c>
      <c r="D12" s="737" t="e">
        <f>SUM('Monetary Survey Components'!#REF!)/2</f>
        <v>#REF!</v>
      </c>
      <c r="E12" s="737" t="e">
        <f>SUM('Monetary Survey Components'!#REF!)/2</f>
        <v>#REF!</v>
      </c>
      <c r="F12" s="737" t="e">
        <f>SUM('Monetary Survey Components'!#REF!)/2</f>
        <v>#REF!</v>
      </c>
      <c r="G12" s="737" t="e">
        <f>SUM('Monetary Survey Components'!#REF!)/2</f>
        <v>#REF!</v>
      </c>
      <c r="H12" s="737" t="e">
        <f>SUM('Monetary Survey Components'!#REF!)/2</f>
        <v>#REF!</v>
      </c>
      <c r="I12" s="737" t="e">
        <f>SUM('Monetary Survey Components'!#REF!)/2</f>
        <v>#REF!</v>
      </c>
      <c r="J12" s="737" t="e">
        <f>SUM('Monetary Survey Components'!#REF!)/2</f>
        <v>#REF!</v>
      </c>
    </row>
    <row r="13" spans="1:10">
      <c r="A13" s="732" t="s">
        <v>164</v>
      </c>
      <c r="B13" s="737" t="e">
        <f>SUM('Monetary Survey Components'!#REF!)/2</f>
        <v>#REF!</v>
      </c>
      <c r="C13" s="737" t="e">
        <f>SUM('Monetary Survey Components'!#REF!)/2</f>
        <v>#REF!</v>
      </c>
      <c r="D13" s="737" t="e">
        <f>SUM('Monetary Survey Components'!#REF!)/2</f>
        <v>#REF!</v>
      </c>
      <c r="E13" s="737" t="e">
        <f>SUM('Monetary Survey Components'!#REF!)/2</f>
        <v>#REF!</v>
      </c>
      <c r="F13" s="737" t="e">
        <f>SUM('Monetary Survey Components'!#REF!)/2</f>
        <v>#REF!</v>
      </c>
      <c r="G13" s="737" t="e">
        <f>SUM('Monetary Survey Components'!#REF!)/2</f>
        <v>#REF!</v>
      </c>
      <c r="H13" s="737" t="e">
        <f>SUM('Monetary Survey Components'!#REF!)/2</f>
        <v>#REF!</v>
      </c>
      <c r="I13" s="737" t="e">
        <f>SUM('Monetary Survey Components'!#REF!)/2</f>
        <v>#REF!</v>
      </c>
      <c r="J13" s="737" t="e">
        <f>SUM('Monetary Survey Components'!#REF!)/2</f>
        <v>#REF!</v>
      </c>
    </row>
    <row r="14" spans="1:10">
      <c r="A14" s="732" t="s">
        <v>165</v>
      </c>
      <c r="B14" s="737" t="e">
        <f>SUM('Monetary Survey Components'!#REF!)/2</f>
        <v>#REF!</v>
      </c>
      <c r="C14" s="737" t="e">
        <f>SUM('Monetary Survey Components'!#REF!)/2</f>
        <v>#REF!</v>
      </c>
      <c r="D14" s="737" t="e">
        <f>SUM('Monetary Survey Components'!#REF!)/2</f>
        <v>#REF!</v>
      </c>
      <c r="E14" s="737" t="e">
        <f>SUM('Monetary Survey Components'!#REF!)/2</f>
        <v>#REF!</v>
      </c>
      <c r="F14" s="737" t="e">
        <f>SUM('Monetary Survey Components'!#REF!)/2</f>
        <v>#REF!</v>
      </c>
      <c r="G14" s="737" t="e">
        <f>SUM('Monetary Survey Components'!#REF!)/2</f>
        <v>#REF!</v>
      </c>
      <c r="H14" s="737" t="e">
        <f>SUM('Monetary Survey Components'!#REF!)/2</f>
        <v>#REF!</v>
      </c>
      <c r="I14" s="737" t="e">
        <f>SUM('Monetary Survey Components'!#REF!)/2</f>
        <v>#REF!</v>
      </c>
      <c r="J14" s="737" t="e">
        <f>SUM('Monetary Survey Components'!#REF!)/2</f>
        <v>#REF!</v>
      </c>
    </row>
    <row r="15" spans="1:10">
      <c r="A15" s="732" t="s">
        <v>166</v>
      </c>
      <c r="B15" s="737" t="e">
        <f>SUM('Monetary Survey Components'!#REF!)/2</f>
        <v>#REF!</v>
      </c>
      <c r="C15" s="737" t="e">
        <f>SUM('Monetary Survey Components'!#REF!)/2</f>
        <v>#REF!</v>
      </c>
      <c r="D15" s="737" t="e">
        <f>SUM('Monetary Survey Components'!#REF!)/2</f>
        <v>#REF!</v>
      </c>
      <c r="E15" s="737" t="e">
        <f>SUM('Monetary Survey Components'!#REF!)/2</f>
        <v>#REF!</v>
      </c>
      <c r="F15" s="737" t="e">
        <f>SUM('Monetary Survey Components'!#REF!)/2</f>
        <v>#REF!</v>
      </c>
      <c r="G15" s="737" t="e">
        <f>SUM('Monetary Survey Components'!#REF!)/2</f>
        <v>#REF!</v>
      </c>
      <c r="H15" s="737" t="e">
        <f>SUM('Monetary Survey Components'!#REF!)/2</f>
        <v>#REF!</v>
      </c>
      <c r="I15" s="737" t="e">
        <f>SUM('Monetary Survey Components'!#REF!)/2</f>
        <v>#REF!</v>
      </c>
      <c r="J15" s="737" t="e">
        <f>SUM('Monetary Survey Components'!#REF!)/2</f>
        <v>#REF!</v>
      </c>
    </row>
    <row r="16" spans="1:10">
      <c r="A16" s="732" t="s">
        <v>167</v>
      </c>
      <c r="B16" s="737" t="e">
        <f>SUM('Monetary Survey Components'!#REF!)/2</f>
        <v>#REF!</v>
      </c>
      <c r="C16" s="737" t="e">
        <f>SUM('Monetary Survey Components'!#REF!)/2</f>
        <v>#REF!</v>
      </c>
      <c r="D16" s="737" t="e">
        <f>SUM('Monetary Survey Components'!#REF!)/2</f>
        <v>#REF!</v>
      </c>
      <c r="E16" s="737" t="e">
        <f>SUM('Monetary Survey Components'!#REF!)/2</f>
        <v>#REF!</v>
      </c>
      <c r="F16" s="737" t="e">
        <f>SUM('Monetary Survey Components'!#REF!)/2</f>
        <v>#REF!</v>
      </c>
      <c r="G16" s="737" t="e">
        <f>SUM('Monetary Survey Components'!#REF!)/2</f>
        <v>#REF!</v>
      </c>
      <c r="H16" s="737" t="e">
        <f>SUM('Monetary Survey Components'!#REF!)/2</f>
        <v>#REF!</v>
      </c>
      <c r="I16" s="737" t="e">
        <f>SUM('Monetary Survey Components'!#REF!)/2</f>
        <v>#REF!</v>
      </c>
      <c r="J16" s="737" t="e">
        <f>SUM('Monetary Survey Components'!#REF!)/2</f>
        <v>#REF!</v>
      </c>
    </row>
    <row r="17" spans="1:10">
      <c r="A17" s="732" t="s">
        <v>168</v>
      </c>
      <c r="B17" s="737" t="e">
        <f>SUM('Monetary Survey Components'!#REF!)/2</f>
        <v>#REF!</v>
      </c>
      <c r="C17" s="737" t="e">
        <f>SUM('Monetary Survey Components'!#REF!)/2</f>
        <v>#REF!</v>
      </c>
      <c r="D17" s="737" t="e">
        <f>SUM('Monetary Survey Components'!#REF!)/2</f>
        <v>#REF!</v>
      </c>
      <c r="E17" s="737" t="e">
        <f>SUM('Monetary Survey Components'!#REF!)/2</f>
        <v>#REF!</v>
      </c>
      <c r="F17" s="737" t="e">
        <f>SUM('Monetary Survey Components'!#REF!)/2</f>
        <v>#REF!</v>
      </c>
      <c r="G17" s="737" t="e">
        <f>SUM('Monetary Survey Components'!#REF!)/2</f>
        <v>#REF!</v>
      </c>
      <c r="H17" s="737" t="e">
        <f>SUM('Monetary Survey Components'!#REF!)/2</f>
        <v>#REF!</v>
      </c>
      <c r="I17" s="737" t="e">
        <f>SUM('Monetary Survey Components'!#REF!)/2</f>
        <v>#REF!</v>
      </c>
      <c r="J17" s="737" t="e">
        <f>SUM('Monetary Survey Components'!#REF!)/2</f>
        <v>#REF!</v>
      </c>
    </row>
    <row r="18" spans="1:10">
      <c r="A18" s="732" t="s">
        <v>169</v>
      </c>
      <c r="B18" s="737" t="e">
        <f>SUM('Monetary Survey Components'!#REF!)/2</f>
        <v>#REF!</v>
      </c>
      <c r="C18" s="737" t="e">
        <f>SUM('Monetary Survey Components'!#REF!)/2</f>
        <v>#REF!</v>
      </c>
      <c r="D18" s="737" t="e">
        <f>SUM('Monetary Survey Components'!#REF!)/2</f>
        <v>#REF!</v>
      </c>
      <c r="E18" s="737" t="e">
        <f>SUM('Monetary Survey Components'!#REF!)/2</f>
        <v>#REF!</v>
      </c>
      <c r="F18" s="737" t="e">
        <f>SUM('Monetary Survey Components'!#REF!)/2</f>
        <v>#REF!</v>
      </c>
      <c r="G18" s="737" t="e">
        <f>SUM('Monetary Survey Components'!#REF!)/2</f>
        <v>#REF!</v>
      </c>
      <c r="H18" s="737" t="e">
        <f>SUM('Monetary Survey Components'!#REF!)/2</f>
        <v>#REF!</v>
      </c>
      <c r="I18" s="737" t="e">
        <f>SUM('Monetary Survey Components'!#REF!)/2</f>
        <v>#REF!</v>
      </c>
      <c r="J18" s="737" t="e">
        <f>SUM('Monetary Survey Components'!#REF!)/2</f>
        <v>#REF!</v>
      </c>
    </row>
    <row r="19" spans="1:10">
      <c r="A19" s="732" t="s">
        <v>170</v>
      </c>
      <c r="B19" s="737" t="e">
        <f>SUM('Monetary Survey Components'!#REF!)/2</f>
        <v>#REF!</v>
      </c>
      <c r="C19" s="737" t="e">
        <f>SUM('Monetary Survey Components'!#REF!)/2</f>
        <v>#REF!</v>
      </c>
      <c r="D19" s="737" t="e">
        <f>SUM('Monetary Survey Components'!#REF!)/2</f>
        <v>#REF!</v>
      </c>
      <c r="E19" s="737" t="e">
        <f>SUM('Monetary Survey Components'!#REF!)/2</f>
        <v>#REF!</v>
      </c>
      <c r="F19" s="737" t="e">
        <f>SUM('Monetary Survey Components'!#REF!)/2</f>
        <v>#REF!</v>
      </c>
      <c r="G19" s="737" t="e">
        <f>SUM('Monetary Survey Components'!#REF!)/2</f>
        <v>#REF!</v>
      </c>
      <c r="H19" s="737" t="e">
        <f>SUM('Monetary Survey Components'!#REF!)/2</f>
        <v>#REF!</v>
      </c>
      <c r="I19" s="737" t="e">
        <f>SUM('Monetary Survey Components'!#REF!)/2</f>
        <v>#REF!</v>
      </c>
      <c r="J19" s="737" t="e">
        <f>SUM('Monetary Survey Components'!#REF!)/2</f>
        <v>#REF!</v>
      </c>
    </row>
    <row r="20" spans="1:10">
      <c r="A20" s="732" t="s">
        <v>171</v>
      </c>
      <c r="B20" s="737" t="e">
        <f>SUM('Monetary Survey Components'!#REF!)/2</f>
        <v>#REF!</v>
      </c>
      <c r="C20" s="737" t="e">
        <f>SUM('Monetary Survey Components'!#REF!)/2</f>
        <v>#REF!</v>
      </c>
      <c r="D20" s="737" t="e">
        <f>SUM('Monetary Survey Components'!#REF!)/2</f>
        <v>#REF!</v>
      </c>
      <c r="E20" s="737" t="e">
        <f>SUM('Monetary Survey Components'!#REF!)/2</f>
        <v>#REF!</v>
      </c>
      <c r="F20" s="737" t="e">
        <f>SUM('Monetary Survey Components'!#REF!)/2</f>
        <v>#REF!</v>
      </c>
      <c r="G20" s="737" t="e">
        <f>SUM('Monetary Survey Components'!#REF!)/2</f>
        <v>#REF!</v>
      </c>
      <c r="H20" s="737" t="e">
        <f>SUM('Monetary Survey Components'!#REF!)/2</f>
        <v>#REF!</v>
      </c>
      <c r="I20" s="737" t="e">
        <f>SUM('Monetary Survey Components'!#REF!)/2</f>
        <v>#REF!</v>
      </c>
      <c r="J20" s="737" t="e">
        <f>SUM('Monetary Survey Components'!#REF!)/2</f>
        <v>#REF!</v>
      </c>
    </row>
    <row r="21" spans="1:10">
      <c r="A21" s="732" t="s">
        <v>148</v>
      </c>
      <c r="B21" s="737" t="e">
        <f>SUM('Monetary Survey Components'!#REF!)/2</f>
        <v>#REF!</v>
      </c>
      <c r="C21" s="737" t="e">
        <f>SUM('Monetary Survey Components'!#REF!)/2</f>
        <v>#REF!</v>
      </c>
      <c r="D21" s="737" t="e">
        <f>SUM('Monetary Survey Components'!#REF!)/2</f>
        <v>#REF!</v>
      </c>
      <c r="E21" s="737" t="e">
        <f>SUM('Monetary Survey Components'!#REF!)/2</f>
        <v>#REF!</v>
      </c>
      <c r="F21" s="737" t="e">
        <f>SUM('Monetary Survey Components'!#REF!)/2</f>
        <v>#REF!</v>
      </c>
      <c r="G21" s="737" t="e">
        <f>SUM('Monetary Survey Components'!#REF!)/2</f>
        <v>#REF!</v>
      </c>
      <c r="H21" s="737" t="e">
        <f>SUM('Monetary Survey Components'!#REF!)/2</f>
        <v>#REF!</v>
      </c>
      <c r="I21" s="737" t="e">
        <f>SUM('Monetary Survey Components'!#REF!)/2</f>
        <v>#REF!</v>
      </c>
      <c r="J21" s="737" t="e">
        <f>SUM('Monetary Survey Components'!#REF!)/2</f>
        <v>#REF!</v>
      </c>
    </row>
    <row r="22" spans="1:10">
      <c r="A22" s="732" t="s">
        <v>1248</v>
      </c>
      <c r="B22" s="737" t="e">
        <f>SUM('Monetary Survey Components'!#REF!,'Monetary Survey Components'!#REF!)/2</f>
        <v>#REF!</v>
      </c>
      <c r="C22" s="737" t="e">
        <f>SUM('Monetary Survey Components'!#REF!,'Monetary Survey Components'!#REF!)/2</f>
        <v>#REF!</v>
      </c>
      <c r="D22" s="737" t="e">
        <f>SUM('Monetary Survey Components'!#REF!,'Monetary Survey Components'!#REF!)/2</f>
        <v>#REF!</v>
      </c>
      <c r="E22" s="737" t="e">
        <f>SUM('Monetary Survey Components'!#REF!,'Monetary Survey Components'!#REF!)/2</f>
        <v>#REF!</v>
      </c>
      <c r="F22" s="737" t="e">
        <f>SUM('Monetary Survey Components'!#REF!,'Monetary Survey Components'!#REF!)/2</f>
        <v>#REF!</v>
      </c>
      <c r="G22" s="737" t="e">
        <f>SUM('Monetary Survey Components'!#REF!,'Monetary Survey Components'!#REF!)/2</f>
        <v>#REF!</v>
      </c>
      <c r="H22" s="737" t="e">
        <f>SUM('Monetary Survey Components'!#REF!,'Monetary Survey Components'!#REF!)/2</f>
        <v>#REF!</v>
      </c>
      <c r="I22" s="737" t="e">
        <f>SUM('Monetary Survey Components'!#REF!,'Monetary Survey Components'!#REF!)/2</f>
        <v>#REF!</v>
      </c>
      <c r="J22" s="737" t="e">
        <f>SUM('Monetary Survey Components'!#REF!,'Monetary Survey Components'!#REF!)/2</f>
        <v>#REF!</v>
      </c>
    </row>
    <row r="23" spans="1:10">
      <c r="A23" s="732" t="s">
        <v>162</v>
      </c>
      <c r="B23" s="737" t="e">
        <f>SUM('Monetary Survey Components'!#REF!)/2</f>
        <v>#REF!</v>
      </c>
      <c r="C23" s="737" t="e">
        <f>SUM('Monetary Survey Components'!#REF!)/2</f>
        <v>#REF!</v>
      </c>
      <c r="D23" s="737" t="e">
        <f>SUM('Monetary Survey Components'!#REF!)/2</f>
        <v>#REF!</v>
      </c>
      <c r="E23" s="737" t="e">
        <f>SUM('Monetary Survey Components'!#REF!)/2</f>
        <v>#REF!</v>
      </c>
      <c r="F23" s="737" t="e">
        <f>SUM('Monetary Survey Components'!#REF!)/2</f>
        <v>#REF!</v>
      </c>
      <c r="G23" s="737" t="e">
        <f>SUM('Monetary Survey Components'!#REF!)/2</f>
        <v>#REF!</v>
      </c>
      <c r="H23" s="737" t="e">
        <f>SUM('Monetary Survey Components'!#REF!)/2</f>
        <v>#REF!</v>
      </c>
      <c r="I23" s="737" t="e">
        <f>SUM('Monetary Survey Components'!#REF!)/2</f>
        <v>#REF!</v>
      </c>
      <c r="J23" s="737" t="e">
        <f>SUM('Monetary Survey Components'!#REF!)/2</f>
        <v>#REF!</v>
      </c>
    </row>
    <row r="24" spans="1:10">
      <c r="A24" s="732" t="s">
        <v>163</v>
      </c>
      <c r="B24" s="737" t="e">
        <f>SUM('Monetary Survey Components'!#REF!)/2</f>
        <v>#REF!</v>
      </c>
      <c r="C24" s="737" t="e">
        <f>SUM('Monetary Survey Components'!#REF!)/2</f>
        <v>#REF!</v>
      </c>
      <c r="D24" s="737" t="e">
        <f>SUM('Monetary Survey Components'!#REF!)/2</f>
        <v>#REF!</v>
      </c>
      <c r="E24" s="737" t="e">
        <f>SUM('Monetary Survey Components'!#REF!)/2</f>
        <v>#REF!</v>
      </c>
      <c r="F24" s="737" t="e">
        <f>SUM('Monetary Survey Components'!#REF!)/2</f>
        <v>#REF!</v>
      </c>
      <c r="G24" s="737" t="e">
        <f>SUM('Monetary Survey Components'!#REF!)/2</f>
        <v>#REF!</v>
      </c>
      <c r="H24" s="737" t="e">
        <f>SUM('Monetary Survey Components'!#REF!)/2</f>
        <v>#REF!</v>
      </c>
      <c r="I24" s="737" t="e">
        <f>SUM('Monetary Survey Components'!#REF!)/2</f>
        <v>#REF!</v>
      </c>
      <c r="J24" s="737" t="e">
        <f>SUM('Monetary Survey Components'!#REF!)/2</f>
        <v>#REF!</v>
      </c>
    </row>
    <row r="25" spans="1:10">
      <c r="A25" s="732" t="s">
        <v>164</v>
      </c>
      <c r="B25" s="737" t="e">
        <f>SUM('Monetary Survey Components'!#REF!)/2</f>
        <v>#REF!</v>
      </c>
      <c r="C25" s="737" t="e">
        <f>SUM('Monetary Survey Components'!#REF!)/2</f>
        <v>#REF!</v>
      </c>
      <c r="D25" s="737" t="e">
        <f>SUM('Monetary Survey Components'!#REF!)/2</f>
        <v>#REF!</v>
      </c>
      <c r="E25" s="737" t="e">
        <f>SUM('Monetary Survey Components'!#REF!)/2</f>
        <v>#REF!</v>
      </c>
      <c r="F25" s="737" t="e">
        <f>SUM('Monetary Survey Components'!#REF!)/2</f>
        <v>#REF!</v>
      </c>
      <c r="G25" s="737" t="e">
        <f>SUM('Monetary Survey Components'!#REF!)/2</f>
        <v>#REF!</v>
      </c>
      <c r="H25" s="737" t="e">
        <f>SUM('Monetary Survey Components'!#REF!)/2</f>
        <v>#REF!</v>
      </c>
      <c r="I25" s="737" t="e">
        <f>SUM('Monetary Survey Components'!#REF!)/2</f>
        <v>#REF!</v>
      </c>
      <c r="J25" s="737" t="e">
        <f>SUM('Monetary Survey Components'!#REF!)/2</f>
        <v>#REF!</v>
      </c>
    </row>
    <row r="26" spans="1:10">
      <c r="A26" s="732" t="s">
        <v>165</v>
      </c>
      <c r="B26" s="737" t="e">
        <f>SUM('Monetary Survey Components'!#REF!)/2</f>
        <v>#REF!</v>
      </c>
      <c r="C26" s="737" t="e">
        <f>SUM('Monetary Survey Components'!#REF!)/2</f>
        <v>#REF!</v>
      </c>
      <c r="D26" s="737" t="e">
        <f>SUM('Monetary Survey Components'!#REF!)/2</f>
        <v>#REF!</v>
      </c>
      <c r="E26" s="737" t="e">
        <f>SUM('Monetary Survey Components'!#REF!)/2</f>
        <v>#REF!</v>
      </c>
      <c r="F26" s="737" t="e">
        <f>SUM('Monetary Survey Components'!#REF!)/2</f>
        <v>#REF!</v>
      </c>
      <c r="G26" s="737" t="e">
        <f>SUM('Monetary Survey Components'!#REF!)/2</f>
        <v>#REF!</v>
      </c>
      <c r="H26" s="737" t="e">
        <f>SUM('Monetary Survey Components'!#REF!)/2</f>
        <v>#REF!</v>
      </c>
      <c r="I26" s="737" t="e">
        <f>SUM('Monetary Survey Components'!#REF!)/2</f>
        <v>#REF!</v>
      </c>
      <c r="J26" s="737" t="e">
        <f>SUM('Monetary Survey Components'!#REF!)/2</f>
        <v>#REF!</v>
      </c>
    </row>
    <row r="27" spans="1:10">
      <c r="A27" s="732" t="s">
        <v>166</v>
      </c>
      <c r="B27" s="737" t="e">
        <f>SUM('Monetary Survey Components'!#REF!)/2</f>
        <v>#REF!</v>
      </c>
      <c r="C27" s="737" t="e">
        <f>SUM('Monetary Survey Components'!#REF!)/2</f>
        <v>#REF!</v>
      </c>
      <c r="D27" s="737" t="e">
        <f>SUM('Monetary Survey Components'!#REF!)/2</f>
        <v>#REF!</v>
      </c>
      <c r="E27" s="737" t="e">
        <f>SUM('Monetary Survey Components'!#REF!)/2</f>
        <v>#REF!</v>
      </c>
      <c r="F27" s="737" t="e">
        <f>SUM('Monetary Survey Components'!#REF!)/2</f>
        <v>#REF!</v>
      </c>
      <c r="G27" s="737" t="e">
        <f>SUM('Monetary Survey Components'!#REF!)/2</f>
        <v>#REF!</v>
      </c>
      <c r="H27" s="737" t="e">
        <f>SUM('Monetary Survey Components'!#REF!)/2</f>
        <v>#REF!</v>
      </c>
      <c r="I27" s="737" t="e">
        <f>SUM('Monetary Survey Components'!#REF!)/2</f>
        <v>#REF!</v>
      </c>
      <c r="J27" s="737" t="e">
        <f>SUM('Monetary Survey Components'!#REF!)/2</f>
        <v>#REF!</v>
      </c>
    </row>
    <row r="28" spans="1:10">
      <c r="A28" s="732" t="s">
        <v>167</v>
      </c>
      <c r="B28" s="737" t="e">
        <f>SUM('Monetary Survey Components'!#REF!)/2</f>
        <v>#REF!</v>
      </c>
      <c r="C28" s="737" t="e">
        <f>SUM('Monetary Survey Components'!#REF!)/2</f>
        <v>#REF!</v>
      </c>
      <c r="D28" s="737" t="e">
        <f>SUM('Monetary Survey Components'!#REF!)/2</f>
        <v>#REF!</v>
      </c>
      <c r="E28" s="737" t="e">
        <f>SUM('Monetary Survey Components'!#REF!)/2</f>
        <v>#REF!</v>
      </c>
      <c r="F28" s="737" t="e">
        <f>SUM('Monetary Survey Components'!#REF!)/2</f>
        <v>#REF!</v>
      </c>
      <c r="G28" s="737" t="e">
        <f>SUM('Monetary Survey Components'!#REF!)/2</f>
        <v>#REF!</v>
      </c>
      <c r="H28" s="737" t="e">
        <f>SUM('Monetary Survey Components'!#REF!)/2</f>
        <v>#REF!</v>
      </c>
      <c r="I28" s="737" t="e">
        <f>SUM('Monetary Survey Components'!#REF!)/2</f>
        <v>#REF!</v>
      </c>
      <c r="J28" s="737" t="e">
        <f>SUM('Monetary Survey Components'!#REF!)/2</f>
        <v>#REF!</v>
      </c>
    </row>
    <row r="29" spans="1:10">
      <c r="A29" s="732" t="s">
        <v>168</v>
      </c>
      <c r="B29" s="737" t="e">
        <f>SUM('Monetary Survey Components'!#REF!)/2</f>
        <v>#REF!</v>
      </c>
      <c r="C29" s="737" t="e">
        <f>SUM('Monetary Survey Components'!#REF!)/2</f>
        <v>#REF!</v>
      </c>
      <c r="D29" s="737" t="e">
        <f>SUM('Monetary Survey Components'!#REF!)/2</f>
        <v>#REF!</v>
      </c>
      <c r="E29" s="737" t="e">
        <f>SUM('Monetary Survey Components'!#REF!)/2</f>
        <v>#REF!</v>
      </c>
      <c r="F29" s="737" t="e">
        <f>SUM('Monetary Survey Components'!#REF!)/2</f>
        <v>#REF!</v>
      </c>
      <c r="G29" s="737" t="e">
        <f>SUM('Monetary Survey Components'!#REF!)/2</f>
        <v>#REF!</v>
      </c>
      <c r="H29" s="737" t="e">
        <f>SUM('Monetary Survey Components'!#REF!)/2</f>
        <v>#REF!</v>
      </c>
      <c r="I29" s="737" t="e">
        <f>SUM('Monetary Survey Components'!#REF!)/2</f>
        <v>#REF!</v>
      </c>
      <c r="J29" s="737" t="e">
        <f>SUM('Monetary Survey Components'!#REF!)/2</f>
        <v>#REF!</v>
      </c>
    </row>
    <row r="30" spans="1:10">
      <c r="A30" s="732" t="s">
        <v>169</v>
      </c>
      <c r="B30" s="737" t="e">
        <f>SUM('Monetary Survey Components'!#REF!)/2</f>
        <v>#REF!</v>
      </c>
      <c r="C30" s="737" t="e">
        <f>SUM('Monetary Survey Components'!#REF!)/2</f>
        <v>#REF!</v>
      </c>
      <c r="D30" s="737" t="e">
        <f>SUM('Monetary Survey Components'!#REF!)/2</f>
        <v>#REF!</v>
      </c>
      <c r="E30" s="737" t="e">
        <f>SUM('Monetary Survey Components'!#REF!)/2</f>
        <v>#REF!</v>
      </c>
      <c r="F30" s="737" t="e">
        <f>SUM('Monetary Survey Components'!#REF!)/2</f>
        <v>#REF!</v>
      </c>
      <c r="G30" s="737" t="e">
        <f>SUM('Monetary Survey Components'!#REF!)/2</f>
        <v>#REF!</v>
      </c>
      <c r="H30" s="737" t="e">
        <f>SUM('Monetary Survey Components'!#REF!)/2</f>
        <v>#REF!</v>
      </c>
      <c r="I30" s="737" t="e">
        <f>SUM('Monetary Survey Components'!#REF!)/2</f>
        <v>#REF!</v>
      </c>
      <c r="J30" s="737" t="e">
        <f>SUM('Monetary Survey Components'!#REF!)/2</f>
        <v>#REF!</v>
      </c>
    </row>
    <row r="31" spans="1:10">
      <c r="A31" s="732" t="s">
        <v>170</v>
      </c>
      <c r="B31" s="737" t="e">
        <f>SUM('Monetary Survey Components'!#REF!)/2</f>
        <v>#REF!</v>
      </c>
      <c r="C31" s="737" t="e">
        <f>SUM('Monetary Survey Components'!#REF!)/2</f>
        <v>#REF!</v>
      </c>
      <c r="D31" s="737" t="e">
        <f>SUM('Monetary Survey Components'!#REF!)/2</f>
        <v>#REF!</v>
      </c>
      <c r="E31" s="737" t="e">
        <f>SUM('Monetary Survey Components'!#REF!)/2</f>
        <v>#REF!</v>
      </c>
      <c r="F31" s="737" t="e">
        <f>SUM('Monetary Survey Components'!#REF!)/2</f>
        <v>#REF!</v>
      </c>
      <c r="G31" s="737" t="e">
        <f>SUM('Monetary Survey Components'!#REF!)/2</f>
        <v>#REF!</v>
      </c>
      <c r="H31" s="737" t="e">
        <f>SUM('Monetary Survey Components'!#REF!)/2</f>
        <v>#REF!</v>
      </c>
      <c r="I31" s="737" t="e">
        <f>SUM('Monetary Survey Components'!#REF!)/2</f>
        <v>#REF!</v>
      </c>
      <c r="J31" s="737" t="e">
        <f>SUM('Monetary Survey Components'!#REF!)/2</f>
        <v>#REF!</v>
      </c>
    </row>
    <row r="32" spans="1:10">
      <c r="A32" s="732" t="s">
        <v>171</v>
      </c>
      <c r="B32" s="737" t="e">
        <f>SUM('Monetary Survey Components'!#REF!)/2</f>
        <v>#REF!</v>
      </c>
      <c r="C32" s="737" t="e">
        <f>SUM('Monetary Survey Components'!#REF!)/2</f>
        <v>#REF!</v>
      </c>
      <c r="D32" s="737" t="e">
        <f>SUM('Monetary Survey Components'!#REF!)/2</f>
        <v>#REF!</v>
      </c>
      <c r="E32" s="737" t="e">
        <f>SUM('Monetary Survey Components'!#REF!)/2</f>
        <v>#REF!</v>
      </c>
      <c r="F32" s="737" t="e">
        <f>SUM('Monetary Survey Components'!#REF!)/2</f>
        <v>#REF!</v>
      </c>
      <c r="G32" s="737" t="e">
        <f>SUM('Monetary Survey Components'!#REF!)/2</f>
        <v>#REF!</v>
      </c>
      <c r="H32" s="737" t="e">
        <f>SUM('Monetary Survey Components'!#REF!)/2</f>
        <v>#REF!</v>
      </c>
      <c r="I32" s="737" t="e">
        <f>SUM('Monetary Survey Components'!#REF!)/2</f>
        <v>#REF!</v>
      </c>
      <c r="J32" s="737" t="e">
        <f>SUM('Monetary Survey Components'!#REF!)/2</f>
        <v>#REF!</v>
      </c>
    </row>
    <row r="33" spans="1:10">
      <c r="A33" s="732" t="s">
        <v>148</v>
      </c>
      <c r="B33" s="737" t="e">
        <f>SUM('Monetary Survey Components'!#REF!)/2</f>
        <v>#REF!</v>
      </c>
      <c r="C33" s="737" t="e">
        <f>SUM('Monetary Survey Components'!#REF!)/2</f>
        <v>#REF!</v>
      </c>
      <c r="D33" s="737" t="e">
        <f>SUM('Monetary Survey Components'!#REF!)/2</f>
        <v>#REF!</v>
      </c>
      <c r="E33" s="737" t="e">
        <f>SUM('Monetary Survey Components'!#REF!)/2</f>
        <v>#REF!</v>
      </c>
      <c r="F33" s="737" t="e">
        <f>SUM('Monetary Survey Components'!#REF!)/2</f>
        <v>#REF!</v>
      </c>
      <c r="G33" s="737" t="e">
        <f>SUM('Monetary Survey Components'!#REF!)/2</f>
        <v>#REF!</v>
      </c>
      <c r="H33" s="737" t="e">
        <f>SUM('Monetary Survey Components'!#REF!)/2</f>
        <v>#REF!</v>
      </c>
      <c r="I33" s="737" t="e">
        <f>SUM('Monetary Survey Components'!#REF!)/2</f>
        <v>#REF!</v>
      </c>
      <c r="J33" s="737" t="e">
        <f>SUM('Monetary Survey Components'!#REF!)/2</f>
        <v>#REF!</v>
      </c>
    </row>
    <row r="34" spans="1:10">
      <c r="A34" s="732" t="s">
        <v>1247</v>
      </c>
      <c r="B34" s="737" t="e">
        <f>SUM('Monetary Survey Components'!#REF!,'Monetary Survey Components'!#REF!)/2</f>
        <v>#REF!</v>
      </c>
      <c r="C34" s="737" t="e">
        <f>SUM('Monetary Survey Components'!#REF!,'Monetary Survey Components'!#REF!)/2</f>
        <v>#REF!</v>
      </c>
      <c r="D34" s="737" t="e">
        <f>SUM('Monetary Survey Components'!#REF!,'Monetary Survey Components'!#REF!)/2</f>
        <v>#REF!</v>
      </c>
      <c r="E34" s="737" t="e">
        <f>SUM('Monetary Survey Components'!#REF!,'Monetary Survey Components'!#REF!)/2</f>
        <v>#REF!</v>
      </c>
      <c r="F34" s="737" t="e">
        <f>SUM('Monetary Survey Components'!#REF!,'Monetary Survey Components'!#REF!)/2</f>
        <v>#REF!</v>
      </c>
      <c r="G34" s="737" t="e">
        <f>SUM('Monetary Survey Components'!#REF!,'Monetary Survey Components'!#REF!)/2</f>
        <v>#REF!</v>
      </c>
      <c r="H34" s="737" t="e">
        <f>SUM('Monetary Survey Components'!#REF!,'Monetary Survey Components'!#REF!)/2</f>
        <v>#REF!</v>
      </c>
      <c r="I34" s="737" t="e">
        <f>SUM('Monetary Survey Components'!#REF!,'Monetary Survey Components'!#REF!)/2</f>
        <v>#REF!</v>
      </c>
      <c r="J34" s="737" t="e">
        <f>SUM('Monetary Survey Components'!#REF!,'Monetary Survey Components'!#REF!)/2</f>
        <v>#REF!</v>
      </c>
    </row>
    <row r="35" spans="1:10">
      <c r="A35" s="732" t="s">
        <v>162</v>
      </c>
      <c r="B35" s="737" t="e">
        <f>SUM('Monetary Survey Components'!#REF!)/2</f>
        <v>#REF!</v>
      </c>
      <c r="C35" s="737" t="e">
        <f>SUM('Monetary Survey Components'!#REF!)/2</f>
        <v>#REF!</v>
      </c>
      <c r="D35" s="737" t="e">
        <f>SUM('Monetary Survey Components'!#REF!)/2</f>
        <v>#REF!</v>
      </c>
      <c r="E35" s="737" t="e">
        <f>SUM('Monetary Survey Components'!#REF!)/2</f>
        <v>#REF!</v>
      </c>
      <c r="F35" s="737" t="e">
        <f>SUM('Monetary Survey Components'!#REF!)/2</f>
        <v>#REF!</v>
      </c>
      <c r="G35" s="737" t="e">
        <f>SUM('Monetary Survey Components'!#REF!)/2</f>
        <v>#REF!</v>
      </c>
      <c r="H35" s="737" t="e">
        <f>SUM('Monetary Survey Components'!#REF!)/2</f>
        <v>#REF!</v>
      </c>
      <c r="I35" s="737" t="e">
        <f>SUM('Monetary Survey Components'!#REF!)/2</f>
        <v>#REF!</v>
      </c>
      <c r="J35" s="737" t="e">
        <f>SUM('Monetary Survey Components'!#REF!)/2</f>
        <v>#REF!</v>
      </c>
    </row>
    <row r="36" spans="1:10">
      <c r="A36" s="732" t="s">
        <v>163</v>
      </c>
      <c r="B36" s="737" t="e">
        <f>SUM('Monetary Survey Components'!#REF!)/2</f>
        <v>#REF!</v>
      </c>
      <c r="C36" s="737" t="e">
        <f>SUM('Monetary Survey Components'!#REF!)/2</f>
        <v>#REF!</v>
      </c>
      <c r="D36" s="737" t="e">
        <f>SUM('Monetary Survey Components'!#REF!)/2</f>
        <v>#REF!</v>
      </c>
      <c r="E36" s="737" t="e">
        <f>SUM('Monetary Survey Components'!#REF!)/2</f>
        <v>#REF!</v>
      </c>
      <c r="F36" s="737" t="e">
        <f>SUM('Monetary Survey Components'!#REF!)/2</f>
        <v>#REF!</v>
      </c>
      <c r="G36" s="737" t="e">
        <f>SUM('Monetary Survey Components'!#REF!)/2</f>
        <v>#REF!</v>
      </c>
      <c r="H36" s="737" t="e">
        <f>SUM('Monetary Survey Components'!#REF!)/2</f>
        <v>#REF!</v>
      </c>
      <c r="I36" s="737" t="e">
        <f>SUM('Monetary Survey Components'!#REF!)/2</f>
        <v>#REF!</v>
      </c>
      <c r="J36" s="737" t="e">
        <f>SUM('Monetary Survey Components'!#REF!)/2</f>
        <v>#REF!</v>
      </c>
    </row>
    <row r="37" spans="1:10">
      <c r="A37" s="732" t="s">
        <v>164</v>
      </c>
      <c r="B37" s="737" t="e">
        <f>SUM('Monetary Survey Components'!#REF!)/2</f>
        <v>#REF!</v>
      </c>
      <c r="C37" s="737" t="e">
        <f>SUM('Monetary Survey Components'!#REF!)/2</f>
        <v>#REF!</v>
      </c>
      <c r="D37" s="737" t="e">
        <f>SUM('Monetary Survey Components'!#REF!)/2</f>
        <v>#REF!</v>
      </c>
      <c r="E37" s="737" t="e">
        <f>SUM('Monetary Survey Components'!#REF!)/2</f>
        <v>#REF!</v>
      </c>
      <c r="F37" s="737" t="e">
        <f>SUM('Monetary Survey Components'!#REF!)/2</f>
        <v>#REF!</v>
      </c>
      <c r="G37" s="737" t="e">
        <f>SUM('Monetary Survey Components'!#REF!)/2</f>
        <v>#REF!</v>
      </c>
      <c r="H37" s="737" t="e">
        <f>SUM('Monetary Survey Components'!#REF!)/2</f>
        <v>#REF!</v>
      </c>
      <c r="I37" s="737" t="e">
        <f>SUM('Monetary Survey Components'!#REF!)/2</f>
        <v>#REF!</v>
      </c>
      <c r="J37" s="737" t="e">
        <f>SUM('Monetary Survey Components'!#REF!)/2</f>
        <v>#REF!</v>
      </c>
    </row>
    <row r="38" spans="1:10">
      <c r="A38" s="732" t="s">
        <v>165</v>
      </c>
      <c r="B38" s="737" t="e">
        <f>SUM('Monetary Survey Components'!#REF!)/2</f>
        <v>#REF!</v>
      </c>
      <c r="C38" s="737" t="e">
        <f>SUM('Monetary Survey Components'!#REF!)/2</f>
        <v>#REF!</v>
      </c>
      <c r="D38" s="737" t="e">
        <f>SUM('Monetary Survey Components'!#REF!)/2</f>
        <v>#REF!</v>
      </c>
      <c r="E38" s="737" t="e">
        <f>SUM('Monetary Survey Components'!#REF!)/2</f>
        <v>#REF!</v>
      </c>
      <c r="F38" s="737" t="e">
        <f>SUM('Monetary Survey Components'!#REF!)/2</f>
        <v>#REF!</v>
      </c>
      <c r="G38" s="737" t="e">
        <f>SUM('Monetary Survey Components'!#REF!)/2</f>
        <v>#REF!</v>
      </c>
      <c r="H38" s="737" t="e">
        <f>SUM('Monetary Survey Components'!#REF!)/2</f>
        <v>#REF!</v>
      </c>
      <c r="I38" s="737" t="e">
        <f>SUM('Monetary Survey Components'!#REF!)/2</f>
        <v>#REF!</v>
      </c>
      <c r="J38" s="737" t="e">
        <f>SUM('Monetary Survey Components'!#REF!)/2</f>
        <v>#REF!</v>
      </c>
    </row>
    <row r="39" spans="1:10">
      <c r="A39" s="732" t="s">
        <v>166</v>
      </c>
      <c r="B39" s="737" t="e">
        <f>SUM('Monetary Survey Components'!#REF!)/2</f>
        <v>#REF!</v>
      </c>
      <c r="C39" s="737" t="e">
        <f>SUM('Monetary Survey Components'!#REF!)/2</f>
        <v>#REF!</v>
      </c>
      <c r="D39" s="737" t="e">
        <f>SUM('Monetary Survey Components'!#REF!)/2</f>
        <v>#REF!</v>
      </c>
      <c r="E39" s="737" t="e">
        <f>SUM('Monetary Survey Components'!#REF!)/2</f>
        <v>#REF!</v>
      </c>
      <c r="F39" s="737" t="e">
        <f>SUM('Monetary Survey Components'!#REF!)/2</f>
        <v>#REF!</v>
      </c>
      <c r="G39" s="737" t="e">
        <f>SUM('Monetary Survey Components'!#REF!)/2</f>
        <v>#REF!</v>
      </c>
      <c r="H39" s="737" t="e">
        <f>SUM('Monetary Survey Components'!#REF!)/2</f>
        <v>#REF!</v>
      </c>
      <c r="I39" s="737" t="e">
        <f>SUM('Monetary Survey Components'!#REF!)/2</f>
        <v>#REF!</v>
      </c>
      <c r="J39" s="737" t="e">
        <f>SUM('Monetary Survey Components'!#REF!)/2</f>
        <v>#REF!</v>
      </c>
    </row>
    <row r="40" spans="1:10">
      <c r="A40" s="732" t="s">
        <v>167</v>
      </c>
      <c r="B40" s="737" t="e">
        <f>SUM('Monetary Survey Components'!#REF!)/2</f>
        <v>#REF!</v>
      </c>
      <c r="C40" s="737" t="e">
        <f>SUM('Monetary Survey Components'!#REF!)/2</f>
        <v>#REF!</v>
      </c>
      <c r="D40" s="737" t="e">
        <f>SUM('Monetary Survey Components'!#REF!)/2</f>
        <v>#REF!</v>
      </c>
      <c r="E40" s="737" t="e">
        <f>SUM('Monetary Survey Components'!#REF!)/2</f>
        <v>#REF!</v>
      </c>
      <c r="F40" s="737" t="e">
        <f>SUM('Monetary Survey Components'!#REF!)/2</f>
        <v>#REF!</v>
      </c>
      <c r="G40" s="737" t="e">
        <f>SUM('Monetary Survey Components'!#REF!)/2</f>
        <v>#REF!</v>
      </c>
      <c r="H40" s="737" t="e">
        <f>SUM('Monetary Survey Components'!#REF!)/2</f>
        <v>#REF!</v>
      </c>
      <c r="I40" s="737" t="e">
        <f>SUM('Monetary Survey Components'!#REF!)/2</f>
        <v>#REF!</v>
      </c>
      <c r="J40" s="737" t="e">
        <f>SUM('Monetary Survey Components'!#REF!)/2</f>
        <v>#REF!</v>
      </c>
    </row>
    <row r="41" spans="1:10">
      <c r="A41" s="732" t="s">
        <v>168</v>
      </c>
      <c r="B41" s="737" t="e">
        <f>SUM('Monetary Survey Components'!#REF!)/2</f>
        <v>#REF!</v>
      </c>
      <c r="C41" s="737" t="e">
        <f>SUM('Monetary Survey Components'!#REF!)/2</f>
        <v>#REF!</v>
      </c>
      <c r="D41" s="737" t="e">
        <f>SUM('Monetary Survey Components'!#REF!)/2</f>
        <v>#REF!</v>
      </c>
      <c r="E41" s="737" t="e">
        <f>SUM('Monetary Survey Components'!#REF!)/2</f>
        <v>#REF!</v>
      </c>
      <c r="F41" s="737" t="e">
        <f>SUM('Monetary Survey Components'!#REF!)/2</f>
        <v>#REF!</v>
      </c>
      <c r="G41" s="737" t="e">
        <f>SUM('Monetary Survey Components'!#REF!)/2</f>
        <v>#REF!</v>
      </c>
      <c r="H41" s="737" t="e">
        <f>SUM('Monetary Survey Components'!#REF!)/2</f>
        <v>#REF!</v>
      </c>
      <c r="I41" s="737" t="e">
        <f>SUM('Monetary Survey Components'!#REF!)/2</f>
        <v>#REF!</v>
      </c>
      <c r="J41" s="737" t="e">
        <f>SUM('Monetary Survey Components'!#REF!)/2</f>
        <v>#REF!</v>
      </c>
    </row>
    <row r="42" spans="1:10">
      <c r="A42" s="732" t="s">
        <v>169</v>
      </c>
      <c r="B42" s="737" t="e">
        <f>SUM('Monetary Survey Components'!#REF!)/2</f>
        <v>#REF!</v>
      </c>
      <c r="C42" s="737" t="e">
        <f>SUM('Monetary Survey Components'!#REF!)/2</f>
        <v>#REF!</v>
      </c>
      <c r="D42" s="737" t="e">
        <f>SUM('Monetary Survey Components'!#REF!)/2</f>
        <v>#REF!</v>
      </c>
      <c r="E42" s="737" t="e">
        <f>SUM('Monetary Survey Components'!#REF!)/2</f>
        <v>#REF!</v>
      </c>
      <c r="F42" s="737" t="e">
        <f>SUM('Monetary Survey Components'!#REF!)/2</f>
        <v>#REF!</v>
      </c>
      <c r="G42" s="737" t="e">
        <f>SUM('Monetary Survey Components'!#REF!)/2</f>
        <v>#REF!</v>
      </c>
      <c r="H42" s="737" t="e">
        <f>SUM('Monetary Survey Components'!#REF!)/2</f>
        <v>#REF!</v>
      </c>
      <c r="I42" s="737" t="e">
        <f>SUM('Monetary Survey Components'!#REF!)/2</f>
        <v>#REF!</v>
      </c>
      <c r="J42" s="737" t="e">
        <f>SUM('Monetary Survey Components'!#REF!)/2</f>
        <v>#REF!</v>
      </c>
    </row>
    <row r="43" spans="1:10">
      <c r="A43" s="732" t="s">
        <v>170</v>
      </c>
      <c r="B43" s="737" t="e">
        <f>SUM('Monetary Survey Components'!#REF!)/2</f>
        <v>#REF!</v>
      </c>
      <c r="C43" s="737" t="e">
        <f>SUM('Monetary Survey Components'!#REF!)/2</f>
        <v>#REF!</v>
      </c>
      <c r="D43" s="737" t="e">
        <f>SUM('Monetary Survey Components'!#REF!)/2</f>
        <v>#REF!</v>
      </c>
      <c r="E43" s="737" t="e">
        <f>SUM('Monetary Survey Components'!#REF!)/2</f>
        <v>#REF!</v>
      </c>
      <c r="F43" s="737" t="e">
        <f>SUM('Monetary Survey Components'!#REF!)/2</f>
        <v>#REF!</v>
      </c>
      <c r="G43" s="737" t="e">
        <f>SUM('Monetary Survey Components'!#REF!)/2</f>
        <v>#REF!</v>
      </c>
      <c r="H43" s="737" t="e">
        <f>SUM('Monetary Survey Components'!#REF!)/2</f>
        <v>#REF!</v>
      </c>
      <c r="I43" s="737" t="e">
        <f>SUM('Monetary Survey Components'!#REF!)/2</f>
        <v>#REF!</v>
      </c>
      <c r="J43" s="737" t="e">
        <f>SUM('Monetary Survey Components'!#REF!)/2</f>
        <v>#REF!</v>
      </c>
    </row>
    <row r="44" spans="1:10">
      <c r="A44" s="732" t="s">
        <v>171</v>
      </c>
      <c r="B44" s="737" t="e">
        <f>SUM('Monetary Survey Components'!#REF!)/2</f>
        <v>#REF!</v>
      </c>
      <c r="C44" s="737" t="e">
        <f>SUM('Monetary Survey Components'!#REF!)/2</f>
        <v>#REF!</v>
      </c>
      <c r="D44" s="737" t="e">
        <f>SUM('Monetary Survey Components'!#REF!)/2</f>
        <v>#REF!</v>
      </c>
      <c r="E44" s="737" t="e">
        <f>SUM('Monetary Survey Components'!#REF!)/2</f>
        <v>#REF!</v>
      </c>
      <c r="F44" s="737" t="e">
        <f>SUM('Monetary Survey Components'!#REF!)/2</f>
        <v>#REF!</v>
      </c>
      <c r="G44" s="737" t="e">
        <f>SUM('Monetary Survey Components'!#REF!)/2</f>
        <v>#REF!</v>
      </c>
      <c r="H44" s="737" t="e">
        <f>SUM('Monetary Survey Components'!#REF!)/2</f>
        <v>#REF!</v>
      </c>
      <c r="I44" s="737" t="e">
        <f>SUM('Monetary Survey Components'!#REF!)/2</f>
        <v>#REF!</v>
      </c>
      <c r="J44" s="737" t="e">
        <f>SUM('Monetary Survey Components'!#REF!)/2</f>
        <v>#REF!</v>
      </c>
    </row>
    <row r="45" spans="1:10">
      <c r="A45" s="732" t="s">
        <v>148</v>
      </c>
      <c r="B45" s="737" t="e">
        <f>SUM('Monetary Survey Components'!#REF!)/2</f>
        <v>#REF!</v>
      </c>
      <c r="C45" s="737" t="e">
        <f>SUM('Monetary Survey Components'!#REF!)/2</f>
        <v>#REF!</v>
      </c>
      <c r="D45" s="737" t="e">
        <f>SUM('Monetary Survey Components'!#REF!)/2</f>
        <v>#REF!</v>
      </c>
      <c r="E45" s="737" t="e">
        <f>SUM('Monetary Survey Components'!#REF!)/2</f>
        <v>#REF!</v>
      </c>
      <c r="F45" s="737" t="e">
        <f>SUM('Monetary Survey Components'!#REF!)/2</f>
        <v>#REF!</v>
      </c>
      <c r="G45" s="737" t="e">
        <f>SUM('Monetary Survey Components'!#REF!)/2</f>
        <v>#REF!</v>
      </c>
      <c r="H45" s="737" t="e">
        <f>SUM('Monetary Survey Components'!#REF!)/2</f>
        <v>#REF!</v>
      </c>
      <c r="I45" s="737" t="e">
        <f>SUM('Monetary Survey Components'!#REF!)/2</f>
        <v>#REF!</v>
      </c>
      <c r="J45" s="737" t="e">
        <f>SUM('Monetary Survey Components'!#REF!)/2</f>
        <v>#REF!</v>
      </c>
    </row>
    <row r="46" spans="1:10">
      <c r="A46" s="733" t="s">
        <v>1246</v>
      </c>
      <c r="B46" s="737" t="e">
        <f>SUM('Monetary Survey Components'!#REF!,'Monetary Survey Components'!#REF!)/2</f>
        <v>#REF!</v>
      </c>
      <c r="C46" s="737" t="e">
        <f>SUM('Monetary Survey Components'!#REF!,'Monetary Survey Components'!#REF!)/2</f>
        <v>#REF!</v>
      </c>
      <c r="D46" s="737" t="e">
        <f>SUM('Monetary Survey Components'!#REF!,'Monetary Survey Components'!#REF!)/2</f>
        <v>#REF!</v>
      </c>
      <c r="E46" s="737" t="e">
        <f>SUM('Monetary Survey Components'!#REF!,'Monetary Survey Components'!#REF!)/2</f>
        <v>#REF!</v>
      </c>
      <c r="F46" s="737" t="e">
        <f>SUM('Monetary Survey Components'!#REF!,'Monetary Survey Components'!#REF!)/2</f>
        <v>#REF!</v>
      </c>
      <c r="G46" s="737" t="e">
        <f>SUM('Monetary Survey Components'!#REF!,'Monetary Survey Components'!#REF!)/2</f>
        <v>#REF!</v>
      </c>
      <c r="H46" s="737" t="e">
        <f>SUM('Monetary Survey Components'!#REF!,'Monetary Survey Components'!#REF!)/2</f>
        <v>#REF!</v>
      </c>
      <c r="I46" s="737" t="e">
        <f>SUM('Monetary Survey Components'!#REF!,'Monetary Survey Components'!#REF!)/2</f>
        <v>#REF!</v>
      </c>
      <c r="J46" s="737" t="e">
        <f>SUM('Monetary Survey Components'!#REF!,'Monetary Survey Components'!#REF!)/2</f>
        <v>#REF!</v>
      </c>
    </row>
    <row r="47" spans="1:10">
      <c r="A47" s="733" t="s">
        <v>162</v>
      </c>
      <c r="B47" s="737" t="e">
        <f>SUM('Monetary Survey Components'!#REF!)/2</f>
        <v>#REF!</v>
      </c>
      <c r="C47" s="737" t="e">
        <f>SUM('Monetary Survey Components'!#REF!)/2</f>
        <v>#REF!</v>
      </c>
      <c r="D47" s="737" t="e">
        <f>SUM('Monetary Survey Components'!#REF!)/2</f>
        <v>#REF!</v>
      </c>
      <c r="E47" s="737" t="e">
        <f>SUM('Monetary Survey Components'!#REF!)/2</f>
        <v>#REF!</v>
      </c>
      <c r="F47" s="737" t="e">
        <f>SUM('Monetary Survey Components'!#REF!)/2</f>
        <v>#REF!</v>
      </c>
      <c r="G47" s="737" t="e">
        <f>SUM('Monetary Survey Components'!#REF!)/2</f>
        <v>#REF!</v>
      </c>
      <c r="H47" s="737" t="e">
        <f>SUM('Monetary Survey Components'!#REF!)/2</f>
        <v>#REF!</v>
      </c>
      <c r="I47" s="737" t="e">
        <f>SUM('Monetary Survey Components'!#REF!)/2</f>
        <v>#REF!</v>
      </c>
      <c r="J47" s="737" t="e">
        <f>SUM('Monetary Survey Components'!#REF!)/2</f>
        <v>#REF!</v>
      </c>
    </row>
    <row r="48" spans="1:10">
      <c r="A48" s="733" t="s">
        <v>163</v>
      </c>
      <c r="B48" s="737" t="e">
        <f>SUM('Monetary Survey Components'!#REF!)/2</f>
        <v>#REF!</v>
      </c>
      <c r="C48" s="737" t="e">
        <f>SUM('Monetary Survey Components'!#REF!)/2</f>
        <v>#REF!</v>
      </c>
      <c r="D48" s="737" t="e">
        <f>SUM('Monetary Survey Components'!#REF!)/2</f>
        <v>#REF!</v>
      </c>
      <c r="E48" s="737" t="e">
        <f>SUM('Monetary Survey Components'!#REF!)/2</f>
        <v>#REF!</v>
      </c>
      <c r="F48" s="737" t="e">
        <f>SUM('Monetary Survey Components'!#REF!)/2</f>
        <v>#REF!</v>
      </c>
      <c r="G48" s="737" t="e">
        <f>SUM('Monetary Survey Components'!#REF!)/2</f>
        <v>#REF!</v>
      </c>
      <c r="H48" s="737" t="e">
        <f>SUM('Monetary Survey Components'!#REF!)/2</f>
        <v>#REF!</v>
      </c>
      <c r="I48" s="737" t="e">
        <f>SUM('Monetary Survey Components'!#REF!)/2</f>
        <v>#REF!</v>
      </c>
      <c r="J48" s="737" t="e">
        <f>SUM('Monetary Survey Components'!#REF!)/2</f>
        <v>#REF!</v>
      </c>
    </row>
    <row r="49" spans="1:10">
      <c r="A49" s="733" t="s">
        <v>164</v>
      </c>
      <c r="B49" s="737" t="e">
        <f>SUM('Monetary Survey Components'!#REF!)/2</f>
        <v>#REF!</v>
      </c>
      <c r="C49" s="737" t="e">
        <f>SUM('Monetary Survey Components'!#REF!)/2</f>
        <v>#REF!</v>
      </c>
      <c r="D49" s="737" t="e">
        <f>SUM('Monetary Survey Components'!#REF!)/2</f>
        <v>#REF!</v>
      </c>
      <c r="E49" s="737" t="e">
        <f>SUM('Monetary Survey Components'!#REF!)/2</f>
        <v>#REF!</v>
      </c>
      <c r="F49" s="737" t="e">
        <f>SUM('Monetary Survey Components'!#REF!)/2</f>
        <v>#REF!</v>
      </c>
      <c r="G49" s="737" t="e">
        <f>SUM('Monetary Survey Components'!#REF!)/2</f>
        <v>#REF!</v>
      </c>
      <c r="H49" s="737" t="e">
        <f>SUM('Monetary Survey Components'!#REF!)/2</f>
        <v>#REF!</v>
      </c>
      <c r="I49" s="737" t="e">
        <f>SUM('Monetary Survey Components'!#REF!)/2</f>
        <v>#REF!</v>
      </c>
      <c r="J49" s="737" t="e">
        <f>SUM('Monetary Survey Components'!#REF!)/2</f>
        <v>#REF!</v>
      </c>
    </row>
    <row r="50" spans="1:10">
      <c r="A50" s="733" t="s">
        <v>165</v>
      </c>
      <c r="B50" s="737" t="e">
        <f>SUM('Monetary Survey Components'!#REF!)/2</f>
        <v>#REF!</v>
      </c>
      <c r="C50" s="737" t="e">
        <f>SUM('Monetary Survey Components'!#REF!)/2</f>
        <v>#REF!</v>
      </c>
      <c r="D50" s="737" t="e">
        <f>SUM('Monetary Survey Components'!#REF!)/2</f>
        <v>#REF!</v>
      </c>
      <c r="E50" s="737" t="e">
        <f>SUM('Monetary Survey Components'!#REF!)/2</f>
        <v>#REF!</v>
      </c>
      <c r="F50" s="737" t="e">
        <f>SUM('Monetary Survey Components'!#REF!)/2</f>
        <v>#REF!</v>
      </c>
      <c r="G50" s="737" t="e">
        <f>SUM('Monetary Survey Components'!#REF!)/2</f>
        <v>#REF!</v>
      </c>
      <c r="H50" s="737" t="e">
        <f>SUM('Monetary Survey Components'!#REF!)/2</f>
        <v>#REF!</v>
      </c>
      <c r="I50" s="737" t="e">
        <f>SUM('Monetary Survey Components'!#REF!)/2</f>
        <v>#REF!</v>
      </c>
      <c r="J50" s="737" t="e">
        <f>SUM('Monetary Survey Components'!#REF!)/2</f>
        <v>#REF!</v>
      </c>
    </row>
    <row r="51" spans="1:10">
      <c r="A51" s="733" t="s">
        <v>166</v>
      </c>
      <c r="B51" s="737" t="e">
        <f>SUM('Monetary Survey Components'!#REF!)/2</f>
        <v>#REF!</v>
      </c>
      <c r="C51" s="737" t="e">
        <f>SUM('Monetary Survey Components'!#REF!)/2</f>
        <v>#REF!</v>
      </c>
      <c r="D51" s="737" t="e">
        <f>SUM('Monetary Survey Components'!#REF!)/2</f>
        <v>#REF!</v>
      </c>
      <c r="E51" s="737" t="e">
        <f>SUM('Monetary Survey Components'!#REF!)/2</f>
        <v>#REF!</v>
      </c>
      <c r="F51" s="737" t="e">
        <f>SUM('Monetary Survey Components'!#REF!)/2</f>
        <v>#REF!</v>
      </c>
      <c r="G51" s="737" t="e">
        <f>SUM('Monetary Survey Components'!#REF!)/2</f>
        <v>#REF!</v>
      </c>
      <c r="H51" s="737" t="e">
        <f>SUM('Monetary Survey Components'!#REF!)/2</f>
        <v>#REF!</v>
      </c>
      <c r="I51" s="737" t="e">
        <f>SUM('Monetary Survey Components'!#REF!)/2</f>
        <v>#REF!</v>
      </c>
      <c r="J51" s="737" t="e">
        <f>SUM('Monetary Survey Components'!#REF!)/2</f>
        <v>#REF!</v>
      </c>
    </row>
    <row r="52" spans="1:10">
      <c r="A52" s="733" t="s">
        <v>167</v>
      </c>
      <c r="B52" s="737" t="e">
        <f>SUM('Monetary Survey Components'!#REF!)/2</f>
        <v>#REF!</v>
      </c>
      <c r="C52" s="737" t="e">
        <f>SUM('Monetary Survey Components'!#REF!)/2</f>
        <v>#REF!</v>
      </c>
      <c r="D52" s="737" t="e">
        <f>SUM('Monetary Survey Components'!#REF!)/2</f>
        <v>#REF!</v>
      </c>
      <c r="E52" s="737" t="e">
        <f>SUM('Monetary Survey Components'!#REF!)/2</f>
        <v>#REF!</v>
      </c>
      <c r="F52" s="737" t="e">
        <f>SUM('Monetary Survey Components'!#REF!)/2</f>
        <v>#REF!</v>
      </c>
      <c r="G52" s="737" t="e">
        <f>SUM('Monetary Survey Components'!#REF!)/2</f>
        <v>#REF!</v>
      </c>
      <c r="H52" s="737" t="e">
        <f>SUM('Monetary Survey Components'!#REF!)/2</f>
        <v>#REF!</v>
      </c>
      <c r="I52" s="737" t="e">
        <f>SUM('Monetary Survey Components'!#REF!)/2</f>
        <v>#REF!</v>
      </c>
      <c r="J52" s="737" t="e">
        <f>SUM('Monetary Survey Components'!#REF!)/2</f>
        <v>#REF!</v>
      </c>
    </row>
    <row r="53" spans="1:10">
      <c r="A53" s="733" t="s">
        <v>168</v>
      </c>
      <c r="B53" s="737" t="e">
        <f>SUM('Monetary Survey Components'!#REF!)/2</f>
        <v>#REF!</v>
      </c>
      <c r="C53" s="737" t="e">
        <f>SUM('Monetary Survey Components'!#REF!)/2</f>
        <v>#REF!</v>
      </c>
      <c r="D53" s="737" t="e">
        <f>SUM('Monetary Survey Components'!#REF!)/2</f>
        <v>#REF!</v>
      </c>
      <c r="E53" s="737" t="e">
        <f>SUM('Monetary Survey Components'!#REF!)/2</f>
        <v>#REF!</v>
      </c>
      <c r="F53" s="737" t="e">
        <f>SUM('Monetary Survey Components'!#REF!)/2</f>
        <v>#REF!</v>
      </c>
      <c r="G53" s="737" t="e">
        <f>SUM('Monetary Survey Components'!#REF!)/2</f>
        <v>#REF!</v>
      </c>
      <c r="H53" s="737" t="e">
        <f>SUM('Monetary Survey Components'!#REF!)/2</f>
        <v>#REF!</v>
      </c>
      <c r="I53" s="737" t="e">
        <f>SUM('Monetary Survey Components'!#REF!)/2</f>
        <v>#REF!</v>
      </c>
      <c r="J53" s="737" t="e">
        <f>SUM('Monetary Survey Components'!#REF!)/2</f>
        <v>#REF!</v>
      </c>
    </row>
    <row r="54" spans="1:10">
      <c r="A54" s="733" t="s">
        <v>169</v>
      </c>
      <c r="B54" s="737" t="e">
        <f>SUM('Monetary Survey Components'!#REF!)/2</f>
        <v>#REF!</v>
      </c>
      <c r="C54" s="737" t="e">
        <f>SUM('Monetary Survey Components'!#REF!)/2</f>
        <v>#REF!</v>
      </c>
      <c r="D54" s="737" t="e">
        <f>SUM('Monetary Survey Components'!#REF!)/2</f>
        <v>#REF!</v>
      </c>
      <c r="E54" s="737" t="e">
        <f>SUM('Monetary Survey Components'!#REF!)/2</f>
        <v>#REF!</v>
      </c>
      <c r="F54" s="737" t="e">
        <f>SUM('Monetary Survey Components'!#REF!)/2</f>
        <v>#REF!</v>
      </c>
      <c r="G54" s="737" t="e">
        <f>SUM('Monetary Survey Components'!#REF!)/2</f>
        <v>#REF!</v>
      </c>
      <c r="H54" s="737" t="e">
        <f>SUM('Monetary Survey Components'!#REF!)/2</f>
        <v>#REF!</v>
      </c>
      <c r="I54" s="737" t="e">
        <f>SUM('Monetary Survey Components'!#REF!)/2</f>
        <v>#REF!</v>
      </c>
      <c r="J54" s="737" t="e">
        <f>SUM('Monetary Survey Components'!#REF!)/2</f>
        <v>#REF!</v>
      </c>
    </row>
    <row r="55" spans="1:10">
      <c r="A55" s="733" t="s">
        <v>170</v>
      </c>
      <c r="B55" s="737" t="e">
        <f>SUM('Monetary Survey Components'!#REF!)/2</f>
        <v>#REF!</v>
      </c>
      <c r="C55" s="737" t="e">
        <f>SUM('Monetary Survey Components'!#REF!)/2</f>
        <v>#REF!</v>
      </c>
      <c r="D55" s="737" t="e">
        <f>SUM('Monetary Survey Components'!#REF!)/2</f>
        <v>#REF!</v>
      </c>
      <c r="E55" s="737" t="e">
        <f>SUM('Monetary Survey Components'!#REF!)/2</f>
        <v>#REF!</v>
      </c>
      <c r="F55" s="737" t="e">
        <f>SUM('Monetary Survey Components'!#REF!)/2</f>
        <v>#REF!</v>
      </c>
      <c r="G55" s="737" t="e">
        <f>SUM('Monetary Survey Components'!#REF!)/2</f>
        <v>#REF!</v>
      </c>
      <c r="H55" s="737" t="e">
        <f>SUM('Monetary Survey Components'!#REF!)/2</f>
        <v>#REF!</v>
      </c>
      <c r="I55" s="737" t="e">
        <f>SUM('Monetary Survey Components'!#REF!)/2</f>
        <v>#REF!</v>
      </c>
      <c r="J55" s="737" t="e">
        <f>SUM('Monetary Survey Components'!#REF!)/2</f>
        <v>#REF!</v>
      </c>
    </row>
    <row r="56" spans="1:10">
      <c r="A56" s="733" t="s">
        <v>171</v>
      </c>
      <c r="B56" s="737" t="e">
        <f>SUM('Monetary Survey Components'!#REF!)/2</f>
        <v>#REF!</v>
      </c>
      <c r="C56" s="737" t="e">
        <f>SUM('Monetary Survey Components'!#REF!)/2</f>
        <v>#REF!</v>
      </c>
      <c r="D56" s="737" t="e">
        <f>SUM('Monetary Survey Components'!#REF!)/2</f>
        <v>#REF!</v>
      </c>
      <c r="E56" s="737" t="e">
        <f>SUM('Monetary Survey Components'!#REF!)/2</f>
        <v>#REF!</v>
      </c>
      <c r="F56" s="737" t="e">
        <f>SUM('Monetary Survey Components'!#REF!)/2</f>
        <v>#REF!</v>
      </c>
      <c r="G56" s="737" t="e">
        <f>SUM('Monetary Survey Components'!#REF!)/2</f>
        <v>#REF!</v>
      </c>
      <c r="H56" s="737" t="e">
        <f>SUM('Monetary Survey Components'!#REF!)/2</f>
        <v>#REF!</v>
      </c>
      <c r="I56" s="737" t="e">
        <f>SUM('Monetary Survey Components'!#REF!)/2</f>
        <v>#REF!</v>
      </c>
      <c r="J56" s="737" t="e">
        <f>SUM('Monetary Survey Components'!#REF!)/2</f>
        <v>#REF!</v>
      </c>
    </row>
    <row r="57" spans="1:10">
      <c r="A57" s="733" t="s">
        <v>148</v>
      </c>
      <c r="B57" s="737" t="e">
        <f>SUM('Monetary Survey Components'!#REF!)/2</f>
        <v>#REF!</v>
      </c>
      <c r="C57" s="737" t="e">
        <f>SUM('Monetary Survey Components'!#REF!)/2</f>
        <v>#REF!</v>
      </c>
      <c r="D57" s="737" t="e">
        <f>SUM('Monetary Survey Components'!#REF!)/2</f>
        <v>#REF!</v>
      </c>
      <c r="E57" s="737" t="e">
        <f>SUM('Monetary Survey Components'!#REF!)/2</f>
        <v>#REF!</v>
      </c>
      <c r="F57" s="737" t="e">
        <f>SUM('Monetary Survey Components'!#REF!)/2</f>
        <v>#REF!</v>
      </c>
      <c r="G57" s="737" t="e">
        <f>SUM('Monetary Survey Components'!#REF!)/2</f>
        <v>#REF!</v>
      </c>
      <c r="H57" s="737" t="e">
        <f>SUM('Monetary Survey Components'!#REF!)/2</f>
        <v>#REF!</v>
      </c>
      <c r="I57" s="737" t="e">
        <f>SUM('Monetary Survey Components'!#REF!)/2</f>
        <v>#REF!</v>
      </c>
      <c r="J57" s="737" t="e">
        <f>SUM('Monetary Survey Components'!#REF!)/2</f>
        <v>#REF!</v>
      </c>
    </row>
    <row r="58" spans="1:10">
      <c r="A58" s="733" t="s">
        <v>1237</v>
      </c>
      <c r="B58" s="737" t="e">
        <f>SUM('Monetary Survey Components'!#REF!,'Monetary Survey Components'!#REF!)/2</f>
        <v>#REF!</v>
      </c>
      <c r="C58" s="737" t="e">
        <f>SUM('Monetary Survey Components'!#REF!,'Monetary Survey Components'!#REF!)/2</f>
        <v>#REF!</v>
      </c>
      <c r="D58" s="737" t="e">
        <f>SUM('Monetary Survey Components'!#REF!,'Monetary Survey Components'!#REF!)/2</f>
        <v>#REF!</v>
      </c>
      <c r="E58" s="737" t="e">
        <f>SUM('Monetary Survey Components'!#REF!,'Monetary Survey Components'!#REF!)/2</f>
        <v>#REF!</v>
      </c>
      <c r="F58" s="737" t="e">
        <f>SUM('Monetary Survey Components'!#REF!,'Monetary Survey Components'!#REF!)/2</f>
        <v>#REF!</v>
      </c>
      <c r="G58" s="737" t="e">
        <f>SUM('Monetary Survey Components'!#REF!,'Monetary Survey Components'!#REF!)/2</f>
        <v>#REF!</v>
      </c>
      <c r="H58" s="737" t="e">
        <f>SUM('Monetary Survey Components'!#REF!,'Monetary Survey Components'!#REF!)/2</f>
        <v>#REF!</v>
      </c>
      <c r="I58" s="737" t="e">
        <f>SUM('Monetary Survey Components'!#REF!,'Monetary Survey Components'!#REF!)/2</f>
        <v>#REF!</v>
      </c>
      <c r="J58" s="737" t="e">
        <f>SUM('Monetary Survey Components'!#REF!,'Monetary Survey Components'!#REF!)/2</f>
        <v>#REF!</v>
      </c>
    </row>
    <row r="59" spans="1:10">
      <c r="A59" s="733" t="s">
        <v>162</v>
      </c>
      <c r="B59" s="737" t="e">
        <f>SUM('Monetary Survey Components'!#REF!)/2</f>
        <v>#REF!</v>
      </c>
      <c r="C59" s="737" t="e">
        <f>SUM('Monetary Survey Components'!#REF!)/2</f>
        <v>#REF!</v>
      </c>
      <c r="D59" s="737" t="e">
        <f>SUM('Monetary Survey Components'!#REF!)/2</f>
        <v>#REF!</v>
      </c>
      <c r="E59" s="737" t="e">
        <f>SUM('Monetary Survey Components'!#REF!)/2</f>
        <v>#REF!</v>
      </c>
      <c r="F59" s="737" t="e">
        <f>SUM('Monetary Survey Components'!#REF!)/2</f>
        <v>#REF!</v>
      </c>
      <c r="G59" s="737" t="e">
        <f>SUM('Monetary Survey Components'!#REF!)/2</f>
        <v>#REF!</v>
      </c>
      <c r="H59" s="737" t="e">
        <f>SUM('Monetary Survey Components'!#REF!)/2</f>
        <v>#REF!</v>
      </c>
      <c r="I59" s="737" t="e">
        <f>SUM('Monetary Survey Components'!#REF!)/2</f>
        <v>#REF!</v>
      </c>
      <c r="J59" s="737" t="e">
        <f>SUM('Monetary Survey Components'!#REF!)/2</f>
        <v>#REF!</v>
      </c>
    </row>
    <row r="60" spans="1:10">
      <c r="A60" s="733" t="s">
        <v>163</v>
      </c>
      <c r="B60" s="737" t="e">
        <f>SUM('Monetary Survey Components'!#REF!)/2</f>
        <v>#REF!</v>
      </c>
      <c r="C60" s="737" t="e">
        <f>SUM('Monetary Survey Components'!#REF!)/2</f>
        <v>#REF!</v>
      </c>
      <c r="D60" s="737" t="e">
        <f>SUM('Monetary Survey Components'!#REF!)/2</f>
        <v>#REF!</v>
      </c>
      <c r="E60" s="737" t="e">
        <f>SUM('Monetary Survey Components'!#REF!)/2</f>
        <v>#REF!</v>
      </c>
      <c r="F60" s="737" t="e">
        <f>SUM('Monetary Survey Components'!#REF!)/2</f>
        <v>#REF!</v>
      </c>
      <c r="G60" s="737" t="e">
        <f>SUM('Monetary Survey Components'!#REF!)/2</f>
        <v>#REF!</v>
      </c>
      <c r="H60" s="737" t="e">
        <f>SUM('Monetary Survey Components'!#REF!)/2</f>
        <v>#REF!</v>
      </c>
      <c r="I60" s="737" t="e">
        <f>SUM('Monetary Survey Components'!#REF!)/2</f>
        <v>#REF!</v>
      </c>
      <c r="J60" s="737" t="e">
        <f>SUM('Monetary Survey Components'!#REF!)/2</f>
        <v>#REF!</v>
      </c>
    </row>
    <row r="61" spans="1:10">
      <c r="A61" s="733" t="s">
        <v>164</v>
      </c>
      <c r="B61" s="737" t="e">
        <f>SUM('Monetary Survey Components'!#REF!)/2</f>
        <v>#REF!</v>
      </c>
      <c r="C61" s="737" t="e">
        <f>SUM('Monetary Survey Components'!#REF!)/2</f>
        <v>#REF!</v>
      </c>
      <c r="D61" s="737" t="e">
        <f>SUM('Monetary Survey Components'!#REF!)/2</f>
        <v>#REF!</v>
      </c>
      <c r="E61" s="737" t="e">
        <f>SUM('Monetary Survey Components'!#REF!)/2</f>
        <v>#REF!</v>
      </c>
      <c r="F61" s="737" t="e">
        <f>SUM('Monetary Survey Components'!#REF!)/2</f>
        <v>#REF!</v>
      </c>
      <c r="G61" s="737" t="e">
        <f>SUM('Monetary Survey Components'!#REF!)/2</f>
        <v>#REF!</v>
      </c>
      <c r="H61" s="737" t="e">
        <f>SUM('Monetary Survey Components'!#REF!)/2</f>
        <v>#REF!</v>
      </c>
      <c r="I61" s="737" t="e">
        <f>SUM('Monetary Survey Components'!#REF!)/2</f>
        <v>#REF!</v>
      </c>
      <c r="J61" s="737" t="e">
        <f>SUM('Monetary Survey Components'!#REF!)/2</f>
        <v>#REF!</v>
      </c>
    </row>
    <row r="62" spans="1:10">
      <c r="A62" s="733" t="s">
        <v>165</v>
      </c>
      <c r="B62" s="737" t="e">
        <f>SUM('Monetary Survey Components'!#REF!)/2</f>
        <v>#REF!</v>
      </c>
      <c r="C62" s="737" t="e">
        <f>SUM('Monetary Survey Components'!#REF!)/2</f>
        <v>#REF!</v>
      </c>
      <c r="D62" s="737" t="e">
        <f>SUM('Monetary Survey Components'!#REF!)/2</f>
        <v>#REF!</v>
      </c>
      <c r="E62" s="737" t="e">
        <f>SUM('Monetary Survey Components'!#REF!)/2</f>
        <v>#REF!</v>
      </c>
      <c r="F62" s="737" t="e">
        <f>SUM('Monetary Survey Components'!#REF!)/2</f>
        <v>#REF!</v>
      </c>
      <c r="G62" s="737" t="e">
        <f>SUM('Monetary Survey Components'!#REF!)/2</f>
        <v>#REF!</v>
      </c>
      <c r="H62" s="737" t="e">
        <f>SUM('Monetary Survey Components'!#REF!)/2</f>
        <v>#REF!</v>
      </c>
      <c r="I62" s="737" t="e">
        <f>SUM('Monetary Survey Components'!#REF!)/2</f>
        <v>#REF!</v>
      </c>
      <c r="J62" s="737" t="e">
        <f>SUM('Monetary Survey Components'!#REF!)/2</f>
        <v>#REF!</v>
      </c>
    </row>
    <row r="63" spans="1:10">
      <c r="A63" s="733" t="s">
        <v>166</v>
      </c>
      <c r="B63" s="737" t="e">
        <f>SUM('Monetary Survey Components'!#REF!)/2</f>
        <v>#REF!</v>
      </c>
      <c r="C63" s="737" t="e">
        <f>SUM('Monetary Survey Components'!#REF!)/2</f>
        <v>#REF!</v>
      </c>
      <c r="D63" s="737" t="e">
        <f>SUM('Monetary Survey Components'!#REF!)/2</f>
        <v>#REF!</v>
      </c>
      <c r="E63" s="737" t="e">
        <f>SUM('Monetary Survey Components'!#REF!)/2</f>
        <v>#REF!</v>
      </c>
      <c r="F63" s="737" t="e">
        <f>SUM('Monetary Survey Components'!#REF!)/2</f>
        <v>#REF!</v>
      </c>
      <c r="G63" s="737" t="e">
        <f>SUM('Monetary Survey Components'!#REF!)/2</f>
        <v>#REF!</v>
      </c>
      <c r="H63" s="737" t="e">
        <f>SUM('Monetary Survey Components'!#REF!)/2</f>
        <v>#REF!</v>
      </c>
      <c r="I63" s="737" t="e">
        <f>SUM('Monetary Survey Components'!#REF!)/2</f>
        <v>#REF!</v>
      </c>
      <c r="J63" s="737" t="e">
        <f>SUM('Monetary Survey Components'!#REF!)/2</f>
        <v>#REF!</v>
      </c>
    </row>
    <row r="64" spans="1:10">
      <c r="A64" s="733" t="s">
        <v>167</v>
      </c>
      <c r="B64" s="737" t="e">
        <f>SUM('Monetary Survey Components'!#REF!)/2</f>
        <v>#REF!</v>
      </c>
      <c r="C64" s="737" t="e">
        <f>SUM('Monetary Survey Components'!#REF!)/2</f>
        <v>#REF!</v>
      </c>
      <c r="D64" s="737" t="e">
        <f>SUM('Monetary Survey Components'!#REF!)/2</f>
        <v>#REF!</v>
      </c>
      <c r="E64" s="737" t="e">
        <f>SUM('Monetary Survey Components'!#REF!)/2</f>
        <v>#REF!</v>
      </c>
      <c r="F64" s="737" t="e">
        <f>SUM('Monetary Survey Components'!#REF!)/2</f>
        <v>#REF!</v>
      </c>
      <c r="G64" s="737" t="e">
        <f>SUM('Monetary Survey Components'!#REF!)/2</f>
        <v>#REF!</v>
      </c>
      <c r="H64" s="737" t="e">
        <f>SUM('Monetary Survey Components'!#REF!)/2</f>
        <v>#REF!</v>
      </c>
      <c r="I64" s="737" t="e">
        <f>SUM('Monetary Survey Components'!#REF!)/2</f>
        <v>#REF!</v>
      </c>
      <c r="J64" s="737" t="e">
        <f>SUM('Monetary Survey Components'!#REF!)/2</f>
        <v>#REF!</v>
      </c>
    </row>
    <row r="65" spans="1:10">
      <c r="A65" s="733" t="s">
        <v>168</v>
      </c>
      <c r="B65" s="737" t="e">
        <f>SUM('Monetary Survey Components'!#REF!)/2</f>
        <v>#REF!</v>
      </c>
      <c r="C65" s="737" t="e">
        <f>SUM('Monetary Survey Components'!#REF!)/2</f>
        <v>#REF!</v>
      </c>
      <c r="D65" s="737" t="e">
        <f>SUM('Monetary Survey Components'!#REF!)/2</f>
        <v>#REF!</v>
      </c>
      <c r="E65" s="737" t="e">
        <f>SUM('Monetary Survey Components'!#REF!)/2</f>
        <v>#REF!</v>
      </c>
      <c r="F65" s="737" t="e">
        <f>SUM('Monetary Survey Components'!#REF!)/2</f>
        <v>#REF!</v>
      </c>
      <c r="G65" s="737" t="e">
        <f>SUM('Monetary Survey Components'!#REF!)/2</f>
        <v>#REF!</v>
      </c>
      <c r="H65" s="737" t="e">
        <f>SUM('Monetary Survey Components'!#REF!)/2</f>
        <v>#REF!</v>
      </c>
      <c r="I65" s="737" t="e">
        <f>SUM('Monetary Survey Components'!#REF!)/2</f>
        <v>#REF!</v>
      </c>
      <c r="J65" s="737" t="e">
        <f>SUM('Monetary Survey Components'!#REF!)/2</f>
        <v>#REF!</v>
      </c>
    </row>
    <row r="66" spans="1:10">
      <c r="A66" s="733" t="s">
        <v>169</v>
      </c>
      <c r="B66" s="737" t="e">
        <f>SUM('Monetary Survey Components'!#REF!)/2</f>
        <v>#REF!</v>
      </c>
      <c r="C66" s="737" t="e">
        <f>SUM('Monetary Survey Components'!#REF!)/2</f>
        <v>#REF!</v>
      </c>
      <c r="D66" s="737" t="e">
        <f>SUM('Monetary Survey Components'!#REF!)/2</f>
        <v>#REF!</v>
      </c>
      <c r="E66" s="737" t="e">
        <f>SUM('Monetary Survey Components'!#REF!)/2</f>
        <v>#REF!</v>
      </c>
      <c r="F66" s="737" t="e">
        <f>SUM('Monetary Survey Components'!#REF!)/2</f>
        <v>#REF!</v>
      </c>
      <c r="G66" s="737" t="e">
        <f>SUM('Monetary Survey Components'!#REF!)/2</f>
        <v>#REF!</v>
      </c>
      <c r="H66" s="737" t="e">
        <f>SUM('Monetary Survey Components'!#REF!)/2</f>
        <v>#REF!</v>
      </c>
      <c r="I66" s="737" t="e">
        <f>SUM('Monetary Survey Components'!#REF!)/2</f>
        <v>#REF!</v>
      </c>
      <c r="J66" s="737" t="e">
        <f>SUM('Monetary Survey Components'!#REF!)/2</f>
        <v>#REF!</v>
      </c>
    </row>
    <row r="67" spans="1:10">
      <c r="A67" s="733" t="s">
        <v>170</v>
      </c>
      <c r="B67" s="737" t="e">
        <f>SUM('Monetary Survey Components'!#REF!)/2</f>
        <v>#REF!</v>
      </c>
      <c r="C67" s="737" t="e">
        <f>SUM('Monetary Survey Components'!#REF!)/2</f>
        <v>#REF!</v>
      </c>
      <c r="D67" s="737" t="e">
        <f>SUM('Monetary Survey Components'!#REF!)/2</f>
        <v>#REF!</v>
      </c>
      <c r="E67" s="737" t="e">
        <f>SUM('Monetary Survey Components'!#REF!)/2</f>
        <v>#REF!</v>
      </c>
      <c r="F67" s="737" t="e">
        <f>SUM('Monetary Survey Components'!#REF!)/2</f>
        <v>#REF!</v>
      </c>
      <c r="G67" s="737" t="e">
        <f>SUM('Monetary Survey Components'!#REF!)/2</f>
        <v>#REF!</v>
      </c>
      <c r="H67" s="737" t="e">
        <f>SUM('Monetary Survey Components'!#REF!)/2</f>
        <v>#REF!</v>
      </c>
      <c r="I67" s="737" t="e">
        <f>SUM('Monetary Survey Components'!#REF!)/2</f>
        <v>#REF!</v>
      </c>
      <c r="J67" s="737" t="e">
        <f>SUM('Monetary Survey Components'!#REF!)/2</f>
        <v>#REF!</v>
      </c>
    </row>
    <row r="68" spans="1:10">
      <c r="A68" s="733" t="s">
        <v>171</v>
      </c>
      <c r="B68" s="737" t="e">
        <f>SUM('Monetary Survey Components'!#REF!)/2</f>
        <v>#REF!</v>
      </c>
      <c r="C68" s="737" t="e">
        <f>SUM('Monetary Survey Components'!#REF!)/2</f>
        <v>#REF!</v>
      </c>
      <c r="D68" s="737" t="e">
        <f>SUM('Monetary Survey Components'!#REF!)/2</f>
        <v>#REF!</v>
      </c>
      <c r="E68" s="737" t="e">
        <f>SUM('Monetary Survey Components'!#REF!)/2</f>
        <v>#REF!</v>
      </c>
      <c r="F68" s="737" t="e">
        <f>SUM('Monetary Survey Components'!#REF!)/2</f>
        <v>#REF!</v>
      </c>
      <c r="G68" s="737" t="e">
        <f>SUM('Monetary Survey Components'!#REF!)/2</f>
        <v>#REF!</v>
      </c>
      <c r="H68" s="737" t="e">
        <f>SUM('Monetary Survey Components'!#REF!)/2</f>
        <v>#REF!</v>
      </c>
      <c r="I68" s="737" t="e">
        <f>SUM('Monetary Survey Components'!#REF!)/2</f>
        <v>#REF!</v>
      </c>
      <c r="J68" s="737" t="e">
        <f>SUM('Monetary Survey Components'!#REF!)/2</f>
        <v>#REF!</v>
      </c>
    </row>
    <row r="69" spans="1:10">
      <c r="A69" s="733" t="s">
        <v>148</v>
      </c>
      <c r="B69" s="737" t="e">
        <f>SUM('Monetary Survey Components'!#REF!)/2</f>
        <v>#REF!</v>
      </c>
      <c r="C69" s="737" t="e">
        <f>SUM('Monetary Survey Components'!#REF!)/2</f>
        <v>#REF!</v>
      </c>
      <c r="D69" s="737" t="e">
        <f>SUM('Monetary Survey Components'!#REF!)/2</f>
        <v>#REF!</v>
      </c>
      <c r="E69" s="737" t="e">
        <f>SUM('Monetary Survey Components'!#REF!)/2</f>
        <v>#REF!</v>
      </c>
      <c r="F69" s="737" t="e">
        <f>SUM('Monetary Survey Components'!#REF!)/2</f>
        <v>#REF!</v>
      </c>
      <c r="G69" s="737" t="e">
        <f>SUM('Monetary Survey Components'!#REF!)/2</f>
        <v>#REF!</v>
      </c>
      <c r="H69" s="737" t="e">
        <f>SUM('Monetary Survey Components'!#REF!)/2</f>
        <v>#REF!</v>
      </c>
      <c r="I69" s="737" t="e">
        <f>SUM('Monetary Survey Components'!#REF!)/2</f>
        <v>#REF!</v>
      </c>
      <c r="J69" s="737" t="e">
        <f>SUM('Monetary Survey Components'!#REF!)/2</f>
        <v>#REF!</v>
      </c>
    </row>
    <row r="70" spans="1:10">
      <c r="A70" s="733" t="s">
        <v>1238</v>
      </c>
      <c r="B70" s="737" t="e">
        <f>SUM('Monetary Survey Components'!#REF!,'Monetary Survey Components'!#REF!)/2</f>
        <v>#REF!</v>
      </c>
      <c r="C70" s="737" t="e">
        <f>SUM('Monetary Survey Components'!#REF!,'Monetary Survey Components'!#REF!)/2</f>
        <v>#REF!</v>
      </c>
      <c r="D70" s="737" t="e">
        <f>SUM('Monetary Survey Components'!#REF!,'Monetary Survey Components'!#REF!)/2</f>
        <v>#REF!</v>
      </c>
      <c r="E70" s="737" t="e">
        <f>SUM('Monetary Survey Components'!#REF!,'Monetary Survey Components'!#REF!)/2</f>
        <v>#REF!</v>
      </c>
      <c r="F70" s="737" t="e">
        <f>SUM('Monetary Survey Components'!#REF!,'Monetary Survey Components'!#REF!)/2</f>
        <v>#REF!</v>
      </c>
      <c r="G70" s="737" t="e">
        <f>SUM('Monetary Survey Components'!#REF!,'Monetary Survey Components'!#REF!)/2</f>
        <v>#REF!</v>
      </c>
      <c r="H70" s="737" t="e">
        <f>SUM('Monetary Survey Components'!#REF!,'Monetary Survey Components'!#REF!)/2</f>
        <v>#REF!</v>
      </c>
      <c r="I70" s="737" t="e">
        <f>SUM('Monetary Survey Components'!#REF!,'Monetary Survey Components'!#REF!)/2</f>
        <v>#REF!</v>
      </c>
      <c r="J70" s="737" t="e">
        <f>SUM('Monetary Survey Components'!#REF!,'Monetary Survey Components'!#REF!)/2</f>
        <v>#REF!</v>
      </c>
    </row>
    <row r="71" spans="1:10">
      <c r="A71" s="733" t="s">
        <v>162</v>
      </c>
      <c r="B71" s="737" t="e">
        <f>SUM('Monetary Survey Components'!#REF!)/2</f>
        <v>#REF!</v>
      </c>
      <c r="C71" s="737" t="e">
        <f>SUM('Monetary Survey Components'!#REF!)/2</f>
        <v>#REF!</v>
      </c>
      <c r="D71" s="737" t="e">
        <f>SUM('Monetary Survey Components'!#REF!)/2</f>
        <v>#REF!</v>
      </c>
      <c r="E71" s="737" t="e">
        <f>SUM('Monetary Survey Components'!#REF!)/2</f>
        <v>#REF!</v>
      </c>
      <c r="F71" s="737" t="e">
        <f>SUM('Monetary Survey Components'!#REF!)/2</f>
        <v>#REF!</v>
      </c>
      <c r="G71" s="737" t="e">
        <f>SUM('Monetary Survey Components'!#REF!)/2</f>
        <v>#REF!</v>
      </c>
      <c r="H71" s="737" t="e">
        <f>SUM('Monetary Survey Components'!#REF!)/2</f>
        <v>#REF!</v>
      </c>
      <c r="I71" s="737" t="e">
        <f>SUM('Monetary Survey Components'!#REF!)/2</f>
        <v>#REF!</v>
      </c>
      <c r="J71" s="737" t="e">
        <f>SUM('Monetary Survey Components'!#REF!)/2</f>
        <v>#REF!</v>
      </c>
    </row>
    <row r="72" spans="1:10">
      <c r="A72" s="733" t="s">
        <v>163</v>
      </c>
      <c r="B72" s="737" t="e">
        <f>SUM('Monetary Survey Components'!#REF!)/2</f>
        <v>#REF!</v>
      </c>
      <c r="C72" s="737" t="e">
        <f>SUM('Monetary Survey Components'!#REF!)/2</f>
        <v>#REF!</v>
      </c>
      <c r="D72" s="737" t="e">
        <f>SUM('Monetary Survey Components'!#REF!)/2</f>
        <v>#REF!</v>
      </c>
      <c r="E72" s="737" t="e">
        <f>SUM('Monetary Survey Components'!#REF!)/2</f>
        <v>#REF!</v>
      </c>
      <c r="F72" s="737" t="e">
        <f>SUM('Monetary Survey Components'!#REF!)/2</f>
        <v>#REF!</v>
      </c>
      <c r="G72" s="737" t="e">
        <f>SUM('Monetary Survey Components'!#REF!)/2</f>
        <v>#REF!</v>
      </c>
      <c r="H72" s="737" t="e">
        <f>SUM('Monetary Survey Components'!#REF!)/2</f>
        <v>#REF!</v>
      </c>
      <c r="I72" s="737" t="e">
        <f>SUM('Monetary Survey Components'!#REF!)/2</f>
        <v>#REF!</v>
      </c>
      <c r="J72" s="737" t="e">
        <f>SUM('Monetary Survey Components'!#REF!)/2</f>
        <v>#REF!</v>
      </c>
    </row>
    <row r="73" spans="1:10">
      <c r="A73" s="733" t="s">
        <v>164</v>
      </c>
      <c r="B73" s="737" t="e">
        <f>SUM('Monetary Survey Components'!#REF!)/2</f>
        <v>#REF!</v>
      </c>
      <c r="C73" s="737" t="e">
        <f>SUM('Monetary Survey Components'!#REF!)/2</f>
        <v>#REF!</v>
      </c>
      <c r="D73" s="737" t="e">
        <f>SUM('Monetary Survey Components'!#REF!)/2</f>
        <v>#REF!</v>
      </c>
      <c r="E73" s="737" t="e">
        <f>SUM('Monetary Survey Components'!#REF!)/2</f>
        <v>#REF!</v>
      </c>
      <c r="F73" s="737" t="e">
        <f>SUM('Monetary Survey Components'!#REF!)/2</f>
        <v>#REF!</v>
      </c>
      <c r="G73" s="737" t="e">
        <f>SUM('Monetary Survey Components'!#REF!)/2</f>
        <v>#REF!</v>
      </c>
      <c r="H73" s="737" t="e">
        <f>SUM('Monetary Survey Components'!#REF!)/2</f>
        <v>#REF!</v>
      </c>
      <c r="I73" s="737" t="e">
        <f>SUM('Monetary Survey Components'!#REF!)/2</f>
        <v>#REF!</v>
      </c>
      <c r="J73" s="737" t="e">
        <f>SUM('Monetary Survey Components'!#REF!)/2</f>
        <v>#REF!</v>
      </c>
    </row>
    <row r="74" spans="1:10">
      <c r="A74" s="733" t="s">
        <v>165</v>
      </c>
      <c r="B74" s="737" t="e">
        <f>SUM('Monetary Survey Components'!#REF!)/2</f>
        <v>#REF!</v>
      </c>
      <c r="C74" s="737" t="e">
        <f>SUM('Monetary Survey Components'!#REF!)/2</f>
        <v>#REF!</v>
      </c>
      <c r="D74" s="737" t="e">
        <f>SUM('Monetary Survey Components'!#REF!)/2</f>
        <v>#REF!</v>
      </c>
      <c r="E74" s="737" t="e">
        <f>SUM('Monetary Survey Components'!#REF!)/2</f>
        <v>#REF!</v>
      </c>
      <c r="F74" s="737" t="e">
        <f>SUM('Monetary Survey Components'!#REF!)/2</f>
        <v>#REF!</v>
      </c>
      <c r="G74" s="737" t="e">
        <f>SUM('Monetary Survey Components'!#REF!)/2</f>
        <v>#REF!</v>
      </c>
      <c r="H74" s="737" t="e">
        <f>SUM('Monetary Survey Components'!#REF!)/2</f>
        <v>#REF!</v>
      </c>
      <c r="I74" s="737" t="e">
        <f>SUM('Monetary Survey Components'!#REF!)/2</f>
        <v>#REF!</v>
      </c>
      <c r="J74" s="737" t="e">
        <f>SUM('Monetary Survey Components'!#REF!)/2</f>
        <v>#REF!</v>
      </c>
    </row>
    <row r="75" spans="1:10">
      <c r="A75" s="733" t="s">
        <v>166</v>
      </c>
      <c r="B75" s="737" t="e">
        <f>SUM('Monetary Survey Components'!#REF!)/2</f>
        <v>#REF!</v>
      </c>
      <c r="C75" s="737" t="e">
        <f>SUM('Monetary Survey Components'!#REF!)/2</f>
        <v>#REF!</v>
      </c>
      <c r="D75" s="737" t="e">
        <f>SUM('Monetary Survey Components'!#REF!)/2</f>
        <v>#REF!</v>
      </c>
      <c r="E75" s="737" t="e">
        <f>SUM('Monetary Survey Components'!#REF!)/2</f>
        <v>#REF!</v>
      </c>
      <c r="F75" s="737" t="e">
        <f>SUM('Monetary Survey Components'!#REF!)/2</f>
        <v>#REF!</v>
      </c>
      <c r="G75" s="737" t="e">
        <f>SUM('Monetary Survey Components'!#REF!)/2</f>
        <v>#REF!</v>
      </c>
      <c r="H75" s="737" t="e">
        <f>SUM('Monetary Survey Components'!#REF!)/2</f>
        <v>#REF!</v>
      </c>
      <c r="I75" s="737" t="e">
        <f>SUM('Monetary Survey Components'!#REF!)/2</f>
        <v>#REF!</v>
      </c>
      <c r="J75" s="737" t="e">
        <f>SUM('Monetary Survey Components'!#REF!)/2</f>
        <v>#REF!</v>
      </c>
    </row>
    <row r="76" spans="1:10">
      <c r="A76" s="733" t="s">
        <v>167</v>
      </c>
      <c r="B76" s="737" t="e">
        <f>SUM('Monetary Survey Components'!#REF!)/2</f>
        <v>#REF!</v>
      </c>
      <c r="C76" s="737" t="e">
        <f>SUM('Monetary Survey Components'!#REF!)/2</f>
        <v>#REF!</v>
      </c>
      <c r="D76" s="737" t="e">
        <f>SUM('Monetary Survey Components'!#REF!)/2</f>
        <v>#REF!</v>
      </c>
      <c r="E76" s="737" t="e">
        <f>SUM('Monetary Survey Components'!#REF!)/2</f>
        <v>#REF!</v>
      </c>
      <c r="F76" s="737" t="e">
        <f>SUM('Monetary Survey Components'!#REF!)/2</f>
        <v>#REF!</v>
      </c>
      <c r="G76" s="737" t="e">
        <f>SUM('Monetary Survey Components'!#REF!)/2</f>
        <v>#REF!</v>
      </c>
      <c r="H76" s="737" t="e">
        <f>SUM('Monetary Survey Components'!#REF!)/2</f>
        <v>#REF!</v>
      </c>
      <c r="I76" s="737" t="e">
        <f>SUM('Monetary Survey Components'!#REF!)/2</f>
        <v>#REF!</v>
      </c>
      <c r="J76" s="737" t="e">
        <f>SUM('Monetary Survey Components'!#REF!)/2</f>
        <v>#REF!</v>
      </c>
    </row>
    <row r="77" spans="1:10">
      <c r="A77" s="733" t="s">
        <v>168</v>
      </c>
      <c r="B77" s="737" t="e">
        <f>SUM('Monetary Survey Components'!#REF!)/2</f>
        <v>#REF!</v>
      </c>
      <c r="C77" s="737" t="e">
        <f>SUM('Monetary Survey Components'!#REF!)/2</f>
        <v>#REF!</v>
      </c>
      <c r="D77" s="737" t="e">
        <f>SUM('Monetary Survey Components'!#REF!)/2</f>
        <v>#REF!</v>
      </c>
      <c r="E77" s="737" t="e">
        <f>SUM('Monetary Survey Components'!#REF!)/2</f>
        <v>#REF!</v>
      </c>
      <c r="F77" s="737" t="e">
        <f>SUM('Monetary Survey Components'!#REF!)/2</f>
        <v>#REF!</v>
      </c>
      <c r="G77" s="737" t="e">
        <f>SUM('Monetary Survey Components'!#REF!)/2</f>
        <v>#REF!</v>
      </c>
      <c r="H77" s="737" t="e">
        <f>SUM('Monetary Survey Components'!#REF!)/2</f>
        <v>#REF!</v>
      </c>
      <c r="I77" s="737" t="e">
        <f>SUM('Monetary Survey Components'!#REF!)/2</f>
        <v>#REF!</v>
      </c>
      <c r="J77" s="737" t="e">
        <f>SUM('Monetary Survey Components'!#REF!)/2</f>
        <v>#REF!</v>
      </c>
    </row>
    <row r="78" spans="1:10">
      <c r="A78" s="733" t="s">
        <v>169</v>
      </c>
      <c r="B78" s="737" t="e">
        <f>SUM('Monetary Survey Components'!#REF!)/2</f>
        <v>#REF!</v>
      </c>
      <c r="C78" s="737" t="e">
        <f>SUM('Monetary Survey Components'!#REF!)/2</f>
        <v>#REF!</v>
      </c>
      <c r="D78" s="737" t="e">
        <f>SUM('Monetary Survey Components'!#REF!)/2</f>
        <v>#REF!</v>
      </c>
      <c r="E78" s="737" t="e">
        <f>SUM('Monetary Survey Components'!#REF!)/2</f>
        <v>#REF!</v>
      </c>
      <c r="F78" s="737" t="e">
        <f>SUM('Monetary Survey Components'!#REF!)/2</f>
        <v>#REF!</v>
      </c>
      <c r="G78" s="737" t="e">
        <f>SUM('Monetary Survey Components'!#REF!)/2</f>
        <v>#REF!</v>
      </c>
      <c r="H78" s="737" t="e">
        <f>SUM('Monetary Survey Components'!#REF!)/2</f>
        <v>#REF!</v>
      </c>
      <c r="I78" s="737" t="e">
        <f>SUM('Monetary Survey Components'!#REF!)/2</f>
        <v>#REF!</v>
      </c>
      <c r="J78" s="737" t="e">
        <f>SUM('Monetary Survey Components'!#REF!)/2</f>
        <v>#REF!</v>
      </c>
    </row>
    <row r="79" spans="1:10">
      <c r="A79" s="733" t="s">
        <v>170</v>
      </c>
      <c r="B79" s="737" t="e">
        <f>SUM('Monetary Survey Components'!#REF!)/2</f>
        <v>#REF!</v>
      </c>
      <c r="C79" s="737" t="e">
        <f>SUM('Monetary Survey Components'!#REF!)/2</f>
        <v>#REF!</v>
      </c>
      <c r="D79" s="737" t="e">
        <f>SUM('Monetary Survey Components'!#REF!)/2</f>
        <v>#REF!</v>
      </c>
      <c r="E79" s="737" t="e">
        <f>SUM('Monetary Survey Components'!#REF!)/2</f>
        <v>#REF!</v>
      </c>
      <c r="F79" s="737" t="e">
        <f>SUM('Monetary Survey Components'!#REF!)/2</f>
        <v>#REF!</v>
      </c>
      <c r="G79" s="737" t="e">
        <f>SUM('Monetary Survey Components'!#REF!)/2</f>
        <v>#REF!</v>
      </c>
      <c r="H79" s="737" t="e">
        <f>SUM('Monetary Survey Components'!#REF!)/2</f>
        <v>#REF!</v>
      </c>
      <c r="I79" s="737" t="e">
        <f>SUM('Monetary Survey Components'!#REF!)/2</f>
        <v>#REF!</v>
      </c>
      <c r="J79" s="737" t="e">
        <f>SUM('Monetary Survey Components'!#REF!)/2</f>
        <v>#REF!</v>
      </c>
    </row>
    <row r="80" spans="1:10">
      <c r="A80" s="733" t="s">
        <v>171</v>
      </c>
      <c r="B80" s="737" t="e">
        <f>SUM('Monetary Survey Components'!#REF!)/2</f>
        <v>#REF!</v>
      </c>
      <c r="C80" s="737" t="e">
        <f>SUM('Monetary Survey Components'!#REF!)/2</f>
        <v>#REF!</v>
      </c>
      <c r="D80" s="737" t="e">
        <f>SUM('Monetary Survey Components'!#REF!)/2</f>
        <v>#REF!</v>
      </c>
      <c r="E80" s="737" t="e">
        <f>SUM('Monetary Survey Components'!#REF!)/2</f>
        <v>#REF!</v>
      </c>
      <c r="F80" s="737" t="e">
        <f>SUM('Monetary Survey Components'!#REF!)/2</f>
        <v>#REF!</v>
      </c>
      <c r="G80" s="737" t="e">
        <f>SUM('Monetary Survey Components'!#REF!)/2</f>
        <v>#REF!</v>
      </c>
      <c r="H80" s="737" t="e">
        <f>SUM('Monetary Survey Components'!#REF!)/2</f>
        <v>#REF!</v>
      </c>
      <c r="I80" s="737" t="e">
        <f>SUM('Monetary Survey Components'!#REF!)/2</f>
        <v>#REF!</v>
      </c>
      <c r="J80" s="737" t="e">
        <f>SUM('Monetary Survey Components'!#REF!)/2</f>
        <v>#REF!</v>
      </c>
    </row>
    <row r="81" spans="1:10">
      <c r="A81" s="733" t="s">
        <v>148</v>
      </c>
      <c r="B81" s="737" t="e">
        <f>SUM('Monetary Survey Components'!#REF!)/2</f>
        <v>#REF!</v>
      </c>
      <c r="C81" s="737" t="e">
        <f>SUM('Monetary Survey Components'!#REF!)/2</f>
        <v>#REF!</v>
      </c>
      <c r="D81" s="737" t="e">
        <f>SUM('Monetary Survey Components'!#REF!)/2</f>
        <v>#REF!</v>
      </c>
      <c r="E81" s="737" t="e">
        <f>SUM('Monetary Survey Components'!#REF!)/2</f>
        <v>#REF!</v>
      </c>
      <c r="F81" s="737" t="e">
        <f>SUM('Monetary Survey Components'!#REF!)/2</f>
        <v>#REF!</v>
      </c>
      <c r="G81" s="737" t="e">
        <f>SUM('Monetary Survey Components'!#REF!)/2</f>
        <v>#REF!</v>
      </c>
      <c r="H81" s="737" t="e">
        <f>SUM('Monetary Survey Components'!#REF!)/2</f>
        <v>#REF!</v>
      </c>
      <c r="I81" s="737" t="e">
        <f>SUM('Monetary Survey Components'!#REF!)/2</f>
        <v>#REF!</v>
      </c>
      <c r="J81" s="737" t="e">
        <f>SUM('Monetary Survey Components'!#REF!)/2</f>
        <v>#REF!</v>
      </c>
    </row>
    <row r="82" spans="1:10">
      <c r="A82" s="733" t="s">
        <v>1239</v>
      </c>
      <c r="B82" s="737" t="e">
        <f>SUM('Monetary Survey Components'!#REF!,'Monetary Survey Components'!#REF!)/2</f>
        <v>#REF!</v>
      </c>
      <c r="C82" s="737" t="e">
        <f>SUM('Monetary Survey Components'!#REF!,'Monetary Survey Components'!#REF!)/2</f>
        <v>#REF!</v>
      </c>
      <c r="D82" s="737" t="e">
        <f>SUM('Monetary Survey Components'!#REF!,'Monetary Survey Components'!#REF!)/2</f>
        <v>#REF!</v>
      </c>
      <c r="E82" s="737" t="e">
        <f>SUM('Monetary Survey Components'!#REF!,'Monetary Survey Components'!#REF!)/2</f>
        <v>#REF!</v>
      </c>
      <c r="F82" s="737" t="e">
        <f>SUM('Monetary Survey Components'!#REF!,'Monetary Survey Components'!#REF!)/2</f>
        <v>#REF!</v>
      </c>
      <c r="G82" s="737" t="e">
        <f>SUM('Monetary Survey Components'!#REF!,'Monetary Survey Components'!#REF!)/2</f>
        <v>#REF!</v>
      </c>
      <c r="H82" s="737" t="e">
        <f>SUM('Monetary Survey Components'!#REF!,'Monetary Survey Components'!#REF!)/2</f>
        <v>#REF!</v>
      </c>
      <c r="I82" s="737" t="e">
        <f>SUM('Monetary Survey Components'!#REF!,'Monetary Survey Components'!#REF!)/2</f>
        <v>#REF!</v>
      </c>
      <c r="J82" s="737" t="e">
        <f>SUM('Monetary Survey Components'!#REF!,'Monetary Survey Components'!#REF!)/2</f>
        <v>#REF!</v>
      </c>
    </row>
    <row r="83" spans="1:10">
      <c r="A83" s="733" t="s">
        <v>162</v>
      </c>
      <c r="B83" s="737" t="e">
        <f>SUM('Monetary Survey Components'!#REF!)/2</f>
        <v>#REF!</v>
      </c>
      <c r="C83" s="737" t="e">
        <f>SUM('Monetary Survey Components'!#REF!)/2</f>
        <v>#REF!</v>
      </c>
      <c r="D83" s="737" t="e">
        <f>SUM('Monetary Survey Components'!#REF!)/2</f>
        <v>#REF!</v>
      </c>
      <c r="E83" s="737" t="e">
        <f>SUM('Monetary Survey Components'!#REF!)/2</f>
        <v>#REF!</v>
      </c>
      <c r="F83" s="737" t="e">
        <f>SUM('Monetary Survey Components'!#REF!)/2</f>
        <v>#REF!</v>
      </c>
      <c r="G83" s="737" t="e">
        <f>SUM('Monetary Survey Components'!#REF!)/2</f>
        <v>#REF!</v>
      </c>
      <c r="H83" s="737" t="e">
        <f>SUM('Monetary Survey Components'!#REF!)/2</f>
        <v>#REF!</v>
      </c>
      <c r="I83" s="737" t="e">
        <f>SUM('Monetary Survey Components'!#REF!)/2</f>
        <v>#REF!</v>
      </c>
      <c r="J83" s="737" t="e">
        <f>SUM('Monetary Survey Components'!#REF!)/2</f>
        <v>#REF!</v>
      </c>
    </row>
    <row r="84" spans="1:10">
      <c r="A84" s="733" t="s">
        <v>163</v>
      </c>
      <c r="B84" s="737" t="e">
        <f>SUM('Monetary Survey Components'!#REF!)/2</f>
        <v>#REF!</v>
      </c>
      <c r="C84" s="737" t="e">
        <f>SUM('Monetary Survey Components'!#REF!)/2</f>
        <v>#REF!</v>
      </c>
      <c r="D84" s="737" t="e">
        <f>SUM('Monetary Survey Components'!#REF!)/2</f>
        <v>#REF!</v>
      </c>
      <c r="E84" s="737" t="e">
        <f>SUM('Monetary Survey Components'!#REF!)/2</f>
        <v>#REF!</v>
      </c>
      <c r="F84" s="737" t="e">
        <f>SUM('Monetary Survey Components'!#REF!)/2</f>
        <v>#REF!</v>
      </c>
      <c r="G84" s="737" t="e">
        <f>SUM('Monetary Survey Components'!#REF!)/2</f>
        <v>#REF!</v>
      </c>
      <c r="H84" s="737" t="e">
        <f>SUM('Monetary Survey Components'!#REF!)/2</f>
        <v>#REF!</v>
      </c>
      <c r="I84" s="737" t="e">
        <f>SUM('Monetary Survey Components'!#REF!)/2</f>
        <v>#REF!</v>
      </c>
      <c r="J84" s="737" t="e">
        <f>SUM('Monetary Survey Components'!#REF!)/2</f>
        <v>#REF!</v>
      </c>
    </row>
    <row r="85" spans="1:10">
      <c r="A85" s="733" t="s">
        <v>164</v>
      </c>
      <c r="B85" s="737" t="e">
        <f>SUM('Monetary Survey Components'!#REF!)/2</f>
        <v>#REF!</v>
      </c>
      <c r="C85" s="737" t="e">
        <f>SUM('Monetary Survey Components'!#REF!)/2</f>
        <v>#REF!</v>
      </c>
      <c r="D85" s="737" t="e">
        <f>SUM('Monetary Survey Components'!#REF!)/2</f>
        <v>#REF!</v>
      </c>
      <c r="E85" s="737" t="e">
        <f>SUM('Monetary Survey Components'!#REF!)/2</f>
        <v>#REF!</v>
      </c>
      <c r="F85" s="737" t="e">
        <f>SUM('Monetary Survey Components'!#REF!)/2</f>
        <v>#REF!</v>
      </c>
      <c r="G85" s="737" t="e">
        <f>SUM('Monetary Survey Components'!#REF!)/2</f>
        <v>#REF!</v>
      </c>
      <c r="H85" s="737" t="e">
        <f>SUM('Monetary Survey Components'!#REF!)/2</f>
        <v>#REF!</v>
      </c>
      <c r="I85" s="737" t="e">
        <f>SUM('Monetary Survey Components'!#REF!)/2</f>
        <v>#REF!</v>
      </c>
      <c r="J85" s="737" t="e">
        <f>SUM('Monetary Survey Components'!#REF!)/2</f>
        <v>#REF!</v>
      </c>
    </row>
    <row r="86" spans="1:10">
      <c r="A86" s="733" t="s">
        <v>165</v>
      </c>
      <c r="B86" s="737" t="e">
        <f>SUM('Monetary Survey Components'!#REF!)/2</f>
        <v>#REF!</v>
      </c>
      <c r="C86" s="737" t="e">
        <f>SUM('Monetary Survey Components'!#REF!)/2</f>
        <v>#REF!</v>
      </c>
      <c r="D86" s="737" t="e">
        <f>SUM('Monetary Survey Components'!#REF!)/2</f>
        <v>#REF!</v>
      </c>
      <c r="E86" s="737" t="e">
        <f>SUM('Monetary Survey Components'!#REF!)/2</f>
        <v>#REF!</v>
      </c>
      <c r="F86" s="737" t="e">
        <f>SUM('Monetary Survey Components'!#REF!)/2</f>
        <v>#REF!</v>
      </c>
      <c r="G86" s="737" t="e">
        <f>SUM('Monetary Survey Components'!#REF!)/2</f>
        <v>#REF!</v>
      </c>
      <c r="H86" s="737" t="e">
        <f>SUM('Monetary Survey Components'!#REF!)/2</f>
        <v>#REF!</v>
      </c>
      <c r="I86" s="737" t="e">
        <f>SUM('Monetary Survey Components'!#REF!)/2</f>
        <v>#REF!</v>
      </c>
      <c r="J86" s="737" t="e">
        <f>SUM('Monetary Survey Components'!#REF!)/2</f>
        <v>#REF!</v>
      </c>
    </row>
    <row r="87" spans="1:10">
      <c r="A87" s="733" t="s">
        <v>166</v>
      </c>
      <c r="B87" s="737" t="e">
        <f>SUM('Monetary Survey Components'!#REF!)/2</f>
        <v>#REF!</v>
      </c>
      <c r="C87" s="737" t="e">
        <f>SUM('Monetary Survey Components'!#REF!)/2</f>
        <v>#REF!</v>
      </c>
      <c r="D87" s="737" t="e">
        <f>SUM('Monetary Survey Components'!#REF!)/2</f>
        <v>#REF!</v>
      </c>
      <c r="E87" s="737" t="e">
        <f>SUM('Monetary Survey Components'!#REF!)/2</f>
        <v>#REF!</v>
      </c>
      <c r="F87" s="737" t="e">
        <f>SUM('Monetary Survey Components'!#REF!)/2</f>
        <v>#REF!</v>
      </c>
      <c r="G87" s="737" t="e">
        <f>SUM('Monetary Survey Components'!#REF!)/2</f>
        <v>#REF!</v>
      </c>
      <c r="H87" s="737" t="e">
        <f>SUM('Monetary Survey Components'!#REF!)/2</f>
        <v>#REF!</v>
      </c>
      <c r="I87" s="737" t="e">
        <f>SUM('Monetary Survey Components'!#REF!)/2</f>
        <v>#REF!</v>
      </c>
      <c r="J87" s="737" t="e">
        <f>SUM('Monetary Survey Components'!#REF!)/2</f>
        <v>#REF!</v>
      </c>
    </row>
    <row r="88" spans="1:10">
      <c r="A88" s="733" t="s">
        <v>167</v>
      </c>
      <c r="B88" s="737" t="e">
        <f>SUM('Monetary Survey Components'!#REF!)/2</f>
        <v>#REF!</v>
      </c>
      <c r="C88" s="737" t="e">
        <f>SUM('Monetary Survey Components'!#REF!)/2</f>
        <v>#REF!</v>
      </c>
      <c r="D88" s="737" t="e">
        <f>SUM('Monetary Survey Components'!#REF!)/2</f>
        <v>#REF!</v>
      </c>
      <c r="E88" s="737" t="e">
        <f>SUM('Monetary Survey Components'!#REF!)/2</f>
        <v>#REF!</v>
      </c>
      <c r="F88" s="737" t="e">
        <f>SUM('Monetary Survey Components'!#REF!)/2</f>
        <v>#REF!</v>
      </c>
      <c r="G88" s="737" t="e">
        <f>SUM('Monetary Survey Components'!#REF!)/2</f>
        <v>#REF!</v>
      </c>
      <c r="H88" s="737" t="e">
        <f>SUM('Monetary Survey Components'!#REF!)/2</f>
        <v>#REF!</v>
      </c>
      <c r="I88" s="737" t="e">
        <f>SUM('Monetary Survey Components'!#REF!)/2</f>
        <v>#REF!</v>
      </c>
      <c r="J88" s="737" t="e">
        <f>SUM('Monetary Survey Components'!#REF!)/2</f>
        <v>#REF!</v>
      </c>
    </row>
    <row r="89" spans="1:10">
      <c r="A89" s="733" t="s">
        <v>168</v>
      </c>
      <c r="B89" s="737" t="e">
        <f>SUM('Monetary Survey Components'!#REF!)/2</f>
        <v>#REF!</v>
      </c>
      <c r="C89" s="737" t="e">
        <f>SUM('Monetary Survey Components'!#REF!)/2</f>
        <v>#REF!</v>
      </c>
      <c r="D89" s="737" t="e">
        <f>SUM('Monetary Survey Components'!#REF!)/2</f>
        <v>#REF!</v>
      </c>
      <c r="E89" s="737" t="e">
        <f>SUM('Monetary Survey Components'!#REF!)/2</f>
        <v>#REF!</v>
      </c>
      <c r="F89" s="737" t="e">
        <f>SUM('Monetary Survey Components'!#REF!)/2</f>
        <v>#REF!</v>
      </c>
      <c r="G89" s="737" t="e">
        <f>SUM('Monetary Survey Components'!#REF!)/2</f>
        <v>#REF!</v>
      </c>
      <c r="H89" s="737" t="e">
        <f>SUM('Monetary Survey Components'!#REF!)/2</f>
        <v>#REF!</v>
      </c>
      <c r="I89" s="737" t="e">
        <f>SUM('Monetary Survey Components'!#REF!)/2</f>
        <v>#REF!</v>
      </c>
      <c r="J89" s="737" t="e">
        <f>SUM('Monetary Survey Components'!#REF!)/2</f>
        <v>#REF!</v>
      </c>
    </row>
    <row r="90" spans="1:10">
      <c r="A90" s="733" t="s">
        <v>169</v>
      </c>
      <c r="B90" s="737" t="e">
        <f>SUM('Monetary Survey Components'!#REF!)/2</f>
        <v>#REF!</v>
      </c>
      <c r="C90" s="737" t="e">
        <f>SUM('Monetary Survey Components'!#REF!)/2</f>
        <v>#REF!</v>
      </c>
      <c r="D90" s="737" t="e">
        <f>SUM('Monetary Survey Components'!#REF!)/2</f>
        <v>#REF!</v>
      </c>
      <c r="E90" s="737" t="e">
        <f>SUM('Monetary Survey Components'!#REF!)/2</f>
        <v>#REF!</v>
      </c>
      <c r="F90" s="737" t="e">
        <f>SUM('Monetary Survey Components'!#REF!)/2</f>
        <v>#REF!</v>
      </c>
      <c r="G90" s="737" t="e">
        <f>SUM('Monetary Survey Components'!#REF!)/2</f>
        <v>#REF!</v>
      </c>
      <c r="H90" s="737" t="e">
        <f>SUM('Monetary Survey Components'!#REF!)/2</f>
        <v>#REF!</v>
      </c>
      <c r="I90" s="737" t="e">
        <f>SUM('Monetary Survey Components'!#REF!)/2</f>
        <v>#REF!</v>
      </c>
      <c r="J90" s="737" t="e">
        <f>SUM('Monetary Survey Components'!#REF!)/2</f>
        <v>#REF!</v>
      </c>
    </row>
    <row r="91" spans="1:10">
      <c r="A91" s="733" t="s">
        <v>170</v>
      </c>
      <c r="B91" s="737" t="e">
        <f>SUM('Monetary Survey Components'!#REF!)/2</f>
        <v>#REF!</v>
      </c>
      <c r="C91" s="737" t="e">
        <f>SUM('Monetary Survey Components'!#REF!)/2</f>
        <v>#REF!</v>
      </c>
      <c r="D91" s="737" t="e">
        <f>SUM('Monetary Survey Components'!#REF!)/2</f>
        <v>#REF!</v>
      </c>
      <c r="E91" s="737" t="e">
        <f>SUM('Monetary Survey Components'!#REF!)/2</f>
        <v>#REF!</v>
      </c>
      <c r="F91" s="737" t="e">
        <f>SUM('Monetary Survey Components'!#REF!)/2</f>
        <v>#REF!</v>
      </c>
      <c r="G91" s="737" t="e">
        <f>SUM('Monetary Survey Components'!#REF!)/2</f>
        <v>#REF!</v>
      </c>
      <c r="H91" s="737" t="e">
        <f>SUM('Monetary Survey Components'!#REF!)/2</f>
        <v>#REF!</v>
      </c>
      <c r="I91" s="737" t="e">
        <f>SUM('Monetary Survey Components'!#REF!)/2</f>
        <v>#REF!</v>
      </c>
      <c r="J91" s="737" t="e">
        <f>SUM('Monetary Survey Components'!#REF!)/2</f>
        <v>#REF!</v>
      </c>
    </row>
    <row r="92" spans="1:10">
      <c r="A92" s="733" t="s">
        <v>171</v>
      </c>
      <c r="B92" s="737" t="e">
        <f>SUM('Monetary Survey Components'!#REF!)/2</f>
        <v>#REF!</v>
      </c>
      <c r="C92" s="737" t="e">
        <f>SUM('Monetary Survey Components'!#REF!)/2</f>
        <v>#REF!</v>
      </c>
      <c r="D92" s="737" t="e">
        <f>SUM('Monetary Survey Components'!#REF!)/2</f>
        <v>#REF!</v>
      </c>
      <c r="E92" s="737" t="e">
        <f>SUM('Monetary Survey Components'!#REF!)/2</f>
        <v>#REF!</v>
      </c>
      <c r="F92" s="737" t="e">
        <f>SUM('Monetary Survey Components'!#REF!)/2</f>
        <v>#REF!</v>
      </c>
      <c r="G92" s="737" t="e">
        <f>SUM('Monetary Survey Components'!#REF!)/2</f>
        <v>#REF!</v>
      </c>
      <c r="H92" s="737" t="e">
        <f>SUM('Monetary Survey Components'!#REF!)/2</f>
        <v>#REF!</v>
      </c>
      <c r="I92" s="737" t="e">
        <f>SUM('Monetary Survey Components'!#REF!)/2</f>
        <v>#REF!</v>
      </c>
      <c r="J92" s="737" t="e">
        <f>SUM('Monetary Survey Components'!#REF!)/2</f>
        <v>#REF!</v>
      </c>
    </row>
    <row r="93" spans="1:10">
      <c r="A93" s="733" t="s">
        <v>148</v>
      </c>
      <c r="B93" s="737" t="e">
        <f>SUM('Monetary Survey Components'!#REF!)/2</f>
        <v>#REF!</v>
      </c>
      <c r="C93" s="737" t="e">
        <f>SUM('Monetary Survey Components'!#REF!)/2</f>
        <v>#REF!</v>
      </c>
      <c r="D93" s="737" t="e">
        <f>SUM('Monetary Survey Components'!#REF!)/2</f>
        <v>#REF!</v>
      </c>
      <c r="E93" s="737" t="e">
        <f>SUM('Monetary Survey Components'!#REF!)/2</f>
        <v>#REF!</v>
      </c>
      <c r="F93" s="737" t="e">
        <f>SUM('Monetary Survey Components'!#REF!)/2</f>
        <v>#REF!</v>
      </c>
      <c r="G93" s="737" t="e">
        <f>SUM('Monetary Survey Components'!#REF!)/2</f>
        <v>#REF!</v>
      </c>
      <c r="H93" s="737" t="e">
        <f>SUM('Monetary Survey Components'!#REF!)/2</f>
        <v>#REF!</v>
      </c>
      <c r="I93" s="737" t="e">
        <f>SUM('Monetary Survey Components'!#REF!)/2</f>
        <v>#REF!</v>
      </c>
      <c r="J93" s="737" t="e">
        <f>SUM('Monetary Survey Components'!#REF!)/2</f>
        <v>#REF!</v>
      </c>
    </row>
    <row r="94" spans="1:10">
      <c r="A94" s="733" t="s">
        <v>1240</v>
      </c>
      <c r="B94" s="737" t="e">
        <f>SUM('Monetary Survey Components'!#REF!,'Monetary Survey Components'!#REF!)/2</f>
        <v>#REF!</v>
      </c>
      <c r="C94" s="737" t="e">
        <f>SUM('Monetary Survey Components'!#REF!,'Monetary Survey Components'!#REF!)/2</f>
        <v>#REF!</v>
      </c>
      <c r="D94" s="737" t="e">
        <f>SUM('Monetary Survey Components'!#REF!,'Monetary Survey Components'!#REF!)/2</f>
        <v>#REF!</v>
      </c>
      <c r="E94" s="737" t="e">
        <f>SUM('Monetary Survey Components'!#REF!,'Monetary Survey Components'!#REF!)/2</f>
        <v>#REF!</v>
      </c>
      <c r="F94" s="737" t="e">
        <f>SUM('Monetary Survey Components'!#REF!,'Monetary Survey Components'!#REF!)/2</f>
        <v>#REF!</v>
      </c>
      <c r="G94" s="737" t="e">
        <f>SUM('Monetary Survey Components'!#REF!,'Monetary Survey Components'!#REF!)/2</f>
        <v>#REF!</v>
      </c>
      <c r="H94" s="737" t="e">
        <f>SUM('Monetary Survey Components'!#REF!,'Monetary Survey Components'!#REF!)/2</f>
        <v>#REF!</v>
      </c>
      <c r="I94" s="737" t="e">
        <f>SUM('Monetary Survey Components'!#REF!,'Monetary Survey Components'!#REF!)/2</f>
        <v>#REF!</v>
      </c>
      <c r="J94" s="737" t="e">
        <f>SUM('Monetary Survey Components'!#REF!,'Monetary Survey Components'!#REF!)/2</f>
        <v>#REF!</v>
      </c>
    </row>
    <row r="95" spans="1:10">
      <c r="A95" s="733" t="s">
        <v>162</v>
      </c>
      <c r="B95" s="737" t="e">
        <f>SUM('Monetary Survey Components'!#REF!)/2</f>
        <v>#REF!</v>
      </c>
      <c r="C95" s="737" t="e">
        <f>SUM('Monetary Survey Components'!#REF!)/2</f>
        <v>#REF!</v>
      </c>
      <c r="D95" s="737" t="e">
        <f>SUM('Monetary Survey Components'!#REF!)/2</f>
        <v>#REF!</v>
      </c>
      <c r="E95" s="737" t="e">
        <f>SUM('Monetary Survey Components'!#REF!)/2</f>
        <v>#REF!</v>
      </c>
      <c r="F95" s="737" t="e">
        <f>SUM('Monetary Survey Components'!#REF!)/2</f>
        <v>#REF!</v>
      </c>
      <c r="G95" s="737" t="e">
        <f>SUM('Monetary Survey Components'!#REF!)/2</f>
        <v>#REF!</v>
      </c>
      <c r="H95" s="737" t="e">
        <f>SUM('Monetary Survey Components'!#REF!)/2</f>
        <v>#REF!</v>
      </c>
      <c r="I95" s="737" t="e">
        <f>SUM('Monetary Survey Components'!#REF!)/2</f>
        <v>#REF!</v>
      </c>
      <c r="J95" s="737" t="e">
        <f>SUM('Monetary Survey Components'!#REF!)/2</f>
        <v>#REF!</v>
      </c>
    </row>
    <row r="96" spans="1:10">
      <c r="A96" s="733" t="s">
        <v>163</v>
      </c>
      <c r="B96" s="737" t="e">
        <f>SUM('Monetary Survey Components'!#REF!)/2</f>
        <v>#REF!</v>
      </c>
      <c r="C96" s="737" t="e">
        <f>SUM('Monetary Survey Components'!#REF!)/2</f>
        <v>#REF!</v>
      </c>
      <c r="D96" s="737" t="e">
        <f>SUM('Monetary Survey Components'!#REF!)/2</f>
        <v>#REF!</v>
      </c>
      <c r="E96" s="737" t="e">
        <f>SUM('Monetary Survey Components'!#REF!)/2</f>
        <v>#REF!</v>
      </c>
      <c r="F96" s="737" t="e">
        <f>SUM('Monetary Survey Components'!#REF!)/2</f>
        <v>#REF!</v>
      </c>
      <c r="G96" s="737" t="e">
        <f>SUM('Monetary Survey Components'!#REF!)/2</f>
        <v>#REF!</v>
      </c>
      <c r="H96" s="737" t="e">
        <f>SUM('Monetary Survey Components'!#REF!)/2</f>
        <v>#REF!</v>
      </c>
      <c r="I96" s="737" t="e">
        <f>SUM('Monetary Survey Components'!#REF!)/2</f>
        <v>#REF!</v>
      </c>
      <c r="J96" s="737" t="e">
        <f>SUM('Monetary Survey Components'!#REF!)/2</f>
        <v>#REF!</v>
      </c>
    </row>
    <row r="97" spans="1:10">
      <c r="A97" s="733" t="s">
        <v>164</v>
      </c>
      <c r="B97" s="737" t="e">
        <f>SUM('Monetary Survey Components'!#REF!)/2</f>
        <v>#REF!</v>
      </c>
      <c r="C97" s="737" t="e">
        <f>SUM('Monetary Survey Components'!#REF!)/2</f>
        <v>#REF!</v>
      </c>
      <c r="D97" s="737" t="e">
        <f>SUM('Monetary Survey Components'!#REF!)/2</f>
        <v>#REF!</v>
      </c>
      <c r="E97" s="737" t="e">
        <f>SUM('Monetary Survey Components'!#REF!)/2</f>
        <v>#REF!</v>
      </c>
      <c r="F97" s="737" t="e">
        <f>SUM('Monetary Survey Components'!#REF!)/2</f>
        <v>#REF!</v>
      </c>
      <c r="G97" s="737" t="e">
        <f>SUM('Monetary Survey Components'!#REF!)/2</f>
        <v>#REF!</v>
      </c>
      <c r="H97" s="737" t="e">
        <f>SUM('Monetary Survey Components'!#REF!)/2</f>
        <v>#REF!</v>
      </c>
      <c r="I97" s="737" t="e">
        <f>SUM('Monetary Survey Components'!#REF!)/2</f>
        <v>#REF!</v>
      </c>
      <c r="J97" s="737" t="e">
        <f>SUM('Monetary Survey Components'!#REF!)/2</f>
        <v>#REF!</v>
      </c>
    </row>
    <row r="98" spans="1:10">
      <c r="A98" s="733" t="s">
        <v>165</v>
      </c>
      <c r="B98" s="737" t="e">
        <f>SUM('Monetary Survey Components'!#REF!)/2</f>
        <v>#REF!</v>
      </c>
      <c r="C98" s="737" t="e">
        <f>SUM('Monetary Survey Components'!#REF!)/2</f>
        <v>#REF!</v>
      </c>
      <c r="D98" s="737" t="e">
        <f>SUM('Monetary Survey Components'!#REF!)/2</f>
        <v>#REF!</v>
      </c>
      <c r="E98" s="737" t="e">
        <f>SUM('Monetary Survey Components'!#REF!)/2</f>
        <v>#REF!</v>
      </c>
      <c r="F98" s="737" t="e">
        <f>SUM('Monetary Survey Components'!#REF!)/2</f>
        <v>#REF!</v>
      </c>
      <c r="G98" s="737" t="e">
        <f>SUM('Monetary Survey Components'!#REF!)/2</f>
        <v>#REF!</v>
      </c>
      <c r="H98" s="737" t="e">
        <f>SUM('Monetary Survey Components'!#REF!)/2</f>
        <v>#REF!</v>
      </c>
      <c r="I98" s="737" t="e">
        <f>SUM('Monetary Survey Components'!#REF!)/2</f>
        <v>#REF!</v>
      </c>
      <c r="J98" s="737" t="e">
        <f>SUM('Monetary Survey Components'!#REF!)/2</f>
        <v>#REF!</v>
      </c>
    </row>
    <row r="99" spans="1:10">
      <c r="A99" s="733" t="s">
        <v>166</v>
      </c>
      <c r="B99" s="737" t="e">
        <f>SUM('Monetary Survey Components'!#REF!)/2</f>
        <v>#REF!</v>
      </c>
      <c r="C99" s="737" t="e">
        <f>SUM('Monetary Survey Components'!#REF!)/2</f>
        <v>#REF!</v>
      </c>
      <c r="D99" s="737" t="e">
        <f>SUM('Monetary Survey Components'!#REF!)/2</f>
        <v>#REF!</v>
      </c>
      <c r="E99" s="737" t="e">
        <f>SUM('Monetary Survey Components'!#REF!)/2</f>
        <v>#REF!</v>
      </c>
      <c r="F99" s="737" t="e">
        <f>SUM('Monetary Survey Components'!#REF!)/2</f>
        <v>#REF!</v>
      </c>
      <c r="G99" s="737" t="e">
        <f>SUM('Monetary Survey Components'!#REF!)/2</f>
        <v>#REF!</v>
      </c>
      <c r="H99" s="737" t="e">
        <f>SUM('Monetary Survey Components'!#REF!)/2</f>
        <v>#REF!</v>
      </c>
      <c r="I99" s="737" t="e">
        <f>SUM('Monetary Survey Components'!#REF!)/2</f>
        <v>#REF!</v>
      </c>
      <c r="J99" s="737" t="e">
        <f>SUM('Monetary Survey Components'!#REF!)/2</f>
        <v>#REF!</v>
      </c>
    </row>
    <row r="100" spans="1:10">
      <c r="A100" s="733" t="s">
        <v>167</v>
      </c>
      <c r="B100" s="737" t="e">
        <f>SUM('Monetary Survey Components'!#REF!)/2</f>
        <v>#REF!</v>
      </c>
      <c r="C100" s="737" t="e">
        <f>SUM('Monetary Survey Components'!#REF!)/2</f>
        <v>#REF!</v>
      </c>
      <c r="D100" s="737" t="e">
        <f>SUM('Monetary Survey Components'!#REF!)/2</f>
        <v>#REF!</v>
      </c>
      <c r="E100" s="737" t="e">
        <f>SUM('Monetary Survey Components'!#REF!)/2</f>
        <v>#REF!</v>
      </c>
      <c r="F100" s="737" t="e">
        <f>SUM('Monetary Survey Components'!#REF!)/2</f>
        <v>#REF!</v>
      </c>
      <c r="G100" s="737" t="e">
        <f>SUM('Monetary Survey Components'!#REF!)/2</f>
        <v>#REF!</v>
      </c>
      <c r="H100" s="737" t="e">
        <f>SUM('Monetary Survey Components'!#REF!)/2</f>
        <v>#REF!</v>
      </c>
      <c r="I100" s="737" t="e">
        <f>SUM('Monetary Survey Components'!#REF!)/2</f>
        <v>#REF!</v>
      </c>
      <c r="J100" s="737" t="e">
        <f>SUM('Monetary Survey Components'!#REF!)/2</f>
        <v>#REF!</v>
      </c>
    </row>
    <row r="101" spans="1:10">
      <c r="A101" s="733" t="s">
        <v>168</v>
      </c>
      <c r="B101" s="737" t="e">
        <f>SUM('Monetary Survey Components'!#REF!)/2</f>
        <v>#REF!</v>
      </c>
      <c r="C101" s="737" t="e">
        <f>SUM('Monetary Survey Components'!#REF!)/2</f>
        <v>#REF!</v>
      </c>
      <c r="D101" s="737" t="e">
        <f>SUM('Monetary Survey Components'!#REF!)/2</f>
        <v>#REF!</v>
      </c>
      <c r="E101" s="737" t="e">
        <f>SUM('Monetary Survey Components'!#REF!)/2</f>
        <v>#REF!</v>
      </c>
      <c r="F101" s="737" t="e">
        <f>SUM('Monetary Survey Components'!#REF!)/2</f>
        <v>#REF!</v>
      </c>
      <c r="G101" s="737" t="e">
        <f>SUM('Monetary Survey Components'!#REF!)/2</f>
        <v>#REF!</v>
      </c>
      <c r="H101" s="737" t="e">
        <f>SUM('Monetary Survey Components'!#REF!)/2</f>
        <v>#REF!</v>
      </c>
      <c r="I101" s="737" t="e">
        <f>SUM('Monetary Survey Components'!#REF!)/2</f>
        <v>#REF!</v>
      </c>
      <c r="J101" s="737" t="e">
        <f>SUM('Monetary Survey Components'!#REF!)/2</f>
        <v>#REF!</v>
      </c>
    </row>
    <row r="102" spans="1:10">
      <c r="A102" s="733" t="s">
        <v>169</v>
      </c>
      <c r="B102" s="737" t="e">
        <f>SUM('Monetary Survey Components'!#REF!)/2</f>
        <v>#REF!</v>
      </c>
      <c r="C102" s="737" t="e">
        <f>SUM('Monetary Survey Components'!#REF!)/2</f>
        <v>#REF!</v>
      </c>
      <c r="D102" s="737" t="e">
        <f>SUM('Monetary Survey Components'!#REF!)/2</f>
        <v>#REF!</v>
      </c>
      <c r="E102" s="737" t="e">
        <f>SUM('Monetary Survey Components'!#REF!)/2</f>
        <v>#REF!</v>
      </c>
      <c r="F102" s="737" t="e">
        <f>SUM('Monetary Survey Components'!#REF!)/2</f>
        <v>#REF!</v>
      </c>
      <c r="G102" s="737" t="e">
        <f>SUM('Monetary Survey Components'!#REF!)/2</f>
        <v>#REF!</v>
      </c>
      <c r="H102" s="737" t="e">
        <f>SUM('Monetary Survey Components'!#REF!)/2</f>
        <v>#REF!</v>
      </c>
      <c r="I102" s="737" t="e">
        <f>SUM('Monetary Survey Components'!#REF!)/2</f>
        <v>#REF!</v>
      </c>
      <c r="J102" s="737" t="e">
        <f>SUM('Monetary Survey Components'!#REF!)/2</f>
        <v>#REF!</v>
      </c>
    </row>
    <row r="103" spans="1:10">
      <c r="A103" s="733" t="s">
        <v>170</v>
      </c>
      <c r="B103" s="737" t="e">
        <f>SUM('Monetary Survey Components'!#REF!)/2</f>
        <v>#REF!</v>
      </c>
      <c r="C103" s="737" t="e">
        <f>SUM('Monetary Survey Components'!#REF!)/2</f>
        <v>#REF!</v>
      </c>
      <c r="D103" s="737" t="e">
        <f>SUM('Monetary Survey Components'!#REF!)/2</f>
        <v>#REF!</v>
      </c>
      <c r="E103" s="737" t="e">
        <f>SUM('Monetary Survey Components'!#REF!)/2</f>
        <v>#REF!</v>
      </c>
      <c r="F103" s="737" t="e">
        <f>SUM('Monetary Survey Components'!#REF!)/2</f>
        <v>#REF!</v>
      </c>
      <c r="G103" s="737" t="e">
        <f>SUM('Monetary Survey Components'!#REF!)/2</f>
        <v>#REF!</v>
      </c>
      <c r="H103" s="737" t="e">
        <f>SUM('Monetary Survey Components'!#REF!)/2</f>
        <v>#REF!</v>
      </c>
      <c r="I103" s="737" t="e">
        <f>SUM('Monetary Survey Components'!#REF!)/2</f>
        <v>#REF!</v>
      </c>
      <c r="J103" s="737" t="e">
        <f>SUM('Monetary Survey Components'!#REF!)/2</f>
        <v>#REF!</v>
      </c>
    </row>
    <row r="104" spans="1:10">
      <c r="A104" s="733" t="s">
        <v>171</v>
      </c>
      <c r="B104" s="737" t="e">
        <f>SUM('Monetary Survey Components'!#REF!)/2</f>
        <v>#REF!</v>
      </c>
      <c r="C104" s="737" t="e">
        <f>SUM('Monetary Survey Components'!#REF!)/2</f>
        <v>#REF!</v>
      </c>
      <c r="D104" s="737" t="e">
        <f>SUM('Monetary Survey Components'!#REF!)/2</f>
        <v>#REF!</v>
      </c>
      <c r="E104" s="737" t="e">
        <f>SUM('Monetary Survey Components'!#REF!)/2</f>
        <v>#REF!</v>
      </c>
      <c r="F104" s="737" t="e">
        <f>SUM('Monetary Survey Components'!#REF!)/2</f>
        <v>#REF!</v>
      </c>
      <c r="G104" s="737" t="e">
        <f>SUM('Monetary Survey Components'!#REF!)/2</f>
        <v>#REF!</v>
      </c>
      <c r="H104" s="737" t="e">
        <f>SUM('Monetary Survey Components'!#REF!)/2</f>
        <v>#REF!</v>
      </c>
      <c r="I104" s="737" t="e">
        <f>SUM('Monetary Survey Components'!#REF!)/2</f>
        <v>#REF!</v>
      </c>
      <c r="J104" s="737" t="e">
        <f>SUM('Monetary Survey Components'!#REF!)/2</f>
        <v>#REF!</v>
      </c>
    </row>
    <row r="105" spans="1:10">
      <c r="A105" s="733" t="s">
        <v>148</v>
      </c>
      <c r="B105" s="737" t="e">
        <f>SUM('Monetary Survey Components'!#REF!)/2</f>
        <v>#REF!</v>
      </c>
      <c r="C105" s="737" t="e">
        <f>SUM('Monetary Survey Components'!#REF!)/2</f>
        <v>#REF!</v>
      </c>
      <c r="D105" s="737" t="e">
        <f>SUM('Monetary Survey Components'!#REF!)/2</f>
        <v>#REF!</v>
      </c>
      <c r="E105" s="737" t="e">
        <f>SUM('Monetary Survey Components'!#REF!)/2</f>
        <v>#REF!</v>
      </c>
      <c r="F105" s="737" t="e">
        <f>SUM('Monetary Survey Components'!#REF!)/2</f>
        <v>#REF!</v>
      </c>
      <c r="G105" s="737" t="e">
        <f>SUM('Monetary Survey Components'!#REF!)/2</f>
        <v>#REF!</v>
      </c>
      <c r="H105" s="737" t="e">
        <f>SUM('Monetary Survey Components'!#REF!)/2</f>
        <v>#REF!</v>
      </c>
      <c r="I105" s="737" t="e">
        <f>SUM('Monetary Survey Components'!#REF!)/2</f>
        <v>#REF!</v>
      </c>
      <c r="J105" s="737" t="e">
        <f>SUM('Monetary Survey Components'!#REF!)/2</f>
        <v>#REF!</v>
      </c>
    </row>
    <row r="106" spans="1:10">
      <c r="A106" s="734" t="s">
        <v>49</v>
      </c>
      <c r="B106" s="737" t="e">
        <f>SUM('Monetary Survey Components'!#REF!,'Monetary Survey Components'!C11)/2</f>
        <v>#REF!</v>
      </c>
      <c r="C106" s="737" t="e">
        <f>SUM('Monetary Survey Components'!#REF!,'Monetary Survey Components'!D11)/2</f>
        <v>#REF!</v>
      </c>
      <c r="D106" s="737" t="e">
        <f>SUM('Monetary Survey Components'!#REF!,'Monetary Survey Components'!E11)/2</f>
        <v>#REF!</v>
      </c>
      <c r="E106" s="737" t="e">
        <f>SUM('Monetary Survey Components'!#REF!,'Monetary Survey Components'!F11)/2</f>
        <v>#REF!</v>
      </c>
      <c r="F106" s="737" t="e">
        <f>SUM('Monetary Survey Components'!#REF!,'Monetary Survey Components'!G11)/2</f>
        <v>#REF!</v>
      </c>
      <c r="G106" s="737" t="e">
        <f>SUM('Monetary Survey Components'!#REF!,'Monetary Survey Components'!H11)/2</f>
        <v>#REF!</v>
      </c>
      <c r="H106" s="737" t="e">
        <f>SUM('Monetary Survey Components'!#REF!,'Monetary Survey Components'!I11)/2</f>
        <v>#REF!</v>
      </c>
      <c r="I106" s="737" t="e">
        <f>SUM('Monetary Survey Components'!#REF!,'Monetary Survey Components'!J11)/2</f>
        <v>#REF!</v>
      </c>
      <c r="J106" s="737" t="e">
        <f>SUM('Monetary Survey Components'!#REF!,'Monetary Survey Components'!K11)/2</f>
        <v>#REF!</v>
      </c>
    </row>
    <row r="107" spans="1:10">
      <c r="A107" s="734" t="s">
        <v>162</v>
      </c>
      <c r="B107" s="737">
        <f>SUM('Monetary Survey Components'!C11:C12)/2</f>
        <v>4238.99</v>
      </c>
      <c r="C107" s="737">
        <f>SUM('Monetary Survey Components'!D11:D12)/2</f>
        <v>2073.7399999999998</v>
      </c>
      <c r="D107" s="737">
        <f>SUM('Monetary Survey Components'!E11:E12)/2</f>
        <v>615.78</v>
      </c>
      <c r="E107" s="737">
        <f>SUM('Monetary Survey Components'!F11:F12)/2</f>
        <v>1433.8000000000002</v>
      </c>
      <c r="F107" s="737">
        <f>SUM('Monetary Survey Components'!G11:G12)/2</f>
        <v>699.13</v>
      </c>
      <c r="G107" s="737">
        <f>SUM('Monetary Survey Components'!H11:H12)/2</f>
        <v>734.67000000000007</v>
      </c>
      <c r="H107" s="737">
        <f>SUM('Monetary Survey Components'!I11:I12)/2</f>
        <v>2165.25</v>
      </c>
      <c r="I107" s="737">
        <f>SUM('Monetary Survey Components'!J11:J12)/2</f>
        <v>2064.7150000000001</v>
      </c>
      <c r="J107" s="737">
        <f>SUM('Monetary Survey Components'!K11:K12)/2</f>
        <v>100.535</v>
      </c>
    </row>
    <row r="108" spans="1:10">
      <c r="A108" s="734" t="s">
        <v>163</v>
      </c>
      <c r="B108" s="737">
        <f>SUM('Monetary Survey Components'!C12:C13)/2</f>
        <v>4112.2449999999999</v>
      </c>
      <c r="C108" s="737">
        <f>SUM('Monetary Survey Components'!D12:D13)/2</f>
        <v>1930.4</v>
      </c>
      <c r="D108" s="737">
        <f>SUM('Monetary Survey Components'!E12:E13)/2</f>
        <v>590.13499999999999</v>
      </c>
      <c r="E108" s="737">
        <f>SUM('Monetary Survey Components'!F12:F13)/2</f>
        <v>1299.77</v>
      </c>
      <c r="F108" s="737">
        <f>SUM('Monetary Survey Components'!G12:G13)/2</f>
        <v>657.41000000000008</v>
      </c>
      <c r="G108" s="737">
        <f>SUM('Monetary Survey Components'!H12:H13)/2</f>
        <v>642.36</v>
      </c>
      <c r="H108" s="737">
        <f>SUM('Monetary Survey Components'!I12:I13)/2</f>
        <v>2181.8450000000003</v>
      </c>
      <c r="I108" s="737">
        <f>SUM('Monetary Survey Components'!J12:J13)/2</f>
        <v>2078.0300000000002</v>
      </c>
      <c r="J108" s="737">
        <f>SUM('Monetary Survey Components'!K12:K13)/2</f>
        <v>103.815</v>
      </c>
    </row>
    <row r="109" spans="1:10">
      <c r="A109" s="735" t="s">
        <v>164</v>
      </c>
      <c r="B109" s="737">
        <f>SUM('Monetary Survey Components'!C13:C14)/2</f>
        <v>4086.4850000000001</v>
      </c>
      <c r="C109" s="737">
        <f>SUM('Monetary Survey Components'!D13:D14)/2</f>
        <v>1805.69</v>
      </c>
      <c r="D109" s="737">
        <f>SUM('Monetary Survey Components'!E13:E14)/2</f>
        <v>578.03499999999997</v>
      </c>
      <c r="E109" s="737">
        <f>SUM('Monetary Survey Components'!F13:F14)/2</f>
        <v>1170.835</v>
      </c>
      <c r="F109" s="737">
        <f>SUM('Monetary Survey Components'!G13:G14)/2</f>
        <v>611.005</v>
      </c>
      <c r="G109" s="737">
        <f>SUM('Monetary Survey Components'!H13:H14)/2</f>
        <v>559.82999999999993</v>
      </c>
      <c r="H109" s="737">
        <f>SUM('Monetary Survey Components'!I13:I14)/2</f>
        <v>2280.7950000000001</v>
      </c>
      <c r="I109" s="737">
        <f>SUM('Monetary Survey Components'!J13:J14)/2</f>
        <v>2172.4549999999999</v>
      </c>
      <c r="J109" s="737">
        <f>SUM('Monetary Survey Components'!K13:K14)/2</f>
        <v>108.34</v>
      </c>
    </row>
    <row r="110" spans="1:10">
      <c r="A110" s="735" t="s">
        <v>165</v>
      </c>
      <c r="B110" s="737">
        <f>SUM('Monetary Survey Components'!C14:C15)/2</f>
        <v>4239.8100000000004</v>
      </c>
      <c r="C110" s="737">
        <f>SUM('Monetary Survey Components'!D14:D15)/2</f>
        <v>1898.085</v>
      </c>
      <c r="D110" s="737">
        <f>SUM('Monetary Survey Components'!E14:E15)/2</f>
        <v>599.11500000000001</v>
      </c>
      <c r="E110" s="737">
        <f>SUM('Monetary Survey Components'!F14:F15)/2</f>
        <v>1258.3799999999999</v>
      </c>
      <c r="F110" s="737">
        <f>SUM('Monetary Survey Components'!G14:G15)/2</f>
        <v>702.64499999999998</v>
      </c>
      <c r="G110" s="737">
        <f>SUM('Monetary Survey Components'!H14:H15)/2</f>
        <v>555.73500000000001</v>
      </c>
      <c r="H110" s="737">
        <f>SUM('Monetary Survey Components'!I14:I15)/2</f>
        <v>2341.7250000000004</v>
      </c>
      <c r="I110" s="737">
        <f>SUM('Monetary Survey Components'!J14:J15)/2</f>
        <v>2233.63</v>
      </c>
      <c r="J110" s="737">
        <f>SUM('Monetary Survey Components'!K14:K15)/2</f>
        <v>108.095</v>
      </c>
    </row>
    <row r="111" spans="1:10">
      <c r="A111" s="735" t="s">
        <v>166</v>
      </c>
      <c r="B111" s="737">
        <f>SUM('Monetary Survey Components'!C15:C16)/2</f>
        <v>4378.3950000000004</v>
      </c>
      <c r="C111" s="737">
        <f>SUM('Monetary Survey Components'!D15:D16)/2</f>
        <v>1916.3150000000001</v>
      </c>
      <c r="D111" s="737">
        <f>SUM('Monetary Survey Components'!E15:E16)/2</f>
        <v>626.63</v>
      </c>
      <c r="E111" s="737">
        <f>SUM('Monetary Survey Components'!F15:F16)/2</f>
        <v>1264.6599999999999</v>
      </c>
      <c r="F111" s="737">
        <f>SUM('Monetary Survey Components'!G15:G16)/2</f>
        <v>722.23500000000001</v>
      </c>
      <c r="G111" s="737">
        <f>SUM('Monetary Survey Components'!H15:H16)/2</f>
        <v>542.42499999999995</v>
      </c>
      <c r="H111" s="737">
        <f>SUM('Monetary Survey Components'!I15:I16)/2</f>
        <v>2462.08</v>
      </c>
      <c r="I111" s="737">
        <f>SUM('Monetary Survey Components'!J15:J16)/2</f>
        <v>2357.9049999999997</v>
      </c>
      <c r="J111" s="737">
        <f>SUM('Monetary Survey Components'!K15:K16)/2</f>
        <v>104.175</v>
      </c>
    </row>
    <row r="112" spans="1:10">
      <c r="A112" s="735" t="s">
        <v>167</v>
      </c>
      <c r="B112" s="737">
        <f>SUM('Monetary Survey Components'!C16:C17)/2</f>
        <v>4665.375</v>
      </c>
      <c r="C112" s="737">
        <f>SUM('Monetary Survey Components'!D16:D17)/2</f>
        <v>2024.6999999999998</v>
      </c>
      <c r="D112" s="737">
        <f>SUM('Monetary Survey Components'!E16:E17)/2</f>
        <v>626.49</v>
      </c>
      <c r="E112" s="737">
        <f>SUM('Monetary Survey Components'!F16:F17)/2</f>
        <v>1372.385</v>
      </c>
      <c r="F112" s="737">
        <f>SUM('Monetary Survey Components'!G16:G17)/2</f>
        <v>855.69</v>
      </c>
      <c r="G112" s="737">
        <f>SUM('Monetary Survey Components'!H16:H17)/2</f>
        <v>516.69499999999994</v>
      </c>
      <c r="H112" s="737">
        <f>SUM('Monetary Survey Components'!I16:I17)/2</f>
        <v>2640.6750000000002</v>
      </c>
      <c r="I112" s="737">
        <f>SUM('Monetary Survey Components'!J16:J17)/2</f>
        <v>2541.67</v>
      </c>
      <c r="J112" s="737">
        <f>SUM('Monetary Survey Components'!K16:K17)/2</f>
        <v>99.004999999999995</v>
      </c>
    </row>
    <row r="113" spans="1:10">
      <c r="A113" s="735" t="s">
        <v>168</v>
      </c>
      <c r="B113" s="737">
        <f>SUM('Monetary Survey Components'!C17:C18)/2</f>
        <v>5078.07</v>
      </c>
      <c r="C113" s="737">
        <f>SUM('Monetary Survey Components'!D17:D18)/2</f>
        <v>2133.2649999999999</v>
      </c>
      <c r="D113" s="737">
        <f>SUM('Monetary Survey Components'!E17:E18)/2</f>
        <v>631.19000000000005</v>
      </c>
      <c r="E113" s="737">
        <f>SUM('Monetary Survey Components'!F17:F18)/2</f>
        <v>1476.0650000000001</v>
      </c>
      <c r="F113" s="737">
        <f>SUM('Monetary Survey Components'!G17:G18)/2</f>
        <v>984.76</v>
      </c>
      <c r="G113" s="737">
        <f>SUM('Monetary Survey Components'!H17:H18)/2</f>
        <v>491.30500000000001</v>
      </c>
      <c r="H113" s="737">
        <f>SUM('Monetary Survey Components'!I17:I18)/2</f>
        <v>2944.8050000000003</v>
      </c>
      <c r="I113" s="737">
        <f>SUM('Monetary Survey Components'!J17:J18)/2</f>
        <v>2840.0950000000003</v>
      </c>
      <c r="J113" s="737">
        <f>SUM('Monetary Survey Components'!K17:K18)/2</f>
        <v>104.71000000000001</v>
      </c>
    </row>
    <row r="114" spans="1:10">
      <c r="A114" s="735" t="s">
        <v>169</v>
      </c>
      <c r="B114" s="737">
        <f>SUM('Monetary Survey Components'!C18:C19)/2</f>
        <v>5293.9600000000009</v>
      </c>
      <c r="C114" s="737">
        <f>SUM('Monetary Survey Components'!D18:D19)/2</f>
        <v>2005.7199999999998</v>
      </c>
      <c r="D114" s="737">
        <f>SUM('Monetary Survey Components'!E18:E19)/2</f>
        <v>650.1</v>
      </c>
      <c r="E114" s="737">
        <f>SUM('Monetary Survey Components'!F18:F19)/2</f>
        <v>1329.4849999999999</v>
      </c>
      <c r="F114" s="737">
        <f>SUM('Monetary Survey Components'!G18:G19)/2</f>
        <v>837.76</v>
      </c>
      <c r="G114" s="737">
        <f>SUM('Monetary Survey Components'!H18:H19)/2</f>
        <v>491.72500000000002</v>
      </c>
      <c r="H114" s="737">
        <f>SUM('Monetary Survey Components'!I18:I19)/2</f>
        <v>3288.2400000000002</v>
      </c>
      <c r="I114" s="737">
        <f>SUM('Monetary Survey Components'!J18:J19)/2</f>
        <v>3182.28</v>
      </c>
      <c r="J114" s="737">
        <f>SUM('Monetary Survey Components'!K18:K19)/2</f>
        <v>105.96000000000001</v>
      </c>
    </row>
    <row r="115" spans="1:10">
      <c r="A115" s="735" t="s">
        <v>170</v>
      </c>
      <c r="B115" s="737">
        <f>SUM('Monetary Survey Components'!C19:C20)/2</f>
        <v>5422.22</v>
      </c>
      <c r="C115" s="737">
        <f>SUM('Monetary Survey Components'!D19:D20)/2</f>
        <v>2020.2150000000001</v>
      </c>
      <c r="D115" s="737">
        <f>SUM('Monetary Survey Components'!E19:E20)/2</f>
        <v>658.73500000000001</v>
      </c>
      <c r="E115" s="737">
        <f>SUM('Monetary Survey Components'!F19:F20)/2</f>
        <v>1334.44</v>
      </c>
      <c r="F115" s="737">
        <f>SUM('Monetary Survey Components'!G19:G20)/2</f>
        <v>836.71499999999992</v>
      </c>
      <c r="G115" s="737">
        <f>SUM('Monetary Survey Components'!H19:H20)/2</f>
        <v>497.72500000000002</v>
      </c>
      <c r="H115" s="737">
        <f>SUM('Monetary Survey Components'!I19:I20)/2</f>
        <v>3402.0050000000001</v>
      </c>
      <c r="I115" s="737">
        <f>SUM('Monetary Survey Components'!J19:J20)/2</f>
        <v>3297.665</v>
      </c>
      <c r="J115" s="737">
        <f>SUM('Monetary Survey Components'!K19:K20)/2</f>
        <v>104.34</v>
      </c>
    </row>
    <row r="116" spans="1:10">
      <c r="A116" s="735" t="s">
        <v>171</v>
      </c>
      <c r="B116" s="737">
        <f>SUM('Monetary Survey Components'!C20:C21)/2</f>
        <v>5606.6049999999996</v>
      </c>
      <c r="C116" s="737">
        <f>SUM('Monetary Survey Components'!D20:D21)/2</f>
        <v>2151.0150000000003</v>
      </c>
      <c r="D116" s="737">
        <f>SUM('Monetary Survey Components'!E20:E21)/2</f>
        <v>691.95</v>
      </c>
      <c r="E116" s="737">
        <f>SUM('Monetary Survey Components'!F20:F21)/2</f>
        <v>1430.9549999999999</v>
      </c>
      <c r="F116" s="737">
        <f>SUM('Monetary Survey Components'!G20:G21)/2</f>
        <v>919.45499999999993</v>
      </c>
      <c r="G116" s="737">
        <f>SUM('Monetary Survey Components'!H20:H21)/2</f>
        <v>511.5</v>
      </c>
      <c r="H116" s="737">
        <f>SUM('Monetary Survey Components'!I20:I21)/2</f>
        <v>3455.59</v>
      </c>
      <c r="I116" s="737">
        <f>SUM('Monetary Survey Components'!J20:J21)/2</f>
        <v>3355.54</v>
      </c>
      <c r="J116" s="737">
        <f>SUM('Monetary Survey Components'!K20:K21)/2</f>
        <v>100.05000000000001</v>
      </c>
    </row>
    <row r="117" spans="1:10">
      <c r="A117" s="735" t="s">
        <v>148</v>
      </c>
      <c r="B117" s="737">
        <f>SUM('Monetary Survey Components'!C21:C22)/2</f>
        <v>2826.08</v>
      </c>
      <c r="C117" s="737">
        <f>SUM('Monetary Survey Components'!D21:D22)/2</f>
        <v>1098.23</v>
      </c>
      <c r="D117" s="737">
        <f>SUM('Monetary Survey Components'!E21:E22)/2</f>
        <v>360.47</v>
      </c>
      <c r="E117" s="737">
        <f>SUM('Monetary Survey Components'!F21:F22)/2</f>
        <v>723.58500000000004</v>
      </c>
      <c r="F117" s="737">
        <f>SUM('Monetary Survey Components'!G21:G22)/2</f>
        <v>465.01499999999999</v>
      </c>
      <c r="G117" s="737">
        <f>SUM('Monetary Survey Components'!H21:H22)/2</f>
        <v>258.57</v>
      </c>
      <c r="H117" s="737">
        <f>SUM('Monetary Survey Components'!I21:I22)/2</f>
        <v>1727.8500000000001</v>
      </c>
      <c r="I117" s="737">
        <f>SUM('Monetary Survey Components'!J21:J22)/2</f>
        <v>1679.65</v>
      </c>
      <c r="J117" s="737">
        <f>SUM('Monetary Survey Components'!K21:K22)/2</f>
        <v>48.2</v>
      </c>
    </row>
    <row r="118" spans="1:10">
      <c r="A118" s="736"/>
    </row>
    <row r="119" spans="1:10">
      <c r="A119" s="736"/>
    </row>
    <row r="120" spans="1:10">
      <c r="A120" s="736"/>
    </row>
    <row r="121" spans="1:10">
      <c r="A121" s="736"/>
    </row>
    <row r="122" spans="1:10">
      <c r="A122" s="736"/>
    </row>
    <row r="123" spans="1:10">
      <c r="A123" s="736"/>
    </row>
    <row r="124" spans="1:10">
      <c r="A124" s="736"/>
    </row>
    <row r="125" spans="1:10">
      <c r="A125" s="736"/>
    </row>
    <row r="126" spans="1:10">
      <c r="A126" s="736"/>
    </row>
    <row r="127" spans="1:10">
      <c r="A127" s="736"/>
    </row>
    <row r="128" spans="1:10">
      <c r="A128" s="736"/>
    </row>
    <row r="129" spans="1:1">
      <c r="A129" s="736"/>
    </row>
    <row r="130" spans="1:1">
      <c r="A130" s="736"/>
    </row>
    <row r="131" spans="1:1">
      <c r="A131" s="736"/>
    </row>
    <row r="132" spans="1:1">
      <c r="A132" s="736"/>
    </row>
    <row r="133" spans="1:1">
      <c r="A133" s="736"/>
    </row>
    <row r="134" spans="1:1">
      <c r="A134" s="736"/>
    </row>
    <row r="135" spans="1:1">
      <c r="A135" s="736"/>
    </row>
    <row r="136" spans="1:1">
      <c r="A136" s="736"/>
    </row>
    <row r="137" spans="1:1">
      <c r="A137" s="736"/>
    </row>
    <row r="138" spans="1:1">
      <c r="A138" s="736"/>
    </row>
    <row r="139" spans="1:1">
      <c r="A139" s="736"/>
    </row>
    <row r="140" spans="1:1">
      <c r="A140" s="736"/>
    </row>
    <row r="141" spans="1:1">
      <c r="A141" s="736"/>
    </row>
    <row r="142" spans="1:1">
      <c r="A142" s="736"/>
    </row>
    <row r="143" spans="1:1">
      <c r="A143" s="736"/>
    </row>
    <row r="144" spans="1:1">
      <c r="A144" s="736"/>
    </row>
    <row r="145" spans="1:1">
      <c r="A145" s="736"/>
    </row>
    <row r="146" spans="1:1">
      <c r="A146" s="736"/>
    </row>
    <row r="147" spans="1:1">
      <c r="A147" s="736"/>
    </row>
    <row r="148" spans="1:1">
      <c r="A148" s="736"/>
    </row>
    <row r="149" spans="1:1">
      <c r="A149" s="736"/>
    </row>
    <row r="150" spans="1:1">
      <c r="A150" s="736"/>
    </row>
    <row r="151" spans="1:1">
      <c r="A151" s="736"/>
    </row>
    <row r="152" spans="1:1">
      <c r="A152" s="736"/>
    </row>
    <row r="153" spans="1:1">
      <c r="A153" s="736"/>
    </row>
    <row r="154" spans="1:1">
      <c r="A154" s="736"/>
    </row>
    <row r="155" spans="1:1">
      <c r="A155" s="736"/>
    </row>
    <row r="156" spans="1:1">
      <c r="A156" s="736"/>
    </row>
    <row r="157" spans="1:1">
      <c r="A157" s="736"/>
    </row>
    <row r="158" spans="1:1">
      <c r="A158" s="736"/>
    </row>
    <row r="159" spans="1:1">
      <c r="A159" s="736"/>
    </row>
    <row r="160" spans="1:1">
      <c r="A160" s="736"/>
    </row>
    <row r="161" spans="1:1">
      <c r="A161" s="736"/>
    </row>
    <row r="162" spans="1:1">
      <c r="A162" s="736"/>
    </row>
    <row r="163" spans="1:1">
      <c r="A163" s="736"/>
    </row>
    <row r="164" spans="1:1">
      <c r="A164" s="736"/>
    </row>
    <row r="165" spans="1:1">
      <c r="A165" s="736"/>
    </row>
    <row r="166" spans="1:1">
      <c r="A166" s="736"/>
    </row>
    <row r="167" spans="1:1">
      <c r="A167" s="736"/>
    </row>
    <row r="168" spans="1:1">
      <c r="A168" s="736"/>
    </row>
    <row r="169" spans="1:1">
      <c r="A169" s="736"/>
    </row>
    <row r="170" spans="1:1">
      <c r="A170" s="736"/>
    </row>
    <row r="171" spans="1:1">
      <c r="A171" s="736"/>
    </row>
    <row r="172" spans="1:1">
      <c r="A172" s="736"/>
    </row>
    <row r="173" spans="1:1">
      <c r="A173" s="736"/>
    </row>
    <row r="174" spans="1:1">
      <c r="A174" s="736"/>
    </row>
    <row r="175" spans="1:1">
      <c r="A175" s="736"/>
    </row>
    <row r="176" spans="1:1">
      <c r="A176" s="736"/>
    </row>
    <row r="177" spans="1:1">
      <c r="A177" s="736"/>
    </row>
    <row r="178" spans="1:1">
      <c r="A178" s="736"/>
    </row>
    <row r="179" spans="1:1">
      <c r="A179" s="736"/>
    </row>
    <row r="180" spans="1:1">
      <c r="A180" s="736"/>
    </row>
    <row r="181" spans="1:1">
      <c r="A181" s="736"/>
    </row>
    <row r="182" spans="1:1">
      <c r="A182" s="736"/>
    </row>
    <row r="183" spans="1:1">
      <c r="A183" s="736"/>
    </row>
    <row r="184" spans="1:1">
      <c r="A184" s="736"/>
    </row>
    <row r="185" spans="1:1">
      <c r="A185" s="736"/>
    </row>
    <row r="186" spans="1:1">
      <c r="A186" s="736"/>
    </row>
    <row r="187" spans="1:1">
      <c r="A187" s="736"/>
    </row>
    <row r="188" spans="1:1">
      <c r="A188" s="736"/>
    </row>
    <row r="189" spans="1:1">
      <c r="A189" s="736"/>
    </row>
    <row r="190" spans="1:1">
      <c r="A190" s="736"/>
    </row>
    <row r="191" spans="1:1">
      <c r="A191" s="736"/>
    </row>
    <row r="192" spans="1:1">
      <c r="A192" s="736"/>
    </row>
    <row r="193" spans="1:1">
      <c r="A193" s="736"/>
    </row>
    <row r="194" spans="1:1">
      <c r="A194" s="736"/>
    </row>
    <row r="195" spans="1:1">
      <c r="A195" s="736"/>
    </row>
    <row r="196" spans="1:1">
      <c r="A196" s="736"/>
    </row>
    <row r="197" spans="1:1">
      <c r="A197" s="736"/>
    </row>
    <row r="198" spans="1:1">
      <c r="A198" s="736"/>
    </row>
    <row r="199" spans="1:1">
      <c r="A199" s="736"/>
    </row>
    <row r="200" spans="1:1">
      <c r="A200" s="736"/>
    </row>
    <row r="201" spans="1:1">
      <c r="A201" s="736"/>
    </row>
    <row r="202" spans="1:1">
      <c r="A202" s="736"/>
    </row>
    <row r="203" spans="1:1">
      <c r="A203" s="736"/>
    </row>
    <row r="204" spans="1:1">
      <c r="A204" s="736"/>
    </row>
    <row r="205" spans="1:1">
      <c r="A205" s="736"/>
    </row>
    <row r="206" spans="1:1">
      <c r="A206" s="736"/>
    </row>
    <row r="207" spans="1:1">
      <c r="A207" s="736"/>
    </row>
    <row r="208" spans="1:1">
      <c r="A208" s="736"/>
    </row>
    <row r="209" spans="1:1">
      <c r="A209" s="736"/>
    </row>
    <row r="210" spans="1:1">
      <c r="A210" s="736"/>
    </row>
    <row r="211" spans="1:1">
      <c r="A211" s="736"/>
    </row>
    <row r="212" spans="1:1">
      <c r="A212" s="736"/>
    </row>
    <row r="213" spans="1:1">
      <c r="A213" s="736"/>
    </row>
    <row r="214" spans="1:1">
      <c r="A214" s="736"/>
    </row>
    <row r="215" spans="1:1">
      <c r="A215" s="736"/>
    </row>
    <row r="216" spans="1:1">
      <c r="A216" s="736"/>
    </row>
    <row r="217" spans="1:1">
      <c r="A217" s="736"/>
    </row>
    <row r="218" spans="1:1">
      <c r="A218" s="736"/>
    </row>
    <row r="219" spans="1:1">
      <c r="A219" s="736"/>
    </row>
    <row r="220" spans="1:1">
      <c r="A220" s="736"/>
    </row>
    <row r="221" spans="1:1">
      <c r="A221" s="736"/>
    </row>
    <row r="222" spans="1:1">
      <c r="A222" s="736"/>
    </row>
    <row r="223" spans="1:1">
      <c r="A223" s="736"/>
    </row>
    <row r="224" spans="1:1">
      <c r="A224" s="736"/>
    </row>
    <row r="225" spans="1:1">
      <c r="A225" s="736"/>
    </row>
    <row r="226" spans="1:1">
      <c r="A226" s="736"/>
    </row>
    <row r="227" spans="1:1">
      <c r="A227" s="736"/>
    </row>
    <row r="228" spans="1:1">
      <c r="A228" s="736"/>
    </row>
    <row r="229" spans="1:1">
      <c r="A229" s="736"/>
    </row>
    <row r="230" spans="1:1">
      <c r="A230" s="736"/>
    </row>
    <row r="231" spans="1:1">
      <c r="A231" s="736"/>
    </row>
    <row r="232" spans="1:1">
      <c r="A232" s="736"/>
    </row>
    <row r="233" spans="1:1">
      <c r="A233" s="736"/>
    </row>
    <row r="234" spans="1:1">
      <c r="A234" s="736"/>
    </row>
    <row r="235" spans="1:1">
      <c r="A235" s="736"/>
    </row>
    <row r="236" spans="1:1">
      <c r="A236" s="736"/>
    </row>
    <row r="237" spans="1:1">
      <c r="A237" s="736"/>
    </row>
    <row r="238" spans="1:1">
      <c r="A238" s="736"/>
    </row>
    <row r="239" spans="1:1">
      <c r="A239" s="736"/>
    </row>
    <row r="240" spans="1:1">
      <c r="A240" s="736"/>
    </row>
  </sheetData>
  <mergeCells count="13">
    <mergeCell ref="B9:J9"/>
    <mergeCell ref="D6:D7"/>
    <mergeCell ref="E6:G6"/>
    <mergeCell ref="C5:C7"/>
    <mergeCell ref="D5:G5"/>
    <mergeCell ref="H5:H7"/>
    <mergeCell ref="I5:I7"/>
    <mergeCell ref="J5:J7"/>
    <mergeCell ref="A3:A7"/>
    <mergeCell ref="B3:J3"/>
    <mergeCell ref="B4:B7"/>
    <mergeCell ref="C4:G4"/>
    <mergeCell ref="H4:J4"/>
  </mergeCells>
  <phoneticPr fontId="4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enableFormatConditionsCalculation="0">
    <tabColor indexed="46"/>
  </sheetPr>
  <dimension ref="A1:B10"/>
  <sheetViews>
    <sheetView workbookViewId="0">
      <selection activeCell="B6" sqref="B6"/>
    </sheetView>
  </sheetViews>
  <sheetFormatPr defaultRowHeight="12.75"/>
  <cols>
    <col min="2" max="2" width="9.5703125" bestFit="1" customWidth="1"/>
  </cols>
  <sheetData>
    <row r="1" spans="1:2">
      <c r="A1" t="s">
        <v>335</v>
      </c>
    </row>
    <row r="3" spans="1:2">
      <c r="A3">
        <v>1998</v>
      </c>
      <c r="B3" s="117" t="e">
        <f>'final outpt'!L40/'Yearly Comp'!B8</f>
        <v>#REF!</v>
      </c>
    </row>
    <row r="4" spans="1:2">
      <c r="A4">
        <v>1999</v>
      </c>
      <c r="B4" s="117" t="e">
        <f>'final outpt'!M40/'Yearly Comp'!B9</f>
        <v>#REF!</v>
      </c>
    </row>
    <row r="5" spans="1:2">
      <c r="A5">
        <v>2000</v>
      </c>
      <c r="B5" s="117" t="e">
        <f>'final outpt'!N40/'Yearly Comp'!B10</f>
        <v>#REF!</v>
      </c>
    </row>
    <row r="6" spans="1:2">
      <c r="A6">
        <v>2001</v>
      </c>
      <c r="B6" s="117" t="e">
        <f>'final outpt'!O40/'Yearly Comp'!B11</f>
        <v>#REF!</v>
      </c>
    </row>
    <row r="7" spans="1:2">
      <c r="A7">
        <v>2002</v>
      </c>
      <c r="B7" s="117" t="e">
        <f>'final outpt'!P40/'Yearly Comp'!B12</f>
        <v>#REF!</v>
      </c>
    </row>
    <row r="8" spans="1:2">
      <c r="A8">
        <v>2003</v>
      </c>
      <c r="B8" s="117" t="e">
        <f>'final outpt'!Q40/'Yearly Comp'!B13</f>
        <v>#REF!</v>
      </c>
    </row>
    <row r="9" spans="1:2">
      <c r="A9">
        <v>2004</v>
      </c>
      <c r="B9" s="117" t="e">
        <f>'final outpt'!R40/'Yearly Comp'!B14</f>
        <v>#REF!</v>
      </c>
    </row>
    <row r="10" spans="1:2">
      <c r="B10" s="117" t="e">
        <f>GEOMEAN(B3:B9)</f>
        <v>#REF!</v>
      </c>
    </row>
  </sheetData>
  <phoneticPr fontId="4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6" enableFormatConditionsCalculation="0">
    <tabColor indexed="46"/>
  </sheetPr>
  <dimension ref="A1:J24"/>
  <sheetViews>
    <sheetView workbookViewId="0">
      <selection activeCell="F13" sqref="F13"/>
    </sheetView>
  </sheetViews>
  <sheetFormatPr defaultRowHeight="12.75"/>
  <sheetData>
    <row r="1" spans="1:10" ht="38.25" customHeight="1">
      <c r="A1" s="738" t="s">
        <v>56</v>
      </c>
    </row>
    <row r="2" spans="1:10">
      <c r="A2" s="4482"/>
      <c r="B2" s="739" t="s">
        <v>220</v>
      </c>
      <c r="C2" s="740"/>
      <c r="D2" s="740"/>
      <c r="E2" s="740"/>
      <c r="F2" s="740"/>
      <c r="G2" s="740"/>
      <c r="H2" s="740"/>
      <c r="I2" s="740"/>
    </row>
    <row r="3" spans="1:10" ht="25.5">
      <c r="A3" s="4483"/>
      <c r="B3" s="4473" t="s">
        <v>152</v>
      </c>
      <c r="C3" s="4479" t="s">
        <v>221</v>
      </c>
      <c r="D3" s="4480"/>
      <c r="E3" s="4480"/>
      <c r="F3" s="4480"/>
      <c r="G3" s="4481"/>
      <c r="H3" s="739" t="s">
        <v>232</v>
      </c>
      <c r="I3" s="740"/>
    </row>
    <row r="4" spans="1:10">
      <c r="A4" s="4483"/>
      <c r="B4" s="4474"/>
      <c r="C4" s="4473" t="s">
        <v>152</v>
      </c>
      <c r="D4" s="4479" t="s">
        <v>228</v>
      </c>
      <c r="E4" s="4480"/>
      <c r="F4" s="4480"/>
      <c r="G4" s="4481"/>
      <c r="H4" s="4473" t="s">
        <v>152</v>
      </c>
      <c r="I4" s="4473" t="s">
        <v>219</v>
      </c>
      <c r="J4" s="4476" t="s">
        <v>233</v>
      </c>
    </row>
    <row r="5" spans="1:10">
      <c r="A5" s="4483"/>
      <c r="B5" s="4474"/>
      <c r="C5" s="4474"/>
      <c r="D5" s="4473" t="s">
        <v>462</v>
      </c>
      <c r="E5" s="4479" t="s">
        <v>229</v>
      </c>
      <c r="F5" s="4480"/>
      <c r="G5" s="4481"/>
      <c r="H5" s="4474"/>
      <c r="I5" s="4474"/>
      <c r="J5" s="4477"/>
    </row>
    <row r="6" spans="1:10" ht="25.5">
      <c r="A6" s="4484"/>
      <c r="B6" s="4475"/>
      <c r="C6" s="4475"/>
      <c r="D6" s="4475"/>
      <c r="E6" s="741" t="s">
        <v>152</v>
      </c>
      <c r="F6" s="742" t="s">
        <v>230</v>
      </c>
      <c r="G6" s="742" t="s">
        <v>231</v>
      </c>
      <c r="H6" s="4475"/>
      <c r="I6" s="4475"/>
      <c r="J6" s="4478"/>
    </row>
    <row r="7" spans="1:10">
      <c r="A7" s="743"/>
    </row>
    <row r="8" spans="1:10">
      <c r="A8">
        <v>1998</v>
      </c>
      <c r="B8" s="737" t="e">
        <f t="shared" ref="B8:B14" si="0">SUM(C8,H8)</f>
        <v>#REF!</v>
      </c>
      <c r="C8" s="737" t="e">
        <f>AVERAGE('Monthly Comp'!C22:C33)</f>
        <v>#REF!</v>
      </c>
      <c r="D8" s="737" t="e">
        <f>AVERAGE('Monthly Comp'!D22:D33)</f>
        <v>#REF!</v>
      </c>
      <c r="E8" s="737" t="e">
        <f t="shared" ref="E8:E14" si="1">SUM(F8:G8)</f>
        <v>#REF!</v>
      </c>
      <c r="F8" s="737" t="e">
        <f>AVERAGE('Monthly Comp'!F22:F33)</f>
        <v>#REF!</v>
      </c>
      <c r="G8" s="737" t="e">
        <f>AVERAGE('Monthly Comp'!G22:G33)</f>
        <v>#REF!</v>
      </c>
      <c r="H8" s="737" t="e">
        <f t="shared" ref="H8:H14" si="2">SUM(I8:J8)</f>
        <v>#REF!</v>
      </c>
      <c r="I8" s="737" t="e">
        <f>AVERAGE('Monthly Comp'!I22:I33)</f>
        <v>#REF!</v>
      </c>
      <c r="J8" s="737" t="e">
        <f>AVERAGE('Monthly Comp'!J22:J33)</f>
        <v>#REF!</v>
      </c>
    </row>
    <row r="9" spans="1:10">
      <c r="A9">
        <v>1999</v>
      </c>
      <c r="B9" s="737" t="e">
        <f t="shared" si="0"/>
        <v>#REF!</v>
      </c>
      <c r="C9" s="737" t="e">
        <f>AVERAGE('Monthly Comp'!C34:C45)</f>
        <v>#REF!</v>
      </c>
      <c r="D9" s="737" t="e">
        <f>AVERAGE('Monthly Comp'!D34:D45)</f>
        <v>#REF!</v>
      </c>
      <c r="E9" s="737" t="e">
        <f t="shared" si="1"/>
        <v>#REF!</v>
      </c>
      <c r="F9" s="737" t="e">
        <f>AVERAGE('Monthly Comp'!F34:F45)</f>
        <v>#REF!</v>
      </c>
      <c r="G9" s="737" t="e">
        <f>AVERAGE('Monthly Comp'!G34:G45)</f>
        <v>#REF!</v>
      </c>
      <c r="H9" s="737" t="e">
        <f t="shared" si="2"/>
        <v>#REF!</v>
      </c>
      <c r="I9" s="737" t="e">
        <f>AVERAGE('Monthly Comp'!I34:I45)</f>
        <v>#REF!</v>
      </c>
      <c r="J9" s="737" t="e">
        <f>AVERAGE('Monthly Comp'!J34:J45)</f>
        <v>#REF!</v>
      </c>
    </row>
    <row r="10" spans="1:10">
      <c r="A10">
        <v>2000</v>
      </c>
      <c r="B10" s="737" t="e">
        <f t="shared" si="0"/>
        <v>#REF!</v>
      </c>
      <c r="C10" s="737" t="e">
        <f>AVERAGE('Monthly Comp'!C46:C57)</f>
        <v>#REF!</v>
      </c>
      <c r="D10" s="737" t="e">
        <f>AVERAGE('Monthly Comp'!D46:D57)</f>
        <v>#REF!</v>
      </c>
      <c r="E10" s="737" t="e">
        <f t="shared" si="1"/>
        <v>#REF!</v>
      </c>
      <c r="F10" s="737" t="e">
        <f>AVERAGE('Monthly Comp'!F46:F57)</f>
        <v>#REF!</v>
      </c>
      <c r="G10" s="737" t="e">
        <f>AVERAGE('Monthly Comp'!G46:G57)</f>
        <v>#REF!</v>
      </c>
      <c r="H10" s="737" t="e">
        <f t="shared" si="2"/>
        <v>#REF!</v>
      </c>
      <c r="I10" s="737" t="e">
        <f>AVERAGE('Monthly Comp'!I46:I57)</f>
        <v>#REF!</v>
      </c>
      <c r="J10" s="737" t="e">
        <f>AVERAGE('Monthly Comp'!J46:J57)</f>
        <v>#REF!</v>
      </c>
    </row>
    <row r="11" spans="1:10">
      <c r="A11">
        <v>2001</v>
      </c>
      <c r="B11" s="737" t="e">
        <f t="shared" si="0"/>
        <v>#REF!</v>
      </c>
      <c r="C11" s="737" t="e">
        <f>AVERAGE('Monthly Comp'!C58:C69)</f>
        <v>#REF!</v>
      </c>
      <c r="D11" s="737" t="e">
        <f>AVERAGE('Monthly Comp'!D58:D69)</f>
        <v>#REF!</v>
      </c>
      <c r="E11" s="737" t="e">
        <f t="shared" si="1"/>
        <v>#REF!</v>
      </c>
      <c r="F11" s="737" t="e">
        <f>AVERAGE('Monthly Comp'!F58:F69)</f>
        <v>#REF!</v>
      </c>
      <c r="G11" s="737" t="e">
        <f>AVERAGE('Monthly Comp'!G58:G69)</f>
        <v>#REF!</v>
      </c>
      <c r="H11" s="737" t="e">
        <f t="shared" si="2"/>
        <v>#REF!</v>
      </c>
      <c r="I11" s="737" t="e">
        <f>AVERAGE('Monthly Comp'!I58:I69)</f>
        <v>#REF!</v>
      </c>
      <c r="J11" s="737" t="e">
        <f>AVERAGE('Monthly Comp'!J58:J69)</f>
        <v>#REF!</v>
      </c>
    </row>
    <row r="12" spans="1:10">
      <c r="A12">
        <v>2002</v>
      </c>
      <c r="B12" s="737" t="e">
        <f t="shared" si="0"/>
        <v>#REF!</v>
      </c>
      <c r="C12" s="737" t="e">
        <f>AVERAGE('Monthly Comp'!C70:C81)</f>
        <v>#REF!</v>
      </c>
      <c r="D12" s="737" t="e">
        <f>AVERAGE('Monthly Comp'!D70:D81)</f>
        <v>#REF!</v>
      </c>
      <c r="E12" s="737" t="e">
        <f t="shared" si="1"/>
        <v>#REF!</v>
      </c>
      <c r="F12" s="737" t="e">
        <f>AVERAGE('Monthly Comp'!F70:F81)</f>
        <v>#REF!</v>
      </c>
      <c r="G12" s="737" t="e">
        <f>AVERAGE('Monthly Comp'!G70:G81)</f>
        <v>#REF!</v>
      </c>
      <c r="H12" s="737" t="e">
        <f t="shared" si="2"/>
        <v>#REF!</v>
      </c>
      <c r="I12" s="737" t="e">
        <f>AVERAGE('Monthly Comp'!I70:I81)</f>
        <v>#REF!</v>
      </c>
      <c r="J12" s="737" t="e">
        <f>AVERAGE('Monthly Comp'!J70:J81)</f>
        <v>#REF!</v>
      </c>
    </row>
    <row r="13" spans="1:10">
      <c r="A13">
        <v>2003</v>
      </c>
      <c r="B13" s="737" t="e">
        <f t="shared" si="0"/>
        <v>#REF!</v>
      </c>
      <c r="C13" s="737" t="e">
        <f>AVERAGE('Monthly Comp'!C82:C93)</f>
        <v>#REF!</v>
      </c>
      <c r="D13" s="737" t="e">
        <f>AVERAGE('Monthly Comp'!D82:D93)</f>
        <v>#REF!</v>
      </c>
      <c r="E13" s="737" t="e">
        <f t="shared" si="1"/>
        <v>#REF!</v>
      </c>
      <c r="F13" s="737" t="e">
        <f>AVERAGE('Monthly Comp'!F82:F93)</f>
        <v>#REF!</v>
      </c>
      <c r="G13" s="737" t="e">
        <f>AVERAGE('Monthly Comp'!G82:G93)</f>
        <v>#REF!</v>
      </c>
      <c r="H13" s="737" t="e">
        <f t="shared" si="2"/>
        <v>#REF!</v>
      </c>
      <c r="I13" s="737" t="e">
        <f>AVERAGE('Monthly Comp'!I82:I93)</f>
        <v>#REF!</v>
      </c>
      <c r="J13" s="737" t="e">
        <f>AVERAGE('Monthly Comp'!J82:J93)</f>
        <v>#REF!</v>
      </c>
    </row>
    <row r="14" spans="1:10">
      <c r="A14">
        <v>2004</v>
      </c>
      <c r="B14" s="737" t="e">
        <f t="shared" si="0"/>
        <v>#REF!</v>
      </c>
      <c r="C14" s="737" t="e">
        <f>AVERAGE('Monthly Comp'!C94:C105)</f>
        <v>#REF!</v>
      </c>
      <c r="D14" s="737" t="e">
        <f>AVERAGE('Monthly Comp'!D94:D105)</f>
        <v>#REF!</v>
      </c>
      <c r="E14" s="737" t="e">
        <f t="shared" si="1"/>
        <v>#REF!</v>
      </c>
      <c r="F14" s="737" t="e">
        <f>AVERAGE('Monthly Comp'!F94:F105)</f>
        <v>#REF!</v>
      </c>
      <c r="G14" s="737" t="e">
        <f>AVERAGE('Monthly Comp'!G94:G105)</f>
        <v>#REF!</v>
      </c>
      <c r="H14" s="737" t="e">
        <f t="shared" si="2"/>
        <v>#REF!</v>
      </c>
      <c r="I14" s="737" t="e">
        <f>AVERAGE('Monthly Comp'!I94:I105)</f>
        <v>#REF!</v>
      </c>
      <c r="J14" s="737" t="e">
        <f>AVERAGE('Monthly Comp'!J94:J105)</f>
        <v>#REF!</v>
      </c>
    </row>
    <row r="15" spans="1:10">
      <c r="A15">
        <v>2005</v>
      </c>
      <c r="B15" s="737" t="e">
        <f>SUM(C15,H15)</f>
        <v>#REF!</v>
      </c>
      <c r="C15" s="737" t="e">
        <f>AVERAGE('Monthly Comp'!C106:C117)</f>
        <v>#REF!</v>
      </c>
      <c r="D15" s="737" t="e">
        <f>AVERAGE('Monthly Comp'!D106:D117)</f>
        <v>#REF!</v>
      </c>
      <c r="E15" s="737" t="e">
        <f>SUM(F15:G15)</f>
        <v>#REF!</v>
      </c>
      <c r="F15" s="737" t="e">
        <f>AVERAGE('Monthly Comp'!F106:F117)</f>
        <v>#REF!</v>
      </c>
      <c r="G15" s="737" t="e">
        <f>AVERAGE('Monthly Comp'!G106:G117)</f>
        <v>#REF!</v>
      </c>
      <c r="H15" s="737" t="e">
        <f>SUM(I15:J15)</f>
        <v>#REF!</v>
      </c>
      <c r="I15" s="737" t="e">
        <f>AVERAGE('Monthly Comp'!I106:I117)</f>
        <v>#REF!</v>
      </c>
      <c r="J15" s="737" t="e">
        <f>AVERAGE('Monthly Comp'!J106:J117)</f>
        <v>#REF!</v>
      </c>
    </row>
    <row r="18" spans="1:10">
      <c r="A18">
        <v>1999</v>
      </c>
      <c r="B18" s="737" t="e">
        <f>((B9/B8)-1)*100</f>
        <v>#REF!</v>
      </c>
      <c r="C18" s="737" t="e">
        <f t="shared" ref="C18:J18" si="3">((C9/C8)-1)*100</f>
        <v>#REF!</v>
      </c>
      <c r="D18" s="737" t="e">
        <f t="shared" si="3"/>
        <v>#REF!</v>
      </c>
      <c r="E18" s="737" t="e">
        <f t="shared" si="3"/>
        <v>#REF!</v>
      </c>
      <c r="F18" s="737" t="e">
        <f t="shared" si="3"/>
        <v>#REF!</v>
      </c>
      <c r="G18" s="737" t="e">
        <f t="shared" si="3"/>
        <v>#REF!</v>
      </c>
      <c r="H18" s="737" t="e">
        <f t="shared" si="3"/>
        <v>#REF!</v>
      </c>
      <c r="I18" s="737" t="e">
        <f t="shared" si="3"/>
        <v>#REF!</v>
      </c>
      <c r="J18" s="737" t="e">
        <f t="shared" si="3"/>
        <v>#REF!</v>
      </c>
    </row>
    <row r="19" spans="1:10">
      <c r="A19">
        <v>2000</v>
      </c>
      <c r="B19" s="737" t="e">
        <f>((B10/B9)-1)*100</f>
        <v>#REF!</v>
      </c>
      <c r="C19" s="737" t="e">
        <f t="shared" ref="C19:J22" si="4">((C10/C9)-1)*100</f>
        <v>#REF!</v>
      </c>
      <c r="D19" s="737" t="e">
        <f t="shared" si="4"/>
        <v>#REF!</v>
      </c>
      <c r="E19" s="737" t="e">
        <f t="shared" si="4"/>
        <v>#REF!</v>
      </c>
      <c r="F19" s="737" t="e">
        <f t="shared" si="4"/>
        <v>#REF!</v>
      </c>
      <c r="G19" s="737" t="e">
        <f t="shared" si="4"/>
        <v>#REF!</v>
      </c>
      <c r="H19" s="737" t="e">
        <f t="shared" si="4"/>
        <v>#REF!</v>
      </c>
      <c r="I19" s="737" t="e">
        <f t="shared" si="4"/>
        <v>#REF!</v>
      </c>
      <c r="J19" s="737" t="e">
        <f t="shared" si="4"/>
        <v>#REF!</v>
      </c>
    </row>
    <row r="20" spans="1:10">
      <c r="A20">
        <v>2001</v>
      </c>
      <c r="B20" s="737" t="e">
        <f>((B11/B10)-1)*100</f>
        <v>#REF!</v>
      </c>
      <c r="C20" s="737" t="e">
        <f t="shared" si="4"/>
        <v>#REF!</v>
      </c>
      <c r="D20" s="737" t="e">
        <f t="shared" si="4"/>
        <v>#REF!</v>
      </c>
      <c r="E20" s="737" t="e">
        <f t="shared" si="4"/>
        <v>#REF!</v>
      </c>
      <c r="F20" s="737" t="e">
        <f t="shared" si="4"/>
        <v>#REF!</v>
      </c>
      <c r="G20" s="737" t="e">
        <f t="shared" si="4"/>
        <v>#REF!</v>
      </c>
      <c r="H20" s="737" t="e">
        <f t="shared" si="4"/>
        <v>#REF!</v>
      </c>
      <c r="I20" s="737" t="e">
        <f t="shared" si="4"/>
        <v>#REF!</v>
      </c>
      <c r="J20" s="737" t="e">
        <f t="shared" si="4"/>
        <v>#REF!</v>
      </c>
    </row>
    <row r="21" spans="1:10">
      <c r="A21">
        <v>2002</v>
      </c>
      <c r="B21" s="737" t="e">
        <f>((B12/B11)-1)*100</f>
        <v>#REF!</v>
      </c>
      <c r="C21" s="737" t="e">
        <f t="shared" si="4"/>
        <v>#REF!</v>
      </c>
      <c r="D21" s="737" t="e">
        <f t="shared" si="4"/>
        <v>#REF!</v>
      </c>
      <c r="E21" s="737" t="e">
        <f t="shared" si="4"/>
        <v>#REF!</v>
      </c>
      <c r="F21" s="737" t="e">
        <f t="shared" si="4"/>
        <v>#REF!</v>
      </c>
      <c r="G21" s="737" t="e">
        <f t="shared" si="4"/>
        <v>#REF!</v>
      </c>
      <c r="H21" s="737" t="e">
        <f t="shared" si="4"/>
        <v>#REF!</v>
      </c>
      <c r="I21" s="737" t="e">
        <f t="shared" si="4"/>
        <v>#REF!</v>
      </c>
      <c r="J21" s="737" t="e">
        <f t="shared" si="4"/>
        <v>#REF!</v>
      </c>
    </row>
    <row r="22" spans="1:10">
      <c r="A22">
        <v>2003</v>
      </c>
      <c r="B22" s="1173" t="e">
        <f>((B13/B12)-1)*100</f>
        <v>#REF!</v>
      </c>
      <c r="C22" s="737" t="e">
        <f t="shared" si="4"/>
        <v>#REF!</v>
      </c>
      <c r="D22" s="737" t="e">
        <f t="shared" si="4"/>
        <v>#REF!</v>
      </c>
      <c r="E22" s="737" t="e">
        <f t="shared" si="4"/>
        <v>#REF!</v>
      </c>
      <c r="F22" s="737" t="e">
        <f t="shared" si="4"/>
        <v>#REF!</v>
      </c>
      <c r="G22" s="737" t="e">
        <f t="shared" si="4"/>
        <v>#REF!</v>
      </c>
      <c r="H22" s="737" t="e">
        <f t="shared" si="4"/>
        <v>#REF!</v>
      </c>
      <c r="I22" s="737" t="e">
        <f t="shared" si="4"/>
        <v>#REF!</v>
      </c>
      <c r="J22" s="737" t="e">
        <f t="shared" si="4"/>
        <v>#REF!</v>
      </c>
    </row>
    <row r="23" spans="1:10">
      <c r="A23">
        <v>2004</v>
      </c>
      <c r="B23" s="1173" t="e">
        <f t="shared" ref="B23:J23" si="5">((B14/B13)-1)*100</f>
        <v>#REF!</v>
      </c>
      <c r="C23" s="737" t="e">
        <f t="shared" si="5"/>
        <v>#REF!</v>
      </c>
      <c r="D23" s="737" t="e">
        <f t="shared" si="5"/>
        <v>#REF!</v>
      </c>
      <c r="E23" s="737" t="e">
        <f t="shared" si="5"/>
        <v>#REF!</v>
      </c>
      <c r="F23" s="737" t="e">
        <f t="shared" si="5"/>
        <v>#REF!</v>
      </c>
      <c r="G23" s="737" t="e">
        <f t="shared" si="5"/>
        <v>#REF!</v>
      </c>
      <c r="H23" s="737" t="e">
        <f t="shared" si="5"/>
        <v>#REF!</v>
      </c>
      <c r="I23" s="737" t="e">
        <f t="shared" si="5"/>
        <v>#REF!</v>
      </c>
      <c r="J23" s="737" t="e">
        <f t="shared" si="5"/>
        <v>#REF!</v>
      </c>
    </row>
    <row r="24" spans="1:10">
      <c r="A24">
        <v>2005</v>
      </c>
      <c r="B24" s="1173" t="e">
        <f t="shared" ref="B24:J24" si="6">((B15/B14)-1)*100</f>
        <v>#REF!</v>
      </c>
      <c r="C24" s="737" t="e">
        <f t="shared" si="6"/>
        <v>#REF!</v>
      </c>
      <c r="D24" s="737" t="e">
        <f t="shared" si="6"/>
        <v>#REF!</v>
      </c>
      <c r="E24" s="737" t="e">
        <f t="shared" si="6"/>
        <v>#REF!</v>
      </c>
      <c r="F24" s="737" t="e">
        <f t="shared" si="6"/>
        <v>#REF!</v>
      </c>
      <c r="G24" s="737" t="e">
        <f t="shared" si="6"/>
        <v>#REF!</v>
      </c>
      <c r="H24" s="737" t="e">
        <f t="shared" si="6"/>
        <v>#REF!</v>
      </c>
      <c r="I24" s="737" t="e">
        <f t="shared" si="6"/>
        <v>#REF!</v>
      </c>
      <c r="J24" s="737" t="e">
        <f t="shared" si="6"/>
        <v>#REF!</v>
      </c>
    </row>
  </sheetData>
  <mergeCells count="10">
    <mergeCell ref="I4:I6"/>
    <mergeCell ref="J4:J6"/>
    <mergeCell ref="D5:D6"/>
    <mergeCell ref="E5:G5"/>
    <mergeCell ref="A2:A6"/>
    <mergeCell ref="B3:B6"/>
    <mergeCell ref="C3:G3"/>
    <mergeCell ref="C4:C6"/>
    <mergeCell ref="D4:G4"/>
    <mergeCell ref="H4:H6"/>
  </mergeCells>
  <phoneticPr fontId="44" type="noConversion"/>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Sheet17" enableFormatConditionsCalculation="0">
    <tabColor indexed="46"/>
  </sheetPr>
  <dimension ref="A1:O117"/>
  <sheetViews>
    <sheetView topLeftCell="A88" zoomScale="75" workbookViewId="0">
      <selection activeCell="O39" sqref="O39"/>
    </sheetView>
  </sheetViews>
  <sheetFormatPr defaultRowHeight="12.75"/>
  <sheetData>
    <row r="1" spans="1:10">
      <c r="A1" s="744" t="s">
        <v>353</v>
      </c>
      <c r="B1" s="745"/>
      <c r="C1" s="745"/>
      <c r="D1" s="745"/>
      <c r="E1" s="745"/>
      <c r="F1" s="745"/>
      <c r="G1" s="745"/>
      <c r="H1" s="745"/>
      <c r="I1" s="745"/>
      <c r="J1" s="745"/>
    </row>
    <row r="2" spans="1:10">
      <c r="A2" s="746"/>
      <c r="B2" s="747"/>
      <c r="C2" s="747"/>
      <c r="D2" s="747"/>
      <c r="E2" s="747"/>
      <c r="F2" s="747"/>
      <c r="G2" s="747"/>
      <c r="H2" s="747"/>
      <c r="I2" s="747"/>
      <c r="J2" s="747"/>
    </row>
    <row r="3" spans="1:10" ht="12.75" customHeight="1">
      <c r="A3" s="4492" t="s">
        <v>217</v>
      </c>
      <c r="B3" s="4490" t="s">
        <v>220</v>
      </c>
      <c r="C3" s="4490"/>
      <c r="D3" s="4490"/>
      <c r="E3" s="4490"/>
      <c r="F3" s="4490"/>
      <c r="G3" s="4490"/>
      <c r="H3" s="4490"/>
      <c r="I3" s="4490"/>
      <c r="J3" s="4490"/>
    </row>
    <row r="4" spans="1:10" ht="12.75" customHeight="1">
      <c r="A4" s="4492"/>
      <c r="B4" s="4488" t="s">
        <v>152</v>
      </c>
      <c r="C4" s="4488" t="s">
        <v>223</v>
      </c>
      <c r="D4" s="4490" t="s">
        <v>222</v>
      </c>
      <c r="E4" s="4490"/>
      <c r="F4" s="4490"/>
      <c r="G4" s="4490"/>
      <c r="H4" s="4490"/>
      <c r="I4" s="4490"/>
      <c r="J4" s="4490"/>
    </row>
    <row r="5" spans="1:10" ht="12.75" customHeight="1">
      <c r="A5" s="4492"/>
      <c r="B5" s="4491"/>
      <c r="C5" s="4491"/>
      <c r="D5" s="4488" t="s">
        <v>152</v>
      </c>
      <c r="E5" s="4490" t="s">
        <v>224</v>
      </c>
      <c r="F5" s="4490"/>
      <c r="G5" s="4490"/>
      <c r="H5" s="4490"/>
      <c r="I5" s="4490"/>
      <c r="J5" s="4488" t="s">
        <v>410</v>
      </c>
    </row>
    <row r="6" spans="1:10" ht="12.75" customHeight="1">
      <c r="A6" s="4492"/>
      <c r="B6" s="4491"/>
      <c r="C6" s="4491"/>
      <c r="D6" s="4491"/>
      <c r="E6" s="4488" t="s">
        <v>152</v>
      </c>
      <c r="F6" s="4490" t="s">
        <v>225</v>
      </c>
      <c r="G6" s="4490"/>
      <c r="H6" s="4490"/>
      <c r="I6" s="4488" t="s">
        <v>409</v>
      </c>
      <c r="J6" s="4491"/>
    </row>
    <row r="7" spans="1:10" ht="38.25">
      <c r="A7" s="4492"/>
      <c r="B7" s="4489"/>
      <c r="C7" s="4489"/>
      <c r="D7" s="4489"/>
      <c r="E7" s="4489"/>
      <c r="F7" s="748" t="s">
        <v>152</v>
      </c>
      <c r="G7" s="749" t="s">
        <v>256</v>
      </c>
      <c r="H7" s="749" t="s">
        <v>463</v>
      </c>
      <c r="I7" s="4489"/>
      <c r="J7" s="4489"/>
    </row>
    <row r="8" spans="1:10" ht="12.75" customHeight="1">
      <c r="A8" s="750"/>
      <c r="B8" s="4485" t="s">
        <v>153</v>
      </c>
      <c r="C8" s="4486"/>
      <c r="D8" s="4486"/>
      <c r="E8" s="4486"/>
      <c r="F8" s="4486"/>
      <c r="G8" s="4486"/>
      <c r="H8" s="4486"/>
      <c r="I8" s="4486"/>
      <c r="J8" s="4487"/>
    </row>
    <row r="9" spans="1:10">
      <c r="A9" s="732" t="s">
        <v>57</v>
      </c>
    </row>
    <row r="10" spans="1:10">
      <c r="A10" s="561" t="s">
        <v>162</v>
      </c>
      <c r="B10" s="737" t="e">
        <f>SUM('Monetary Survey Counterparts'!#REF!)/2</f>
        <v>#REF!</v>
      </c>
      <c r="C10" s="737" t="e">
        <f>SUM('Monetary Survey Counterparts'!#REF!)/2</f>
        <v>#REF!</v>
      </c>
      <c r="D10" s="737" t="e">
        <f>SUM('Monetary Survey Counterparts'!#REF!)/2</f>
        <v>#REF!</v>
      </c>
      <c r="E10" s="737" t="e">
        <f>SUM('Monetary Survey Counterparts'!#REF!)/2</f>
        <v>#REF!</v>
      </c>
      <c r="F10" s="737" t="e">
        <f>SUM('Monetary Survey Counterparts'!#REF!)/2</f>
        <v>#REF!</v>
      </c>
      <c r="G10" s="737" t="e">
        <f>SUM('Monetary Survey Counterparts'!#REF!)/2</f>
        <v>#REF!</v>
      </c>
      <c r="H10" s="737" t="e">
        <f>SUM('Monetary Survey Counterparts'!#REF!)/2</f>
        <v>#REF!</v>
      </c>
      <c r="I10" s="737" t="e">
        <f>SUM('Monetary Survey Counterparts'!#REF!)/2</f>
        <v>#REF!</v>
      </c>
      <c r="J10" s="737" t="e">
        <f>SUM('Monetary Survey Counterparts'!#REF!)/2</f>
        <v>#REF!</v>
      </c>
    </row>
    <row r="11" spans="1:10">
      <c r="A11" s="561" t="s">
        <v>163</v>
      </c>
      <c r="B11" s="737" t="e">
        <f>SUM('Monetary Survey Counterparts'!#REF!)/2</f>
        <v>#REF!</v>
      </c>
      <c r="C11" s="737" t="e">
        <f>SUM('Monetary Survey Counterparts'!#REF!)/2</f>
        <v>#REF!</v>
      </c>
      <c r="D11" s="737" t="e">
        <f>SUM('Monetary Survey Counterparts'!#REF!)/2</f>
        <v>#REF!</v>
      </c>
      <c r="E11" s="737" t="e">
        <f>SUM('Monetary Survey Counterparts'!#REF!)/2</f>
        <v>#REF!</v>
      </c>
      <c r="F11" s="737" t="e">
        <f>SUM('Monetary Survey Counterparts'!#REF!)/2</f>
        <v>#REF!</v>
      </c>
      <c r="G11" s="737" t="e">
        <f>SUM('Monetary Survey Counterparts'!#REF!)/2</f>
        <v>#REF!</v>
      </c>
      <c r="H11" s="737" t="e">
        <f>SUM('Monetary Survey Counterparts'!#REF!)/2</f>
        <v>#REF!</v>
      </c>
      <c r="I11" s="737" t="e">
        <f>SUM('Monetary Survey Counterparts'!#REF!)/2</f>
        <v>#REF!</v>
      </c>
      <c r="J11" s="737" t="e">
        <f>SUM('Monetary Survey Counterparts'!#REF!)/2</f>
        <v>#REF!</v>
      </c>
    </row>
    <row r="12" spans="1:10">
      <c r="A12" s="561" t="s">
        <v>164</v>
      </c>
      <c r="B12" s="737" t="e">
        <f>SUM('Monetary Survey Counterparts'!#REF!)/2</f>
        <v>#REF!</v>
      </c>
      <c r="C12" s="737" t="e">
        <f>SUM('Monetary Survey Counterparts'!#REF!)/2</f>
        <v>#REF!</v>
      </c>
      <c r="D12" s="737" t="e">
        <f>SUM('Monetary Survey Counterparts'!#REF!)/2</f>
        <v>#REF!</v>
      </c>
      <c r="E12" s="737" t="e">
        <f>SUM('Monetary Survey Counterparts'!#REF!)/2</f>
        <v>#REF!</v>
      </c>
      <c r="F12" s="737" t="e">
        <f>SUM('Monetary Survey Counterparts'!#REF!)/2</f>
        <v>#REF!</v>
      </c>
      <c r="G12" s="737" t="e">
        <f>SUM('Monetary Survey Counterparts'!#REF!)/2</f>
        <v>#REF!</v>
      </c>
      <c r="H12" s="737" t="e">
        <f>SUM('Monetary Survey Counterparts'!#REF!)/2</f>
        <v>#REF!</v>
      </c>
      <c r="I12" s="737" t="e">
        <f>SUM('Monetary Survey Counterparts'!#REF!)/2</f>
        <v>#REF!</v>
      </c>
      <c r="J12" s="737" t="e">
        <f>SUM('Monetary Survey Counterparts'!#REF!)/2</f>
        <v>#REF!</v>
      </c>
    </row>
    <row r="13" spans="1:10">
      <c r="A13" s="561" t="s">
        <v>165</v>
      </c>
      <c r="B13" s="737" t="e">
        <f>SUM('Monetary Survey Counterparts'!#REF!)/2</f>
        <v>#REF!</v>
      </c>
      <c r="C13" s="737" t="e">
        <f>SUM('Monetary Survey Counterparts'!#REF!)/2</f>
        <v>#REF!</v>
      </c>
      <c r="D13" s="737" t="e">
        <f>SUM('Monetary Survey Counterparts'!#REF!)/2</f>
        <v>#REF!</v>
      </c>
      <c r="E13" s="737" t="e">
        <f>SUM('Monetary Survey Counterparts'!#REF!)/2</f>
        <v>#REF!</v>
      </c>
      <c r="F13" s="737" t="e">
        <f>SUM('Monetary Survey Counterparts'!#REF!)/2</f>
        <v>#REF!</v>
      </c>
      <c r="G13" s="737" t="e">
        <f>SUM('Monetary Survey Counterparts'!#REF!)/2</f>
        <v>#REF!</v>
      </c>
      <c r="H13" s="737" t="e">
        <f>SUM('Monetary Survey Counterparts'!#REF!)/2</f>
        <v>#REF!</v>
      </c>
      <c r="I13" s="737" t="e">
        <f>SUM('Monetary Survey Counterparts'!#REF!)/2</f>
        <v>#REF!</v>
      </c>
      <c r="J13" s="737" t="e">
        <f>SUM('Monetary Survey Counterparts'!#REF!)/2</f>
        <v>#REF!</v>
      </c>
    </row>
    <row r="14" spans="1:10">
      <c r="A14" s="561" t="s">
        <v>166</v>
      </c>
      <c r="B14" s="737" t="e">
        <f>SUM('Monetary Survey Counterparts'!#REF!)/2</f>
        <v>#REF!</v>
      </c>
      <c r="C14" s="737" t="e">
        <f>SUM('Monetary Survey Counterparts'!#REF!)/2</f>
        <v>#REF!</v>
      </c>
      <c r="D14" s="737" t="e">
        <f>SUM('Monetary Survey Counterparts'!#REF!)/2</f>
        <v>#REF!</v>
      </c>
      <c r="E14" s="737" t="e">
        <f>SUM('Monetary Survey Counterparts'!#REF!)/2</f>
        <v>#REF!</v>
      </c>
      <c r="F14" s="737" t="e">
        <f>SUM('Monetary Survey Counterparts'!#REF!)/2</f>
        <v>#REF!</v>
      </c>
      <c r="G14" s="737" t="e">
        <f>SUM('Monetary Survey Counterparts'!#REF!)/2</f>
        <v>#REF!</v>
      </c>
      <c r="H14" s="737" t="e">
        <f>SUM('Monetary Survey Counterparts'!#REF!)/2</f>
        <v>#REF!</v>
      </c>
      <c r="I14" s="737" t="e">
        <f>SUM('Monetary Survey Counterparts'!#REF!)/2</f>
        <v>#REF!</v>
      </c>
      <c r="J14" s="737" t="e">
        <f>SUM('Monetary Survey Counterparts'!#REF!)/2</f>
        <v>#REF!</v>
      </c>
    </row>
    <row r="15" spans="1:10">
      <c r="A15" s="561" t="s">
        <v>167</v>
      </c>
      <c r="B15" s="737" t="e">
        <f>SUM('Monetary Survey Counterparts'!#REF!)/2</f>
        <v>#REF!</v>
      </c>
      <c r="C15" s="737" t="e">
        <f>SUM('Monetary Survey Counterparts'!#REF!)/2</f>
        <v>#REF!</v>
      </c>
      <c r="D15" s="737" t="e">
        <f>SUM('Monetary Survey Counterparts'!#REF!)/2</f>
        <v>#REF!</v>
      </c>
      <c r="E15" s="737" t="e">
        <f>SUM('Monetary Survey Counterparts'!#REF!)/2</f>
        <v>#REF!</v>
      </c>
      <c r="F15" s="737" t="e">
        <f>SUM('Monetary Survey Counterparts'!#REF!)/2</f>
        <v>#REF!</v>
      </c>
      <c r="G15" s="737" t="e">
        <f>SUM('Monetary Survey Counterparts'!#REF!)/2</f>
        <v>#REF!</v>
      </c>
      <c r="H15" s="737" t="e">
        <f>SUM('Monetary Survey Counterparts'!#REF!)/2</f>
        <v>#REF!</v>
      </c>
      <c r="I15" s="737" t="e">
        <f>SUM('Monetary Survey Counterparts'!#REF!)/2</f>
        <v>#REF!</v>
      </c>
      <c r="J15" s="737" t="e">
        <f>SUM('Monetary Survey Counterparts'!#REF!)/2</f>
        <v>#REF!</v>
      </c>
    </row>
    <row r="16" spans="1:10">
      <c r="A16" s="561" t="s">
        <v>168</v>
      </c>
      <c r="B16" s="737" t="e">
        <f>SUM('Monetary Survey Counterparts'!#REF!)/2</f>
        <v>#REF!</v>
      </c>
      <c r="C16" s="737" t="e">
        <f>SUM('Monetary Survey Counterparts'!#REF!)/2</f>
        <v>#REF!</v>
      </c>
      <c r="D16" s="737" t="e">
        <f>SUM('Monetary Survey Counterparts'!#REF!)/2</f>
        <v>#REF!</v>
      </c>
      <c r="E16" s="737" t="e">
        <f>SUM('Monetary Survey Counterparts'!#REF!)/2</f>
        <v>#REF!</v>
      </c>
      <c r="F16" s="737" t="e">
        <f>SUM('Monetary Survey Counterparts'!#REF!)/2</f>
        <v>#REF!</v>
      </c>
      <c r="G16" s="737" t="e">
        <f>SUM('Monetary Survey Counterparts'!#REF!)/2</f>
        <v>#REF!</v>
      </c>
      <c r="H16" s="737" t="e">
        <f>SUM('Monetary Survey Counterparts'!#REF!)/2</f>
        <v>#REF!</v>
      </c>
      <c r="I16" s="737" t="e">
        <f>SUM('Monetary Survey Counterparts'!#REF!)/2</f>
        <v>#REF!</v>
      </c>
      <c r="J16" s="737" t="e">
        <f>SUM('Monetary Survey Counterparts'!#REF!)/2</f>
        <v>#REF!</v>
      </c>
    </row>
    <row r="17" spans="1:10">
      <c r="A17" s="561" t="s">
        <v>169</v>
      </c>
      <c r="B17" s="737" t="e">
        <f>SUM('Monetary Survey Counterparts'!#REF!)/2</f>
        <v>#REF!</v>
      </c>
      <c r="C17" s="737" t="e">
        <f>SUM('Monetary Survey Counterparts'!#REF!)/2</f>
        <v>#REF!</v>
      </c>
      <c r="D17" s="737" t="e">
        <f>SUM('Monetary Survey Counterparts'!#REF!)/2</f>
        <v>#REF!</v>
      </c>
      <c r="E17" s="737" t="e">
        <f>SUM('Monetary Survey Counterparts'!#REF!)/2</f>
        <v>#REF!</v>
      </c>
      <c r="F17" s="737" t="e">
        <f>SUM('Monetary Survey Counterparts'!#REF!)/2</f>
        <v>#REF!</v>
      </c>
      <c r="G17" s="737" t="e">
        <f>SUM('Monetary Survey Counterparts'!#REF!)/2</f>
        <v>#REF!</v>
      </c>
      <c r="H17" s="737" t="e">
        <f>SUM('Monetary Survey Counterparts'!#REF!)/2</f>
        <v>#REF!</v>
      </c>
      <c r="I17" s="737" t="e">
        <f>SUM('Monetary Survey Counterparts'!#REF!)/2</f>
        <v>#REF!</v>
      </c>
      <c r="J17" s="737" t="e">
        <f>SUM('Monetary Survey Counterparts'!#REF!)/2</f>
        <v>#REF!</v>
      </c>
    </row>
    <row r="18" spans="1:10">
      <c r="A18" s="561" t="s">
        <v>170</v>
      </c>
      <c r="B18" s="737" t="e">
        <f>SUM('Monetary Survey Counterparts'!#REF!)/2</f>
        <v>#REF!</v>
      </c>
      <c r="C18" s="737" t="e">
        <f>SUM('Monetary Survey Counterparts'!#REF!)/2</f>
        <v>#REF!</v>
      </c>
      <c r="D18" s="737" t="e">
        <f>SUM('Monetary Survey Counterparts'!#REF!)/2</f>
        <v>#REF!</v>
      </c>
      <c r="E18" s="737" t="e">
        <f>SUM('Monetary Survey Counterparts'!#REF!)/2</f>
        <v>#REF!</v>
      </c>
      <c r="F18" s="737" t="e">
        <f>SUM('Monetary Survey Counterparts'!#REF!)/2</f>
        <v>#REF!</v>
      </c>
      <c r="G18" s="737" t="e">
        <f>SUM('Monetary Survey Counterparts'!#REF!)/2</f>
        <v>#REF!</v>
      </c>
      <c r="H18" s="737" t="e">
        <f>SUM('Monetary Survey Counterparts'!#REF!)/2</f>
        <v>#REF!</v>
      </c>
      <c r="I18" s="737" t="e">
        <f>SUM('Monetary Survey Counterparts'!#REF!)/2</f>
        <v>#REF!</v>
      </c>
      <c r="J18" s="737" t="e">
        <f>SUM('Monetary Survey Counterparts'!#REF!)/2</f>
        <v>#REF!</v>
      </c>
    </row>
    <row r="19" spans="1:10">
      <c r="A19" s="561" t="s">
        <v>171</v>
      </c>
      <c r="B19" s="737" t="e">
        <f>SUM('Monetary Survey Counterparts'!#REF!)/2</f>
        <v>#REF!</v>
      </c>
      <c r="C19" s="737" t="e">
        <f>SUM('Monetary Survey Counterparts'!#REF!)/2</f>
        <v>#REF!</v>
      </c>
      <c r="D19" s="737" t="e">
        <f>SUM('Monetary Survey Counterparts'!#REF!)/2</f>
        <v>#REF!</v>
      </c>
      <c r="E19" s="737" t="e">
        <f>SUM('Monetary Survey Counterparts'!#REF!)/2</f>
        <v>#REF!</v>
      </c>
      <c r="F19" s="737" t="e">
        <f>SUM('Monetary Survey Counterparts'!#REF!)/2</f>
        <v>#REF!</v>
      </c>
      <c r="G19" s="737" t="e">
        <f>SUM('Monetary Survey Counterparts'!#REF!)/2</f>
        <v>#REF!</v>
      </c>
      <c r="H19" s="737" t="e">
        <f>SUM('Monetary Survey Counterparts'!#REF!)/2</f>
        <v>#REF!</v>
      </c>
      <c r="I19" s="737" t="e">
        <f>SUM('Monetary Survey Counterparts'!#REF!)/2</f>
        <v>#REF!</v>
      </c>
      <c r="J19" s="737" t="e">
        <f>SUM('Monetary Survey Counterparts'!#REF!)/2</f>
        <v>#REF!</v>
      </c>
    </row>
    <row r="20" spans="1:10">
      <c r="A20" s="561" t="s">
        <v>148</v>
      </c>
      <c r="B20" s="737" t="e">
        <f>SUM('Monetary Survey Counterparts'!#REF!)/2</f>
        <v>#REF!</v>
      </c>
      <c r="C20" s="737" t="e">
        <f>SUM('Monetary Survey Counterparts'!#REF!)/2</f>
        <v>#REF!</v>
      </c>
      <c r="D20" s="737" t="e">
        <f>SUM('Monetary Survey Counterparts'!#REF!)/2</f>
        <v>#REF!</v>
      </c>
      <c r="E20" s="737" t="e">
        <f>SUM('Monetary Survey Counterparts'!#REF!)/2</f>
        <v>#REF!</v>
      </c>
      <c r="F20" s="737" t="e">
        <f>SUM('Monetary Survey Counterparts'!#REF!)/2</f>
        <v>#REF!</v>
      </c>
      <c r="G20" s="737" t="e">
        <f>SUM('Monetary Survey Counterparts'!#REF!)/2</f>
        <v>#REF!</v>
      </c>
      <c r="H20" s="737" t="e">
        <f>SUM('Monetary Survey Counterparts'!#REF!)/2</f>
        <v>#REF!</v>
      </c>
      <c r="I20" s="737" t="e">
        <f>SUM('Monetary Survey Counterparts'!#REF!)/2</f>
        <v>#REF!</v>
      </c>
      <c r="J20" s="737" t="e">
        <f>SUM('Monetary Survey Counterparts'!#REF!)/2</f>
        <v>#REF!</v>
      </c>
    </row>
    <row r="21" spans="1:10">
      <c r="A21" s="732" t="s">
        <v>1248</v>
      </c>
      <c r="B21" s="737" t="e">
        <f>SUM('Monetary Survey Counterparts'!#REF!,'Monetary Survey Counterparts'!#REF!)/2</f>
        <v>#REF!</v>
      </c>
      <c r="C21" s="737" t="e">
        <f>SUM('Monetary Survey Counterparts'!#REF!,'Monetary Survey Counterparts'!#REF!)/2</f>
        <v>#REF!</v>
      </c>
      <c r="D21" s="737" t="e">
        <f>SUM('Monetary Survey Counterparts'!#REF!,'Monetary Survey Counterparts'!#REF!)/2</f>
        <v>#REF!</v>
      </c>
      <c r="E21" s="737" t="e">
        <f>SUM('Monetary Survey Counterparts'!#REF!,'Monetary Survey Counterparts'!#REF!)/2</f>
        <v>#REF!</v>
      </c>
      <c r="F21" s="737" t="e">
        <f>SUM('Monetary Survey Counterparts'!#REF!,'Monetary Survey Counterparts'!#REF!)/2</f>
        <v>#REF!</v>
      </c>
      <c r="G21" s="737" t="e">
        <f>SUM('Monetary Survey Counterparts'!#REF!,'Monetary Survey Counterparts'!#REF!)/2</f>
        <v>#REF!</v>
      </c>
      <c r="H21" s="737" t="e">
        <f>SUM('Monetary Survey Counterparts'!#REF!,'Monetary Survey Counterparts'!#REF!)/2</f>
        <v>#REF!</v>
      </c>
      <c r="I21" s="737" t="e">
        <f>SUM('Monetary Survey Counterparts'!#REF!,'Monetary Survey Counterparts'!#REF!)/2</f>
        <v>#REF!</v>
      </c>
      <c r="J21" s="737" t="e">
        <f>SUM('Monetary Survey Counterparts'!#REF!,'Monetary Survey Counterparts'!#REF!)/2</f>
        <v>#REF!</v>
      </c>
    </row>
    <row r="22" spans="1:10">
      <c r="A22" s="561" t="s">
        <v>162</v>
      </c>
      <c r="B22" s="737" t="e">
        <f>SUM('Monetary Survey Counterparts'!#REF!)/2</f>
        <v>#REF!</v>
      </c>
      <c r="C22" s="737" t="e">
        <f>SUM('Monetary Survey Counterparts'!#REF!)/2</f>
        <v>#REF!</v>
      </c>
      <c r="D22" s="737" t="e">
        <f>SUM('Monetary Survey Counterparts'!#REF!)/2</f>
        <v>#REF!</v>
      </c>
      <c r="E22" s="737" t="e">
        <f>SUM('Monetary Survey Counterparts'!#REF!)/2</f>
        <v>#REF!</v>
      </c>
      <c r="F22" s="737" t="e">
        <f>SUM('Monetary Survey Counterparts'!#REF!)/2</f>
        <v>#REF!</v>
      </c>
      <c r="G22" s="737" t="e">
        <f>SUM('Monetary Survey Counterparts'!#REF!)/2</f>
        <v>#REF!</v>
      </c>
      <c r="H22" s="737" t="e">
        <f>SUM('Monetary Survey Counterparts'!#REF!)/2</f>
        <v>#REF!</v>
      </c>
      <c r="I22" s="737" t="e">
        <f>SUM('Monetary Survey Counterparts'!#REF!)/2</f>
        <v>#REF!</v>
      </c>
      <c r="J22" s="737" t="e">
        <f>SUM('Monetary Survey Counterparts'!#REF!)/2</f>
        <v>#REF!</v>
      </c>
    </row>
    <row r="23" spans="1:10">
      <c r="A23" s="561" t="s">
        <v>163</v>
      </c>
      <c r="B23" s="737" t="e">
        <f>SUM('Monetary Survey Counterparts'!#REF!)/2</f>
        <v>#REF!</v>
      </c>
      <c r="C23" s="737" t="e">
        <f>SUM('Monetary Survey Counterparts'!#REF!)/2</f>
        <v>#REF!</v>
      </c>
      <c r="D23" s="737" t="e">
        <f>SUM('Monetary Survey Counterparts'!#REF!)/2</f>
        <v>#REF!</v>
      </c>
      <c r="E23" s="737" t="e">
        <f>SUM('Monetary Survey Counterparts'!#REF!)/2</f>
        <v>#REF!</v>
      </c>
      <c r="F23" s="737" t="e">
        <f>SUM('Monetary Survey Counterparts'!#REF!)/2</f>
        <v>#REF!</v>
      </c>
      <c r="G23" s="737" t="e">
        <f>SUM('Monetary Survey Counterparts'!#REF!)/2</f>
        <v>#REF!</v>
      </c>
      <c r="H23" s="737" t="e">
        <f>SUM('Monetary Survey Counterparts'!#REF!)/2</f>
        <v>#REF!</v>
      </c>
      <c r="I23" s="737" t="e">
        <f>SUM('Monetary Survey Counterparts'!#REF!)/2</f>
        <v>#REF!</v>
      </c>
      <c r="J23" s="737" t="e">
        <f>SUM('Monetary Survey Counterparts'!#REF!)/2</f>
        <v>#REF!</v>
      </c>
    </row>
    <row r="24" spans="1:10">
      <c r="A24" s="561" t="s">
        <v>164</v>
      </c>
      <c r="B24" s="737" t="e">
        <f>SUM('Monetary Survey Counterparts'!#REF!)/2</f>
        <v>#REF!</v>
      </c>
      <c r="C24" s="737" t="e">
        <f>SUM('Monetary Survey Counterparts'!#REF!)/2</f>
        <v>#REF!</v>
      </c>
      <c r="D24" s="737" t="e">
        <f>SUM('Monetary Survey Counterparts'!#REF!)/2</f>
        <v>#REF!</v>
      </c>
      <c r="E24" s="737" t="e">
        <f>SUM('Monetary Survey Counterparts'!#REF!)/2</f>
        <v>#REF!</v>
      </c>
      <c r="F24" s="737" t="e">
        <f>SUM('Monetary Survey Counterparts'!#REF!)/2</f>
        <v>#REF!</v>
      </c>
      <c r="G24" s="737" t="e">
        <f>SUM('Monetary Survey Counterparts'!#REF!)/2</f>
        <v>#REF!</v>
      </c>
      <c r="H24" s="737" t="e">
        <f>SUM('Monetary Survey Counterparts'!#REF!)/2</f>
        <v>#REF!</v>
      </c>
      <c r="I24" s="737" t="e">
        <f>SUM('Monetary Survey Counterparts'!#REF!)/2</f>
        <v>#REF!</v>
      </c>
      <c r="J24" s="737" t="e">
        <f>SUM('Monetary Survey Counterparts'!#REF!)/2</f>
        <v>#REF!</v>
      </c>
    </row>
    <row r="25" spans="1:10">
      <c r="A25" s="561" t="s">
        <v>165</v>
      </c>
      <c r="B25" s="737" t="e">
        <f>SUM('Monetary Survey Counterparts'!#REF!)/2</f>
        <v>#REF!</v>
      </c>
      <c r="C25" s="737" t="e">
        <f>SUM('Monetary Survey Counterparts'!#REF!)/2</f>
        <v>#REF!</v>
      </c>
      <c r="D25" s="737" t="e">
        <f>SUM('Monetary Survey Counterparts'!#REF!)/2</f>
        <v>#REF!</v>
      </c>
      <c r="E25" s="737" t="e">
        <f>SUM('Monetary Survey Counterparts'!#REF!)/2</f>
        <v>#REF!</v>
      </c>
      <c r="F25" s="737" t="e">
        <f>SUM('Monetary Survey Counterparts'!#REF!)/2</f>
        <v>#REF!</v>
      </c>
      <c r="G25" s="737" t="e">
        <f>SUM('Monetary Survey Counterparts'!#REF!)/2</f>
        <v>#REF!</v>
      </c>
      <c r="H25" s="737" t="e">
        <f>SUM('Monetary Survey Counterparts'!#REF!)/2</f>
        <v>#REF!</v>
      </c>
      <c r="I25" s="737" t="e">
        <f>SUM('Monetary Survey Counterparts'!#REF!)/2</f>
        <v>#REF!</v>
      </c>
      <c r="J25" s="737" t="e">
        <f>SUM('Monetary Survey Counterparts'!#REF!)/2</f>
        <v>#REF!</v>
      </c>
    </row>
    <row r="26" spans="1:10">
      <c r="A26" s="561" t="s">
        <v>166</v>
      </c>
      <c r="B26" s="737" t="e">
        <f>SUM('Monetary Survey Counterparts'!#REF!)/2</f>
        <v>#REF!</v>
      </c>
      <c r="C26" s="737" t="e">
        <f>SUM('Monetary Survey Counterparts'!#REF!)/2</f>
        <v>#REF!</v>
      </c>
      <c r="D26" s="737" t="e">
        <f>SUM('Monetary Survey Counterparts'!#REF!)/2</f>
        <v>#REF!</v>
      </c>
      <c r="E26" s="737" t="e">
        <f>SUM('Monetary Survey Counterparts'!#REF!)/2</f>
        <v>#REF!</v>
      </c>
      <c r="F26" s="737" t="e">
        <f>SUM('Monetary Survey Counterparts'!#REF!)/2</f>
        <v>#REF!</v>
      </c>
      <c r="G26" s="737" t="e">
        <f>SUM('Monetary Survey Counterparts'!#REF!)/2</f>
        <v>#REF!</v>
      </c>
      <c r="H26" s="737" t="e">
        <f>SUM('Monetary Survey Counterparts'!#REF!)/2</f>
        <v>#REF!</v>
      </c>
      <c r="I26" s="737" t="e">
        <f>SUM('Monetary Survey Counterparts'!#REF!)/2</f>
        <v>#REF!</v>
      </c>
      <c r="J26" s="737" t="e">
        <f>SUM('Monetary Survey Counterparts'!#REF!)/2</f>
        <v>#REF!</v>
      </c>
    </row>
    <row r="27" spans="1:10">
      <c r="A27" s="561" t="s">
        <v>167</v>
      </c>
      <c r="B27" s="737" t="e">
        <f>SUM('Monetary Survey Counterparts'!#REF!)/2</f>
        <v>#REF!</v>
      </c>
      <c r="C27" s="737" t="e">
        <f>SUM('Monetary Survey Counterparts'!#REF!)/2</f>
        <v>#REF!</v>
      </c>
      <c r="D27" s="737" t="e">
        <f>SUM('Monetary Survey Counterparts'!#REF!)/2</f>
        <v>#REF!</v>
      </c>
      <c r="E27" s="737" t="e">
        <f>SUM('Monetary Survey Counterparts'!#REF!)/2</f>
        <v>#REF!</v>
      </c>
      <c r="F27" s="737" t="e">
        <f>SUM('Monetary Survey Counterparts'!#REF!)/2</f>
        <v>#REF!</v>
      </c>
      <c r="G27" s="737" t="e">
        <f>SUM('Monetary Survey Counterparts'!#REF!)/2</f>
        <v>#REF!</v>
      </c>
      <c r="H27" s="737" t="e">
        <f>SUM('Monetary Survey Counterparts'!#REF!)/2</f>
        <v>#REF!</v>
      </c>
      <c r="I27" s="737" t="e">
        <f>SUM('Monetary Survey Counterparts'!#REF!)/2</f>
        <v>#REF!</v>
      </c>
      <c r="J27" s="737" t="e">
        <f>SUM('Monetary Survey Counterparts'!#REF!)/2</f>
        <v>#REF!</v>
      </c>
    </row>
    <row r="28" spans="1:10">
      <c r="A28" s="561" t="s">
        <v>168</v>
      </c>
      <c r="B28" s="737" t="e">
        <f>SUM('Monetary Survey Counterparts'!#REF!)/2</f>
        <v>#REF!</v>
      </c>
      <c r="C28" s="737" t="e">
        <f>SUM('Monetary Survey Counterparts'!#REF!)/2</f>
        <v>#REF!</v>
      </c>
      <c r="D28" s="737" t="e">
        <f>SUM('Monetary Survey Counterparts'!#REF!)/2</f>
        <v>#REF!</v>
      </c>
      <c r="E28" s="737" t="e">
        <f>SUM('Monetary Survey Counterparts'!#REF!)/2</f>
        <v>#REF!</v>
      </c>
      <c r="F28" s="737" t="e">
        <f>SUM('Monetary Survey Counterparts'!#REF!)/2</f>
        <v>#REF!</v>
      </c>
      <c r="G28" s="737" t="e">
        <f>SUM('Monetary Survey Counterparts'!#REF!)/2</f>
        <v>#REF!</v>
      </c>
      <c r="H28" s="737" t="e">
        <f>SUM('Monetary Survey Counterparts'!#REF!)/2</f>
        <v>#REF!</v>
      </c>
      <c r="I28" s="737" t="e">
        <f>SUM('Monetary Survey Counterparts'!#REF!)/2</f>
        <v>#REF!</v>
      </c>
      <c r="J28" s="737" t="e">
        <f>SUM('Monetary Survey Counterparts'!#REF!)/2</f>
        <v>#REF!</v>
      </c>
    </row>
    <row r="29" spans="1:10">
      <c r="A29" s="561" t="s">
        <v>169</v>
      </c>
      <c r="B29" s="737" t="e">
        <f>SUM('Monetary Survey Counterparts'!#REF!)/2</f>
        <v>#REF!</v>
      </c>
      <c r="C29" s="737" t="e">
        <f>SUM('Monetary Survey Counterparts'!#REF!)/2</f>
        <v>#REF!</v>
      </c>
      <c r="D29" s="737" t="e">
        <f>SUM('Monetary Survey Counterparts'!#REF!)/2</f>
        <v>#REF!</v>
      </c>
      <c r="E29" s="737" t="e">
        <f>SUM('Monetary Survey Counterparts'!#REF!)/2</f>
        <v>#REF!</v>
      </c>
      <c r="F29" s="737" t="e">
        <f>SUM('Monetary Survey Counterparts'!#REF!)/2</f>
        <v>#REF!</v>
      </c>
      <c r="G29" s="737" t="e">
        <f>SUM('Monetary Survey Counterparts'!#REF!)/2</f>
        <v>#REF!</v>
      </c>
      <c r="H29" s="737" t="e">
        <f>SUM('Monetary Survey Counterparts'!#REF!)/2</f>
        <v>#REF!</v>
      </c>
      <c r="I29" s="737" t="e">
        <f>SUM('Monetary Survey Counterparts'!#REF!)/2</f>
        <v>#REF!</v>
      </c>
      <c r="J29" s="737" t="e">
        <f>SUM('Monetary Survey Counterparts'!#REF!)/2</f>
        <v>#REF!</v>
      </c>
    </row>
    <row r="30" spans="1:10">
      <c r="A30" s="561" t="s">
        <v>170</v>
      </c>
      <c r="B30" s="737" t="e">
        <f>SUM('Monetary Survey Counterparts'!#REF!)/2</f>
        <v>#REF!</v>
      </c>
      <c r="C30" s="737" t="e">
        <f>SUM('Monetary Survey Counterparts'!#REF!)/2</f>
        <v>#REF!</v>
      </c>
      <c r="D30" s="737" t="e">
        <f>SUM('Monetary Survey Counterparts'!#REF!)/2</f>
        <v>#REF!</v>
      </c>
      <c r="E30" s="737" t="e">
        <f>SUM('Monetary Survey Counterparts'!#REF!)/2</f>
        <v>#REF!</v>
      </c>
      <c r="F30" s="737" t="e">
        <f>SUM('Monetary Survey Counterparts'!#REF!)/2</f>
        <v>#REF!</v>
      </c>
      <c r="G30" s="737" t="e">
        <f>SUM('Monetary Survey Counterparts'!#REF!)/2</f>
        <v>#REF!</v>
      </c>
      <c r="H30" s="737" t="e">
        <f>SUM('Monetary Survey Counterparts'!#REF!)/2</f>
        <v>#REF!</v>
      </c>
      <c r="I30" s="737" t="e">
        <f>SUM('Monetary Survey Counterparts'!#REF!)/2</f>
        <v>#REF!</v>
      </c>
      <c r="J30" s="737" t="e">
        <f>SUM('Monetary Survey Counterparts'!#REF!)/2</f>
        <v>#REF!</v>
      </c>
    </row>
    <row r="31" spans="1:10">
      <c r="A31" s="561" t="s">
        <v>171</v>
      </c>
      <c r="B31" s="737" t="e">
        <f>SUM('Monetary Survey Counterparts'!#REF!)/2</f>
        <v>#REF!</v>
      </c>
      <c r="C31" s="737" t="e">
        <f>SUM('Monetary Survey Counterparts'!#REF!)/2</f>
        <v>#REF!</v>
      </c>
      <c r="D31" s="737" t="e">
        <f>SUM('Monetary Survey Counterparts'!#REF!)/2</f>
        <v>#REF!</v>
      </c>
      <c r="E31" s="737" t="e">
        <f>SUM('Monetary Survey Counterparts'!#REF!)/2</f>
        <v>#REF!</v>
      </c>
      <c r="F31" s="737" t="e">
        <f>SUM('Monetary Survey Counterparts'!#REF!)/2</f>
        <v>#REF!</v>
      </c>
      <c r="G31" s="737" t="e">
        <f>SUM('Monetary Survey Counterparts'!#REF!)/2</f>
        <v>#REF!</v>
      </c>
      <c r="H31" s="737" t="e">
        <f>SUM('Monetary Survey Counterparts'!#REF!)/2</f>
        <v>#REF!</v>
      </c>
      <c r="I31" s="737" t="e">
        <f>SUM('Monetary Survey Counterparts'!#REF!)/2</f>
        <v>#REF!</v>
      </c>
      <c r="J31" s="737" t="e">
        <f>SUM('Monetary Survey Counterparts'!#REF!)/2</f>
        <v>#REF!</v>
      </c>
    </row>
    <row r="32" spans="1:10">
      <c r="A32" s="561" t="s">
        <v>148</v>
      </c>
      <c r="B32" s="737" t="e">
        <f>SUM('Monetary Survey Counterparts'!#REF!)/2</f>
        <v>#REF!</v>
      </c>
      <c r="C32" s="737" t="e">
        <f>SUM('Monetary Survey Counterparts'!#REF!)/2</f>
        <v>#REF!</v>
      </c>
      <c r="D32" s="737" t="e">
        <f>SUM('Monetary Survey Counterparts'!#REF!)/2</f>
        <v>#REF!</v>
      </c>
      <c r="E32" s="737" t="e">
        <f>SUM('Monetary Survey Counterparts'!#REF!)/2</f>
        <v>#REF!</v>
      </c>
      <c r="F32" s="737" t="e">
        <f>SUM('Monetary Survey Counterparts'!#REF!)/2</f>
        <v>#REF!</v>
      </c>
      <c r="G32" s="737" t="e">
        <f>SUM('Monetary Survey Counterparts'!#REF!)/2</f>
        <v>#REF!</v>
      </c>
      <c r="H32" s="737" t="e">
        <f>SUM('Monetary Survey Counterparts'!#REF!)/2</f>
        <v>#REF!</v>
      </c>
      <c r="I32" s="737" t="e">
        <f>SUM('Monetary Survey Counterparts'!#REF!)/2</f>
        <v>#REF!</v>
      </c>
      <c r="J32" s="737" t="e">
        <f>SUM('Monetary Survey Counterparts'!#REF!)/2</f>
        <v>#REF!</v>
      </c>
    </row>
    <row r="33" spans="1:15">
      <c r="A33" s="732" t="s">
        <v>1247</v>
      </c>
      <c r="B33" s="737" t="e">
        <f>SUM('Monetary Survey Counterparts'!#REF!)/2</f>
        <v>#REF!</v>
      </c>
      <c r="C33" s="737" t="e">
        <f>SUM('Monetary Survey Counterparts'!#REF!)/2</f>
        <v>#REF!</v>
      </c>
      <c r="D33" s="737" t="e">
        <f>SUM('Monetary Survey Counterparts'!#REF!)/2</f>
        <v>#REF!</v>
      </c>
      <c r="E33" s="737" t="e">
        <f>SUM('Monetary Survey Counterparts'!#REF!)/2</f>
        <v>#REF!</v>
      </c>
      <c r="F33" s="737" t="e">
        <f>SUM('Monetary Survey Counterparts'!#REF!)/2</f>
        <v>#REF!</v>
      </c>
      <c r="G33" s="737" t="e">
        <f>SUM('Monetary Survey Counterparts'!#REF!)/2</f>
        <v>#REF!</v>
      </c>
      <c r="H33" s="737" t="e">
        <f>SUM('Monetary Survey Counterparts'!#REF!)/2</f>
        <v>#REF!</v>
      </c>
      <c r="I33" s="737" t="e">
        <f>SUM('Monetary Survey Counterparts'!#REF!)/2</f>
        <v>#REF!</v>
      </c>
      <c r="J33" s="737" t="e">
        <f>SUM('Monetary Survey Counterparts'!#REF!)/2</f>
        <v>#REF!</v>
      </c>
    </row>
    <row r="34" spans="1:15">
      <c r="A34" s="561" t="s">
        <v>162</v>
      </c>
      <c r="B34" s="737" t="e">
        <f>SUM('Monetary Survey Counterparts'!#REF!)/2</f>
        <v>#REF!</v>
      </c>
      <c r="C34" s="737" t="e">
        <f>SUM('Monetary Survey Counterparts'!#REF!)/2</f>
        <v>#REF!</v>
      </c>
      <c r="D34" s="737" t="e">
        <f>SUM('Monetary Survey Counterparts'!#REF!)/2</f>
        <v>#REF!</v>
      </c>
      <c r="E34" s="737" t="e">
        <f>SUM('Monetary Survey Counterparts'!#REF!)/2</f>
        <v>#REF!</v>
      </c>
      <c r="F34" s="737" t="e">
        <f>SUM('Monetary Survey Counterparts'!#REF!)/2</f>
        <v>#REF!</v>
      </c>
      <c r="G34" s="737" t="e">
        <f>SUM('Monetary Survey Counterparts'!#REF!)/2</f>
        <v>#REF!</v>
      </c>
      <c r="H34" s="737" t="e">
        <f>SUM('Monetary Survey Counterparts'!#REF!)/2</f>
        <v>#REF!</v>
      </c>
      <c r="I34" s="737" t="e">
        <f>SUM('Monetary Survey Counterparts'!#REF!)/2</f>
        <v>#REF!</v>
      </c>
      <c r="J34" s="737" t="e">
        <f>SUM('Monetary Survey Counterparts'!#REF!)/2</f>
        <v>#REF!</v>
      </c>
    </row>
    <row r="35" spans="1:15">
      <c r="A35" s="561" t="s">
        <v>163</v>
      </c>
      <c r="B35" s="737" t="e">
        <f>SUM('Monetary Survey Counterparts'!#REF!)/2</f>
        <v>#REF!</v>
      </c>
      <c r="C35" s="737" t="e">
        <f>SUM('Monetary Survey Counterparts'!#REF!)/2</f>
        <v>#REF!</v>
      </c>
      <c r="D35" s="737" t="e">
        <f>SUM('Monetary Survey Counterparts'!#REF!)/2</f>
        <v>#REF!</v>
      </c>
      <c r="E35" s="737" t="e">
        <f>SUM('Monetary Survey Counterparts'!#REF!)/2</f>
        <v>#REF!</v>
      </c>
      <c r="F35" s="737" t="e">
        <f>SUM('Monetary Survey Counterparts'!#REF!)/2</f>
        <v>#REF!</v>
      </c>
      <c r="G35" s="737" t="e">
        <f>SUM('Monetary Survey Counterparts'!#REF!)/2</f>
        <v>#REF!</v>
      </c>
      <c r="H35" s="737" t="e">
        <f>SUM('Monetary Survey Counterparts'!#REF!)/2</f>
        <v>#REF!</v>
      </c>
      <c r="I35" s="737" t="e">
        <f>SUM('Monetary Survey Counterparts'!#REF!)/2</f>
        <v>#REF!</v>
      </c>
      <c r="J35" s="737" t="e">
        <f>SUM('Monetary Survey Counterparts'!#REF!)/2</f>
        <v>#REF!</v>
      </c>
    </row>
    <row r="36" spans="1:15">
      <c r="A36" s="561" t="s">
        <v>164</v>
      </c>
      <c r="B36" s="737" t="e">
        <f>SUM('Monetary Survey Counterparts'!#REF!)/2</f>
        <v>#REF!</v>
      </c>
      <c r="C36" s="737" t="e">
        <f>SUM('Monetary Survey Counterparts'!#REF!)/2</f>
        <v>#REF!</v>
      </c>
      <c r="D36" s="737" t="e">
        <f>SUM('Monetary Survey Counterparts'!#REF!)/2</f>
        <v>#REF!</v>
      </c>
      <c r="E36" s="737" t="e">
        <f>SUM('Monetary Survey Counterparts'!#REF!)/2</f>
        <v>#REF!</v>
      </c>
      <c r="F36" s="737" t="e">
        <f>SUM('Monetary Survey Counterparts'!#REF!)/2</f>
        <v>#REF!</v>
      </c>
      <c r="G36" s="737" t="e">
        <f>SUM('Monetary Survey Counterparts'!#REF!)/2</f>
        <v>#REF!</v>
      </c>
      <c r="H36" s="737" t="e">
        <f>SUM('Monetary Survey Counterparts'!#REF!)/2</f>
        <v>#REF!</v>
      </c>
      <c r="I36" s="737" t="e">
        <f>SUM('Monetary Survey Counterparts'!#REF!)/2</f>
        <v>#REF!</v>
      </c>
      <c r="J36" s="737" t="e">
        <f>SUM('Monetary Survey Counterparts'!#REF!)/2</f>
        <v>#REF!</v>
      </c>
    </row>
    <row r="37" spans="1:15">
      <c r="A37" s="561" t="s">
        <v>165</v>
      </c>
      <c r="B37" s="737" t="e">
        <f>SUM('Monetary Survey Counterparts'!#REF!)/2</f>
        <v>#REF!</v>
      </c>
      <c r="C37" s="737" t="e">
        <f>SUM('Monetary Survey Counterparts'!#REF!)/2</f>
        <v>#REF!</v>
      </c>
      <c r="D37" s="737" t="e">
        <f>SUM('Monetary Survey Counterparts'!#REF!)/2</f>
        <v>#REF!</v>
      </c>
      <c r="E37" s="737" t="e">
        <f>SUM('Monetary Survey Counterparts'!#REF!)/2</f>
        <v>#REF!</v>
      </c>
      <c r="F37" s="737" t="e">
        <f>SUM('Monetary Survey Counterparts'!#REF!)/2</f>
        <v>#REF!</v>
      </c>
      <c r="G37" s="737" t="e">
        <f>SUM('Monetary Survey Counterparts'!#REF!)/2</f>
        <v>#REF!</v>
      </c>
      <c r="H37" s="737" t="e">
        <f>SUM('Monetary Survey Counterparts'!#REF!)/2</f>
        <v>#REF!</v>
      </c>
      <c r="I37" s="737" t="e">
        <f>SUM('Monetary Survey Counterparts'!#REF!)/2</f>
        <v>#REF!</v>
      </c>
      <c r="J37" s="737" t="e">
        <f>SUM('Monetary Survey Counterparts'!#REF!)/2</f>
        <v>#REF!</v>
      </c>
    </row>
    <row r="38" spans="1:15">
      <c r="A38" s="561" t="s">
        <v>166</v>
      </c>
      <c r="B38" s="737" t="e">
        <f>SUM('Monetary Survey Counterparts'!#REF!)/2</f>
        <v>#REF!</v>
      </c>
      <c r="C38" s="737" t="e">
        <f>SUM('Monetary Survey Counterparts'!#REF!)/2</f>
        <v>#REF!</v>
      </c>
      <c r="D38" s="737" t="e">
        <f>SUM('Monetary Survey Counterparts'!#REF!)/2</f>
        <v>#REF!</v>
      </c>
      <c r="E38" s="737" t="e">
        <f>SUM('Monetary Survey Counterparts'!#REF!)/2</f>
        <v>#REF!</v>
      </c>
      <c r="F38" s="737" t="e">
        <f>SUM('Monetary Survey Counterparts'!#REF!)/2</f>
        <v>#REF!</v>
      </c>
      <c r="G38" s="737" t="e">
        <f>SUM('Monetary Survey Counterparts'!#REF!)/2</f>
        <v>#REF!</v>
      </c>
      <c r="H38" s="737" t="e">
        <f>SUM('Monetary Survey Counterparts'!#REF!)/2</f>
        <v>#REF!</v>
      </c>
      <c r="I38" s="737" t="e">
        <f>SUM('Monetary Survey Counterparts'!#REF!)/2</f>
        <v>#REF!</v>
      </c>
      <c r="J38" s="737" t="e">
        <f>SUM('Monetary Survey Counterparts'!#REF!)/2</f>
        <v>#REF!</v>
      </c>
    </row>
    <row r="39" spans="1:15">
      <c r="A39" s="561" t="s">
        <v>167</v>
      </c>
      <c r="B39" s="737" t="e">
        <f>SUM('Monetary Survey Counterparts'!#REF!)/2</f>
        <v>#REF!</v>
      </c>
      <c r="C39" s="737" t="e">
        <f>SUM('Monetary Survey Counterparts'!#REF!)/2</f>
        <v>#REF!</v>
      </c>
      <c r="D39" s="737" t="e">
        <f>SUM('Monetary Survey Counterparts'!#REF!)/2</f>
        <v>#REF!</v>
      </c>
      <c r="E39" s="737" t="e">
        <f>SUM('Monetary Survey Counterparts'!#REF!)/2</f>
        <v>#REF!</v>
      </c>
      <c r="F39" s="737" t="e">
        <f>SUM('Monetary Survey Counterparts'!#REF!)/2</f>
        <v>#REF!</v>
      </c>
      <c r="G39" s="737" t="e">
        <f>SUM('Monetary Survey Counterparts'!#REF!)/2</f>
        <v>#REF!</v>
      </c>
      <c r="H39" s="737" t="e">
        <f>SUM('Monetary Survey Counterparts'!#REF!)/2</f>
        <v>#REF!</v>
      </c>
      <c r="I39" s="737" t="e">
        <f>SUM('Monetary Survey Counterparts'!#REF!)/2</f>
        <v>#REF!</v>
      </c>
      <c r="J39" s="737" t="e">
        <f>SUM('Monetary Survey Counterparts'!#REF!)/2</f>
        <v>#REF!</v>
      </c>
      <c r="O39" s="1522"/>
    </row>
    <row r="40" spans="1:15">
      <c r="A40" s="561" t="s">
        <v>168</v>
      </c>
      <c r="B40" s="737" t="e">
        <f>SUM('Monetary Survey Counterparts'!#REF!)/2</f>
        <v>#REF!</v>
      </c>
      <c r="C40" s="737" t="e">
        <f>SUM('Monetary Survey Counterparts'!#REF!)/2</f>
        <v>#REF!</v>
      </c>
      <c r="D40" s="737" t="e">
        <f>SUM('Monetary Survey Counterparts'!#REF!)/2</f>
        <v>#REF!</v>
      </c>
      <c r="E40" s="737" t="e">
        <f>SUM('Monetary Survey Counterparts'!#REF!)/2</f>
        <v>#REF!</v>
      </c>
      <c r="F40" s="737" t="e">
        <f>SUM('Monetary Survey Counterparts'!#REF!)/2</f>
        <v>#REF!</v>
      </c>
      <c r="G40" s="737" t="e">
        <f>SUM('Monetary Survey Counterparts'!#REF!)/2</f>
        <v>#REF!</v>
      </c>
      <c r="H40" s="737" t="e">
        <f>SUM('Monetary Survey Counterparts'!#REF!)/2</f>
        <v>#REF!</v>
      </c>
      <c r="I40" s="737" t="e">
        <f>SUM('Monetary Survey Counterparts'!#REF!)/2</f>
        <v>#REF!</v>
      </c>
      <c r="J40" s="737" t="e">
        <f>SUM('Monetary Survey Counterparts'!#REF!)/2</f>
        <v>#REF!</v>
      </c>
    </row>
    <row r="41" spans="1:15">
      <c r="A41" s="561" t="s">
        <v>169</v>
      </c>
      <c r="B41" s="737" t="e">
        <f>SUM('Monetary Survey Counterparts'!#REF!)/2</f>
        <v>#REF!</v>
      </c>
      <c r="C41" s="737" t="e">
        <f>SUM('Monetary Survey Counterparts'!#REF!)/2</f>
        <v>#REF!</v>
      </c>
      <c r="D41" s="737" t="e">
        <f>SUM('Monetary Survey Counterparts'!#REF!)/2</f>
        <v>#REF!</v>
      </c>
      <c r="E41" s="737" t="e">
        <f>SUM('Monetary Survey Counterparts'!#REF!)/2</f>
        <v>#REF!</v>
      </c>
      <c r="F41" s="737" t="e">
        <f>SUM('Monetary Survey Counterparts'!#REF!)/2</f>
        <v>#REF!</v>
      </c>
      <c r="G41" s="737" t="e">
        <f>SUM('Monetary Survey Counterparts'!#REF!)/2</f>
        <v>#REF!</v>
      </c>
      <c r="H41" s="737" t="e">
        <f>SUM('Monetary Survey Counterparts'!#REF!)/2</f>
        <v>#REF!</v>
      </c>
      <c r="I41" s="737" t="e">
        <f>SUM('Monetary Survey Counterparts'!#REF!)/2</f>
        <v>#REF!</v>
      </c>
      <c r="J41" s="737" t="e">
        <f>SUM('Monetary Survey Counterparts'!#REF!)/2</f>
        <v>#REF!</v>
      </c>
    </row>
    <row r="42" spans="1:15">
      <c r="A42" s="561" t="s">
        <v>170</v>
      </c>
      <c r="B42" s="737" t="e">
        <f>SUM('Monetary Survey Counterparts'!#REF!)/2</f>
        <v>#REF!</v>
      </c>
      <c r="C42" s="737" t="e">
        <f>SUM('Monetary Survey Counterparts'!#REF!)/2</f>
        <v>#REF!</v>
      </c>
      <c r="D42" s="737" t="e">
        <f>SUM('Monetary Survey Counterparts'!#REF!)/2</f>
        <v>#REF!</v>
      </c>
      <c r="E42" s="737" t="e">
        <f>SUM('Monetary Survey Counterparts'!#REF!)/2</f>
        <v>#REF!</v>
      </c>
      <c r="F42" s="737" t="e">
        <f>SUM('Monetary Survey Counterparts'!#REF!)/2</f>
        <v>#REF!</v>
      </c>
      <c r="G42" s="737" t="e">
        <f>SUM('Monetary Survey Counterparts'!#REF!)/2</f>
        <v>#REF!</v>
      </c>
      <c r="H42" s="737" t="e">
        <f>SUM('Monetary Survey Counterparts'!#REF!)/2</f>
        <v>#REF!</v>
      </c>
      <c r="I42" s="737" t="e">
        <f>SUM('Monetary Survey Counterparts'!#REF!)/2</f>
        <v>#REF!</v>
      </c>
      <c r="J42" s="737" t="e">
        <f>SUM('Monetary Survey Counterparts'!#REF!)/2</f>
        <v>#REF!</v>
      </c>
    </row>
    <row r="43" spans="1:15">
      <c r="A43" s="561" t="s">
        <v>171</v>
      </c>
      <c r="B43" s="737" t="e">
        <f>SUM('Monetary Survey Counterparts'!#REF!)/2</f>
        <v>#REF!</v>
      </c>
      <c r="C43" s="737" t="e">
        <f>SUM('Monetary Survey Counterparts'!#REF!)/2</f>
        <v>#REF!</v>
      </c>
      <c r="D43" s="737" t="e">
        <f>SUM('Monetary Survey Counterparts'!#REF!)/2</f>
        <v>#REF!</v>
      </c>
      <c r="E43" s="737" t="e">
        <f>SUM('Monetary Survey Counterparts'!#REF!)/2</f>
        <v>#REF!</v>
      </c>
      <c r="F43" s="737" t="e">
        <f>SUM('Monetary Survey Counterparts'!#REF!)/2</f>
        <v>#REF!</v>
      </c>
      <c r="G43" s="737" t="e">
        <f>SUM('Monetary Survey Counterparts'!#REF!)/2</f>
        <v>#REF!</v>
      </c>
      <c r="H43" s="737" t="e">
        <f>SUM('Monetary Survey Counterparts'!#REF!)/2</f>
        <v>#REF!</v>
      </c>
      <c r="I43" s="737" t="e">
        <f>SUM('Monetary Survey Counterparts'!#REF!)/2</f>
        <v>#REF!</v>
      </c>
      <c r="J43" s="737" t="e">
        <f>SUM('Monetary Survey Counterparts'!#REF!)/2</f>
        <v>#REF!</v>
      </c>
    </row>
    <row r="44" spans="1:15">
      <c r="A44" s="561" t="s">
        <v>148</v>
      </c>
      <c r="B44" s="737" t="e">
        <f>SUM('Monetary Survey Counterparts'!#REF!)/2</f>
        <v>#REF!</v>
      </c>
      <c r="C44" s="737" t="e">
        <f>SUM('Monetary Survey Counterparts'!#REF!)/2</f>
        <v>#REF!</v>
      </c>
      <c r="D44" s="737" t="e">
        <f>SUM('Monetary Survey Counterparts'!#REF!)/2</f>
        <v>#REF!</v>
      </c>
      <c r="E44" s="737" t="e">
        <f>SUM('Monetary Survey Counterparts'!#REF!)/2</f>
        <v>#REF!</v>
      </c>
      <c r="F44" s="737" t="e">
        <f>SUM('Monetary Survey Counterparts'!#REF!)/2</f>
        <v>#REF!</v>
      </c>
      <c r="G44" s="737" t="e">
        <f>SUM('Monetary Survey Counterparts'!#REF!)/2</f>
        <v>#REF!</v>
      </c>
      <c r="H44" s="737" t="e">
        <f>SUM('Monetary Survey Counterparts'!#REF!)/2</f>
        <v>#REF!</v>
      </c>
      <c r="I44" s="737" t="e">
        <f>SUM('Monetary Survey Counterparts'!#REF!)/2</f>
        <v>#REF!</v>
      </c>
      <c r="J44" s="737" t="e">
        <f>SUM('Monetary Survey Counterparts'!#REF!)/2</f>
        <v>#REF!</v>
      </c>
    </row>
    <row r="45" spans="1:15">
      <c r="A45" s="732" t="s">
        <v>1246</v>
      </c>
      <c r="B45" s="737" t="e">
        <f>SUM('Monetary Survey Counterparts'!#REF!)/2</f>
        <v>#REF!</v>
      </c>
      <c r="C45" s="737" t="e">
        <f>SUM('Monetary Survey Counterparts'!#REF!)/2</f>
        <v>#REF!</v>
      </c>
      <c r="D45" s="737" t="e">
        <f>SUM('Monetary Survey Counterparts'!#REF!)/2</f>
        <v>#REF!</v>
      </c>
      <c r="E45" s="737" t="e">
        <f>SUM('Monetary Survey Counterparts'!#REF!)/2</f>
        <v>#REF!</v>
      </c>
      <c r="F45" s="737" t="e">
        <f>SUM('Monetary Survey Counterparts'!#REF!)/2</f>
        <v>#REF!</v>
      </c>
      <c r="G45" s="737" t="e">
        <f>SUM('Monetary Survey Counterparts'!#REF!)/2</f>
        <v>#REF!</v>
      </c>
      <c r="H45" s="737" t="e">
        <f>SUM('Monetary Survey Counterparts'!#REF!)/2</f>
        <v>#REF!</v>
      </c>
      <c r="I45" s="737" t="e">
        <f>SUM('Monetary Survey Counterparts'!#REF!)/2</f>
        <v>#REF!</v>
      </c>
      <c r="J45" s="737" t="e">
        <f>SUM('Monetary Survey Counterparts'!#REF!)/2</f>
        <v>#REF!</v>
      </c>
    </row>
    <row r="46" spans="1:15">
      <c r="A46" s="561" t="s">
        <v>162</v>
      </c>
      <c r="B46" s="737" t="e">
        <f>SUM('Monetary Survey Counterparts'!#REF!)/2</f>
        <v>#REF!</v>
      </c>
      <c r="C46" s="737" t="e">
        <f>SUM('Monetary Survey Counterparts'!#REF!)/2</f>
        <v>#REF!</v>
      </c>
      <c r="D46" s="737" t="e">
        <f>SUM('Monetary Survey Counterparts'!#REF!)/2</f>
        <v>#REF!</v>
      </c>
      <c r="E46" s="737" t="e">
        <f>SUM('Monetary Survey Counterparts'!#REF!)/2</f>
        <v>#REF!</v>
      </c>
      <c r="F46" s="737" t="e">
        <f>SUM('Monetary Survey Counterparts'!#REF!)/2</f>
        <v>#REF!</v>
      </c>
      <c r="G46" s="737" t="e">
        <f>SUM('Monetary Survey Counterparts'!#REF!)/2</f>
        <v>#REF!</v>
      </c>
      <c r="H46" s="737" t="e">
        <f>SUM('Monetary Survey Counterparts'!#REF!)/2</f>
        <v>#REF!</v>
      </c>
      <c r="I46" s="737" t="e">
        <f>SUM('Monetary Survey Counterparts'!#REF!)/2</f>
        <v>#REF!</v>
      </c>
      <c r="J46" s="737" t="e">
        <f>SUM('Monetary Survey Counterparts'!#REF!)/2</f>
        <v>#REF!</v>
      </c>
    </row>
    <row r="47" spans="1:15">
      <c r="A47" s="561" t="s">
        <v>163</v>
      </c>
      <c r="B47" s="737" t="e">
        <f>SUM('Monetary Survey Counterparts'!#REF!)/2</f>
        <v>#REF!</v>
      </c>
      <c r="C47" s="737" t="e">
        <f>SUM('Monetary Survey Counterparts'!#REF!)/2</f>
        <v>#REF!</v>
      </c>
      <c r="D47" s="737" t="e">
        <f>SUM('Monetary Survey Counterparts'!#REF!)/2</f>
        <v>#REF!</v>
      </c>
      <c r="E47" s="737" t="e">
        <f>SUM('Monetary Survey Counterparts'!#REF!)/2</f>
        <v>#REF!</v>
      </c>
      <c r="F47" s="737" t="e">
        <f>SUM('Monetary Survey Counterparts'!#REF!)/2</f>
        <v>#REF!</v>
      </c>
      <c r="G47" s="737" t="e">
        <f>SUM('Monetary Survey Counterparts'!#REF!)/2</f>
        <v>#REF!</v>
      </c>
      <c r="H47" s="737" t="e">
        <f>SUM('Monetary Survey Counterparts'!#REF!)/2</f>
        <v>#REF!</v>
      </c>
      <c r="I47" s="737" t="e">
        <f>SUM('Monetary Survey Counterparts'!#REF!)/2</f>
        <v>#REF!</v>
      </c>
      <c r="J47" s="737" t="e">
        <f>SUM('Monetary Survey Counterparts'!#REF!)/2</f>
        <v>#REF!</v>
      </c>
    </row>
    <row r="48" spans="1:15">
      <c r="A48" s="561" t="s">
        <v>164</v>
      </c>
      <c r="B48" s="737" t="e">
        <f>SUM('Monetary Survey Counterparts'!#REF!)/2</f>
        <v>#REF!</v>
      </c>
      <c r="C48" s="737" t="e">
        <f>SUM('Monetary Survey Counterparts'!#REF!)/2</f>
        <v>#REF!</v>
      </c>
      <c r="D48" s="737" t="e">
        <f>SUM('Monetary Survey Counterparts'!#REF!)/2</f>
        <v>#REF!</v>
      </c>
      <c r="E48" s="737" t="e">
        <f>SUM('Monetary Survey Counterparts'!#REF!)/2</f>
        <v>#REF!</v>
      </c>
      <c r="F48" s="737" t="e">
        <f>SUM('Monetary Survey Counterparts'!#REF!)/2</f>
        <v>#REF!</v>
      </c>
      <c r="G48" s="737" t="e">
        <f>SUM('Monetary Survey Counterparts'!#REF!)/2</f>
        <v>#REF!</v>
      </c>
      <c r="H48" s="737" t="e">
        <f>SUM('Monetary Survey Counterparts'!#REF!)/2</f>
        <v>#REF!</v>
      </c>
      <c r="I48" s="737" t="e">
        <f>SUM('Monetary Survey Counterparts'!#REF!)/2</f>
        <v>#REF!</v>
      </c>
      <c r="J48" s="737" t="e">
        <f>SUM('Monetary Survey Counterparts'!#REF!)/2</f>
        <v>#REF!</v>
      </c>
    </row>
    <row r="49" spans="1:10">
      <c r="A49" s="561" t="s">
        <v>165</v>
      </c>
      <c r="B49" s="737" t="e">
        <f>SUM('Monetary Survey Counterparts'!#REF!)/2</f>
        <v>#REF!</v>
      </c>
      <c r="C49" s="737" t="e">
        <f>SUM('Monetary Survey Counterparts'!#REF!)/2</f>
        <v>#REF!</v>
      </c>
      <c r="D49" s="737" t="e">
        <f>SUM('Monetary Survey Counterparts'!#REF!)/2</f>
        <v>#REF!</v>
      </c>
      <c r="E49" s="737" t="e">
        <f>SUM('Monetary Survey Counterparts'!#REF!)/2</f>
        <v>#REF!</v>
      </c>
      <c r="F49" s="737" t="e">
        <f>SUM('Monetary Survey Counterparts'!#REF!)/2</f>
        <v>#REF!</v>
      </c>
      <c r="G49" s="737" t="e">
        <f>SUM('Monetary Survey Counterparts'!#REF!)/2</f>
        <v>#REF!</v>
      </c>
      <c r="H49" s="737" t="e">
        <f>SUM('Monetary Survey Counterparts'!#REF!)/2</f>
        <v>#REF!</v>
      </c>
      <c r="I49" s="737" t="e">
        <f>SUM('Monetary Survey Counterparts'!#REF!)/2</f>
        <v>#REF!</v>
      </c>
      <c r="J49" s="737" t="e">
        <f>SUM('Monetary Survey Counterparts'!#REF!)/2</f>
        <v>#REF!</v>
      </c>
    </row>
    <row r="50" spans="1:10">
      <c r="A50" s="561" t="s">
        <v>166</v>
      </c>
      <c r="B50" s="737" t="e">
        <f>SUM('Monetary Survey Counterparts'!#REF!)/2</f>
        <v>#REF!</v>
      </c>
      <c r="C50" s="737" t="e">
        <f>SUM('Monetary Survey Counterparts'!#REF!)/2</f>
        <v>#REF!</v>
      </c>
      <c r="D50" s="737" t="e">
        <f>SUM('Monetary Survey Counterparts'!#REF!)/2</f>
        <v>#REF!</v>
      </c>
      <c r="E50" s="737" t="e">
        <f>SUM('Monetary Survey Counterparts'!#REF!)/2</f>
        <v>#REF!</v>
      </c>
      <c r="F50" s="737" t="e">
        <f>SUM('Monetary Survey Counterparts'!#REF!)/2</f>
        <v>#REF!</v>
      </c>
      <c r="G50" s="737" t="e">
        <f>SUM('Monetary Survey Counterparts'!#REF!)/2</f>
        <v>#REF!</v>
      </c>
      <c r="H50" s="737" t="e">
        <f>SUM('Monetary Survey Counterparts'!#REF!)/2</f>
        <v>#REF!</v>
      </c>
      <c r="I50" s="737" t="e">
        <f>SUM('Monetary Survey Counterparts'!#REF!)/2</f>
        <v>#REF!</v>
      </c>
      <c r="J50" s="737" t="e">
        <f>SUM('Monetary Survey Counterparts'!#REF!)/2</f>
        <v>#REF!</v>
      </c>
    </row>
    <row r="51" spans="1:10">
      <c r="A51" s="561" t="s">
        <v>167</v>
      </c>
      <c r="B51" s="737" t="e">
        <f>SUM('Monetary Survey Counterparts'!#REF!)/2</f>
        <v>#REF!</v>
      </c>
      <c r="C51" s="737" t="e">
        <f>SUM('Monetary Survey Counterparts'!#REF!)/2</f>
        <v>#REF!</v>
      </c>
      <c r="D51" s="737" t="e">
        <f>SUM('Monetary Survey Counterparts'!#REF!)/2</f>
        <v>#REF!</v>
      </c>
      <c r="E51" s="737" t="e">
        <f>SUM('Monetary Survey Counterparts'!#REF!)/2</f>
        <v>#REF!</v>
      </c>
      <c r="F51" s="737" t="e">
        <f>SUM('Monetary Survey Counterparts'!#REF!)/2</f>
        <v>#REF!</v>
      </c>
      <c r="G51" s="737" t="e">
        <f>SUM('Monetary Survey Counterparts'!#REF!)/2</f>
        <v>#REF!</v>
      </c>
      <c r="H51" s="737" t="e">
        <f>SUM('Monetary Survey Counterparts'!#REF!)/2</f>
        <v>#REF!</v>
      </c>
      <c r="I51" s="737" t="e">
        <f>SUM('Monetary Survey Counterparts'!#REF!)/2</f>
        <v>#REF!</v>
      </c>
      <c r="J51" s="737" t="e">
        <f>SUM('Monetary Survey Counterparts'!#REF!)/2</f>
        <v>#REF!</v>
      </c>
    </row>
    <row r="52" spans="1:10">
      <c r="A52" s="561" t="s">
        <v>168</v>
      </c>
      <c r="B52" s="737" t="e">
        <f>SUM('Monetary Survey Counterparts'!#REF!)/2</f>
        <v>#REF!</v>
      </c>
      <c r="C52" s="737" t="e">
        <f>SUM('Monetary Survey Counterparts'!#REF!)/2</f>
        <v>#REF!</v>
      </c>
      <c r="D52" s="737" t="e">
        <f>SUM('Monetary Survey Counterparts'!#REF!)/2</f>
        <v>#REF!</v>
      </c>
      <c r="E52" s="737" t="e">
        <f>SUM('Monetary Survey Counterparts'!#REF!)/2</f>
        <v>#REF!</v>
      </c>
      <c r="F52" s="737" t="e">
        <f>SUM('Monetary Survey Counterparts'!#REF!)/2</f>
        <v>#REF!</v>
      </c>
      <c r="G52" s="737" t="e">
        <f>SUM('Monetary Survey Counterparts'!#REF!)/2</f>
        <v>#REF!</v>
      </c>
      <c r="H52" s="737" t="e">
        <f>SUM('Monetary Survey Counterparts'!#REF!)/2</f>
        <v>#REF!</v>
      </c>
      <c r="I52" s="737" t="e">
        <f>SUM('Monetary Survey Counterparts'!#REF!)/2</f>
        <v>#REF!</v>
      </c>
      <c r="J52" s="737" t="e">
        <f>SUM('Monetary Survey Counterparts'!#REF!)/2</f>
        <v>#REF!</v>
      </c>
    </row>
    <row r="53" spans="1:10">
      <c r="A53" s="561" t="s">
        <v>169</v>
      </c>
      <c r="B53" s="737" t="e">
        <f>SUM('Monetary Survey Counterparts'!#REF!)/2</f>
        <v>#REF!</v>
      </c>
      <c r="C53" s="737" t="e">
        <f>SUM('Monetary Survey Counterparts'!#REF!)/2</f>
        <v>#REF!</v>
      </c>
      <c r="D53" s="737" t="e">
        <f>SUM('Monetary Survey Counterparts'!#REF!)/2</f>
        <v>#REF!</v>
      </c>
      <c r="E53" s="737" t="e">
        <f>SUM('Monetary Survey Counterparts'!#REF!)/2</f>
        <v>#REF!</v>
      </c>
      <c r="F53" s="737" t="e">
        <f>SUM('Monetary Survey Counterparts'!#REF!)/2</f>
        <v>#REF!</v>
      </c>
      <c r="G53" s="737" t="e">
        <f>SUM('Monetary Survey Counterparts'!#REF!)/2</f>
        <v>#REF!</v>
      </c>
      <c r="H53" s="737" t="e">
        <f>SUM('Monetary Survey Counterparts'!#REF!)/2</f>
        <v>#REF!</v>
      </c>
      <c r="I53" s="737" t="e">
        <f>SUM('Monetary Survey Counterparts'!#REF!)/2</f>
        <v>#REF!</v>
      </c>
      <c r="J53" s="737" t="e">
        <f>SUM('Monetary Survey Counterparts'!#REF!)/2</f>
        <v>#REF!</v>
      </c>
    </row>
    <row r="54" spans="1:10">
      <c r="A54" s="561" t="s">
        <v>170</v>
      </c>
      <c r="B54" s="737" t="e">
        <f>SUM('Monetary Survey Counterparts'!#REF!)/2</f>
        <v>#REF!</v>
      </c>
      <c r="C54" s="737" t="e">
        <f>SUM('Monetary Survey Counterparts'!#REF!)/2</f>
        <v>#REF!</v>
      </c>
      <c r="D54" s="737" t="e">
        <f>SUM('Monetary Survey Counterparts'!#REF!)/2</f>
        <v>#REF!</v>
      </c>
      <c r="E54" s="737" t="e">
        <f>SUM('Monetary Survey Counterparts'!#REF!)/2</f>
        <v>#REF!</v>
      </c>
      <c r="F54" s="737" t="e">
        <f>SUM('Monetary Survey Counterparts'!#REF!)/2</f>
        <v>#REF!</v>
      </c>
      <c r="G54" s="737" t="e">
        <f>SUM('Monetary Survey Counterparts'!#REF!)/2</f>
        <v>#REF!</v>
      </c>
      <c r="H54" s="737" t="e">
        <f>SUM('Monetary Survey Counterparts'!#REF!)/2</f>
        <v>#REF!</v>
      </c>
      <c r="I54" s="737" t="e">
        <f>SUM('Monetary Survey Counterparts'!#REF!)/2</f>
        <v>#REF!</v>
      </c>
      <c r="J54" s="737" t="e">
        <f>SUM('Monetary Survey Counterparts'!#REF!)/2</f>
        <v>#REF!</v>
      </c>
    </row>
    <row r="55" spans="1:10">
      <c r="A55" s="561" t="s">
        <v>171</v>
      </c>
      <c r="B55" s="737" t="e">
        <f>SUM('Monetary Survey Counterparts'!#REF!)/2</f>
        <v>#REF!</v>
      </c>
      <c r="C55" s="737" t="e">
        <f>SUM('Monetary Survey Counterparts'!#REF!)/2</f>
        <v>#REF!</v>
      </c>
      <c r="D55" s="737" t="e">
        <f>SUM('Monetary Survey Counterparts'!#REF!)/2</f>
        <v>#REF!</v>
      </c>
      <c r="E55" s="737" t="e">
        <f>SUM('Monetary Survey Counterparts'!#REF!)/2</f>
        <v>#REF!</v>
      </c>
      <c r="F55" s="737" t="e">
        <f>SUM('Monetary Survey Counterparts'!#REF!)/2</f>
        <v>#REF!</v>
      </c>
      <c r="G55" s="737" t="e">
        <f>SUM('Monetary Survey Counterparts'!#REF!)/2</f>
        <v>#REF!</v>
      </c>
      <c r="H55" s="737" t="e">
        <f>SUM('Monetary Survey Counterparts'!#REF!)/2</f>
        <v>#REF!</v>
      </c>
      <c r="I55" s="737" t="e">
        <f>SUM('Monetary Survey Counterparts'!#REF!)/2</f>
        <v>#REF!</v>
      </c>
      <c r="J55" s="737" t="e">
        <f>SUM('Monetary Survey Counterparts'!#REF!)/2</f>
        <v>#REF!</v>
      </c>
    </row>
    <row r="56" spans="1:10">
      <c r="A56" s="751" t="s">
        <v>148</v>
      </c>
      <c r="B56" s="737" t="e">
        <f>SUM('Monetary Survey Counterparts'!#REF!)/2</f>
        <v>#REF!</v>
      </c>
      <c r="C56" s="737" t="e">
        <f>SUM('Monetary Survey Counterparts'!#REF!)/2</f>
        <v>#REF!</v>
      </c>
      <c r="D56" s="737" t="e">
        <f>SUM('Monetary Survey Counterparts'!#REF!)/2</f>
        <v>#REF!</v>
      </c>
      <c r="E56" s="737" t="e">
        <f>SUM('Monetary Survey Counterparts'!#REF!)/2</f>
        <v>#REF!</v>
      </c>
      <c r="F56" s="737" t="e">
        <f>SUM('Monetary Survey Counterparts'!#REF!)/2</f>
        <v>#REF!</v>
      </c>
      <c r="G56" s="737" t="e">
        <f>SUM('Monetary Survey Counterparts'!#REF!)/2</f>
        <v>#REF!</v>
      </c>
      <c r="H56" s="737" t="e">
        <f>SUM('Monetary Survey Counterparts'!#REF!)/2</f>
        <v>#REF!</v>
      </c>
      <c r="I56" s="737" t="e">
        <f>SUM('Monetary Survey Counterparts'!#REF!)/2</f>
        <v>#REF!</v>
      </c>
      <c r="J56" s="737" t="e">
        <f>SUM('Monetary Survey Counterparts'!#REF!)/2</f>
        <v>#REF!</v>
      </c>
    </row>
    <row r="57" spans="1:10">
      <c r="A57" s="752" t="s">
        <v>1237</v>
      </c>
      <c r="B57" s="737" t="e">
        <f>SUM('Monetary Survey Counterparts'!#REF!)/2</f>
        <v>#REF!</v>
      </c>
      <c r="C57" s="737" t="e">
        <f>SUM('Monetary Survey Counterparts'!#REF!)/2</f>
        <v>#REF!</v>
      </c>
      <c r="D57" s="737" t="e">
        <f>SUM('Monetary Survey Counterparts'!#REF!)/2</f>
        <v>#REF!</v>
      </c>
      <c r="E57" s="737" t="e">
        <f>SUM('Monetary Survey Counterparts'!#REF!)/2</f>
        <v>#REF!</v>
      </c>
      <c r="F57" s="737" t="e">
        <f>SUM('Monetary Survey Counterparts'!#REF!)/2</f>
        <v>#REF!</v>
      </c>
      <c r="G57" s="737" t="e">
        <f>SUM('Monetary Survey Counterparts'!#REF!)/2</f>
        <v>#REF!</v>
      </c>
      <c r="H57" s="737" t="e">
        <f>SUM('Monetary Survey Counterparts'!#REF!)/2</f>
        <v>#REF!</v>
      </c>
      <c r="I57" s="737" t="e">
        <f>SUM('Monetary Survey Counterparts'!#REF!)/2</f>
        <v>#REF!</v>
      </c>
      <c r="J57" s="737" t="e">
        <f>SUM('Monetary Survey Counterparts'!#REF!)/2</f>
        <v>#REF!</v>
      </c>
    </row>
    <row r="58" spans="1:10">
      <c r="A58" s="751" t="s">
        <v>162</v>
      </c>
      <c r="B58" s="737" t="e">
        <f>SUM('Monetary Survey Counterparts'!#REF!)/2</f>
        <v>#REF!</v>
      </c>
      <c r="C58" s="737" t="e">
        <f>SUM('Monetary Survey Counterparts'!#REF!)/2</f>
        <v>#REF!</v>
      </c>
      <c r="D58" s="737" t="e">
        <f>SUM('Monetary Survey Counterparts'!#REF!)/2</f>
        <v>#REF!</v>
      </c>
      <c r="E58" s="737" t="e">
        <f>SUM('Monetary Survey Counterparts'!#REF!)/2</f>
        <v>#REF!</v>
      </c>
      <c r="F58" s="737" t="e">
        <f>SUM('Monetary Survey Counterparts'!#REF!)/2</f>
        <v>#REF!</v>
      </c>
      <c r="G58" s="737" t="e">
        <f>SUM('Monetary Survey Counterparts'!#REF!)/2</f>
        <v>#REF!</v>
      </c>
      <c r="H58" s="737" t="e">
        <f>SUM('Monetary Survey Counterparts'!#REF!)/2</f>
        <v>#REF!</v>
      </c>
      <c r="I58" s="737" t="e">
        <f>SUM('Monetary Survey Counterparts'!#REF!)/2</f>
        <v>#REF!</v>
      </c>
      <c r="J58" s="737" t="e">
        <f>SUM('Monetary Survey Counterparts'!#REF!)/2</f>
        <v>#REF!</v>
      </c>
    </row>
    <row r="59" spans="1:10">
      <c r="A59" s="751" t="s">
        <v>163</v>
      </c>
      <c r="B59" s="737" t="e">
        <f>SUM('Monetary Survey Counterparts'!#REF!)/2</f>
        <v>#REF!</v>
      </c>
      <c r="C59" s="737" t="e">
        <f>SUM('Monetary Survey Counterparts'!#REF!)/2</f>
        <v>#REF!</v>
      </c>
      <c r="D59" s="737" t="e">
        <f>SUM('Monetary Survey Counterparts'!#REF!)/2</f>
        <v>#REF!</v>
      </c>
      <c r="E59" s="737" t="e">
        <f>SUM('Monetary Survey Counterparts'!#REF!)/2</f>
        <v>#REF!</v>
      </c>
      <c r="F59" s="737" t="e">
        <f>SUM('Monetary Survey Counterparts'!#REF!)/2</f>
        <v>#REF!</v>
      </c>
      <c r="G59" s="737" t="e">
        <f>SUM('Monetary Survey Counterparts'!#REF!)/2</f>
        <v>#REF!</v>
      </c>
      <c r="H59" s="737" t="e">
        <f>SUM('Monetary Survey Counterparts'!#REF!)/2</f>
        <v>#REF!</v>
      </c>
      <c r="I59" s="737" t="e">
        <f>SUM('Monetary Survey Counterparts'!#REF!)/2</f>
        <v>#REF!</v>
      </c>
      <c r="J59" s="737" t="e">
        <f>SUM('Monetary Survey Counterparts'!#REF!)/2</f>
        <v>#REF!</v>
      </c>
    </row>
    <row r="60" spans="1:10">
      <c r="A60" s="751" t="s">
        <v>164</v>
      </c>
      <c r="B60" s="737" t="e">
        <f>SUM('Monetary Survey Counterparts'!#REF!)/2</f>
        <v>#REF!</v>
      </c>
      <c r="C60" s="737" t="e">
        <f>SUM('Monetary Survey Counterparts'!#REF!)/2</f>
        <v>#REF!</v>
      </c>
      <c r="D60" s="737" t="e">
        <f>SUM('Monetary Survey Counterparts'!#REF!)/2</f>
        <v>#REF!</v>
      </c>
      <c r="E60" s="737" t="e">
        <f>SUM('Monetary Survey Counterparts'!#REF!)/2</f>
        <v>#REF!</v>
      </c>
      <c r="F60" s="737" t="e">
        <f>SUM('Monetary Survey Counterparts'!#REF!)/2</f>
        <v>#REF!</v>
      </c>
      <c r="G60" s="737" t="e">
        <f>SUM('Monetary Survey Counterparts'!#REF!)/2</f>
        <v>#REF!</v>
      </c>
      <c r="H60" s="737" t="e">
        <f>SUM('Monetary Survey Counterparts'!#REF!)/2</f>
        <v>#REF!</v>
      </c>
      <c r="I60" s="737" t="e">
        <f>SUM('Monetary Survey Counterparts'!#REF!)/2</f>
        <v>#REF!</v>
      </c>
      <c r="J60" s="737" t="e">
        <f>SUM('Monetary Survey Counterparts'!#REF!)/2</f>
        <v>#REF!</v>
      </c>
    </row>
    <row r="61" spans="1:10">
      <c r="A61" s="751" t="s">
        <v>165</v>
      </c>
      <c r="B61" s="737" t="e">
        <f>SUM('Monetary Survey Counterparts'!#REF!)/2</f>
        <v>#REF!</v>
      </c>
      <c r="C61" s="737" t="e">
        <f>SUM('Monetary Survey Counterparts'!#REF!)/2</f>
        <v>#REF!</v>
      </c>
      <c r="D61" s="737" t="e">
        <f>SUM('Monetary Survey Counterparts'!#REF!)/2</f>
        <v>#REF!</v>
      </c>
      <c r="E61" s="737" t="e">
        <f>SUM('Monetary Survey Counterparts'!#REF!)/2</f>
        <v>#REF!</v>
      </c>
      <c r="F61" s="737" t="e">
        <f>SUM('Monetary Survey Counterparts'!#REF!)/2</f>
        <v>#REF!</v>
      </c>
      <c r="G61" s="737" t="e">
        <f>SUM('Monetary Survey Counterparts'!#REF!)/2</f>
        <v>#REF!</v>
      </c>
      <c r="H61" s="737" t="e">
        <f>SUM('Monetary Survey Counterparts'!#REF!)/2</f>
        <v>#REF!</v>
      </c>
      <c r="I61" s="737" t="e">
        <f>SUM('Monetary Survey Counterparts'!#REF!)/2</f>
        <v>#REF!</v>
      </c>
      <c r="J61" s="737" t="e">
        <f>SUM('Monetary Survey Counterparts'!#REF!)/2</f>
        <v>#REF!</v>
      </c>
    </row>
    <row r="62" spans="1:10">
      <c r="A62" s="751" t="s">
        <v>166</v>
      </c>
      <c r="B62" s="737" t="e">
        <f>SUM('Monetary Survey Counterparts'!#REF!)/2</f>
        <v>#REF!</v>
      </c>
      <c r="C62" s="737" t="e">
        <f>SUM('Monetary Survey Counterparts'!#REF!)/2</f>
        <v>#REF!</v>
      </c>
      <c r="D62" s="737" t="e">
        <f>SUM('Monetary Survey Counterparts'!#REF!)/2</f>
        <v>#REF!</v>
      </c>
      <c r="E62" s="737" t="e">
        <f>SUM('Monetary Survey Counterparts'!#REF!)/2</f>
        <v>#REF!</v>
      </c>
      <c r="F62" s="737" t="e">
        <f>SUM('Monetary Survey Counterparts'!#REF!)/2</f>
        <v>#REF!</v>
      </c>
      <c r="G62" s="737" t="e">
        <f>SUM('Monetary Survey Counterparts'!#REF!)/2</f>
        <v>#REF!</v>
      </c>
      <c r="H62" s="737" t="e">
        <f>SUM('Monetary Survey Counterparts'!#REF!)/2</f>
        <v>#REF!</v>
      </c>
      <c r="I62" s="737" t="e">
        <f>SUM('Monetary Survey Counterparts'!#REF!)/2</f>
        <v>#REF!</v>
      </c>
      <c r="J62" s="737" t="e">
        <f>SUM('Monetary Survey Counterparts'!#REF!)/2</f>
        <v>#REF!</v>
      </c>
    </row>
    <row r="63" spans="1:10">
      <c r="A63" s="751" t="s">
        <v>167</v>
      </c>
      <c r="B63" s="737" t="e">
        <f>SUM('Monetary Survey Counterparts'!#REF!)/2</f>
        <v>#REF!</v>
      </c>
      <c r="C63" s="737" t="e">
        <f>SUM('Monetary Survey Counterparts'!#REF!)/2</f>
        <v>#REF!</v>
      </c>
      <c r="D63" s="737" t="e">
        <f>SUM('Monetary Survey Counterparts'!#REF!)/2</f>
        <v>#REF!</v>
      </c>
      <c r="E63" s="737" t="e">
        <f>SUM('Monetary Survey Counterparts'!#REF!)/2</f>
        <v>#REF!</v>
      </c>
      <c r="F63" s="737" t="e">
        <f>SUM('Monetary Survey Counterparts'!#REF!)/2</f>
        <v>#REF!</v>
      </c>
      <c r="G63" s="737" t="e">
        <f>SUM('Monetary Survey Counterparts'!#REF!)/2</f>
        <v>#REF!</v>
      </c>
      <c r="H63" s="737" t="e">
        <f>SUM('Monetary Survey Counterparts'!#REF!)/2</f>
        <v>#REF!</v>
      </c>
      <c r="I63" s="737" t="e">
        <f>SUM('Monetary Survey Counterparts'!#REF!)/2</f>
        <v>#REF!</v>
      </c>
      <c r="J63" s="737" t="e">
        <f>SUM('Monetary Survey Counterparts'!#REF!)/2</f>
        <v>#REF!</v>
      </c>
    </row>
    <row r="64" spans="1:10">
      <c r="A64" s="751" t="s">
        <v>168</v>
      </c>
      <c r="B64" s="737" t="e">
        <f>SUM('Monetary Survey Counterparts'!#REF!)/2</f>
        <v>#REF!</v>
      </c>
      <c r="C64" s="737" t="e">
        <f>SUM('Monetary Survey Counterparts'!#REF!)/2</f>
        <v>#REF!</v>
      </c>
      <c r="D64" s="737" t="e">
        <f>SUM('Monetary Survey Counterparts'!#REF!)/2</f>
        <v>#REF!</v>
      </c>
      <c r="E64" s="737" t="e">
        <f>SUM('Monetary Survey Counterparts'!#REF!)/2</f>
        <v>#REF!</v>
      </c>
      <c r="F64" s="737" t="e">
        <f>SUM('Monetary Survey Counterparts'!#REF!)/2</f>
        <v>#REF!</v>
      </c>
      <c r="G64" s="737" t="e">
        <f>SUM('Monetary Survey Counterparts'!#REF!)/2</f>
        <v>#REF!</v>
      </c>
      <c r="H64" s="737" t="e">
        <f>SUM('Monetary Survey Counterparts'!#REF!)/2</f>
        <v>#REF!</v>
      </c>
      <c r="I64" s="737" t="e">
        <f>SUM('Monetary Survey Counterparts'!#REF!)/2</f>
        <v>#REF!</v>
      </c>
      <c r="J64" s="737" t="e">
        <f>SUM('Monetary Survey Counterparts'!#REF!)/2</f>
        <v>#REF!</v>
      </c>
    </row>
    <row r="65" spans="1:10">
      <c r="A65" s="751" t="s">
        <v>169</v>
      </c>
      <c r="B65" s="737" t="e">
        <f>SUM('Monetary Survey Counterparts'!#REF!)/2</f>
        <v>#REF!</v>
      </c>
      <c r="C65" s="737" t="e">
        <f>SUM('Monetary Survey Counterparts'!#REF!)/2</f>
        <v>#REF!</v>
      </c>
      <c r="D65" s="737" t="e">
        <f>SUM('Monetary Survey Counterparts'!#REF!)/2</f>
        <v>#REF!</v>
      </c>
      <c r="E65" s="737" t="e">
        <f>SUM('Monetary Survey Counterparts'!#REF!)/2</f>
        <v>#REF!</v>
      </c>
      <c r="F65" s="737" t="e">
        <f>SUM('Monetary Survey Counterparts'!#REF!)/2</f>
        <v>#REF!</v>
      </c>
      <c r="G65" s="737" t="e">
        <f>SUM('Monetary Survey Counterparts'!#REF!)/2</f>
        <v>#REF!</v>
      </c>
      <c r="H65" s="737" t="e">
        <f>SUM('Monetary Survey Counterparts'!#REF!)/2</f>
        <v>#REF!</v>
      </c>
      <c r="I65" s="737" t="e">
        <f>SUM('Monetary Survey Counterparts'!#REF!)/2</f>
        <v>#REF!</v>
      </c>
      <c r="J65" s="737" t="e">
        <f>SUM('Monetary Survey Counterparts'!#REF!)/2</f>
        <v>#REF!</v>
      </c>
    </row>
    <row r="66" spans="1:10">
      <c r="A66" s="751" t="s">
        <v>170</v>
      </c>
      <c r="B66" s="737" t="e">
        <f>SUM('Monetary Survey Counterparts'!#REF!)/2</f>
        <v>#REF!</v>
      </c>
      <c r="C66" s="737" t="e">
        <f>SUM('Monetary Survey Counterparts'!#REF!)/2</f>
        <v>#REF!</v>
      </c>
      <c r="D66" s="737" t="e">
        <f>SUM('Monetary Survey Counterparts'!#REF!)/2</f>
        <v>#REF!</v>
      </c>
      <c r="E66" s="737" t="e">
        <f>SUM('Monetary Survey Counterparts'!#REF!)/2</f>
        <v>#REF!</v>
      </c>
      <c r="F66" s="737" t="e">
        <f>SUM('Monetary Survey Counterparts'!#REF!)/2</f>
        <v>#REF!</v>
      </c>
      <c r="G66" s="737" t="e">
        <f>SUM('Monetary Survey Counterparts'!#REF!)/2</f>
        <v>#REF!</v>
      </c>
      <c r="H66" s="737" t="e">
        <f>SUM('Monetary Survey Counterparts'!#REF!)/2</f>
        <v>#REF!</v>
      </c>
      <c r="I66" s="737" t="e">
        <f>SUM('Monetary Survey Counterparts'!#REF!)/2</f>
        <v>#REF!</v>
      </c>
      <c r="J66" s="737" t="e">
        <f>SUM('Monetary Survey Counterparts'!#REF!)/2</f>
        <v>#REF!</v>
      </c>
    </row>
    <row r="67" spans="1:10">
      <c r="A67" s="751" t="s">
        <v>171</v>
      </c>
      <c r="B67" s="737" t="e">
        <f>SUM('Monetary Survey Counterparts'!#REF!)/2</f>
        <v>#REF!</v>
      </c>
      <c r="C67" s="737" t="e">
        <f>SUM('Monetary Survey Counterparts'!#REF!)/2</f>
        <v>#REF!</v>
      </c>
      <c r="D67" s="737" t="e">
        <f>SUM('Monetary Survey Counterparts'!#REF!)/2</f>
        <v>#REF!</v>
      </c>
      <c r="E67" s="737" t="e">
        <f>SUM('Monetary Survey Counterparts'!#REF!)/2</f>
        <v>#REF!</v>
      </c>
      <c r="F67" s="737" t="e">
        <f>SUM('Monetary Survey Counterparts'!#REF!)/2</f>
        <v>#REF!</v>
      </c>
      <c r="G67" s="737" t="e">
        <f>SUM('Monetary Survey Counterparts'!#REF!)/2</f>
        <v>#REF!</v>
      </c>
      <c r="H67" s="737" t="e">
        <f>SUM('Monetary Survey Counterparts'!#REF!)/2</f>
        <v>#REF!</v>
      </c>
      <c r="I67" s="737" t="e">
        <f>SUM('Monetary Survey Counterparts'!#REF!)/2</f>
        <v>#REF!</v>
      </c>
      <c r="J67" s="737" t="e">
        <f>SUM('Monetary Survey Counterparts'!#REF!)/2</f>
        <v>#REF!</v>
      </c>
    </row>
    <row r="68" spans="1:10">
      <c r="A68" s="751" t="s">
        <v>148</v>
      </c>
      <c r="B68" s="737" t="e">
        <f>SUM('Monetary Survey Counterparts'!#REF!)/2</f>
        <v>#REF!</v>
      </c>
      <c r="C68" s="737" t="e">
        <f>SUM('Monetary Survey Counterparts'!#REF!)/2</f>
        <v>#REF!</v>
      </c>
      <c r="D68" s="737" t="e">
        <f>SUM('Monetary Survey Counterparts'!#REF!)/2</f>
        <v>#REF!</v>
      </c>
      <c r="E68" s="737" t="e">
        <f>SUM('Monetary Survey Counterparts'!#REF!)/2</f>
        <v>#REF!</v>
      </c>
      <c r="F68" s="737" t="e">
        <f>SUM('Monetary Survey Counterparts'!#REF!)/2</f>
        <v>#REF!</v>
      </c>
      <c r="G68" s="737" t="e">
        <f>SUM('Monetary Survey Counterparts'!#REF!)/2</f>
        <v>#REF!</v>
      </c>
      <c r="H68" s="737" t="e">
        <f>SUM('Monetary Survey Counterparts'!#REF!)/2</f>
        <v>#REF!</v>
      </c>
      <c r="I68" s="737" t="e">
        <f>SUM('Monetary Survey Counterparts'!#REF!)/2</f>
        <v>#REF!</v>
      </c>
      <c r="J68" s="737" t="e">
        <f>SUM('Monetary Survey Counterparts'!#REF!)/2</f>
        <v>#REF!</v>
      </c>
    </row>
    <row r="69" spans="1:10">
      <c r="A69" s="752" t="s">
        <v>1238</v>
      </c>
      <c r="B69" s="737" t="e">
        <f>SUM('Monetary Survey Counterparts'!#REF!)/2</f>
        <v>#REF!</v>
      </c>
      <c r="C69" s="737" t="e">
        <f>SUM('Monetary Survey Counterparts'!#REF!)/2</f>
        <v>#REF!</v>
      </c>
      <c r="D69" s="737" t="e">
        <f>SUM('Monetary Survey Counterparts'!#REF!)/2</f>
        <v>#REF!</v>
      </c>
      <c r="E69" s="737" t="e">
        <f>SUM('Monetary Survey Counterparts'!#REF!)/2</f>
        <v>#REF!</v>
      </c>
      <c r="F69" s="737" t="e">
        <f>SUM('Monetary Survey Counterparts'!#REF!)/2</f>
        <v>#REF!</v>
      </c>
      <c r="G69" s="737" t="e">
        <f>SUM('Monetary Survey Counterparts'!#REF!)/2</f>
        <v>#REF!</v>
      </c>
      <c r="H69" s="737" t="e">
        <f>SUM('Monetary Survey Counterparts'!#REF!)/2</f>
        <v>#REF!</v>
      </c>
      <c r="I69" s="737" t="e">
        <f>SUM('Monetary Survey Counterparts'!#REF!)/2</f>
        <v>#REF!</v>
      </c>
      <c r="J69" s="737" t="e">
        <f>SUM('Monetary Survey Counterparts'!#REF!)/2</f>
        <v>#REF!</v>
      </c>
    </row>
    <row r="70" spans="1:10">
      <c r="A70" s="751" t="s">
        <v>162</v>
      </c>
      <c r="B70" s="737" t="e">
        <f>SUM('Monetary Survey Counterparts'!#REF!)/2</f>
        <v>#REF!</v>
      </c>
      <c r="C70" s="737" t="e">
        <f>SUM('Monetary Survey Counterparts'!#REF!)/2</f>
        <v>#REF!</v>
      </c>
      <c r="D70" s="737" t="e">
        <f>SUM('Monetary Survey Counterparts'!#REF!)/2</f>
        <v>#REF!</v>
      </c>
      <c r="E70" s="737" t="e">
        <f>SUM('Monetary Survey Counterparts'!#REF!)/2</f>
        <v>#REF!</v>
      </c>
      <c r="F70" s="737" t="e">
        <f>SUM('Monetary Survey Counterparts'!#REF!)/2</f>
        <v>#REF!</v>
      </c>
      <c r="G70" s="737" t="e">
        <f>SUM('Monetary Survey Counterparts'!#REF!)/2</f>
        <v>#REF!</v>
      </c>
      <c r="H70" s="737" t="e">
        <f>SUM('Monetary Survey Counterparts'!#REF!)/2</f>
        <v>#REF!</v>
      </c>
      <c r="I70" s="737" t="e">
        <f>SUM('Monetary Survey Counterparts'!#REF!)/2</f>
        <v>#REF!</v>
      </c>
      <c r="J70" s="737" t="e">
        <f>SUM('Monetary Survey Counterparts'!#REF!)/2</f>
        <v>#REF!</v>
      </c>
    </row>
    <row r="71" spans="1:10">
      <c r="A71" s="751" t="s">
        <v>163</v>
      </c>
      <c r="B71" s="737" t="e">
        <f>SUM('Monetary Survey Counterparts'!#REF!)/2</f>
        <v>#REF!</v>
      </c>
      <c r="C71" s="737" t="e">
        <f>SUM('Monetary Survey Counterparts'!#REF!)/2</f>
        <v>#REF!</v>
      </c>
      <c r="D71" s="737" t="e">
        <f>SUM('Monetary Survey Counterparts'!#REF!)/2</f>
        <v>#REF!</v>
      </c>
      <c r="E71" s="737" t="e">
        <f>SUM('Monetary Survey Counterparts'!#REF!)/2</f>
        <v>#REF!</v>
      </c>
      <c r="F71" s="737" t="e">
        <f>SUM('Monetary Survey Counterparts'!#REF!)/2</f>
        <v>#REF!</v>
      </c>
      <c r="G71" s="737" t="e">
        <f>SUM('Monetary Survey Counterparts'!#REF!)/2</f>
        <v>#REF!</v>
      </c>
      <c r="H71" s="737" t="e">
        <f>SUM('Monetary Survey Counterparts'!#REF!)/2</f>
        <v>#REF!</v>
      </c>
      <c r="I71" s="737" t="e">
        <f>SUM('Monetary Survey Counterparts'!#REF!)/2</f>
        <v>#REF!</v>
      </c>
      <c r="J71" s="737" t="e">
        <f>SUM('Monetary Survey Counterparts'!#REF!)/2</f>
        <v>#REF!</v>
      </c>
    </row>
    <row r="72" spans="1:10">
      <c r="A72" s="751" t="s">
        <v>164</v>
      </c>
      <c r="B72" s="737" t="e">
        <f>SUM('Monetary Survey Counterparts'!#REF!)/2</f>
        <v>#REF!</v>
      </c>
      <c r="C72" s="737" t="e">
        <f>SUM('Monetary Survey Counterparts'!#REF!)/2</f>
        <v>#REF!</v>
      </c>
      <c r="D72" s="737" t="e">
        <f>SUM('Monetary Survey Counterparts'!#REF!)/2</f>
        <v>#REF!</v>
      </c>
      <c r="E72" s="737" t="e">
        <f>SUM('Monetary Survey Counterparts'!#REF!)/2</f>
        <v>#REF!</v>
      </c>
      <c r="F72" s="737" t="e">
        <f>SUM('Monetary Survey Counterparts'!#REF!)/2</f>
        <v>#REF!</v>
      </c>
      <c r="G72" s="737" t="e">
        <f>SUM('Monetary Survey Counterparts'!#REF!)/2</f>
        <v>#REF!</v>
      </c>
      <c r="H72" s="737" t="e">
        <f>SUM('Monetary Survey Counterparts'!#REF!)/2</f>
        <v>#REF!</v>
      </c>
      <c r="I72" s="737" t="e">
        <f>SUM('Monetary Survey Counterparts'!#REF!)/2</f>
        <v>#REF!</v>
      </c>
      <c r="J72" s="737" t="e">
        <f>SUM('Monetary Survey Counterparts'!#REF!)/2</f>
        <v>#REF!</v>
      </c>
    </row>
    <row r="73" spans="1:10">
      <c r="A73" s="751" t="s">
        <v>165</v>
      </c>
      <c r="B73" s="737" t="e">
        <f>SUM('Monetary Survey Counterparts'!#REF!)/2</f>
        <v>#REF!</v>
      </c>
      <c r="C73" s="737" t="e">
        <f>SUM('Monetary Survey Counterparts'!#REF!)/2</f>
        <v>#REF!</v>
      </c>
      <c r="D73" s="737" t="e">
        <f>SUM('Monetary Survey Counterparts'!#REF!)/2</f>
        <v>#REF!</v>
      </c>
      <c r="E73" s="737" t="e">
        <f>SUM('Monetary Survey Counterparts'!#REF!)/2</f>
        <v>#REF!</v>
      </c>
      <c r="F73" s="737" t="e">
        <f>SUM('Monetary Survey Counterparts'!#REF!)/2</f>
        <v>#REF!</v>
      </c>
      <c r="G73" s="737" t="e">
        <f>SUM('Monetary Survey Counterparts'!#REF!)/2</f>
        <v>#REF!</v>
      </c>
      <c r="H73" s="737" t="e">
        <f>SUM('Monetary Survey Counterparts'!#REF!)/2</f>
        <v>#REF!</v>
      </c>
      <c r="I73" s="737" t="e">
        <f>SUM('Monetary Survey Counterparts'!#REF!)/2</f>
        <v>#REF!</v>
      </c>
      <c r="J73" s="737" t="e">
        <f>SUM('Monetary Survey Counterparts'!#REF!)/2</f>
        <v>#REF!</v>
      </c>
    </row>
    <row r="74" spans="1:10">
      <c r="A74" s="751" t="s">
        <v>166</v>
      </c>
      <c r="B74" s="737" t="e">
        <f>SUM('Monetary Survey Counterparts'!#REF!)/2</f>
        <v>#REF!</v>
      </c>
      <c r="C74" s="737" t="e">
        <f>SUM('Monetary Survey Counterparts'!#REF!)/2</f>
        <v>#REF!</v>
      </c>
      <c r="D74" s="737" t="e">
        <f>SUM('Monetary Survey Counterparts'!#REF!)/2</f>
        <v>#REF!</v>
      </c>
      <c r="E74" s="737" t="e">
        <f>SUM('Monetary Survey Counterparts'!#REF!)/2</f>
        <v>#REF!</v>
      </c>
      <c r="F74" s="737" t="e">
        <f>SUM('Monetary Survey Counterparts'!#REF!)/2</f>
        <v>#REF!</v>
      </c>
      <c r="G74" s="737" t="e">
        <f>SUM('Monetary Survey Counterparts'!#REF!)/2</f>
        <v>#REF!</v>
      </c>
      <c r="H74" s="737" t="e">
        <f>SUM('Monetary Survey Counterparts'!#REF!)/2</f>
        <v>#REF!</v>
      </c>
      <c r="I74" s="737" t="e">
        <f>SUM('Monetary Survey Counterparts'!#REF!)/2</f>
        <v>#REF!</v>
      </c>
      <c r="J74" s="737" t="e">
        <f>SUM('Monetary Survey Counterparts'!#REF!)/2</f>
        <v>#REF!</v>
      </c>
    </row>
    <row r="75" spans="1:10">
      <c r="A75" s="751" t="s">
        <v>167</v>
      </c>
      <c r="B75" s="737" t="e">
        <f>SUM('Monetary Survey Counterparts'!#REF!)/2</f>
        <v>#REF!</v>
      </c>
      <c r="C75" s="737" t="e">
        <f>SUM('Monetary Survey Counterparts'!#REF!)/2</f>
        <v>#REF!</v>
      </c>
      <c r="D75" s="737" t="e">
        <f>SUM('Monetary Survey Counterparts'!#REF!)/2</f>
        <v>#REF!</v>
      </c>
      <c r="E75" s="737" t="e">
        <f>SUM('Monetary Survey Counterparts'!#REF!)/2</f>
        <v>#REF!</v>
      </c>
      <c r="F75" s="737" t="e">
        <f>SUM('Monetary Survey Counterparts'!#REF!)/2</f>
        <v>#REF!</v>
      </c>
      <c r="G75" s="737" t="e">
        <f>SUM('Monetary Survey Counterparts'!#REF!)/2</f>
        <v>#REF!</v>
      </c>
      <c r="H75" s="737" t="e">
        <f>SUM('Monetary Survey Counterparts'!#REF!)/2</f>
        <v>#REF!</v>
      </c>
      <c r="I75" s="737" t="e">
        <f>SUM('Monetary Survey Counterparts'!#REF!)/2</f>
        <v>#REF!</v>
      </c>
      <c r="J75" s="737" t="e">
        <f>SUM('Monetary Survey Counterparts'!#REF!)/2</f>
        <v>#REF!</v>
      </c>
    </row>
    <row r="76" spans="1:10">
      <c r="A76" s="751" t="s">
        <v>168</v>
      </c>
      <c r="B76" s="737" t="e">
        <f>SUM('Monetary Survey Counterparts'!#REF!)/2</f>
        <v>#REF!</v>
      </c>
      <c r="C76" s="737" t="e">
        <f>SUM('Monetary Survey Counterparts'!#REF!)/2</f>
        <v>#REF!</v>
      </c>
      <c r="D76" s="737" t="e">
        <f>SUM('Monetary Survey Counterparts'!#REF!)/2</f>
        <v>#REF!</v>
      </c>
      <c r="E76" s="737" t="e">
        <f>SUM('Monetary Survey Counterparts'!#REF!)/2</f>
        <v>#REF!</v>
      </c>
      <c r="F76" s="737" t="e">
        <f>SUM('Monetary Survey Counterparts'!#REF!)/2</f>
        <v>#REF!</v>
      </c>
      <c r="G76" s="737" t="e">
        <f>SUM('Monetary Survey Counterparts'!#REF!)/2</f>
        <v>#REF!</v>
      </c>
      <c r="H76" s="737" t="e">
        <f>SUM('Monetary Survey Counterparts'!#REF!)/2</f>
        <v>#REF!</v>
      </c>
      <c r="I76" s="737" t="e">
        <f>SUM('Monetary Survey Counterparts'!#REF!)/2</f>
        <v>#REF!</v>
      </c>
      <c r="J76" s="737" t="e">
        <f>SUM('Monetary Survey Counterparts'!#REF!)/2</f>
        <v>#REF!</v>
      </c>
    </row>
    <row r="77" spans="1:10">
      <c r="A77" s="751" t="s">
        <v>169</v>
      </c>
      <c r="B77" s="737" t="e">
        <f>SUM('Monetary Survey Counterparts'!#REF!)/2</f>
        <v>#REF!</v>
      </c>
      <c r="C77" s="737" t="e">
        <f>SUM('Monetary Survey Counterparts'!#REF!)/2</f>
        <v>#REF!</v>
      </c>
      <c r="D77" s="737" t="e">
        <f>SUM('Monetary Survey Counterparts'!#REF!)/2</f>
        <v>#REF!</v>
      </c>
      <c r="E77" s="737" t="e">
        <f>SUM('Monetary Survey Counterparts'!#REF!)/2</f>
        <v>#REF!</v>
      </c>
      <c r="F77" s="737" t="e">
        <f>SUM('Monetary Survey Counterparts'!#REF!)/2</f>
        <v>#REF!</v>
      </c>
      <c r="G77" s="737" t="e">
        <f>SUM('Monetary Survey Counterparts'!#REF!)/2</f>
        <v>#REF!</v>
      </c>
      <c r="H77" s="737" t="e">
        <f>SUM('Monetary Survey Counterparts'!#REF!)/2</f>
        <v>#REF!</v>
      </c>
      <c r="I77" s="737" t="e">
        <f>SUM('Monetary Survey Counterparts'!#REF!)/2</f>
        <v>#REF!</v>
      </c>
      <c r="J77" s="737" t="e">
        <f>SUM('Monetary Survey Counterparts'!#REF!)/2</f>
        <v>#REF!</v>
      </c>
    </row>
    <row r="78" spans="1:10">
      <c r="A78" s="751" t="s">
        <v>170</v>
      </c>
      <c r="B78" s="737" t="e">
        <f>SUM('Monetary Survey Counterparts'!#REF!)/2</f>
        <v>#REF!</v>
      </c>
      <c r="C78" s="737" t="e">
        <f>SUM('Monetary Survey Counterparts'!#REF!)/2</f>
        <v>#REF!</v>
      </c>
      <c r="D78" s="737" t="e">
        <f>SUM('Monetary Survey Counterparts'!#REF!)/2</f>
        <v>#REF!</v>
      </c>
      <c r="E78" s="737" t="e">
        <f>SUM('Monetary Survey Counterparts'!#REF!)/2</f>
        <v>#REF!</v>
      </c>
      <c r="F78" s="737" t="e">
        <f>SUM('Monetary Survey Counterparts'!#REF!)/2</f>
        <v>#REF!</v>
      </c>
      <c r="G78" s="737" t="e">
        <f>SUM('Monetary Survey Counterparts'!#REF!)/2</f>
        <v>#REF!</v>
      </c>
      <c r="H78" s="737" t="e">
        <f>SUM('Monetary Survey Counterparts'!#REF!)/2</f>
        <v>#REF!</v>
      </c>
      <c r="I78" s="737" t="e">
        <f>SUM('Monetary Survey Counterparts'!#REF!)/2</f>
        <v>#REF!</v>
      </c>
      <c r="J78" s="737" t="e">
        <f>SUM('Monetary Survey Counterparts'!#REF!)/2</f>
        <v>#REF!</v>
      </c>
    </row>
    <row r="79" spans="1:10">
      <c r="A79" s="751" t="s">
        <v>171</v>
      </c>
      <c r="B79" s="737" t="e">
        <f>SUM('Monetary Survey Counterparts'!#REF!)/2</f>
        <v>#REF!</v>
      </c>
      <c r="C79" s="737" t="e">
        <f>SUM('Monetary Survey Counterparts'!#REF!)/2</f>
        <v>#REF!</v>
      </c>
      <c r="D79" s="737" t="e">
        <f>SUM('Monetary Survey Counterparts'!#REF!)/2</f>
        <v>#REF!</v>
      </c>
      <c r="E79" s="737" t="e">
        <f>SUM('Monetary Survey Counterparts'!#REF!)/2</f>
        <v>#REF!</v>
      </c>
      <c r="F79" s="737" t="e">
        <f>SUM('Monetary Survey Counterparts'!#REF!)/2</f>
        <v>#REF!</v>
      </c>
      <c r="G79" s="737" t="e">
        <f>SUM('Monetary Survey Counterparts'!#REF!)/2</f>
        <v>#REF!</v>
      </c>
      <c r="H79" s="737" t="e">
        <f>SUM('Monetary Survey Counterparts'!#REF!)/2</f>
        <v>#REF!</v>
      </c>
      <c r="I79" s="737" t="e">
        <f>SUM('Monetary Survey Counterparts'!#REF!)/2</f>
        <v>#REF!</v>
      </c>
      <c r="J79" s="737" t="e">
        <f>SUM('Monetary Survey Counterparts'!#REF!)/2</f>
        <v>#REF!</v>
      </c>
    </row>
    <row r="80" spans="1:10">
      <c r="A80" s="751" t="s">
        <v>148</v>
      </c>
      <c r="B80" s="737" t="e">
        <f>SUM('Monetary Survey Counterparts'!#REF!)/2</f>
        <v>#REF!</v>
      </c>
      <c r="C80" s="737" t="e">
        <f>SUM('Monetary Survey Counterparts'!#REF!)/2</f>
        <v>#REF!</v>
      </c>
      <c r="D80" s="737" t="e">
        <f>SUM('Monetary Survey Counterparts'!#REF!)/2</f>
        <v>#REF!</v>
      </c>
      <c r="E80" s="737" t="e">
        <f>SUM('Monetary Survey Counterparts'!#REF!)/2</f>
        <v>#REF!</v>
      </c>
      <c r="F80" s="737" t="e">
        <f>SUM('Monetary Survey Counterparts'!#REF!)/2</f>
        <v>#REF!</v>
      </c>
      <c r="G80" s="737" t="e">
        <f>SUM('Monetary Survey Counterparts'!#REF!)/2</f>
        <v>#REF!</v>
      </c>
      <c r="H80" s="737" t="e">
        <f>SUM('Monetary Survey Counterparts'!#REF!)/2</f>
        <v>#REF!</v>
      </c>
      <c r="I80" s="737" t="e">
        <f>SUM('Monetary Survey Counterparts'!#REF!)/2</f>
        <v>#REF!</v>
      </c>
      <c r="J80" s="737" t="e">
        <f>SUM('Monetary Survey Counterparts'!#REF!)/2</f>
        <v>#REF!</v>
      </c>
    </row>
    <row r="81" spans="1:10">
      <c r="A81" s="752" t="s">
        <v>1239</v>
      </c>
      <c r="B81" s="737" t="e">
        <f>SUM('Monetary Survey Counterparts'!#REF!)/2</f>
        <v>#REF!</v>
      </c>
      <c r="C81" s="737" t="e">
        <f>SUM('Monetary Survey Counterparts'!#REF!)/2</f>
        <v>#REF!</v>
      </c>
      <c r="D81" s="737" t="e">
        <f>SUM('Monetary Survey Counterparts'!#REF!)/2</f>
        <v>#REF!</v>
      </c>
      <c r="E81" s="737" t="e">
        <f>SUM('Monetary Survey Counterparts'!#REF!)/2</f>
        <v>#REF!</v>
      </c>
      <c r="F81" s="737" t="e">
        <f>SUM('Monetary Survey Counterparts'!#REF!)/2</f>
        <v>#REF!</v>
      </c>
      <c r="G81" s="737" t="e">
        <f>SUM('Monetary Survey Counterparts'!#REF!)/2</f>
        <v>#REF!</v>
      </c>
      <c r="H81" s="737" t="e">
        <f>SUM('Monetary Survey Counterparts'!#REF!)/2</f>
        <v>#REF!</v>
      </c>
      <c r="I81" s="737" t="e">
        <f>SUM('Monetary Survey Counterparts'!#REF!)/2</f>
        <v>#REF!</v>
      </c>
      <c r="J81" s="737" t="e">
        <f>SUM('Monetary Survey Counterparts'!#REF!)/2</f>
        <v>#REF!</v>
      </c>
    </row>
    <row r="82" spans="1:10">
      <c r="A82" s="751" t="s">
        <v>162</v>
      </c>
      <c r="B82" s="737" t="e">
        <f>SUM('Monetary Survey Counterparts'!#REF!)/2</f>
        <v>#REF!</v>
      </c>
      <c r="C82" s="737" t="e">
        <f>SUM('Monetary Survey Counterparts'!#REF!)/2</f>
        <v>#REF!</v>
      </c>
      <c r="D82" s="737" t="e">
        <f>SUM('Monetary Survey Counterparts'!#REF!)/2</f>
        <v>#REF!</v>
      </c>
      <c r="E82" s="737" t="e">
        <f>SUM('Monetary Survey Counterparts'!#REF!)/2</f>
        <v>#REF!</v>
      </c>
      <c r="F82" s="737" t="e">
        <f>SUM('Monetary Survey Counterparts'!#REF!)/2</f>
        <v>#REF!</v>
      </c>
      <c r="G82" s="737" t="e">
        <f>SUM('Monetary Survey Counterparts'!#REF!)/2</f>
        <v>#REF!</v>
      </c>
      <c r="H82" s="737" t="e">
        <f>SUM('Monetary Survey Counterparts'!#REF!)/2</f>
        <v>#REF!</v>
      </c>
      <c r="I82" s="737" t="e">
        <f>SUM('Monetary Survey Counterparts'!#REF!)/2</f>
        <v>#REF!</v>
      </c>
      <c r="J82" s="737" t="e">
        <f>SUM('Monetary Survey Counterparts'!#REF!)/2</f>
        <v>#REF!</v>
      </c>
    </row>
    <row r="83" spans="1:10">
      <c r="A83" s="751" t="s">
        <v>163</v>
      </c>
      <c r="B83" s="737" t="e">
        <f>SUM('Monetary Survey Counterparts'!#REF!)/2</f>
        <v>#REF!</v>
      </c>
      <c r="C83" s="737" t="e">
        <f>SUM('Monetary Survey Counterparts'!#REF!)/2</f>
        <v>#REF!</v>
      </c>
      <c r="D83" s="737" t="e">
        <f>SUM('Monetary Survey Counterparts'!#REF!)/2</f>
        <v>#REF!</v>
      </c>
      <c r="E83" s="737" t="e">
        <f>SUM('Monetary Survey Counterparts'!#REF!)/2</f>
        <v>#REF!</v>
      </c>
      <c r="F83" s="737" t="e">
        <f>SUM('Monetary Survey Counterparts'!#REF!)/2</f>
        <v>#REF!</v>
      </c>
      <c r="G83" s="737" t="e">
        <f>SUM('Monetary Survey Counterparts'!#REF!)/2</f>
        <v>#REF!</v>
      </c>
      <c r="H83" s="737" t="e">
        <f>SUM('Monetary Survey Counterparts'!#REF!)/2</f>
        <v>#REF!</v>
      </c>
      <c r="I83" s="737" t="e">
        <f>SUM('Monetary Survey Counterparts'!#REF!)/2</f>
        <v>#REF!</v>
      </c>
      <c r="J83" s="737" t="e">
        <f>SUM('Monetary Survey Counterparts'!#REF!)/2</f>
        <v>#REF!</v>
      </c>
    </row>
    <row r="84" spans="1:10">
      <c r="A84" s="751" t="s">
        <v>164</v>
      </c>
      <c r="B84" s="737" t="e">
        <f>SUM('Monetary Survey Counterparts'!#REF!)/2</f>
        <v>#REF!</v>
      </c>
      <c r="C84" s="737" t="e">
        <f>SUM('Monetary Survey Counterparts'!#REF!)/2</f>
        <v>#REF!</v>
      </c>
      <c r="D84" s="737" t="e">
        <f>SUM('Monetary Survey Counterparts'!#REF!)/2</f>
        <v>#REF!</v>
      </c>
      <c r="E84" s="737" t="e">
        <f>SUM('Monetary Survey Counterparts'!#REF!)/2</f>
        <v>#REF!</v>
      </c>
      <c r="F84" s="737" t="e">
        <f>SUM('Monetary Survey Counterparts'!#REF!)/2</f>
        <v>#REF!</v>
      </c>
      <c r="G84" s="737" t="e">
        <f>SUM('Monetary Survey Counterparts'!#REF!)/2</f>
        <v>#REF!</v>
      </c>
      <c r="H84" s="737" t="e">
        <f>SUM('Monetary Survey Counterparts'!#REF!)/2</f>
        <v>#REF!</v>
      </c>
      <c r="I84" s="737" t="e">
        <f>SUM('Monetary Survey Counterparts'!#REF!)/2</f>
        <v>#REF!</v>
      </c>
      <c r="J84" s="737" t="e">
        <f>SUM('Monetary Survey Counterparts'!#REF!)/2</f>
        <v>#REF!</v>
      </c>
    </row>
    <row r="85" spans="1:10">
      <c r="A85" s="751" t="s">
        <v>165</v>
      </c>
      <c r="B85" s="737" t="e">
        <f>SUM('Monetary Survey Counterparts'!#REF!)/2</f>
        <v>#REF!</v>
      </c>
      <c r="C85" s="737" t="e">
        <f>SUM('Monetary Survey Counterparts'!#REF!)/2</f>
        <v>#REF!</v>
      </c>
      <c r="D85" s="737" t="e">
        <f>SUM('Monetary Survey Counterparts'!#REF!)/2</f>
        <v>#REF!</v>
      </c>
      <c r="E85" s="737" t="e">
        <f>SUM('Monetary Survey Counterparts'!#REF!)/2</f>
        <v>#REF!</v>
      </c>
      <c r="F85" s="737" t="e">
        <f>SUM('Monetary Survey Counterparts'!#REF!)/2</f>
        <v>#REF!</v>
      </c>
      <c r="G85" s="737" t="e">
        <f>SUM('Monetary Survey Counterparts'!#REF!)/2</f>
        <v>#REF!</v>
      </c>
      <c r="H85" s="737" t="e">
        <f>SUM('Monetary Survey Counterparts'!#REF!)/2</f>
        <v>#REF!</v>
      </c>
      <c r="I85" s="737" t="e">
        <f>SUM('Monetary Survey Counterparts'!#REF!)/2</f>
        <v>#REF!</v>
      </c>
      <c r="J85" s="737" t="e">
        <f>SUM('Monetary Survey Counterparts'!#REF!)/2</f>
        <v>#REF!</v>
      </c>
    </row>
    <row r="86" spans="1:10">
      <c r="A86" s="751" t="s">
        <v>166</v>
      </c>
      <c r="B86" s="737" t="e">
        <f>SUM('Monetary Survey Counterparts'!#REF!)/2</f>
        <v>#REF!</v>
      </c>
      <c r="C86" s="737" t="e">
        <f>SUM('Monetary Survey Counterparts'!#REF!)/2</f>
        <v>#REF!</v>
      </c>
      <c r="D86" s="737" t="e">
        <f>SUM('Monetary Survey Counterparts'!#REF!)/2</f>
        <v>#REF!</v>
      </c>
      <c r="E86" s="737" t="e">
        <f>SUM('Monetary Survey Counterparts'!#REF!)/2</f>
        <v>#REF!</v>
      </c>
      <c r="F86" s="737" t="e">
        <f>SUM('Monetary Survey Counterparts'!#REF!)/2</f>
        <v>#REF!</v>
      </c>
      <c r="G86" s="737" t="e">
        <f>SUM('Monetary Survey Counterparts'!#REF!)/2</f>
        <v>#REF!</v>
      </c>
      <c r="H86" s="737" t="e">
        <f>SUM('Monetary Survey Counterparts'!#REF!)/2</f>
        <v>#REF!</v>
      </c>
      <c r="I86" s="737" t="e">
        <f>SUM('Monetary Survey Counterparts'!#REF!)/2</f>
        <v>#REF!</v>
      </c>
      <c r="J86" s="737" t="e">
        <f>SUM('Monetary Survey Counterparts'!#REF!)/2</f>
        <v>#REF!</v>
      </c>
    </row>
    <row r="87" spans="1:10">
      <c r="A87" s="751" t="s">
        <v>167</v>
      </c>
      <c r="B87" s="737" t="e">
        <f>SUM('Monetary Survey Counterparts'!#REF!)/2</f>
        <v>#REF!</v>
      </c>
      <c r="C87" s="737" t="e">
        <f>SUM('Monetary Survey Counterparts'!#REF!)/2</f>
        <v>#REF!</v>
      </c>
      <c r="D87" s="737" t="e">
        <f>SUM('Monetary Survey Counterparts'!#REF!)/2</f>
        <v>#REF!</v>
      </c>
      <c r="E87" s="737" t="e">
        <f>SUM('Monetary Survey Counterparts'!#REF!)/2</f>
        <v>#REF!</v>
      </c>
      <c r="F87" s="737" t="e">
        <f>SUM('Monetary Survey Counterparts'!#REF!)/2</f>
        <v>#REF!</v>
      </c>
      <c r="G87" s="737" t="e">
        <f>SUM('Monetary Survey Counterparts'!#REF!)/2</f>
        <v>#REF!</v>
      </c>
      <c r="H87" s="737" t="e">
        <f>SUM('Monetary Survey Counterparts'!#REF!)/2</f>
        <v>#REF!</v>
      </c>
      <c r="I87" s="737" t="e">
        <f>SUM('Monetary Survey Counterparts'!#REF!)/2</f>
        <v>#REF!</v>
      </c>
      <c r="J87" s="737" t="e">
        <f>SUM('Monetary Survey Counterparts'!#REF!)/2</f>
        <v>#REF!</v>
      </c>
    </row>
    <row r="88" spans="1:10">
      <c r="A88" s="751" t="s">
        <v>168</v>
      </c>
      <c r="B88" s="737" t="e">
        <f>SUM('Monetary Survey Counterparts'!#REF!)/2</f>
        <v>#REF!</v>
      </c>
      <c r="C88" s="737" t="e">
        <f>SUM('Monetary Survey Counterparts'!#REF!)/2</f>
        <v>#REF!</v>
      </c>
      <c r="D88" s="737" t="e">
        <f>SUM('Monetary Survey Counterparts'!#REF!)/2</f>
        <v>#REF!</v>
      </c>
      <c r="E88" s="737" t="e">
        <f>SUM('Monetary Survey Counterparts'!#REF!)/2</f>
        <v>#REF!</v>
      </c>
      <c r="F88" s="737" t="e">
        <f>SUM('Monetary Survey Counterparts'!#REF!)/2</f>
        <v>#REF!</v>
      </c>
      <c r="G88" s="737" t="e">
        <f>SUM('Monetary Survey Counterparts'!#REF!)/2</f>
        <v>#REF!</v>
      </c>
      <c r="H88" s="737" t="e">
        <f>SUM('Monetary Survey Counterparts'!#REF!)/2</f>
        <v>#REF!</v>
      </c>
      <c r="I88" s="737" t="e">
        <f>SUM('Monetary Survey Counterparts'!#REF!)/2</f>
        <v>#REF!</v>
      </c>
      <c r="J88" s="737" t="e">
        <f>SUM('Monetary Survey Counterparts'!#REF!)/2</f>
        <v>#REF!</v>
      </c>
    </row>
    <row r="89" spans="1:10">
      <c r="A89" s="751" t="s">
        <v>169</v>
      </c>
      <c r="B89" s="737" t="e">
        <f>SUM('Monetary Survey Counterparts'!#REF!)/2</f>
        <v>#REF!</v>
      </c>
      <c r="C89" s="737" t="e">
        <f>SUM('Monetary Survey Counterparts'!#REF!)/2</f>
        <v>#REF!</v>
      </c>
      <c r="D89" s="737" t="e">
        <f>SUM('Monetary Survey Counterparts'!#REF!)/2</f>
        <v>#REF!</v>
      </c>
      <c r="E89" s="737" t="e">
        <f>SUM('Monetary Survey Counterparts'!#REF!)/2</f>
        <v>#REF!</v>
      </c>
      <c r="F89" s="737" t="e">
        <f>SUM('Monetary Survey Counterparts'!#REF!)/2</f>
        <v>#REF!</v>
      </c>
      <c r="G89" s="737" t="e">
        <f>SUM('Monetary Survey Counterparts'!#REF!)/2</f>
        <v>#REF!</v>
      </c>
      <c r="H89" s="737" t="e">
        <f>SUM('Monetary Survey Counterparts'!#REF!)/2</f>
        <v>#REF!</v>
      </c>
      <c r="I89" s="737" t="e">
        <f>SUM('Monetary Survey Counterparts'!#REF!)/2</f>
        <v>#REF!</v>
      </c>
      <c r="J89" s="737" t="e">
        <f>SUM('Monetary Survey Counterparts'!#REF!)/2</f>
        <v>#REF!</v>
      </c>
    </row>
    <row r="90" spans="1:10">
      <c r="A90" s="751" t="s">
        <v>170</v>
      </c>
      <c r="B90" s="737" t="e">
        <f>SUM('Monetary Survey Counterparts'!#REF!)/2</f>
        <v>#REF!</v>
      </c>
      <c r="C90" s="737" t="e">
        <f>SUM('Monetary Survey Counterparts'!#REF!)/2</f>
        <v>#REF!</v>
      </c>
      <c r="D90" s="737" t="e">
        <f>SUM('Monetary Survey Counterparts'!#REF!)/2</f>
        <v>#REF!</v>
      </c>
      <c r="E90" s="737" t="e">
        <f>SUM('Monetary Survey Counterparts'!#REF!)/2</f>
        <v>#REF!</v>
      </c>
      <c r="F90" s="737" t="e">
        <f>SUM('Monetary Survey Counterparts'!#REF!)/2</f>
        <v>#REF!</v>
      </c>
      <c r="G90" s="737" t="e">
        <f>SUM('Monetary Survey Counterparts'!#REF!)/2</f>
        <v>#REF!</v>
      </c>
      <c r="H90" s="737" t="e">
        <f>SUM('Monetary Survey Counterparts'!#REF!)/2</f>
        <v>#REF!</v>
      </c>
      <c r="I90" s="737" t="e">
        <f>SUM('Monetary Survey Counterparts'!#REF!)/2</f>
        <v>#REF!</v>
      </c>
      <c r="J90" s="737" t="e">
        <f>SUM('Monetary Survey Counterparts'!#REF!)/2</f>
        <v>#REF!</v>
      </c>
    </row>
    <row r="91" spans="1:10">
      <c r="A91" s="751" t="s">
        <v>171</v>
      </c>
      <c r="B91" s="737" t="e">
        <f>SUM('Monetary Survey Counterparts'!#REF!)/2</f>
        <v>#REF!</v>
      </c>
      <c r="C91" s="737" t="e">
        <f>SUM('Monetary Survey Counterparts'!#REF!)/2</f>
        <v>#REF!</v>
      </c>
      <c r="D91" s="737" t="e">
        <f>SUM('Monetary Survey Counterparts'!#REF!)/2</f>
        <v>#REF!</v>
      </c>
      <c r="E91" s="737" t="e">
        <f>SUM('Monetary Survey Counterparts'!#REF!)/2</f>
        <v>#REF!</v>
      </c>
      <c r="F91" s="737" t="e">
        <f>SUM('Monetary Survey Counterparts'!#REF!)/2</f>
        <v>#REF!</v>
      </c>
      <c r="G91" s="737" t="e">
        <f>SUM('Monetary Survey Counterparts'!#REF!)/2</f>
        <v>#REF!</v>
      </c>
      <c r="H91" s="737" t="e">
        <f>SUM('Monetary Survey Counterparts'!#REF!)/2</f>
        <v>#REF!</v>
      </c>
      <c r="I91" s="737" t="e">
        <f>SUM('Monetary Survey Counterparts'!#REF!)/2</f>
        <v>#REF!</v>
      </c>
      <c r="J91" s="737" t="e">
        <f>SUM('Monetary Survey Counterparts'!#REF!)/2</f>
        <v>#REF!</v>
      </c>
    </row>
    <row r="92" spans="1:10">
      <c r="A92" s="751" t="s">
        <v>148</v>
      </c>
      <c r="B92" s="737" t="e">
        <f>SUM('Monetary Survey Counterparts'!#REF!)/2</f>
        <v>#REF!</v>
      </c>
      <c r="C92" s="737" t="e">
        <f>SUM('Monetary Survey Counterparts'!#REF!)/2</f>
        <v>#REF!</v>
      </c>
      <c r="D92" s="737" t="e">
        <f>SUM('Monetary Survey Counterparts'!#REF!)/2</f>
        <v>#REF!</v>
      </c>
      <c r="E92" s="737" t="e">
        <f>SUM('Monetary Survey Counterparts'!#REF!)/2</f>
        <v>#REF!</v>
      </c>
      <c r="F92" s="737" t="e">
        <f>SUM('Monetary Survey Counterparts'!#REF!)/2</f>
        <v>#REF!</v>
      </c>
      <c r="G92" s="737" t="e">
        <f>SUM('Monetary Survey Counterparts'!#REF!)/2</f>
        <v>#REF!</v>
      </c>
      <c r="H92" s="737" t="e">
        <f>SUM('Monetary Survey Counterparts'!#REF!)/2</f>
        <v>#REF!</v>
      </c>
      <c r="I92" s="737" t="e">
        <f>SUM('Monetary Survey Counterparts'!#REF!)/2</f>
        <v>#REF!</v>
      </c>
      <c r="J92" s="737" t="e">
        <f>SUM('Monetary Survey Counterparts'!#REF!)/2</f>
        <v>#REF!</v>
      </c>
    </row>
    <row r="93" spans="1:10">
      <c r="A93" s="752" t="s">
        <v>58</v>
      </c>
      <c r="B93" s="737" t="e">
        <f>SUM('Monetary Survey Counterparts'!#REF!)/2</f>
        <v>#REF!</v>
      </c>
      <c r="C93" s="737" t="e">
        <f>SUM('Monetary Survey Counterparts'!#REF!)/2</f>
        <v>#REF!</v>
      </c>
      <c r="D93" s="737" t="e">
        <f>SUM('Monetary Survey Counterparts'!#REF!)/2</f>
        <v>#REF!</v>
      </c>
      <c r="E93" s="737" t="e">
        <f>SUM('Monetary Survey Counterparts'!#REF!)/2</f>
        <v>#REF!</v>
      </c>
      <c r="F93" s="737" t="e">
        <f>SUM('Monetary Survey Counterparts'!#REF!)/2</f>
        <v>#REF!</v>
      </c>
      <c r="G93" s="737" t="e">
        <f>SUM('Monetary Survey Counterparts'!#REF!)/2</f>
        <v>#REF!</v>
      </c>
      <c r="H93" s="737" t="e">
        <f>SUM('Monetary Survey Counterparts'!#REF!)/2</f>
        <v>#REF!</v>
      </c>
      <c r="I93" s="737" t="e">
        <f>SUM('Monetary Survey Counterparts'!#REF!)/2</f>
        <v>#REF!</v>
      </c>
      <c r="J93" s="737" t="e">
        <f>SUM('Monetary Survey Counterparts'!#REF!)/2</f>
        <v>#REF!</v>
      </c>
    </row>
    <row r="94" spans="1:10">
      <c r="A94" s="751" t="s">
        <v>162</v>
      </c>
      <c r="B94" s="737" t="e">
        <f>SUM('Monetary Survey Counterparts'!#REF!)/2</f>
        <v>#REF!</v>
      </c>
      <c r="C94" s="737" t="e">
        <f>SUM('Monetary Survey Counterparts'!#REF!)/2</f>
        <v>#REF!</v>
      </c>
      <c r="D94" s="737" t="e">
        <f>SUM('Monetary Survey Counterparts'!#REF!)/2</f>
        <v>#REF!</v>
      </c>
      <c r="E94" s="737" t="e">
        <f>SUM('Monetary Survey Counterparts'!#REF!)/2</f>
        <v>#REF!</v>
      </c>
      <c r="F94" s="737" t="e">
        <f>SUM('Monetary Survey Counterparts'!#REF!)/2</f>
        <v>#REF!</v>
      </c>
      <c r="G94" s="737" t="e">
        <f>SUM('Monetary Survey Counterparts'!#REF!)/2</f>
        <v>#REF!</v>
      </c>
      <c r="H94" s="737" t="e">
        <f>SUM('Monetary Survey Counterparts'!#REF!)/2</f>
        <v>#REF!</v>
      </c>
      <c r="I94" s="737" t="e">
        <f>SUM('Monetary Survey Counterparts'!#REF!)/2</f>
        <v>#REF!</v>
      </c>
      <c r="J94" s="737" t="e">
        <f>SUM('Monetary Survey Counterparts'!#REF!)/2</f>
        <v>#REF!</v>
      </c>
    </row>
    <row r="95" spans="1:10">
      <c r="A95" s="751" t="s">
        <v>163</v>
      </c>
      <c r="B95" s="737" t="e">
        <f>SUM('Monetary Survey Counterparts'!#REF!)/2</f>
        <v>#REF!</v>
      </c>
      <c r="C95" s="737" t="e">
        <f>SUM('Monetary Survey Counterparts'!#REF!)/2</f>
        <v>#REF!</v>
      </c>
      <c r="D95" s="737" t="e">
        <f>SUM('Monetary Survey Counterparts'!#REF!)/2</f>
        <v>#REF!</v>
      </c>
      <c r="E95" s="737" t="e">
        <f>SUM('Monetary Survey Counterparts'!#REF!)/2</f>
        <v>#REF!</v>
      </c>
      <c r="F95" s="737" t="e">
        <f>SUM('Monetary Survey Counterparts'!#REF!)/2</f>
        <v>#REF!</v>
      </c>
      <c r="G95" s="737" t="e">
        <f>SUM('Monetary Survey Counterparts'!#REF!)/2</f>
        <v>#REF!</v>
      </c>
      <c r="H95" s="737" t="e">
        <f>SUM('Monetary Survey Counterparts'!#REF!)/2</f>
        <v>#REF!</v>
      </c>
      <c r="I95" s="737" t="e">
        <f>SUM('Monetary Survey Counterparts'!#REF!)/2</f>
        <v>#REF!</v>
      </c>
      <c r="J95" s="737" t="e">
        <f>SUM('Monetary Survey Counterparts'!#REF!)/2</f>
        <v>#REF!</v>
      </c>
    </row>
    <row r="96" spans="1:10">
      <c r="A96" s="751" t="s">
        <v>164</v>
      </c>
      <c r="B96" s="737" t="e">
        <f>SUM('Monetary Survey Counterparts'!#REF!)/2</f>
        <v>#REF!</v>
      </c>
      <c r="C96" s="737" t="e">
        <f>SUM('Monetary Survey Counterparts'!#REF!)/2</f>
        <v>#REF!</v>
      </c>
      <c r="D96" s="737" t="e">
        <f>SUM('Monetary Survey Counterparts'!#REF!)/2</f>
        <v>#REF!</v>
      </c>
      <c r="E96" s="737" t="e">
        <f>SUM('Monetary Survey Counterparts'!#REF!)/2</f>
        <v>#REF!</v>
      </c>
      <c r="F96" s="737" t="e">
        <f>SUM('Monetary Survey Counterparts'!#REF!)/2</f>
        <v>#REF!</v>
      </c>
      <c r="G96" s="737" t="e">
        <f>SUM('Monetary Survey Counterparts'!#REF!)/2</f>
        <v>#REF!</v>
      </c>
      <c r="H96" s="737" t="e">
        <f>SUM('Monetary Survey Counterparts'!#REF!)/2</f>
        <v>#REF!</v>
      </c>
      <c r="I96" s="737" t="e">
        <f>SUM('Monetary Survey Counterparts'!#REF!)/2</f>
        <v>#REF!</v>
      </c>
      <c r="J96" s="737" t="e">
        <f>SUM('Monetary Survey Counterparts'!#REF!)/2</f>
        <v>#REF!</v>
      </c>
    </row>
    <row r="97" spans="1:10">
      <c r="A97" s="751" t="s">
        <v>165</v>
      </c>
      <c r="B97" s="737" t="e">
        <f>SUM('Monetary Survey Counterparts'!#REF!)/2</f>
        <v>#REF!</v>
      </c>
      <c r="C97" s="737" t="e">
        <f>SUM('Monetary Survey Counterparts'!#REF!)/2</f>
        <v>#REF!</v>
      </c>
      <c r="D97" s="737" t="e">
        <f>SUM('Monetary Survey Counterparts'!#REF!)/2</f>
        <v>#REF!</v>
      </c>
      <c r="E97" s="737" t="e">
        <f>SUM('Monetary Survey Counterparts'!#REF!)/2</f>
        <v>#REF!</v>
      </c>
      <c r="F97" s="737" t="e">
        <f>SUM('Monetary Survey Counterparts'!#REF!)/2</f>
        <v>#REF!</v>
      </c>
      <c r="G97" s="737" t="e">
        <f>SUM('Monetary Survey Counterparts'!#REF!)/2</f>
        <v>#REF!</v>
      </c>
      <c r="H97" s="737" t="e">
        <f>SUM('Monetary Survey Counterparts'!#REF!)/2</f>
        <v>#REF!</v>
      </c>
      <c r="I97" s="737" t="e">
        <f>SUM('Monetary Survey Counterparts'!#REF!)/2</f>
        <v>#REF!</v>
      </c>
      <c r="J97" s="737" t="e">
        <f>SUM('Monetary Survey Counterparts'!#REF!)/2</f>
        <v>#REF!</v>
      </c>
    </row>
    <row r="98" spans="1:10">
      <c r="A98" s="751" t="s">
        <v>166</v>
      </c>
      <c r="B98" s="737" t="e">
        <f>SUM('Monetary Survey Counterparts'!#REF!)/2</f>
        <v>#REF!</v>
      </c>
      <c r="C98" s="737" t="e">
        <f>SUM('Monetary Survey Counterparts'!#REF!)/2</f>
        <v>#REF!</v>
      </c>
      <c r="D98" s="737" t="e">
        <f>SUM('Monetary Survey Counterparts'!#REF!)/2</f>
        <v>#REF!</v>
      </c>
      <c r="E98" s="737" t="e">
        <f>SUM('Monetary Survey Counterparts'!#REF!)/2</f>
        <v>#REF!</v>
      </c>
      <c r="F98" s="737" t="e">
        <f>SUM('Monetary Survey Counterparts'!#REF!)/2</f>
        <v>#REF!</v>
      </c>
      <c r="G98" s="737" t="e">
        <f>SUM('Monetary Survey Counterparts'!#REF!)/2</f>
        <v>#REF!</v>
      </c>
      <c r="H98" s="737" t="e">
        <f>SUM('Monetary Survey Counterparts'!#REF!)/2</f>
        <v>#REF!</v>
      </c>
      <c r="I98" s="737" t="e">
        <f>SUM('Monetary Survey Counterparts'!#REF!)/2</f>
        <v>#REF!</v>
      </c>
      <c r="J98" s="737" t="e">
        <f>SUM('Monetary Survey Counterparts'!#REF!)/2</f>
        <v>#REF!</v>
      </c>
    </row>
    <row r="99" spans="1:10">
      <c r="A99" s="751" t="s">
        <v>167</v>
      </c>
      <c r="B99" s="737" t="e">
        <f>SUM('Monetary Survey Counterparts'!#REF!)/2</f>
        <v>#REF!</v>
      </c>
      <c r="C99" s="737" t="e">
        <f>SUM('Monetary Survey Counterparts'!#REF!)/2</f>
        <v>#REF!</v>
      </c>
      <c r="D99" s="737" t="e">
        <f>SUM('Monetary Survey Counterparts'!#REF!)/2</f>
        <v>#REF!</v>
      </c>
      <c r="E99" s="737" t="e">
        <f>SUM('Monetary Survey Counterparts'!#REF!)/2</f>
        <v>#REF!</v>
      </c>
      <c r="F99" s="737" t="e">
        <f>SUM('Monetary Survey Counterparts'!#REF!)/2</f>
        <v>#REF!</v>
      </c>
      <c r="G99" s="737" t="e">
        <f>SUM('Monetary Survey Counterparts'!#REF!)/2</f>
        <v>#REF!</v>
      </c>
      <c r="H99" s="737" t="e">
        <f>SUM('Monetary Survey Counterparts'!#REF!)/2</f>
        <v>#REF!</v>
      </c>
      <c r="I99" s="737" t="e">
        <f>SUM('Monetary Survey Counterparts'!#REF!)/2</f>
        <v>#REF!</v>
      </c>
      <c r="J99" s="737" t="e">
        <f>SUM('Monetary Survey Counterparts'!#REF!)/2</f>
        <v>#REF!</v>
      </c>
    </row>
    <row r="100" spans="1:10">
      <c r="A100" s="751" t="s">
        <v>168</v>
      </c>
      <c r="B100" s="737" t="e">
        <f>SUM('Monetary Survey Counterparts'!#REF!)/2</f>
        <v>#REF!</v>
      </c>
      <c r="C100" s="737" t="e">
        <f>SUM('Monetary Survey Counterparts'!#REF!)/2</f>
        <v>#REF!</v>
      </c>
      <c r="D100" s="737" t="e">
        <f>SUM('Monetary Survey Counterparts'!#REF!)/2</f>
        <v>#REF!</v>
      </c>
      <c r="E100" s="737" t="e">
        <f>SUM('Monetary Survey Counterparts'!#REF!)/2</f>
        <v>#REF!</v>
      </c>
      <c r="F100" s="737" t="e">
        <f>SUM('Monetary Survey Counterparts'!#REF!)/2</f>
        <v>#REF!</v>
      </c>
      <c r="G100" s="737" t="e">
        <f>SUM('Monetary Survey Counterparts'!#REF!)/2</f>
        <v>#REF!</v>
      </c>
      <c r="H100" s="737" t="e">
        <f>SUM('Monetary Survey Counterparts'!#REF!)/2</f>
        <v>#REF!</v>
      </c>
      <c r="I100" s="737" t="e">
        <f>SUM('Monetary Survey Counterparts'!#REF!)/2</f>
        <v>#REF!</v>
      </c>
      <c r="J100" s="737" t="e">
        <f>SUM('Monetary Survey Counterparts'!#REF!)/2</f>
        <v>#REF!</v>
      </c>
    </row>
    <row r="101" spans="1:10">
      <c r="A101" s="751" t="s">
        <v>169</v>
      </c>
      <c r="B101" s="737" t="e">
        <f>SUM('Monetary Survey Counterparts'!#REF!)/2</f>
        <v>#REF!</v>
      </c>
      <c r="C101" s="737" t="e">
        <f>SUM('Monetary Survey Counterparts'!#REF!)/2</f>
        <v>#REF!</v>
      </c>
      <c r="D101" s="737" t="e">
        <f>SUM('Monetary Survey Counterparts'!#REF!)/2</f>
        <v>#REF!</v>
      </c>
      <c r="E101" s="737" t="e">
        <f>SUM('Monetary Survey Counterparts'!#REF!)/2</f>
        <v>#REF!</v>
      </c>
      <c r="F101" s="737" t="e">
        <f>SUM('Monetary Survey Counterparts'!#REF!)/2</f>
        <v>#REF!</v>
      </c>
      <c r="G101" s="737" t="e">
        <f>SUM('Monetary Survey Counterparts'!#REF!)/2</f>
        <v>#REF!</v>
      </c>
      <c r="H101" s="737" t="e">
        <f>SUM('Monetary Survey Counterparts'!#REF!)/2</f>
        <v>#REF!</v>
      </c>
      <c r="I101" s="737" t="e">
        <f>SUM('Monetary Survey Counterparts'!#REF!)/2</f>
        <v>#REF!</v>
      </c>
      <c r="J101" s="737" t="e">
        <f>SUM('Monetary Survey Counterparts'!#REF!)/2</f>
        <v>#REF!</v>
      </c>
    </row>
    <row r="102" spans="1:10">
      <c r="A102" s="751" t="s">
        <v>170</v>
      </c>
      <c r="B102" s="737" t="e">
        <f>SUM('Monetary Survey Counterparts'!#REF!)/2</f>
        <v>#REF!</v>
      </c>
      <c r="C102" s="737" t="e">
        <f>SUM('Monetary Survey Counterparts'!#REF!)/2</f>
        <v>#REF!</v>
      </c>
      <c r="D102" s="737" t="e">
        <f>SUM('Monetary Survey Counterparts'!#REF!)/2</f>
        <v>#REF!</v>
      </c>
      <c r="E102" s="737" t="e">
        <f>SUM('Monetary Survey Counterparts'!#REF!)/2</f>
        <v>#REF!</v>
      </c>
      <c r="F102" s="737" t="e">
        <f>SUM('Monetary Survey Counterparts'!#REF!)/2</f>
        <v>#REF!</v>
      </c>
      <c r="G102" s="737" t="e">
        <f>SUM('Monetary Survey Counterparts'!#REF!)/2</f>
        <v>#REF!</v>
      </c>
      <c r="H102" s="737" t="e">
        <f>SUM('Monetary Survey Counterparts'!#REF!)/2</f>
        <v>#REF!</v>
      </c>
      <c r="I102" s="737" t="e">
        <f>SUM('Monetary Survey Counterparts'!#REF!)/2</f>
        <v>#REF!</v>
      </c>
      <c r="J102" s="737" t="e">
        <f>SUM('Monetary Survey Counterparts'!#REF!)/2</f>
        <v>#REF!</v>
      </c>
    </row>
    <row r="103" spans="1:10">
      <c r="A103" s="751" t="s">
        <v>171</v>
      </c>
      <c r="B103" s="737" t="e">
        <f>SUM('Monetary Survey Counterparts'!#REF!)/2</f>
        <v>#REF!</v>
      </c>
      <c r="C103" s="737" t="e">
        <f>SUM('Monetary Survey Counterparts'!#REF!)/2</f>
        <v>#REF!</v>
      </c>
      <c r="D103" s="737" t="e">
        <f>SUM('Monetary Survey Counterparts'!#REF!)/2</f>
        <v>#REF!</v>
      </c>
      <c r="E103" s="737" t="e">
        <f>SUM('Monetary Survey Counterparts'!#REF!)/2</f>
        <v>#REF!</v>
      </c>
      <c r="F103" s="737" t="e">
        <f>SUM('Monetary Survey Counterparts'!#REF!)/2</f>
        <v>#REF!</v>
      </c>
      <c r="G103" s="737" t="e">
        <f>SUM('Monetary Survey Counterparts'!#REF!)/2</f>
        <v>#REF!</v>
      </c>
      <c r="H103" s="737" t="e">
        <f>SUM('Monetary Survey Counterparts'!#REF!)/2</f>
        <v>#REF!</v>
      </c>
      <c r="I103" s="737" t="e">
        <f>SUM('Monetary Survey Counterparts'!#REF!)/2</f>
        <v>#REF!</v>
      </c>
      <c r="J103" s="737" t="e">
        <f>SUM('Monetary Survey Counterparts'!#REF!)/2</f>
        <v>#REF!</v>
      </c>
    </row>
    <row r="104" spans="1:10">
      <c r="A104" s="751" t="s">
        <v>148</v>
      </c>
      <c r="B104" s="737" t="e">
        <f>SUM('Monetary Survey Counterparts'!#REF!)/2</f>
        <v>#REF!</v>
      </c>
      <c r="C104" s="737" t="e">
        <f>SUM('Monetary Survey Counterparts'!#REF!)/2</f>
        <v>#REF!</v>
      </c>
      <c r="D104" s="737" t="e">
        <f>SUM('Monetary Survey Counterparts'!#REF!)/2</f>
        <v>#REF!</v>
      </c>
      <c r="E104" s="737" t="e">
        <f>SUM('Monetary Survey Counterparts'!#REF!)/2</f>
        <v>#REF!</v>
      </c>
      <c r="F104" s="737" t="e">
        <f>SUM('Monetary Survey Counterparts'!#REF!)/2</f>
        <v>#REF!</v>
      </c>
      <c r="G104" s="737" t="e">
        <f>SUM('Monetary Survey Counterparts'!#REF!)/2</f>
        <v>#REF!</v>
      </c>
      <c r="H104" s="737" t="e">
        <f>SUM('Monetary Survey Counterparts'!#REF!)/2</f>
        <v>#REF!</v>
      </c>
      <c r="I104" s="737" t="e">
        <f>SUM('Monetary Survey Counterparts'!#REF!)/2</f>
        <v>#REF!</v>
      </c>
      <c r="J104" s="737" t="e">
        <f>SUM('Monetary Survey Counterparts'!#REF!)/2</f>
        <v>#REF!</v>
      </c>
    </row>
    <row r="105" spans="1:10">
      <c r="A105" s="753" t="s">
        <v>75</v>
      </c>
      <c r="B105" s="737">
        <f>SUM('Monetary Survey Counterparts'!C9:C10)/2</f>
        <v>2059.75</v>
      </c>
      <c r="C105" s="737">
        <f>SUM('Monetary Survey Counterparts'!D9:D10)/2</f>
        <v>3044.07</v>
      </c>
      <c r="D105" s="737">
        <f>SUM('Monetary Survey Counterparts'!E9:E10)/2</f>
        <v>-984.32000000000016</v>
      </c>
      <c r="E105" s="737">
        <f>SUM('Monetary Survey Counterparts'!F9:F10)/2</f>
        <v>690.8</v>
      </c>
      <c r="F105" s="737">
        <f>SUM('Monetary Survey Counterparts'!G9:G10)/2</f>
        <v>44.055000000000007</v>
      </c>
      <c r="G105" s="737">
        <f>SUM('Monetary Survey Counterparts'!H9:H10)/2</f>
        <v>-196.51499999999999</v>
      </c>
      <c r="H105" s="737">
        <f>SUM('Monetary Survey Counterparts'!I9:I10)/2</f>
        <v>240.57</v>
      </c>
      <c r="I105" s="737">
        <f>SUM('Monetary Survey Counterparts'!J9:J10)/2</f>
        <v>646.745</v>
      </c>
      <c r="J105" s="737">
        <f>SUM('Monetary Survey Counterparts'!K9:K10)/2</f>
        <v>1675.1200000000001</v>
      </c>
    </row>
    <row r="106" spans="1:10">
      <c r="A106" s="754" t="s">
        <v>162</v>
      </c>
      <c r="B106" s="737">
        <f>SUM('Monetary Survey Counterparts'!C10:C11)/2</f>
        <v>4171.9949999999999</v>
      </c>
      <c r="C106" s="737">
        <f>SUM('Monetary Survey Counterparts'!D10:D11)/2</f>
        <v>6160.4650000000001</v>
      </c>
      <c r="D106" s="737">
        <f>SUM('Monetary Survey Counterparts'!E10:E11)/2</f>
        <v>-1988.4700000000003</v>
      </c>
      <c r="E106" s="737">
        <f>SUM('Monetary Survey Counterparts'!F10:F11)/2</f>
        <v>1380.165</v>
      </c>
      <c r="F106" s="737">
        <f>SUM('Monetary Survey Counterparts'!G10:G11)/2</f>
        <v>83.305000000000007</v>
      </c>
      <c r="G106" s="737">
        <f>SUM('Monetary Survey Counterparts'!H10:H11)/2</f>
        <v>-397.83499999999998</v>
      </c>
      <c r="H106" s="737">
        <f>SUM('Monetary Survey Counterparts'!I10:I11)/2</f>
        <v>481.14</v>
      </c>
      <c r="I106" s="737">
        <f>SUM('Monetary Survey Counterparts'!J10:J11)/2</f>
        <v>1296.8600000000001</v>
      </c>
      <c r="J106" s="737">
        <f>SUM('Monetary Survey Counterparts'!K10:K11)/2</f>
        <v>3368.6350000000002</v>
      </c>
    </row>
    <row r="107" spans="1:10">
      <c r="A107" s="754" t="s">
        <v>163</v>
      </c>
      <c r="B107" s="737">
        <f>SUM('Monetary Survey Counterparts'!C11:C12)/2</f>
        <v>4238.9949999999999</v>
      </c>
      <c r="C107" s="737">
        <f>SUM('Monetary Survey Counterparts'!D11:D12)/2</f>
        <v>6132.9</v>
      </c>
      <c r="D107" s="737">
        <f>SUM('Monetary Survey Counterparts'!E11:E12)/2</f>
        <v>-1893.9050000000002</v>
      </c>
      <c r="E107" s="737">
        <f>SUM('Monetary Survey Counterparts'!F11:F12)/2</f>
        <v>1460.45</v>
      </c>
      <c r="F107" s="737">
        <f>SUM('Monetary Survey Counterparts'!G11:G12)/2</f>
        <v>108.43</v>
      </c>
      <c r="G107" s="737">
        <f>SUM('Monetary Survey Counterparts'!H11:H12)/2</f>
        <v>-374.17499999999995</v>
      </c>
      <c r="H107" s="737">
        <f>SUM('Monetary Survey Counterparts'!I11:I12)/2</f>
        <v>482.60500000000002</v>
      </c>
      <c r="I107" s="737">
        <f>SUM('Monetary Survey Counterparts'!J11:J12)/2</f>
        <v>1352.02</v>
      </c>
      <c r="J107" s="737">
        <f>SUM('Monetary Survey Counterparts'!K11:K12)/2</f>
        <v>3354.3550000000005</v>
      </c>
    </row>
    <row r="108" spans="1:10">
      <c r="A108" s="755" t="s">
        <v>164</v>
      </c>
      <c r="B108" s="737">
        <f>SUM('Monetary Survey Counterparts'!C12:C13)/2</f>
        <v>4112.25</v>
      </c>
      <c r="C108" s="737">
        <f>SUM('Monetary Survey Counterparts'!D12:D13)/2</f>
        <v>6144.34</v>
      </c>
      <c r="D108" s="737">
        <f>SUM('Monetary Survey Counterparts'!E12:E13)/2</f>
        <v>-2032.0900000000001</v>
      </c>
      <c r="E108" s="737">
        <f>SUM('Monetary Survey Counterparts'!F12:F13)/2</f>
        <v>1508.03</v>
      </c>
      <c r="F108" s="737">
        <f>SUM('Monetary Survey Counterparts'!G12:G13)/2</f>
        <v>156.34</v>
      </c>
      <c r="G108" s="737">
        <f>SUM('Monetary Survey Counterparts'!H12:H13)/2</f>
        <v>-327.85500000000002</v>
      </c>
      <c r="H108" s="737">
        <f>SUM('Monetary Survey Counterparts'!I12:I13)/2</f>
        <v>484.19499999999999</v>
      </c>
      <c r="I108" s="737">
        <f>SUM('Monetary Survey Counterparts'!J12:J13)/2</f>
        <v>1351.69</v>
      </c>
      <c r="J108" s="737">
        <f>SUM('Monetary Survey Counterparts'!K12:K13)/2</f>
        <v>3540.12</v>
      </c>
    </row>
    <row r="109" spans="1:10">
      <c r="A109" s="755" t="s">
        <v>165</v>
      </c>
      <c r="B109" s="737">
        <f>SUM('Monetary Survey Counterparts'!C13:C14)/2</f>
        <v>4086.4849999999997</v>
      </c>
      <c r="C109" s="737">
        <f>SUM('Monetary Survey Counterparts'!D13:D14)/2</f>
        <v>6172.68</v>
      </c>
      <c r="D109" s="737">
        <f>SUM('Monetary Survey Counterparts'!E13:E14)/2</f>
        <v>-2086.1950000000002</v>
      </c>
      <c r="E109" s="737">
        <f>SUM('Monetary Survey Counterparts'!F13:F14)/2</f>
        <v>1493.8549999999998</v>
      </c>
      <c r="F109" s="737">
        <f>SUM('Monetary Survey Counterparts'!G13:G14)/2</f>
        <v>192.85</v>
      </c>
      <c r="G109" s="737">
        <f>SUM('Monetary Survey Counterparts'!H13:H14)/2</f>
        <v>-291.53999999999996</v>
      </c>
      <c r="H109" s="737">
        <f>SUM('Monetary Survey Counterparts'!I13:I14)/2</f>
        <v>484.39</v>
      </c>
      <c r="I109" s="737">
        <f>SUM('Monetary Survey Counterparts'!J13:J14)/2</f>
        <v>1301.0049999999999</v>
      </c>
      <c r="J109" s="737">
        <f>SUM('Monetary Survey Counterparts'!K13:K14)/2</f>
        <v>3580.05</v>
      </c>
    </row>
    <row r="110" spans="1:10">
      <c r="A110" s="755" t="s">
        <v>166</v>
      </c>
      <c r="B110" s="737">
        <f>SUM('Monetary Survey Counterparts'!C14:C15)/2</f>
        <v>4239.8099999999995</v>
      </c>
      <c r="C110" s="737">
        <f>SUM('Monetary Survey Counterparts'!D14:D15)/2</f>
        <v>6161.4249999999993</v>
      </c>
      <c r="D110" s="737">
        <f>SUM('Monetary Survey Counterparts'!E14:E15)/2</f>
        <v>-1921.615</v>
      </c>
      <c r="E110" s="737">
        <f>SUM('Monetary Survey Counterparts'!F14:F15)/2</f>
        <v>1521.8999999999999</v>
      </c>
      <c r="F110" s="737">
        <f>SUM('Monetary Survey Counterparts'!G14:G15)/2</f>
        <v>215.27</v>
      </c>
      <c r="G110" s="737">
        <f>SUM('Monetary Survey Counterparts'!H14:H15)/2</f>
        <v>-275.49</v>
      </c>
      <c r="H110" s="737">
        <f>SUM('Monetary Survey Counterparts'!I14:I15)/2</f>
        <v>490.76</v>
      </c>
      <c r="I110" s="737">
        <f>SUM('Monetary Survey Counterparts'!J14:J15)/2</f>
        <v>1306.6299999999999</v>
      </c>
      <c r="J110" s="737">
        <f>SUM('Monetary Survey Counterparts'!K14:K15)/2</f>
        <v>3443.5149999999999</v>
      </c>
    </row>
    <row r="111" spans="1:10">
      <c r="A111" s="755" t="s">
        <v>167</v>
      </c>
      <c r="B111" s="737">
        <f>SUM('Monetary Survey Counterparts'!C15:C16)/2</f>
        <v>4378.3950000000004</v>
      </c>
      <c r="C111" s="737">
        <f>SUM('Monetary Survey Counterparts'!D15:D16)/2</f>
        <v>6156.5450000000001</v>
      </c>
      <c r="D111" s="737">
        <f>SUM('Monetary Survey Counterparts'!E15:E16)/2</f>
        <v>-1778.1499999999996</v>
      </c>
      <c r="E111" s="737">
        <f>SUM('Monetary Survey Counterparts'!F15:F16)/2</f>
        <v>1609.58</v>
      </c>
      <c r="F111" s="737">
        <f>SUM('Monetary Survey Counterparts'!G15:G16)/2</f>
        <v>294.43500000000006</v>
      </c>
      <c r="G111" s="737">
        <f>SUM('Monetary Survey Counterparts'!H15:H16)/2</f>
        <v>-185.12</v>
      </c>
      <c r="H111" s="737">
        <f>SUM('Monetary Survey Counterparts'!I15:I16)/2</f>
        <v>479.55500000000001</v>
      </c>
      <c r="I111" s="737">
        <f>SUM('Monetary Survey Counterparts'!J15:J16)/2</f>
        <v>1315.145</v>
      </c>
      <c r="J111" s="737">
        <f>SUM('Monetary Survey Counterparts'!K15:K16)/2</f>
        <v>3387.7299999999996</v>
      </c>
    </row>
    <row r="112" spans="1:10">
      <c r="A112" s="755" t="s">
        <v>168</v>
      </c>
      <c r="B112" s="737">
        <f>SUM('Monetary Survey Counterparts'!C16:C17)/2</f>
        <v>4665.375</v>
      </c>
      <c r="C112" s="737">
        <f>SUM('Monetary Survey Counterparts'!D16:D17)/2</f>
        <v>6032.04</v>
      </c>
      <c r="D112" s="737">
        <f>SUM('Monetary Survey Counterparts'!E16:E17)/2</f>
        <v>-1366.665</v>
      </c>
      <c r="E112" s="737">
        <f>SUM('Monetary Survey Counterparts'!F16:F17)/2</f>
        <v>1753.6</v>
      </c>
      <c r="F112" s="737">
        <f>SUM('Monetary Survey Counterparts'!G16:G17)/2</f>
        <v>423.39499999999998</v>
      </c>
      <c r="G112" s="737">
        <f>SUM('Monetary Survey Counterparts'!H16:H17)/2</f>
        <v>-41.195</v>
      </c>
      <c r="H112" s="737">
        <f>SUM('Monetary Survey Counterparts'!I16:I17)/2</f>
        <v>464.59000000000003</v>
      </c>
      <c r="I112" s="737">
        <f>SUM('Monetary Survey Counterparts'!J16:J17)/2</f>
        <v>1330.2049999999999</v>
      </c>
      <c r="J112" s="737">
        <f>SUM('Monetary Survey Counterparts'!K16:K17)/2</f>
        <v>3120.2650000000003</v>
      </c>
    </row>
    <row r="113" spans="1:10">
      <c r="A113" s="755" t="s">
        <v>169</v>
      </c>
      <c r="B113" s="737">
        <f>SUM('Monetary Survey Counterparts'!C17:C18)/2</f>
        <v>5078.07</v>
      </c>
      <c r="C113" s="737">
        <f>SUM('Monetary Survey Counterparts'!D17:D18)/2</f>
        <v>6135.77</v>
      </c>
      <c r="D113" s="737">
        <f>SUM('Monetary Survey Counterparts'!E17:E18)/2</f>
        <v>-1057.7000000000003</v>
      </c>
      <c r="E113" s="737">
        <f>SUM('Monetary Survey Counterparts'!F17:F18)/2</f>
        <v>1880.2350000000001</v>
      </c>
      <c r="F113" s="737">
        <f>SUM('Monetary Survey Counterparts'!G17:G18)/2</f>
        <v>499.38499999999999</v>
      </c>
      <c r="G113" s="737">
        <f>SUM('Monetary Survey Counterparts'!H17:H18)/2</f>
        <v>26.79</v>
      </c>
      <c r="H113" s="737">
        <f>SUM('Monetary Survey Counterparts'!I17:I18)/2</f>
        <v>472.59500000000003</v>
      </c>
      <c r="I113" s="737">
        <f>SUM('Monetary Survey Counterparts'!J17:J18)/2</f>
        <v>1380.85</v>
      </c>
      <c r="J113" s="737">
        <f>SUM('Monetary Survey Counterparts'!K17:K18)/2</f>
        <v>2937.9350000000004</v>
      </c>
    </row>
    <row r="114" spans="1:10">
      <c r="A114" s="755" t="s">
        <v>170</v>
      </c>
      <c r="B114" s="737">
        <f>SUM('Monetary Survey Counterparts'!C18:C19)/2</f>
        <v>5293.9599999999991</v>
      </c>
      <c r="C114" s="737">
        <f>SUM('Monetary Survey Counterparts'!D18:D19)/2</f>
        <v>6461.46</v>
      </c>
      <c r="D114" s="737">
        <f>SUM('Monetary Survey Counterparts'!E18:E19)/2</f>
        <v>-1167.5000000000002</v>
      </c>
      <c r="E114" s="737">
        <f>SUM('Monetary Survey Counterparts'!F18:F19)/2</f>
        <v>1933.6849999999999</v>
      </c>
      <c r="F114" s="737">
        <f>SUM('Monetary Survey Counterparts'!G18:G19)/2</f>
        <v>501.38</v>
      </c>
      <c r="G114" s="737">
        <f>SUM('Monetary Survey Counterparts'!H18:H19)/2</f>
        <v>27.785</v>
      </c>
      <c r="H114" s="737">
        <f>SUM('Monetary Survey Counterparts'!I18:I19)/2</f>
        <v>473.59500000000003</v>
      </c>
      <c r="I114" s="737">
        <f>SUM('Monetary Survey Counterparts'!J18:J19)/2</f>
        <v>1432.3049999999998</v>
      </c>
      <c r="J114" s="737">
        <f>SUM('Monetary Survey Counterparts'!K18:K19)/2</f>
        <v>3101.1850000000004</v>
      </c>
    </row>
    <row r="115" spans="1:10">
      <c r="A115" s="755" t="s">
        <v>171</v>
      </c>
      <c r="B115" s="737">
        <f>SUM('Monetary Survey Counterparts'!C19:C20)/2</f>
        <v>5422.2199999999993</v>
      </c>
      <c r="C115" s="737">
        <f>SUM('Monetary Survey Counterparts'!D19:D20)/2</f>
        <v>6516.7549999999992</v>
      </c>
      <c r="D115" s="737">
        <f>SUM('Monetary Survey Counterparts'!E19:E20)/2</f>
        <v>-1094.5350000000003</v>
      </c>
      <c r="E115" s="737">
        <f>SUM('Monetary Survey Counterparts'!F19:F20)/2</f>
        <v>2227.0450000000001</v>
      </c>
      <c r="F115" s="737">
        <f>SUM('Monetary Survey Counterparts'!G19:G20)/2</f>
        <v>753.93999999999994</v>
      </c>
      <c r="G115" s="737">
        <f>SUM('Monetary Survey Counterparts'!H19:H20)/2</f>
        <v>284.87</v>
      </c>
      <c r="H115" s="737">
        <f>SUM('Monetary Survey Counterparts'!I19:I20)/2</f>
        <v>469.07</v>
      </c>
      <c r="I115" s="737">
        <f>SUM('Monetary Survey Counterparts'!J19:J20)/2</f>
        <v>1473.105</v>
      </c>
      <c r="J115" s="737">
        <f>SUM('Monetary Survey Counterparts'!K19:K20)/2</f>
        <v>3321.58</v>
      </c>
    </row>
    <row r="116" spans="1:10">
      <c r="A116" s="755" t="s">
        <v>148</v>
      </c>
      <c r="B116" s="737">
        <f>SUM('Monetary Survey Counterparts'!C20:C21)/2</f>
        <v>5606.6049999999996</v>
      </c>
      <c r="C116" s="737">
        <f>SUM('Monetary Survey Counterparts'!D20:D21)/2</f>
        <v>6869.8950000000004</v>
      </c>
      <c r="D116" s="737">
        <f>SUM('Monetary Survey Counterparts'!E20:E21)/2</f>
        <v>-1263.2900000000004</v>
      </c>
      <c r="E116" s="737">
        <f>SUM('Monetary Survey Counterparts'!F20:F21)/2</f>
        <v>2234.4650000000001</v>
      </c>
      <c r="F116" s="737">
        <f>SUM('Monetary Survey Counterparts'!G20:G21)/2</f>
        <v>745.27499999999998</v>
      </c>
      <c r="G116" s="737">
        <f>SUM('Monetary Survey Counterparts'!H20:H21)/2</f>
        <v>286.22499999999997</v>
      </c>
      <c r="H116" s="737">
        <f>SUM('Monetary Survey Counterparts'!I20:I21)/2</f>
        <v>459.04999999999995</v>
      </c>
      <c r="I116" s="737">
        <f>SUM('Monetary Survey Counterparts'!J20:J21)/2</f>
        <v>1489.19</v>
      </c>
      <c r="J116" s="737">
        <f>SUM('Monetary Survey Counterparts'!K20:K21)/2</f>
        <v>3497.7550000000001</v>
      </c>
    </row>
    <row r="117" spans="1:10">
      <c r="A117" s="755"/>
      <c r="B117" s="737"/>
      <c r="C117" s="737"/>
      <c r="D117" s="737"/>
      <c r="E117" s="737"/>
      <c r="F117" s="737"/>
      <c r="G117" s="737"/>
      <c r="H117" s="737"/>
      <c r="I117" s="737"/>
      <c r="J117" s="737"/>
    </row>
  </sheetData>
  <mergeCells count="12">
    <mergeCell ref="A3:A7"/>
    <mergeCell ref="B3:J3"/>
    <mergeCell ref="B4:B7"/>
    <mergeCell ref="C4:C7"/>
    <mergeCell ref="D4:J4"/>
    <mergeCell ref="D5:D7"/>
    <mergeCell ref="B8:J8"/>
    <mergeCell ref="E6:E7"/>
    <mergeCell ref="F6:H6"/>
    <mergeCell ref="I6:I7"/>
    <mergeCell ref="E5:I5"/>
    <mergeCell ref="J5:J7"/>
  </mergeCells>
  <phoneticPr fontId="4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sheetPr codeName="Sheet18"/>
  <dimension ref="A1"/>
  <sheetViews>
    <sheetView zoomScale="75" workbookViewId="0">
      <selection activeCell="T28" sqref="T28"/>
    </sheetView>
  </sheetViews>
  <sheetFormatPr defaultRowHeight="12.75"/>
  <sheetData/>
  <phoneticPr fontId="0"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19"/>
  <dimension ref="A2:A21"/>
  <sheetViews>
    <sheetView workbookViewId="0">
      <selection activeCell="A23" sqref="A23"/>
    </sheetView>
  </sheetViews>
  <sheetFormatPr defaultRowHeight="12.75"/>
  <cols>
    <col min="1" max="1" width="18.7109375" customWidth="1"/>
  </cols>
  <sheetData>
    <row r="2" spans="1:1">
      <c r="A2" t="s">
        <v>943</v>
      </c>
    </row>
    <row r="3" spans="1:1">
      <c r="A3" t="s">
        <v>946</v>
      </c>
    </row>
    <row r="4" spans="1:1">
      <c r="A4" t="s">
        <v>947</v>
      </c>
    </row>
    <row r="5" spans="1:1">
      <c r="A5" t="s">
        <v>948</v>
      </c>
    </row>
    <row r="6" spans="1:1">
      <c r="A6" t="s">
        <v>949</v>
      </c>
    </row>
    <row r="8" spans="1:1">
      <c r="A8" t="s">
        <v>950</v>
      </c>
    </row>
    <row r="9" spans="1:1">
      <c r="A9" t="s">
        <v>951</v>
      </c>
    </row>
    <row r="10" spans="1:1">
      <c r="A10" t="s">
        <v>952</v>
      </c>
    </row>
    <row r="11" spans="1:1">
      <c r="A11" t="s">
        <v>953</v>
      </c>
    </row>
    <row r="12" spans="1:1">
      <c r="A12" t="s">
        <v>954</v>
      </c>
    </row>
    <row r="14" spans="1:1">
      <c r="A14" t="s">
        <v>955</v>
      </c>
    </row>
    <row r="15" spans="1:1">
      <c r="A15" t="s">
        <v>956</v>
      </c>
    </row>
    <row r="16" spans="1:1">
      <c r="A16" t="s">
        <v>957</v>
      </c>
    </row>
    <row r="17" spans="1:1">
      <c r="A17" t="s">
        <v>958</v>
      </c>
    </row>
    <row r="18" spans="1:1">
      <c r="A18" t="s">
        <v>959</v>
      </c>
    </row>
    <row r="19" spans="1:1">
      <c r="A19" t="s">
        <v>960</v>
      </c>
    </row>
    <row r="20" spans="1:1">
      <c r="A20" t="s">
        <v>961</v>
      </c>
    </row>
    <row r="21" spans="1:1">
      <c r="A21" t="s">
        <v>962</v>
      </c>
    </row>
  </sheetData>
  <phoneticPr fontId="4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sheetPr codeName="Sheet20">
    <pageSetUpPr fitToPage="1"/>
  </sheetPr>
  <dimension ref="A1:AI625"/>
  <sheetViews>
    <sheetView zoomScale="75" workbookViewId="0">
      <pane xSplit="2" ySplit="8" topLeftCell="C87" activePane="bottomRight" state="frozen"/>
      <selection pane="topRight" activeCell="C1" sqref="C1"/>
      <selection pane="bottomLeft" activeCell="A9" sqref="A9"/>
      <selection pane="bottomRight" activeCell="O105" sqref="O105"/>
    </sheetView>
  </sheetViews>
  <sheetFormatPr defaultRowHeight="12.75"/>
  <cols>
    <col min="1" max="1" width="9.140625" style="2"/>
    <col min="2" max="2" width="7.42578125" style="2" customWidth="1"/>
    <col min="3" max="3" width="9.140625" style="2" customWidth="1"/>
    <col min="4" max="4" width="8.42578125" style="2" customWidth="1"/>
    <col min="5" max="5" width="9.42578125" style="2" customWidth="1"/>
    <col min="6" max="11" width="8.42578125" style="2" customWidth="1"/>
    <col min="12" max="12" width="9.140625" style="2"/>
    <col min="13" max="14" width="9.140625" style="1283"/>
    <col min="15" max="22" width="9.140625" style="2"/>
    <col min="23" max="23" width="8.42578125" style="2" customWidth="1"/>
    <col min="24" max="24" width="12.42578125" style="2" customWidth="1"/>
    <col min="25" max="25" width="9.140625" style="2" customWidth="1"/>
    <col min="26" max="26" width="5.28515625" style="2" customWidth="1"/>
    <col min="27" max="33" width="8.7109375" style="2" customWidth="1"/>
    <col min="34" max="16384" width="9.140625" style="2"/>
  </cols>
  <sheetData>
    <row r="1" spans="1:35">
      <c r="B1" s="2" t="s">
        <v>942</v>
      </c>
    </row>
    <row r="2" spans="1:35" ht="23.25" customHeight="1">
      <c r="C2" s="2" t="s">
        <v>603</v>
      </c>
      <c r="L2" s="2" t="s">
        <v>598</v>
      </c>
    </row>
    <row r="3" spans="1:35" ht="12.75" customHeight="1">
      <c r="B3" s="4506" t="s">
        <v>227</v>
      </c>
      <c r="C3" s="4503" t="s">
        <v>220</v>
      </c>
      <c r="D3" s="4504"/>
      <c r="E3" s="4504"/>
      <c r="F3" s="4504"/>
      <c r="G3" s="4504"/>
      <c r="H3" s="4504"/>
      <c r="I3" s="4504"/>
      <c r="J3" s="4504"/>
      <c r="K3" s="4505"/>
      <c r="L3" s="4493" t="s">
        <v>220</v>
      </c>
      <c r="M3" s="4493"/>
      <c r="N3" s="4493"/>
      <c r="O3" s="4493"/>
      <c r="P3" s="4493"/>
      <c r="Q3" s="4493"/>
      <c r="R3" s="4493"/>
      <c r="S3" s="4493"/>
      <c r="T3" s="4493"/>
      <c r="U3" s="524"/>
      <c r="V3" s="524"/>
      <c r="W3" s="524"/>
    </row>
    <row r="4" spans="1:35" ht="12.75" customHeight="1">
      <c r="B4" s="4507"/>
      <c r="C4" s="4494" t="s">
        <v>152</v>
      </c>
      <c r="D4" s="4503" t="s">
        <v>221</v>
      </c>
      <c r="E4" s="4504"/>
      <c r="F4" s="4504"/>
      <c r="G4" s="4504"/>
      <c r="H4" s="4505"/>
      <c r="I4" s="4503" t="s">
        <v>232</v>
      </c>
      <c r="J4" s="4504"/>
      <c r="K4" s="4505"/>
      <c r="L4" s="4494" t="s">
        <v>152</v>
      </c>
      <c r="M4" s="4497" t="s">
        <v>223</v>
      </c>
      <c r="N4" s="4493" t="s">
        <v>222</v>
      </c>
      <c r="O4" s="4493"/>
      <c r="P4" s="4493"/>
      <c r="Q4" s="4493"/>
      <c r="R4" s="4493"/>
      <c r="S4" s="4493"/>
      <c r="T4" s="4493"/>
      <c r="U4" s="524"/>
      <c r="V4" s="524"/>
      <c r="W4" s="524"/>
    </row>
    <row r="5" spans="1:35" ht="12.75" customHeight="1">
      <c r="B5" s="4507"/>
      <c r="C5" s="4495"/>
      <c r="D5" s="4494" t="s">
        <v>152</v>
      </c>
      <c r="E5" s="4503" t="s">
        <v>228</v>
      </c>
      <c r="F5" s="4504"/>
      <c r="G5" s="4504"/>
      <c r="H5" s="4505"/>
      <c r="I5" s="4494" t="s">
        <v>152</v>
      </c>
      <c r="J5" s="4494" t="s">
        <v>219</v>
      </c>
      <c r="K5" s="4494" t="s">
        <v>233</v>
      </c>
      <c r="L5" s="4495"/>
      <c r="M5" s="4498"/>
      <c r="N5" s="4497" t="s">
        <v>152</v>
      </c>
      <c r="O5" s="4493" t="s">
        <v>224</v>
      </c>
      <c r="P5" s="4493"/>
      <c r="Q5" s="4493"/>
      <c r="R5" s="4493"/>
      <c r="S5" s="4493"/>
      <c r="T5" s="4494" t="s">
        <v>410</v>
      </c>
      <c r="U5" s="486"/>
      <c r="V5" s="486"/>
      <c r="W5" s="486"/>
    </row>
    <row r="6" spans="1:35" ht="19.5" customHeight="1">
      <c r="B6" s="4507"/>
      <c r="C6" s="4495"/>
      <c r="D6" s="4495"/>
      <c r="E6" s="4494" t="s">
        <v>462</v>
      </c>
      <c r="F6" s="4503" t="s">
        <v>229</v>
      </c>
      <c r="G6" s="4504"/>
      <c r="H6" s="4505"/>
      <c r="I6" s="4495"/>
      <c r="J6" s="4495"/>
      <c r="K6" s="4495"/>
      <c r="L6" s="4495"/>
      <c r="M6" s="4498"/>
      <c r="N6" s="4498"/>
      <c r="O6" s="4494" t="s">
        <v>152</v>
      </c>
      <c r="P6" s="4493" t="s">
        <v>225</v>
      </c>
      <c r="Q6" s="4493"/>
      <c r="R6" s="4493"/>
      <c r="S6" s="4494" t="s">
        <v>409</v>
      </c>
      <c r="T6" s="4495"/>
      <c r="U6" s="525"/>
      <c r="V6" s="525"/>
      <c r="W6" s="525"/>
      <c r="X6" s="4512" t="s">
        <v>1232</v>
      </c>
      <c r="Y6" s="4511" t="s">
        <v>1235</v>
      </c>
      <c r="Z6" s="4510" t="s">
        <v>22</v>
      </c>
      <c r="AA6" s="4510"/>
      <c r="AB6" s="4510"/>
      <c r="AC6" s="4510"/>
      <c r="AD6" s="4510"/>
      <c r="AE6" s="4510"/>
      <c r="AF6" s="4510"/>
      <c r="AG6" s="4510"/>
    </row>
    <row r="7" spans="1:35" ht="45.75" customHeight="1">
      <c r="B7" s="4508"/>
      <c r="C7" s="4496"/>
      <c r="D7" s="4496"/>
      <c r="E7" s="4496"/>
      <c r="F7" s="118" t="s">
        <v>152</v>
      </c>
      <c r="G7" s="119" t="s">
        <v>230</v>
      </c>
      <c r="H7" s="119" t="s">
        <v>231</v>
      </c>
      <c r="I7" s="4496"/>
      <c r="J7" s="4496"/>
      <c r="K7" s="4496"/>
      <c r="L7" s="4496"/>
      <c r="M7" s="4499"/>
      <c r="N7" s="4499"/>
      <c r="O7" s="4496"/>
      <c r="P7" s="118" t="s">
        <v>152</v>
      </c>
      <c r="Q7" s="119" t="s">
        <v>256</v>
      </c>
      <c r="R7" s="119" t="s">
        <v>463</v>
      </c>
      <c r="S7" s="4496"/>
      <c r="T7" s="4496"/>
      <c r="U7" s="4511" t="s">
        <v>20</v>
      </c>
      <c r="V7" s="4512" t="s">
        <v>1233</v>
      </c>
      <c r="W7" s="4512" t="s">
        <v>1234</v>
      </c>
      <c r="X7" s="4512"/>
      <c r="Y7" s="4511"/>
      <c r="Z7" s="4509" t="s">
        <v>598</v>
      </c>
      <c r="AA7" s="4509"/>
      <c r="AB7" s="4509"/>
      <c r="AC7" s="4509"/>
      <c r="AD7" s="4509"/>
      <c r="AE7" s="4509" t="s">
        <v>603</v>
      </c>
      <c r="AF7" s="4509"/>
      <c r="AG7" s="4509"/>
      <c r="AH7" s="523" t="s">
        <v>1231</v>
      </c>
    </row>
    <row r="8" spans="1:35" ht="12.75" customHeight="1">
      <c r="B8" s="114"/>
      <c r="C8" s="136"/>
      <c r="D8" s="120"/>
      <c r="E8" s="120"/>
      <c r="F8" s="120"/>
      <c r="G8" s="120"/>
      <c r="H8" s="120"/>
      <c r="I8" s="120"/>
      <c r="J8" s="120"/>
      <c r="K8" s="121"/>
      <c r="U8" s="4511"/>
      <c r="V8" s="4512"/>
      <c r="W8" s="4512"/>
      <c r="Z8" s="116" t="s">
        <v>406</v>
      </c>
      <c r="AA8" s="116" t="s">
        <v>1229</v>
      </c>
      <c r="AB8" s="116" t="s">
        <v>407</v>
      </c>
      <c r="AC8" s="116" t="s">
        <v>23</v>
      </c>
      <c r="AD8" s="116" t="s">
        <v>408</v>
      </c>
      <c r="AE8" s="116" t="s">
        <v>221</v>
      </c>
      <c r="AF8" s="116" t="s">
        <v>405</v>
      </c>
      <c r="AG8" s="116" t="s">
        <v>24</v>
      </c>
      <c r="AH8" s="523" t="s">
        <v>1236</v>
      </c>
      <c r="AI8" s="2" t="s">
        <v>1230</v>
      </c>
    </row>
    <row r="9" spans="1:35" ht="12.75" customHeight="1">
      <c r="A9" s="127">
        <v>1997</v>
      </c>
      <c r="B9" s="124" t="s">
        <v>1249</v>
      </c>
      <c r="C9" s="554">
        <f t="shared" ref="C9:C20" si="0">D9+I9</f>
        <v>4119.5</v>
      </c>
      <c r="D9" s="563">
        <v>2140.23</v>
      </c>
      <c r="E9" s="559">
        <v>618.84</v>
      </c>
      <c r="F9" s="557">
        <f t="shared" ref="F9:F20" si="1">G9+H9</f>
        <v>1497.26</v>
      </c>
      <c r="G9" s="563">
        <v>676.7</v>
      </c>
      <c r="H9" s="563">
        <v>820.56</v>
      </c>
      <c r="I9" s="557">
        <f t="shared" ref="I9:I20" si="2">J9+K9</f>
        <v>1979.27</v>
      </c>
      <c r="J9" s="563">
        <v>1869.59</v>
      </c>
      <c r="K9" s="564">
        <v>109.68</v>
      </c>
      <c r="L9" s="60" t="e">
        <f>+'Monetary Survey Counterparts'!#REF!</f>
        <v>#REF!</v>
      </c>
      <c r="M9" s="1284" t="e">
        <f>+'Monetary Survey Counterparts'!#REF!</f>
        <v>#REF!</v>
      </c>
      <c r="N9" s="1284" t="e">
        <f>+'Monetary Survey Counterparts'!#REF!</f>
        <v>#REF!</v>
      </c>
      <c r="O9" s="60" t="e">
        <f>+'Monetary Survey Counterparts'!#REF!</f>
        <v>#REF!</v>
      </c>
      <c r="P9" s="60" t="e">
        <f>+'Monetary Survey Counterparts'!#REF!</f>
        <v>#REF!</v>
      </c>
      <c r="Q9" s="60" t="e">
        <f>+'Monetary Survey Counterparts'!#REF!</f>
        <v>#REF!</v>
      </c>
      <c r="R9" s="60" t="e">
        <f>+'Monetary Survey Counterparts'!#REF!</f>
        <v>#REF!</v>
      </c>
      <c r="S9" s="60" t="e">
        <f>+'Monetary Survey Counterparts'!#REF!</f>
        <v>#REF!</v>
      </c>
      <c r="T9" s="60" t="e">
        <f>+'Monetary Survey Counterparts'!#REF!</f>
        <v>#REF!</v>
      </c>
      <c r="U9" s="523"/>
      <c r="V9" s="485"/>
      <c r="W9" s="485"/>
      <c r="Z9" s="116"/>
      <c r="AA9" s="116"/>
      <c r="AB9" s="116"/>
      <c r="AC9" s="116"/>
      <c r="AD9" s="116"/>
      <c r="AE9" s="116"/>
      <c r="AF9" s="116"/>
      <c r="AG9" s="116"/>
      <c r="AH9" s="523"/>
    </row>
    <row r="10" spans="1:35" ht="12.75" customHeight="1">
      <c r="A10" s="60"/>
      <c r="B10" s="124" t="s">
        <v>162</v>
      </c>
      <c r="C10" s="554">
        <f t="shared" si="0"/>
        <v>4224.49</v>
      </c>
      <c r="D10" s="563">
        <v>2075.0700000000002</v>
      </c>
      <c r="E10" s="559">
        <v>626.1</v>
      </c>
      <c r="F10" s="557">
        <f t="shared" si="1"/>
        <v>1424.82</v>
      </c>
      <c r="G10" s="563">
        <v>691.8</v>
      </c>
      <c r="H10" s="563">
        <v>733.02</v>
      </c>
      <c r="I10" s="557">
        <f t="shared" si="2"/>
        <v>2149.42</v>
      </c>
      <c r="J10" s="563">
        <v>2042.67</v>
      </c>
      <c r="K10" s="564">
        <v>106.75</v>
      </c>
      <c r="L10" s="60" t="e">
        <f>+'Monetary Survey Counterparts'!#REF!</f>
        <v>#REF!</v>
      </c>
      <c r="M10" s="1284" t="e">
        <f>+'Monetary Survey Counterparts'!#REF!</f>
        <v>#REF!</v>
      </c>
      <c r="N10" s="1284" t="e">
        <f>+'Monetary Survey Counterparts'!#REF!</f>
        <v>#REF!</v>
      </c>
      <c r="O10" s="60" t="e">
        <f>+'Monetary Survey Counterparts'!#REF!</f>
        <v>#REF!</v>
      </c>
      <c r="P10" s="60" t="e">
        <f>+'Monetary Survey Counterparts'!#REF!</f>
        <v>#REF!</v>
      </c>
      <c r="Q10" s="60" t="e">
        <f>+'Monetary Survey Counterparts'!#REF!</f>
        <v>#REF!</v>
      </c>
      <c r="R10" s="60" t="e">
        <f>+'Monetary Survey Counterparts'!#REF!</f>
        <v>#REF!</v>
      </c>
      <c r="S10" s="60" t="e">
        <f>+'Monetary Survey Counterparts'!#REF!</f>
        <v>#REF!</v>
      </c>
      <c r="T10" s="60" t="e">
        <f>+'Monetary Survey Counterparts'!#REF!</f>
        <v>#REF!</v>
      </c>
      <c r="U10" s="523"/>
      <c r="V10" s="485"/>
      <c r="W10" s="485"/>
      <c r="Z10" s="116"/>
      <c r="AA10" s="116"/>
      <c r="AB10" s="116"/>
      <c r="AC10" s="116"/>
      <c r="AD10" s="116"/>
      <c r="AE10" s="116"/>
      <c r="AF10" s="116"/>
      <c r="AG10" s="116"/>
      <c r="AH10" s="523"/>
    </row>
    <row r="11" spans="1:35" ht="12.75" customHeight="1">
      <c r="A11" s="60"/>
      <c r="B11" s="124" t="s">
        <v>163</v>
      </c>
      <c r="C11" s="554">
        <f t="shared" si="0"/>
        <v>4253.49</v>
      </c>
      <c r="D11" s="563">
        <v>2072.41</v>
      </c>
      <c r="E11" s="559">
        <v>605.46</v>
      </c>
      <c r="F11" s="557">
        <f t="shared" si="1"/>
        <v>1442.7800000000002</v>
      </c>
      <c r="G11" s="563">
        <v>706.46</v>
      </c>
      <c r="H11" s="563">
        <v>736.32</v>
      </c>
      <c r="I11" s="557">
        <f t="shared" si="2"/>
        <v>2181.0800000000004</v>
      </c>
      <c r="J11" s="563">
        <v>2086.7600000000002</v>
      </c>
      <c r="K11" s="564">
        <v>94.32</v>
      </c>
      <c r="L11" s="60" t="e">
        <f>+'Monetary Survey Counterparts'!#REF!</f>
        <v>#REF!</v>
      </c>
      <c r="M11" s="1284" t="e">
        <f>+'Monetary Survey Counterparts'!#REF!</f>
        <v>#REF!</v>
      </c>
      <c r="N11" s="1284" t="e">
        <f>+'Monetary Survey Counterparts'!#REF!</f>
        <v>#REF!</v>
      </c>
      <c r="O11" s="60" t="e">
        <f>+'Monetary Survey Counterparts'!#REF!</f>
        <v>#REF!</v>
      </c>
      <c r="P11" s="60" t="e">
        <f>+'Monetary Survey Counterparts'!#REF!</f>
        <v>#REF!</v>
      </c>
      <c r="Q11" s="60" t="e">
        <f>+'Monetary Survey Counterparts'!#REF!</f>
        <v>#REF!</v>
      </c>
      <c r="R11" s="60" t="e">
        <f>+'Monetary Survey Counterparts'!#REF!</f>
        <v>#REF!</v>
      </c>
      <c r="S11" s="60" t="e">
        <f>+'Monetary Survey Counterparts'!#REF!</f>
        <v>#REF!</v>
      </c>
      <c r="T11" s="60" t="e">
        <f>+'Monetary Survey Counterparts'!#REF!</f>
        <v>#REF!</v>
      </c>
      <c r="U11" s="523"/>
      <c r="V11" s="485"/>
      <c r="W11" s="485"/>
      <c r="Z11" s="116"/>
      <c r="AA11" s="116"/>
      <c r="AB11" s="116"/>
      <c r="AC11" s="116"/>
      <c r="AD11" s="116"/>
      <c r="AE11" s="116"/>
      <c r="AF11" s="116"/>
      <c r="AG11" s="116"/>
      <c r="AH11" s="523"/>
    </row>
    <row r="12" spans="1:35" ht="12.75" customHeight="1">
      <c r="A12" s="60"/>
      <c r="B12" s="124" t="s">
        <v>164</v>
      </c>
      <c r="C12" s="554">
        <f t="shared" si="0"/>
        <v>3971</v>
      </c>
      <c r="D12" s="563">
        <v>1788.39</v>
      </c>
      <c r="E12" s="559">
        <v>574.80999999999995</v>
      </c>
      <c r="F12" s="557">
        <f t="shared" si="1"/>
        <v>1156.76</v>
      </c>
      <c r="G12" s="563">
        <v>608.36</v>
      </c>
      <c r="H12" s="563">
        <v>548.4</v>
      </c>
      <c r="I12" s="557">
        <f t="shared" si="2"/>
        <v>2182.61</v>
      </c>
      <c r="J12" s="563">
        <v>2069.3000000000002</v>
      </c>
      <c r="K12" s="564">
        <v>113.31</v>
      </c>
      <c r="L12" s="60" t="e">
        <f>+'Monetary Survey Counterparts'!#REF!</f>
        <v>#REF!</v>
      </c>
      <c r="M12" s="1284" t="e">
        <f>+'Monetary Survey Counterparts'!#REF!</f>
        <v>#REF!</v>
      </c>
      <c r="N12" s="1284" t="e">
        <f>+'Monetary Survey Counterparts'!#REF!</f>
        <v>#REF!</v>
      </c>
      <c r="O12" s="60" t="e">
        <f>+'Monetary Survey Counterparts'!#REF!</f>
        <v>#REF!</v>
      </c>
      <c r="P12" s="60" t="e">
        <f>+'Monetary Survey Counterparts'!#REF!</f>
        <v>#REF!</v>
      </c>
      <c r="Q12" s="60" t="e">
        <f>+'Monetary Survey Counterparts'!#REF!</f>
        <v>#REF!</v>
      </c>
      <c r="R12" s="60" t="e">
        <f>+'Monetary Survey Counterparts'!#REF!</f>
        <v>#REF!</v>
      </c>
      <c r="S12" s="60" t="e">
        <f>+'Monetary Survey Counterparts'!#REF!</f>
        <v>#REF!</v>
      </c>
      <c r="T12" s="60" t="e">
        <f>+'Monetary Survey Counterparts'!#REF!</f>
        <v>#REF!</v>
      </c>
      <c r="U12" s="523"/>
      <c r="V12" s="485"/>
      <c r="W12" s="485"/>
      <c r="Z12" s="116"/>
      <c r="AA12" s="116"/>
      <c r="AB12" s="116"/>
      <c r="AC12" s="116"/>
      <c r="AD12" s="116"/>
      <c r="AE12" s="116"/>
      <c r="AF12" s="116"/>
      <c r="AG12" s="116"/>
      <c r="AH12" s="523"/>
    </row>
    <row r="13" spans="1:35" ht="12.75" customHeight="1">
      <c r="A13" s="60"/>
      <c r="B13" s="124" t="s">
        <v>165</v>
      </c>
      <c r="C13" s="554">
        <f t="shared" si="0"/>
        <v>4201.97</v>
      </c>
      <c r="D13" s="563">
        <v>1822.99</v>
      </c>
      <c r="E13" s="559">
        <v>581.26</v>
      </c>
      <c r="F13" s="557">
        <f t="shared" si="1"/>
        <v>1184.9099999999999</v>
      </c>
      <c r="G13" s="563">
        <v>613.65</v>
      </c>
      <c r="H13" s="563">
        <v>571.26</v>
      </c>
      <c r="I13" s="557">
        <f t="shared" si="2"/>
        <v>2378.98</v>
      </c>
      <c r="J13" s="563">
        <v>2275.61</v>
      </c>
      <c r="K13" s="564">
        <v>103.37</v>
      </c>
      <c r="L13" s="60" t="e">
        <f>+'Monetary Survey Counterparts'!#REF!</f>
        <v>#REF!</v>
      </c>
      <c r="M13" s="1284" t="e">
        <f>+'Monetary Survey Counterparts'!#REF!</f>
        <v>#REF!</v>
      </c>
      <c r="N13" s="1284" t="e">
        <f>+'Monetary Survey Counterparts'!#REF!</f>
        <v>#REF!</v>
      </c>
      <c r="O13" s="60" t="e">
        <f>+'Monetary Survey Counterparts'!#REF!</f>
        <v>#REF!</v>
      </c>
      <c r="P13" s="60" t="e">
        <f>+'Monetary Survey Counterparts'!#REF!</f>
        <v>#REF!</v>
      </c>
      <c r="Q13" s="60" t="e">
        <f>+'Monetary Survey Counterparts'!#REF!</f>
        <v>#REF!</v>
      </c>
      <c r="R13" s="60" t="e">
        <f>+'Monetary Survey Counterparts'!#REF!</f>
        <v>#REF!</v>
      </c>
      <c r="S13" s="60" t="e">
        <f>+'Monetary Survey Counterparts'!#REF!</f>
        <v>#REF!</v>
      </c>
      <c r="T13" s="60" t="e">
        <f>+'Monetary Survey Counterparts'!#REF!</f>
        <v>#REF!</v>
      </c>
      <c r="U13" s="523"/>
      <c r="V13" s="485"/>
      <c r="W13" s="485"/>
      <c r="Z13" s="116"/>
      <c r="AA13" s="116"/>
      <c r="AB13" s="116"/>
      <c r="AC13" s="116"/>
      <c r="AD13" s="116"/>
      <c r="AE13" s="116"/>
      <c r="AF13" s="116"/>
      <c r="AG13" s="116"/>
      <c r="AH13" s="523"/>
    </row>
    <row r="14" spans="1:35" ht="12.75" customHeight="1">
      <c r="A14" s="60"/>
      <c r="B14" s="124" t="s">
        <v>166</v>
      </c>
      <c r="C14" s="554">
        <f t="shared" si="0"/>
        <v>4277.6500000000005</v>
      </c>
      <c r="D14" s="563">
        <v>1973.18</v>
      </c>
      <c r="E14" s="559">
        <v>616.97</v>
      </c>
      <c r="F14" s="557">
        <f t="shared" si="1"/>
        <v>1331.85</v>
      </c>
      <c r="G14" s="563">
        <v>791.64</v>
      </c>
      <c r="H14" s="563">
        <v>540.21</v>
      </c>
      <c r="I14" s="557">
        <f t="shared" si="2"/>
        <v>2304.4700000000003</v>
      </c>
      <c r="J14" s="563">
        <v>2191.65</v>
      </c>
      <c r="K14" s="564">
        <v>112.82</v>
      </c>
      <c r="L14" s="60" t="e">
        <f>+'Monetary Survey Counterparts'!#REF!</f>
        <v>#REF!</v>
      </c>
      <c r="M14" s="1284" t="e">
        <f>+'Monetary Survey Counterparts'!#REF!</f>
        <v>#REF!</v>
      </c>
      <c r="N14" s="1284" t="e">
        <f>+'Monetary Survey Counterparts'!#REF!</f>
        <v>#REF!</v>
      </c>
      <c r="O14" s="60" t="e">
        <f>+'Monetary Survey Counterparts'!#REF!</f>
        <v>#REF!</v>
      </c>
      <c r="P14" s="60" t="e">
        <f>+'Monetary Survey Counterparts'!#REF!</f>
        <v>#REF!</v>
      </c>
      <c r="Q14" s="60" t="e">
        <f>+'Monetary Survey Counterparts'!#REF!</f>
        <v>#REF!</v>
      </c>
      <c r="R14" s="60" t="e">
        <f>+'Monetary Survey Counterparts'!#REF!</f>
        <v>#REF!</v>
      </c>
      <c r="S14" s="60" t="e">
        <f>+'Monetary Survey Counterparts'!#REF!</f>
        <v>#REF!</v>
      </c>
      <c r="T14" s="60" t="e">
        <f>+'Monetary Survey Counterparts'!#REF!</f>
        <v>#REF!</v>
      </c>
      <c r="U14" s="523"/>
      <c r="V14" s="485"/>
      <c r="W14" s="485"/>
      <c r="Z14" s="116"/>
      <c r="AA14" s="116"/>
      <c r="AB14" s="116"/>
      <c r="AC14" s="116"/>
      <c r="AD14" s="116"/>
      <c r="AE14" s="116"/>
      <c r="AF14" s="116"/>
      <c r="AG14" s="116"/>
      <c r="AH14" s="523"/>
    </row>
    <row r="15" spans="1:35" ht="12.75" customHeight="1">
      <c r="A15" s="60"/>
      <c r="B15" s="124" t="s">
        <v>167</v>
      </c>
      <c r="C15" s="554">
        <f t="shared" si="0"/>
        <v>4479.1400000000003</v>
      </c>
      <c r="D15" s="563">
        <v>1859.45</v>
      </c>
      <c r="E15" s="559">
        <v>636.29</v>
      </c>
      <c r="F15" s="557">
        <f t="shared" si="1"/>
        <v>1197.47</v>
      </c>
      <c r="G15" s="563">
        <v>652.83000000000004</v>
      </c>
      <c r="H15" s="563">
        <v>544.64</v>
      </c>
      <c r="I15" s="557">
        <f t="shared" si="2"/>
        <v>2619.69</v>
      </c>
      <c r="J15" s="563">
        <v>2524.16</v>
      </c>
      <c r="K15" s="564">
        <v>95.53</v>
      </c>
      <c r="L15" s="60" t="e">
        <f>+'Monetary Survey Counterparts'!#REF!</f>
        <v>#REF!</v>
      </c>
      <c r="M15" s="1284" t="e">
        <f>+'Monetary Survey Counterparts'!#REF!</f>
        <v>#REF!</v>
      </c>
      <c r="N15" s="1284" t="e">
        <f>+'Monetary Survey Counterparts'!#REF!</f>
        <v>#REF!</v>
      </c>
      <c r="O15" s="60" t="e">
        <f>+'Monetary Survey Counterparts'!#REF!</f>
        <v>#REF!</v>
      </c>
      <c r="P15" s="60" t="e">
        <f>+'Monetary Survey Counterparts'!#REF!</f>
        <v>#REF!</v>
      </c>
      <c r="Q15" s="60" t="e">
        <f>+'Monetary Survey Counterparts'!#REF!</f>
        <v>#REF!</v>
      </c>
      <c r="R15" s="60" t="e">
        <f>+'Monetary Survey Counterparts'!#REF!</f>
        <v>#REF!</v>
      </c>
      <c r="S15" s="60" t="e">
        <f>+'Monetary Survey Counterparts'!#REF!</f>
        <v>#REF!</v>
      </c>
      <c r="T15" s="60" t="e">
        <f>+'Monetary Survey Counterparts'!#REF!</f>
        <v>#REF!</v>
      </c>
      <c r="U15" s="523"/>
      <c r="V15" s="485"/>
      <c r="W15" s="485"/>
      <c r="Y15" s="570" t="e">
        <f>+(L15/$L$14-1)*100</f>
        <v>#REF!</v>
      </c>
      <c r="Z15" s="116" t="e">
        <f>+((M15-$M$14)/$L$14)*100</f>
        <v>#REF!</v>
      </c>
      <c r="AA15" s="116"/>
      <c r="AB15" s="116"/>
      <c r="AC15" s="116"/>
      <c r="AD15" s="116"/>
      <c r="AE15" s="116"/>
      <c r="AF15" s="116"/>
      <c r="AG15" s="116"/>
      <c r="AH15" s="523"/>
    </row>
    <row r="16" spans="1:35" ht="12.75" customHeight="1">
      <c r="A16" s="60"/>
      <c r="B16" s="124" t="s">
        <v>168</v>
      </c>
      <c r="C16" s="554">
        <f t="shared" si="0"/>
        <v>4851.6099999999997</v>
      </c>
      <c r="D16" s="563">
        <v>2189.9499999999998</v>
      </c>
      <c r="E16" s="559">
        <v>616.69000000000005</v>
      </c>
      <c r="F16" s="557">
        <f t="shared" si="1"/>
        <v>1547.3</v>
      </c>
      <c r="G16" s="563">
        <v>1058.55</v>
      </c>
      <c r="H16" s="563">
        <v>488.75</v>
      </c>
      <c r="I16" s="557">
        <f t="shared" si="2"/>
        <v>2661.66</v>
      </c>
      <c r="J16" s="563">
        <v>2559.1799999999998</v>
      </c>
      <c r="K16" s="564">
        <v>102.48</v>
      </c>
      <c r="L16" s="60" t="e">
        <f>+'Monetary Survey Counterparts'!#REF!</f>
        <v>#REF!</v>
      </c>
      <c r="M16" s="1284" t="e">
        <f>+'Monetary Survey Counterparts'!#REF!</f>
        <v>#REF!</v>
      </c>
      <c r="N16" s="1284" t="e">
        <f>+'Monetary Survey Counterparts'!#REF!</f>
        <v>#REF!</v>
      </c>
      <c r="O16" s="60" t="e">
        <f>+'Monetary Survey Counterparts'!#REF!</f>
        <v>#REF!</v>
      </c>
      <c r="P16" s="60" t="e">
        <f>+'Monetary Survey Counterparts'!#REF!</f>
        <v>#REF!</v>
      </c>
      <c r="Q16" s="60" t="e">
        <f>+'Monetary Survey Counterparts'!#REF!</f>
        <v>#REF!</v>
      </c>
      <c r="R16" s="60" t="e">
        <f>+'Monetary Survey Counterparts'!#REF!</f>
        <v>#REF!</v>
      </c>
      <c r="S16" s="60" t="e">
        <f>+'Monetary Survey Counterparts'!#REF!</f>
        <v>#REF!</v>
      </c>
      <c r="T16" s="60" t="e">
        <f>+'Monetary Survey Counterparts'!#REF!</f>
        <v>#REF!</v>
      </c>
      <c r="U16" s="523"/>
      <c r="V16" s="485"/>
      <c r="W16" s="485"/>
      <c r="Y16" s="570" t="e">
        <f t="shared" ref="Y16:Y27" si="3">+(L16/$L$14-1)*100</f>
        <v>#REF!</v>
      </c>
      <c r="Z16" s="116" t="e">
        <f t="shared" ref="Z16:Z27" si="4">+((M16-$M$14)/$L$14)*100</f>
        <v>#REF!</v>
      </c>
      <c r="AA16" s="116"/>
      <c r="AB16" s="116"/>
      <c r="AC16" s="116"/>
      <c r="AD16" s="116"/>
      <c r="AE16" s="116"/>
      <c r="AF16" s="116"/>
      <c r="AG16" s="116"/>
      <c r="AH16" s="523"/>
    </row>
    <row r="17" spans="1:34" ht="12.75" customHeight="1">
      <c r="A17" s="60"/>
      <c r="B17" s="124" t="s">
        <v>169</v>
      </c>
      <c r="C17" s="554">
        <f t="shared" si="0"/>
        <v>5304.5300000000007</v>
      </c>
      <c r="D17" s="563">
        <v>2076.58</v>
      </c>
      <c r="E17" s="559">
        <v>645.69000000000005</v>
      </c>
      <c r="F17" s="557">
        <f t="shared" si="1"/>
        <v>1404.83</v>
      </c>
      <c r="G17" s="563">
        <v>910.97</v>
      </c>
      <c r="H17" s="563">
        <v>493.86</v>
      </c>
      <c r="I17" s="557">
        <f t="shared" si="2"/>
        <v>3227.9500000000003</v>
      </c>
      <c r="J17" s="563">
        <v>3121.01</v>
      </c>
      <c r="K17" s="564">
        <v>106.94</v>
      </c>
      <c r="L17" s="60" t="e">
        <f>+'Monetary Survey Counterparts'!#REF!</f>
        <v>#REF!</v>
      </c>
      <c r="M17" s="1284" t="e">
        <f>+'Monetary Survey Counterparts'!#REF!</f>
        <v>#REF!</v>
      </c>
      <c r="N17" s="1284" t="e">
        <f>+'Monetary Survey Counterparts'!#REF!</f>
        <v>#REF!</v>
      </c>
      <c r="O17" s="60" t="e">
        <f>+'Monetary Survey Counterparts'!#REF!</f>
        <v>#REF!</v>
      </c>
      <c r="P17" s="60" t="e">
        <f>+'Monetary Survey Counterparts'!#REF!</f>
        <v>#REF!</v>
      </c>
      <c r="Q17" s="60" t="e">
        <f>+'Monetary Survey Counterparts'!#REF!</f>
        <v>#REF!</v>
      </c>
      <c r="R17" s="60" t="e">
        <f>+'Monetary Survey Counterparts'!#REF!</f>
        <v>#REF!</v>
      </c>
      <c r="S17" s="60" t="e">
        <f>+'Monetary Survey Counterparts'!#REF!</f>
        <v>#REF!</v>
      </c>
      <c r="T17" s="60" t="e">
        <f>+'Monetary Survey Counterparts'!#REF!</f>
        <v>#REF!</v>
      </c>
      <c r="U17" s="523"/>
      <c r="V17" s="485"/>
      <c r="W17" s="485"/>
      <c r="Y17" s="570" t="e">
        <f t="shared" si="3"/>
        <v>#REF!</v>
      </c>
      <c r="Z17" s="116" t="e">
        <f t="shared" si="4"/>
        <v>#REF!</v>
      </c>
      <c r="AA17" s="116"/>
      <c r="AB17" s="116"/>
      <c r="AC17" s="116"/>
      <c r="AD17" s="116"/>
      <c r="AE17" s="116"/>
      <c r="AF17" s="116"/>
      <c r="AG17" s="116"/>
      <c r="AH17" s="523"/>
    </row>
    <row r="18" spans="1:34" ht="12.75" customHeight="1">
      <c r="A18" s="60"/>
      <c r="B18" s="124" t="s">
        <v>170</v>
      </c>
      <c r="C18" s="554">
        <f t="shared" si="0"/>
        <v>5283.39</v>
      </c>
      <c r="D18" s="563">
        <v>1934.86</v>
      </c>
      <c r="E18" s="559">
        <v>654.51</v>
      </c>
      <c r="F18" s="557">
        <f t="shared" si="1"/>
        <v>1254.1399999999999</v>
      </c>
      <c r="G18" s="563">
        <v>764.55</v>
      </c>
      <c r="H18" s="563">
        <v>489.59</v>
      </c>
      <c r="I18" s="557">
        <f t="shared" si="2"/>
        <v>3348.53</v>
      </c>
      <c r="J18" s="563">
        <v>3243.55</v>
      </c>
      <c r="K18" s="564">
        <v>104.98</v>
      </c>
      <c r="L18" s="60" t="e">
        <f>+'Monetary Survey Counterparts'!#REF!</f>
        <v>#REF!</v>
      </c>
      <c r="M18" s="1284" t="e">
        <f>+'Monetary Survey Counterparts'!#REF!</f>
        <v>#REF!</v>
      </c>
      <c r="N18" s="1284" t="e">
        <f>+'Monetary Survey Counterparts'!#REF!</f>
        <v>#REF!</v>
      </c>
      <c r="O18" s="60" t="e">
        <f>+'Monetary Survey Counterparts'!#REF!</f>
        <v>#REF!</v>
      </c>
      <c r="P18" s="60" t="e">
        <f>+'Monetary Survey Counterparts'!#REF!</f>
        <v>#REF!</v>
      </c>
      <c r="Q18" s="60" t="e">
        <f>+'Monetary Survey Counterparts'!#REF!</f>
        <v>#REF!</v>
      </c>
      <c r="R18" s="60" t="e">
        <f>+'Monetary Survey Counterparts'!#REF!</f>
        <v>#REF!</v>
      </c>
      <c r="S18" s="60" t="e">
        <f>+'Monetary Survey Counterparts'!#REF!</f>
        <v>#REF!</v>
      </c>
      <c r="T18" s="60" t="e">
        <f>+'Monetary Survey Counterparts'!#REF!</f>
        <v>#REF!</v>
      </c>
      <c r="U18" s="523"/>
      <c r="V18" s="485"/>
      <c r="W18" s="485"/>
      <c r="Y18" s="570" t="e">
        <f t="shared" si="3"/>
        <v>#REF!</v>
      </c>
      <c r="Z18" s="116" t="e">
        <f t="shared" si="4"/>
        <v>#REF!</v>
      </c>
      <c r="AA18" s="116"/>
      <c r="AB18" s="116"/>
      <c r="AC18" s="116"/>
      <c r="AD18" s="116"/>
      <c r="AE18" s="116"/>
      <c r="AF18" s="116"/>
      <c r="AG18" s="116"/>
      <c r="AH18" s="523"/>
    </row>
    <row r="19" spans="1:34" ht="12.75" customHeight="1">
      <c r="A19" s="60"/>
      <c r="B19" s="124" t="s">
        <v>171</v>
      </c>
      <c r="C19" s="554">
        <f t="shared" si="0"/>
        <v>5561.05</v>
      </c>
      <c r="D19" s="563">
        <v>2105.5700000000002</v>
      </c>
      <c r="E19" s="559">
        <v>662.96</v>
      </c>
      <c r="F19" s="557">
        <f t="shared" si="1"/>
        <v>1414.74</v>
      </c>
      <c r="G19" s="563">
        <v>908.88</v>
      </c>
      <c r="H19" s="563">
        <v>505.86</v>
      </c>
      <c r="I19" s="557">
        <f t="shared" si="2"/>
        <v>3455.48</v>
      </c>
      <c r="J19" s="563">
        <v>3351.78</v>
      </c>
      <c r="K19" s="564">
        <v>103.7</v>
      </c>
      <c r="L19" s="60" t="e">
        <f>+'Monetary Survey Counterparts'!#REF!</f>
        <v>#REF!</v>
      </c>
      <c r="M19" s="1284" t="e">
        <f>+'Monetary Survey Counterparts'!#REF!</f>
        <v>#REF!</v>
      </c>
      <c r="N19" s="1284" t="e">
        <f>+'Monetary Survey Counterparts'!#REF!</f>
        <v>#REF!</v>
      </c>
      <c r="O19" s="60" t="e">
        <f>+'Monetary Survey Counterparts'!#REF!</f>
        <v>#REF!</v>
      </c>
      <c r="P19" s="60" t="e">
        <f>+'Monetary Survey Counterparts'!#REF!</f>
        <v>#REF!</v>
      </c>
      <c r="Q19" s="60" t="e">
        <f>+'Monetary Survey Counterparts'!#REF!</f>
        <v>#REF!</v>
      </c>
      <c r="R19" s="60" t="e">
        <f>+'Monetary Survey Counterparts'!#REF!</f>
        <v>#REF!</v>
      </c>
      <c r="S19" s="60" t="e">
        <f>+'Monetary Survey Counterparts'!#REF!</f>
        <v>#REF!</v>
      </c>
      <c r="T19" s="60" t="e">
        <f>+'Monetary Survey Counterparts'!#REF!</f>
        <v>#REF!</v>
      </c>
      <c r="U19" s="523"/>
      <c r="V19" s="485"/>
      <c r="W19" s="485"/>
      <c r="Y19" s="570" t="e">
        <f t="shared" si="3"/>
        <v>#REF!</v>
      </c>
      <c r="Z19" s="116" t="e">
        <f t="shared" si="4"/>
        <v>#REF!</v>
      </c>
      <c r="AA19" s="116"/>
      <c r="AB19" s="116"/>
      <c r="AC19" s="116"/>
      <c r="AD19" s="116"/>
      <c r="AE19" s="116"/>
      <c r="AF19" s="116"/>
      <c r="AG19" s="116"/>
      <c r="AH19" s="523"/>
    </row>
    <row r="20" spans="1:34" ht="12.75" customHeight="1">
      <c r="A20" s="60"/>
      <c r="B20" s="124" t="s">
        <v>148</v>
      </c>
      <c r="C20" s="554">
        <f t="shared" si="0"/>
        <v>5652.16</v>
      </c>
      <c r="D20" s="563">
        <v>2196.46</v>
      </c>
      <c r="E20" s="559">
        <v>720.94</v>
      </c>
      <c r="F20" s="557">
        <f t="shared" si="1"/>
        <v>1447.17</v>
      </c>
      <c r="G20" s="563">
        <v>930.03</v>
      </c>
      <c r="H20" s="563">
        <v>517.14</v>
      </c>
      <c r="I20" s="557">
        <f t="shared" si="2"/>
        <v>3455.7000000000003</v>
      </c>
      <c r="J20" s="563">
        <v>3359.3</v>
      </c>
      <c r="K20" s="564">
        <v>96.4</v>
      </c>
      <c r="L20" s="60" t="e">
        <f>+'Monetary Survey Counterparts'!#REF!</f>
        <v>#REF!</v>
      </c>
      <c r="M20" s="1284" t="e">
        <f>+'Monetary Survey Counterparts'!#REF!</f>
        <v>#REF!</v>
      </c>
      <c r="N20" s="1284" t="e">
        <f>+'Monetary Survey Counterparts'!#REF!</f>
        <v>#REF!</v>
      </c>
      <c r="O20" s="60" t="e">
        <f>+'Monetary Survey Counterparts'!#REF!</f>
        <v>#REF!</v>
      </c>
      <c r="P20" s="60" t="e">
        <f>+'Monetary Survey Counterparts'!#REF!</f>
        <v>#REF!</v>
      </c>
      <c r="Q20" s="60" t="e">
        <f>+'Monetary Survey Counterparts'!#REF!</f>
        <v>#REF!</v>
      </c>
      <c r="R20" s="60" t="e">
        <f>+'Monetary Survey Counterparts'!#REF!</f>
        <v>#REF!</v>
      </c>
      <c r="S20" s="60" t="e">
        <f>+'Monetary Survey Counterparts'!#REF!</f>
        <v>#REF!</v>
      </c>
      <c r="T20" s="60" t="e">
        <f>+'Monetary Survey Counterparts'!#REF!</f>
        <v>#REF!</v>
      </c>
      <c r="U20" s="523"/>
      <c r="V20" s="485"/>
      <c r="W20" s="485"/>
      <c r="Y20" s="570" t="e">
        <f t="shared" si="3"/>
        <v>#REF!</v>
      </c>
      <c r="Z20" s="116" t="e">
        <f t="shared" si="4"/>
        <v>#REF!</v>
      </c>
      <c r="AA20" s="116"/>
      <c r="AB20" s="116"/>
      <c r="AC20" s="116"/>
      <c r="AD20" s="116"/>
      <c r="AE20" s="116"/>
      <c r="AF20" s="116"/>
      <c r="AG20" s="116"/>
      <c r="AH20" s="523"/>
    </row>
    <row r="21" spans="1:34" ht="12.75" customHeight="1">
      <c r="A21" s="127">
        <v>1998</v>
      </c>
      <c r="B21" s="124" t="s">
        <v>1248</v>
      </c>
      <c r="C21" s="554">
        <f t="shared" ref="C21:C32" si="5">D21+I21</f>
        <v>5597.08</v>
      </c>
      <c r="D21" s="563">
        <v>2078.54</v>
      </c>
      <c r="E21" s="559">
        <v>781.27</v>
      </c>
      <c r="F21" s="557">
        <f t="shared" ref="F21:F32" si="6">G21+H21</f>
        <v>1268.97</v>
      </c>
      <c r="G21" s="563">
        <v>763.2</v>
      </c>
      <c r="H21" s="563">
        <v>505.77</v>
      </c>
      <c r="I21" s="557">
        <f t="shared" ref="I21:I32" si="7">J21+K21</f>
        <v>3518.54</v>
      </c>
      <c r="J21" s="563">
        <v>3419.88</v>
      </c>
      <c r="K21" s="564">
        <v>98.66</v>
      </c>
      <c r="L21" s="60" t="e">
        <f>+'Monetary Survey Counterparts'!#REF!</f>
        <v>#REF!</v>
      </c>
      <c r="M21" s="1284" t="e">
        <f>+'Monetary Survey Counterparts'!#REF!</f>
        <v>#REF!</v>
      </c>
      <c r="N21" s="1284" t="e">
        <f>+'Monetary Survey Counterparts'!#REF!</f>
        <v>#REF!</v>
      </c>
      <c r="O21" s="60" t="e">
        <f>+'Monetary Survey Counterparts'!#REF!</f>
        <v>#REF!</v>
      </c>
      <c r="P21" s="60" t="e">
        <f>+'Monetary Survey Counterparts'!#REF!</f>
        <v>#REF!</v>
      </c>
      <c r="Q21" s="60" t="e">
        <f>+'Monetary Survey Counterparts'!#REF!</f>
        <v>#REF!</v>
      </c>
      <c r="R21" s="60" t="e">
        <f>+'Monetary Survey Counterparts'!#REF!</f>
        <v>#REF!</v>
      </c>
      <c r="S21" s="60" t="e">
        <f>+'Monetary Survey Counterparts'!#REF!</f>
        <v>#REF!</v>
      </c>
      <c r="T21" s="60" t="e">
        <f>+'Monetary Survey Counterparts'!#REF!</f>
        <v>#REF!</v>
      </c>
      <c r="U21" s="523"/>
      <c r="V21" s="485"/>
      <c r="W21" s="569" t="e">
        <f>((S21/S9)-1)*100</f>
        <v>#REF!</v>
      </c>
      <c r="X21" s="570" t="e">
        <f>((L21/L9)-1)*100</f>
        <v>#REF!</v>
      </c>
      <c r="Y21" s="570" t="e">
        <f t="shared" si="3"/>
        <v>#REF!</v>
      </c>
      <c r="Z21" s="116" t="e">
        <f t="shared" si="4"/>
        <v>#REF!</v>
      </c>
      <c r="AA21" s="116"/>
      <c r="AB21" s="116"/>
      <c r="AC21" s="116"/>
      <c r="AD21" s="116"/>
      <c r="AE21" s="116"/>
      <c r="AF21" s="116"/>
      <c r="AG21" s="116"/>
      <c r="AH21" s="523"/>
    </row>
    <row r="22" spans="1:34" ht="12.75" customHeight="1">
      <c r="A22" s="60"/>
      <c r="B22" s="124" t="s">
        <v>162</v>
      </c>
      <c r="C22" s="554">
        <f t="shared" si="5"/>
        <v>5533.31</v>
      </c>
      <c r="D22" s="563">
        <v>1931.45</v>
      </c>
      <c r="E22" s="559">
        <v>737.59</v>
      </c>
      <c r="F22" s="557">
        <f t="shared" si="6"/>
        <v>1175.71</v>
      </c>
      <c r="G22" s="563">
        <v>661.41</v>
      </c>
      <c r="H22" s="563">
        <v>514.29999999999995</v>
      </c>
      <c r="I22" s="557">
        <f t="shared" si="7"/>
        <v>3601.86</v>
      </c>
      <c r="J22" s="563">
        <v>3519.38</v>
      </c>
      <c r="K22" s="564">
        <v>82.48</v>
      </c>
      <c r="L22" s="60" t="e">
        <f>+'Monetary Survey Counterparts'!#REF!</f>
        <v>#REF!</v>
      </c>
      <c r="M22" s="1284" t="e">
        <f>+'Monetary Survey Counterparts'!#REF!</f>
        <v>#REF!</v>
      </c>
      <c r="N22" s="1284" t="e">
        <f>+'Monetary Survey Counterparts'!#REF!</f>
        <v>#REF!</v>
      </c>
      <c r="O22" s="60" t="e">
        <f>+'Monetary Survey Counterparts'!#REF!</f>
        <v>#REF!</v>
      </c>
      <c r="P22" s="60" t="e">
        <f>+'Monetary Survey Counterparts'!#REF!</f>
        <v>#REF!</v>
      </c>
      <c r="Q22" s="60" t="e">
        <f>+'Monetary Survey Counterparts'!#REF!</f>
        <v>#REF!</v>
      </c>
      <c r="R22" s="60" t="e">
        <f>+'Monetary Survey Counterparts'!#REF!</f>
        <v>#REF!</v>
      </c>
      <c r="S22" s="60" t="e">
        <f>+'Monetary Survey Counterparts'!#REF!</f>
        <v>#REF!</v>
      </c>
      <c r="T22" s="60" t="e">
        <f>+'Monetary Survey Counterparts'!#REF!</f>
        <v>#REF!</v>
      </c>
      <c r="U22" s="523"/>
      <c r="V22" s="485"/>
      <c r="W22" s="569" t="e">
        <f t="shared" ref="W22:W69" si="8">((S22/S10)-1)*100</f>
        <v>#REF!</v>
      </c>
      <c r="X22" s="570" t="e">
        <f t="shared" ref="X22:X69" si="9">((L22/L10)-1)*100</f>
        <v>#REF!</v>
      </c>
      <c r="Y22" s="570" t="e">
        <f t="shared" si="3"/>
        <v>#REF!</v>
      </c>
      <c r="Z22" s="116" t="e">
        <f t="shared" si="4"/>
        <v>#REF!</v>
      </c>
      <c r="AA22" s="116"/>
      <c r="AB22" s="116"/>
      <c r="AC22" s="116"/>
      <c r="AD22" s="116"/>
      <c r="AE22" s="116"/>
      <c r="AF22" s="116"/>
      <c r="AG22" s="116"/>
      <c r="AH22" s="523"/>
    </row>
    <row r="23" spans="1:34" ht="12.75" customHeight="1">
      <c r="A23" s="60"/>
      <c r="B23" s="124" t="s">
        <v>163</v>
      </c>
      <c r="C23" s="554">
        <f t="shared" si="5"/>
        <v>5463.2800000000007</v>
      </c>
      <c r="D23" s="563">
        <v>1953.12</v>
      </c>
      <c r="E23" s="559">
        <v>710.31</v>
      </c>
      <c r="F23" s="557">
        <f t="shared" si="6"/>
        <v>1224.57</v>
      </c>
      <c r="G23" s="563">
        <v>685.54</v>
      </c>
      <c r="H23" s="563">
        <v>539.03</v>
      </c>
      <c r="I23" s="557">
        <f t="shared" si="7"/>
        <v>3510.1600000000003</v>
      </c>
      <c r="J23" s="563">
        <v>3421.88</v>
      </c>
      <c r="K23" s="564">
        <v>88.28</v>
      </c>
      <c r="L23" s="60" t="e">
        <f>+'Monetary Survey Counterparts'!#REF!</f>
        <v>#REF!</v>
      </c>
      <c r="M23" s="1284" t="e">
        <f>+'Monetary Survey Counterparts'!#REF!</f>
        <v>#REF!</v>
      </c>
      <c r="N23" s="1284" t="e">
        <f>+'Monetary Survey Counterparts'!#REF!</f>
        <v>#REF!</v>
      </c>
      <c r="O23" s="60" t="e">
        <f>+'Monetary Survey Counterparts'!#REF!</f>
        <v>#REF!</v>
      </c>
      <c r="P23" s="60" t="e">
        <f>+'Monetary Survey Counterparts'!#REF!</f>
        <v>#REF!</v>
      </c>
      <c r="Q23" s="60" t="e">
        <f>+'Monetary Survey Counterparts'!#REF!</f>
        <v>#REF!</v>
      </c>
      <c r="R23" s="60" t="e">
        <f>+'Monetary Survey Counterparts'!#REF!</f>
        <v>#REF!</v>
      </c>
      <c r="S23" s="60" t="e">
        <f>+'Monetary Survey Counterparts'!#REF!</f>
        <v>#REF!</v>
      </c>
      <c r="T23" s="60" t="e">
        <f>+'Monetary Survey Counterparts'!#REF!</f>
        <v>#REF!</v>
      </c>
      <c r="U23" s="523"/>
      <c r="V23" s="485"/>
      <c r="W23" s="569" t="e">
        <f t="shared" si="8"/>
        <v>#REF!</v>
      </c>
      <c r="X23" s="570" t="e">
        <f t="shared" si="9"/>
        <v>#REF!</v>
      </c>
      <c r="Y23" s="570" t="e">
        <f t="shared" si="3"/>
        <v>#REF!</v>
      </c>
      <c r="Z23" s="116" t="e">
        <f t="shared" si="4"/>
        <v>#REF!</v>
      </c>
      <c r="AA23" s="116"/>
      <c r="AB23" s="116"/>
      <c r="AC23" s="116"/>
      <c r="AD23" s="116"/>
      <c r="AE23" s="116"/>
      <c r="AF23" s="116"/>
      <c r="AG23" s="116"/>
      <c r="AH23" s="523"/>
    </row>
    <row r="24" spans="1:34" ht="12.75" customHeight="1">
      <c r="A24" s="60"/>
      <c r="B24" s="124" t="s">
        <v>164</v>
      </c>
      <c r="C24" s="554">
        <f t="shared" si="5"/>
        <v>5615.73</v>
      </c>
      <c r="D24" s="563">
        <v>1913.55</v>
      </c>
      <c r="E24" s="559">
        <v>671.67</v>
      </c>
      <c r="F24" s="557">
        <f t="shared" si="6"/>
        <v>1223.54</v>
      </c>
      <c r="G24" s="563">
        <v>675.11</v>
      </c>
      <c r="H24" s="563">
        <v>548.42999999999995</v>
      </c>
      <c r="I24" s="557">
        <f t="shared" si="7"/>
        <v>3702.18</v>
      </c>
      <c r="J24" s="563">
        <v>3609.24</v>
      </c>
      <c r="K24" s="564">
        <v>92.94</v>
      </c>
      <c r="L24" s="60" t="e">
        <f>+'Monetary Survey Counterparts'!#REF!</f>
        <v>#REF!</v>
      </c>
      <c r="M24" s="1284" t="e">
        <f>+'Monetary Survey Counterparts'!#REF!</f>
        <v>#REF!</v>
      </c>
      <c r="N24" s="1284" t="e">
        <f>+'Monetary Survey Counterparts'!#REF!</f>
        <v>#REF!</v>
      </c>
      <c r="O24" s="60" t="e">
        <f>+'Monetary Survey Counterparts'!#REF!</f>
        <v>#REF!</v>
      </c>
      <c r="P24" s="60" t="e">
        <f>+'Monetary Survey Counterparts'!#REF!</f>
        <v>#REF!</v>
      </c>
      <c r="Q24" s="60" t="e">
        <f>+'Monetary Survey Counterparts'!#REF!</f>
        <v>#REF!</v>
      </c>
      <c r="R24" s="60" t="e">
        <f>+'Monetary Survey Counterparts'!#REF!</f>
        <v>#REF!</v>
      </c>
      <c r="S24" s="60" t="e">
        <f>+'Monetary Survey Counterparts'!#REF!</f>
        <v>#REF!</v>
      </c>
      <c r="T24" s="60" t="e">
        <f>+'Monetary Survey Counterparts'!#REF!</f>
        <v>#REF!</v>
      </c>
      <c r="U24" s="523"/>
      <c r="V24" s="485"/>
      <c r="W24" s="569" t="e">
        <f t="shared" si="8"/>
        <v>#REF!</v>
      </c>
      <c r="X24" s="570" t="e">
        <f t="shared" si="9"/>
        <v>#REF!</v>
      </c>
      <c r="Y24" s="570" t="e">
        <f t="shared" si="3"/>
        <v>#REF!</v>
      </c>
      <c r="Z24" s="116" t="e">
        <f t="shared" si="4"/>
        <v>#REF!</v>
      </c>
      <c r="AA24" s="116"/>
      <c r="AB24" s="116"/>
      <c r="AC24" s="116"/>
      <c r="AD24" s="116"/>
      <c r="AE24" s="116"/>
      <c r="AF24" s="116"/>
      <c r="AG24" s="116"/>
      <c r="AH24" s="523"/>
    </row>
    <row r="25" spans="1:34" ht="12.75" customHeight="1">
      <c r="A25" s="60"/>
      <c r="B25" s="124" t="s">
        <v>165</v>
      </c>
      <c r="C25" s="554">
        <f t="shared" si="5"/>
        <v>5580.91</v>
      </c>
      <c r="D25" s="563">
        <v>1809.91</v>
      </c>
      <c r="E25" s="559">
        <v>556.67999999999995</v>
      </c>
      <c r="F25" s="557">
        <f t="shared" si="6"/>
        <v>1234.0700000000002</v>
      </c>
      <c r="G25" s="563">
        <v>682.69</v>
      </c>
      <c r="H25" s="563">
        <v>551.38</v>
      </c>
      <c r="I25" s="557">
        <f t="shared" si="7"/>
        <v>3771</v>
      </c>
      <c r="J25" s="563">
        <v>3677.11</v>
      </c>
      <c r="K25" s="564">
        <v>93.89</v>
      </c>
      <c r="L25" s="60" t="e">
        <f>+'Monetary Survey Counterparts'!#REF!</f>
        <v>#REF!</v>
      </c>
      <c r="M25" s="1284" t="e">
        <f>+'Monetary Survey Counterparts'!#REF!</f>
        <v>#REF!</v>
      </c>
      <c r="N25" s="1284" t="e">
        <f>+'Monetary Survey Counterparts'!#REF!</f>
        <v>#REF!</v>
      </c>
      <c r="O25" s="60" t="e">
        <f>+'Monetary Survey Counterparts'!#REF!</f>
        <v>#REF!</v>
      </c>
      <c r="P25" s="60" t="e">
        <f>+'Monetary Survey Counterparts'!#REF!</f>
        <v>#REF!</v>
      </c>
      <c r="Q25" s="60" t="e">
        <f>+'Monetary Survey Counterparts'!#REF!</f>
        <v>#REF!</v>
      </c>
      <c r="R25" s="60" t="e">
        <f>+'Monetary Survey Counterparts'!#REF!</f>
        <v>#REF!</v>
      </c>
      <c r="S25" s="60" t="e">
        <f>+'Monetary Survey Counterparts'!#REF!</f>
        <v>#REF!</v>
      </c>
      <c r="T25" s="60" t="e">
        <f>+'Monetary Survey Counterparts'!#REF!</f>
        <v>#REF!</v>
      </c>
      <c r="U25" s="523"/>
      <c r="V25" s="485"/>
      <c r="W25" s="569" t="e">
        <f t="shared" si="8"/>
        <v>#REF!</v>
      </c>
      <c r="X25" s="570" t="e">
        <f t="shared" si="9"/>
        <v>#REF!</v>
      </c>
      <c r="Y25" s="570" t="e">
        <f t="shared" si="3"/>
        <v>#REF!</v>
      </c>
      <c r="Z25" s="116" t="e">
        <f t="shared" si="4"/>
        <v>#REF!</v>
      </c>
      <c r="AA25" s="116"/>
      <c r="AB25" s="116"/>
      <c r="AC25" s="116"/>
      <c r="AD25" s="116"/>
      <c r="AE25" s="116"/>
      <c r="AF25" s="116"/>
      <c r="AG25" s="116"/>
      <c r="AH25" s="523"/>
    </row>
    <row r="26" spans="1:34" s="602" customFormat="1" ht="12.75" customHeight="1">
      <c r="A26" s="527"/>
      <c r="B26" s="528" t="s">
        <v>166</v>
      </c>
      <c r="C26" s="591">
        <f t="shared" si="5"/>
        <v>6063.09</v>
      </c>
      <c r="D26" s="597">
        <v>2500.16</v>
      </c>
      <c r="E26" s="593">
        <v>1050.28</v>
      </c>
      <c r="F26" s="594">
        <f t="shared" si="6"/>
        <v>1327.08</v>
      </c>
      <c r="G26" s="597">
        <v>743.5</v>
      </c>
      <c r="H26" s="597">
        <v>583.58000000000004</v>
      </c>
      <c r="I26" s="594">
        <f t="shared" si="7"/>
        <v>3562.9300000000003</v>
      </c>
      <c r="J26" s="597">
        <v>3298.44</v>
      </c>
      <c r="K26" s="599">
        <v>264.49</v>
      </c>
      <c r="L26" s="527" t="e">
        <f>+'Monetary Survey Counterparts'!#REF!</f>
        <v>#REF!</v>
      </c>
      <c r="M26" s="1284" t="e">
        <f>+'Monetary Survey Counterparts'!#REF!</f>
        <v>#REF!</v>
      </c>
      <c r="N26" s="1284" t="e">
        <f>+'Monetary Survey Counterparts'!#REF!</f>
        <v>#REF!</v>
      </c>
      <c r="O26" s="527" t="e">
        <f>+'Monetary Survey Counterparts'!#REF!</f>
        <v>#REF!</v>
      </c>
      <c r="P26" s="527" t="e">
        <f>+'Monetary Survey Counterparts'!#REF!</f>
        <v>#REF!</v>
      </c>
      <c r="Q26" s="527" t="e">
        <f>+'Monetary Survey Counterparts'!#REF!</f>
        <v>#REF!</v>
      </c>
      <c r="R26" s="527" t="e">
        <f>+'Monetary Survey Counterparts'!#REF!</f>
        <v>#REF!</v>
      </c>
      <c r="S26" s="527" t="e">
        <f>+'Monetary Survey Counterparts'!#REF!</f>
        <v>#REF!</v>
      </c>
      <c r="T26" s="527" t="e">
        <f>+'Monetary Survey Counterparts'!#REF!</f>
        <v>#REF!</v>
      </c>
      <c r="U26" s="600"/>
      <c r="V26" s="601"/>
      <c r="W26" s="587" t="e">
        <f t="shared" si="8"/>
        <v>#REF!</v>
      </c>
      <c r="X26" s="588" t="e">
        <f t="shared" si="9"/>
        <v>#REF!</v>
      </c>
      <c r="Y26" s="588" t="e">
        <f t="shared" si="3"/>
        <v>#REF!</v>
      </c>
      <c r="Z26" s="596" t="e">
        <f t="shared" si="4"/>
        <v>#REF!</v>
      </c>
      <c r="AA26" s="596"/>
      <c r="AB26" s="596"/>
      <c r="AC26" s="596"/>
      <c r="AD26" s="596"/>
      <c r="AE26" s="596"/>
      <c r="AF26" s="596"/>
      <c r="AG26" s="596"/>
      <c r="AH26" s="600"/>
    </row>
    <row r="27" spans="1:34" ht="12.75" customHeight="1">
      <c r="A27" s="60"/>
      <c r="B27" s="124" t="s">
        <v>167</v>
      </c>
      <c r="C27" s="554">
        <f t="shared" si="5"/>
        <v>5945.4</v>
      </c>
      <c r="D27" s="563">
        <v>1995.38</v>
      </c>
      <c r="E27" s="559">
        <v>702.58</v>
      </c>
      <c r="F27" s="557">
        <f t="shared" si="6"/>
        <v>1170.0999999999999</v>
      </c>
      <c r="G27" s="563">
        <v>574.57000000000005</v>
      </c>
      <c r="H27" s="563">
        <v>595.53</v>
      </c>
      <c r="I27" s="557">
        <f t="shared" si="7"/>
        <v>3950.02</v>
      </c>
      <c r="J27" s="563">
        <v>3390.37</v>
      </c>
      <c r="K27" s="564">
        <v>559.65</v>
      </c>
      <c r="L27" s="60" t="e">
        <f>+'Monetary Survey Counterparts'!#REF!</f>
        <v>#REF!</v>
      </c>
      <c r="M27" s="1284" t="e">
        <f>+'Monetary Survey Counterparts'!#REF!</f>
        <v>#REF!</v>
      </c>
      <c r="N27" s="1284" t="e">
        <f>+'Monetary Survey Counterparts'!#REF!</f>
        <v>#REF!</v>
      </c>
      <c r="O27" s="60" t="e">
        <f>+'Monetary Survey Counterparts'!#REF!</f>
        <v>#REF!</v>
      </c>
      <c r="P27" s="60" t="e">
        <f>+'Monetary Survey Counterparts'!#REF!</f>
        <v>#REF!</v>
      </c>
      <c r="Q27" s="60" t="e">
        <f>+'Monetary Survey Counterparts'!#REF!</f>
        <v>#REF!</v>
      </c>
      <c r="R27" s="60" t="e">
        <f>+'Monetary Survey Counterparts'!#REF!</f>
        <v>#REF!</v>
      </c>
      <c r="S27" s="60" t="e">
        <f>+'Monetary Survey Counterparts'!#REF!</f>
        <v>#REF!</v>
      </c>
      <c r="T27" s="60" t="e">
        <f>+'Monetary Survey Counterparts'!#REF!</f>
        <v>#REF!</v>
      </c>
      <c r="U27" s="523"/>
      <c r="V27" s="485"/>
      <c r="W27" s="569" t="e">
        <f t="shared" si="8"/>
        <v>#REF!</v>
      </c>
      <c r="X27" s="570" t="e">
        <f t="shared" si="9"/>
        <v>#REF!</v>
      </c>
      <c r="Y27" s="570" t="e">
        <f t="shared" si="3"/>
        <v>#REF!</v>
      </c>
      <c r="Z27" s="116" t="e">
        <f t="shared" si="4"/>
        <v>#REF!</v>
      </c>
      <c r="AA27" s="116"/>
      <c r="AB27" s="116"/>
      <c r="AC27" s="116"/>
      <c r="AD27" s="116"/>
      <c r="AE27" s="116"/>
      <c r="AF27" s="116"/>
      <c r="AG27" s="116"/>
      <c r="AH27" s="523"/>
    </row>
    <row r="28" spans="1:34" ht="12.75" customHeight="1">
      <c r="A28" s="60"/>
      <c r="B28" s="124" t="s">
        <v>168</v>
      </c>
      <c r="C28" s="554">
        <f t="shared" si="5"/>
        <v>6254.26</v>
      </c>
      <c r="D28" s="563">
        <v>2310.2600000000002</v>
      </c>
      <c r="E28" s="559">
        <v>735.66</v>
      </c>
      <c r="F28" s="557">
        <f t="shared" si="6"/>
        <v>1425.27</v>
      </c>
      <c r="G28" s="563">
        <v>795.25</v>
      </c>
      <c r="H28" s="563">
        <v>630.02</v>
      </c>
      <c r="I28" s="557">
        <f t="shared" si="7"/>
        <v>3944</v>
      </c>
      <c r="J28" s="563">
        <v>3419.79</v>
      </c>
      <c r="K28" s="564">
        <v>524.21</v>
      </c>
      <c r="L28" s="60" t="e">
        <f>+'Monetary Survey Counterparts'!#REF!</f>
        <v>#REF!</v>
      </c>
      <c r="M28" s="1284" t="e">
        <f>+'Monetary Survey Counterparts'!#REF!</f>
        <v>#REF!</v>
      </c>
      <c r="N28" s="1284" t="e">
        <f>+'Monetary Survey Counterparts'!#REF!</f>
        <v>#REF!</v>
      </c>
      <c r="O28" s="60" t="e">
        <f>+'Monetary Survey Counterparts'!#REF!</f>
        <v>#REF!</v>
      </c>
      <c r="P28" s="60" t="e">
        <f>+'Monetary Survey Counterparts'!#REF!</f>
        <v>#REF!</v>
      </c>
      <c r="Q28" s="60" t="e">
        <f>+'Monetary Survey Counterparts'!#REF!</f>
        <v>#REF!</v>
      </c>
      <c r="R28" s="60" t="e">
        <f>+'Monetary Survey Counterparts'!#REF!</f>
        <v>#REF!</v>
      </c>
      <c r="S28" s="60" t="e">
        <f>+'Monetary Survey Counterparts'!#REF!</f>
        <v>#REF!</v>
      </c>
      <c r="T28" s="60" t="e">
        <f>+'Monetary Survey Counterparts'!#REF!</f>
        <v>#REF!</v>
      </c>
      <c r="U28" s="523"/>
      <c r="V28" s="485"/>
      <c r="W28" s="569" t="e">
        <f t="shared" si="8"/>
        <v>#REF!</v>
      </c>
      <c r="X28" s="570" t="e">
        <f t="shared" si="9"/>
        <v>#REF!</v>
      </c>
      <c r="Y28" s="570" t="e">
        <f>+(L28/$L$26-1)*100</f>
        <v>#REF!</v>
      </c>
      <c r="Z28" s="116" t="e">
        <f>+((M28-$M$26)/$L$26)*100</f>
        <v>#REF!</v>
      </c>
      <c r="AA28" s="116"/>
      <c r="AB28" s="116"/>
      <c r="AC28" s="116"/>
      <c r="AD28" s="116"/>
      <c r="AE28" s="116"/>
      <c r="AF28" s="116"/>
      <c r="AG28" s="116"/>
      <c r="AH28" s="523"/>
    </row>
    <row r="29" spans="1:34" ht="12.75" customHeight="1">
      <c r="A29" s="60"/>
      <c r="B29" s="124" t="s">
        <v>169</v>
      </c>
      <c r="C29" s="554">
        <f t="shared" si="5"/>
        <v>6510.67</v>
      </c>
      <c r="D29" s="563">
        <v>2628.68</v>
      </c>
      <c r="E29" s="559">
        <v>843.47</v>
      </c>
      <c r="F29" s="557">
        <f t="shared" si="6"/>
        <v>1635.93</v>
      </c>
      <c r="G29" s="563">
        <v>1008.59</v>
      </c>
      <c r="H29" s="563">
        <v>627.34</v>
      </c>
      <c r="I29" s="557">
        <f t="shared" si="7"/>
        <v>3881.99</v>
      </c>
      <c r="J29" s="563">
        <v>3335.39</v>
      </c>
      <c r="K29" s="564">
        <v>546.6</v>
      </c>
      <c r="L29" s="60" t="e">
        <f>+'Monetary Survey Counterparts'!#REF!</f>
        <v>#REF!</v>
      </c>
      <c r="M29" s="1284" t="e">
        <f>+'Monetary Survey Counterparts'!#REF!</f>
        <v>#REF!</v>
      </c>
      <c r="N29" s="1284" t="e">
        <f>+'Monetary Survey Counterparts'!#REF!</f>
        <v>#REF!</v>
      </c>
      <c r="O29" s="60" t="e">
        <f>+'Monetary Survey Counterparts'!#REF!</f>
        <v>#REF!</v>
      </c>
      <c r="P29" s="60" t="e">
        <f>+'Monetary Survey Counterparts'!#REF!</f>
        <v>#REF!</v>
      </c>
      <c r="Q29" s="60" t="e">
        <f>+'Monetary Survey Counterparts'!#REF!</f>
        <v>#REF!</v>
      </c>
      <c r="R29" s="60" t="e">
        <f>+'Monetary Survey Counterparts'!#REF!</f>
        <v>#REF!</v>
      </c>
      <c r="S29" s="60" t="e">
        <f>+'Monetary Survey Counterparts'!#REF!</f>
        <v>#REF!</v>
      </c>
      <c r="T29" s="60" t="e">
        <f>+'Monetary Survey Counterparts'!#REF!</f>
        <v>#REF!</v>
      </c>
      <c r="U29" s="523"/>
      <c r="V29" s="485"/>
      <c r="W29" s="569" t="e">
        <f t="shared" si="8"/>
        <v>#REF!</v>
      </c>
      <c r="X29" s="570" t="e">
        <f t="shared" si="9"/>
        <v>#REF!</v>
      </c>
      <c r="Y29" s="570" t="e">
        <f t="shared" ref="Y29:Y39" si="10">+(L29/$L$26-1)*100</f>
        <v>#REF!</v>
      </c>
      <c r="Z29" s="116" t="e">
        <f t="shared" ref="Z29:Z51" si="11">+((M29-$M$26)/$L$26)*100</f>
        <v>#REF!</v>
      </c>
      <c r="AA29" s="116"/>
      <c r="AB29" s="116"/>
      <c r="AC29" s="116"/>
      <c r="AD29" s="116"/>
      <c r="AE29" s="116"/>
      <c r="AF29" s="116"/>
      <c r="AG29" s="116"/>
      <c r="AH29" s="523"/>
    </row>
    <row r="30" spans="1:34" ht="12.75" customHeight="1">
      <c r="A30" s="60"/>
      <c r="B30" s="124" t="s">
        <v>170</v>
      </c>
      <c r="C30" s="554">
        <f t="shared" si="5"/>
        <v>7030.07</v>
      </c>
      <c r="D30" s="563">
        <v>2852.62</v>
      </c>
      <c r="E30" s="559">
        <v>735.53</v>
      </c>
      <c r="F30" s="557">
        <f t="shared" si="6"/>
        <v>1968.01</v>
      </c>
      <c r="G30" s="563">
        <v>1309.73</v>
      </c>
      <c r="H30" s="563">
        <v>658.28</v>
      </c>
      <c r="I30" s="557">
        <f t="shared" si="7"/>
        <v>4177.45</v>
      </c>
      <c r="J30" s="563">
        <v>3748.15</v>
      </c>
      <c r="K30" s="564">
        <v>429.3</v>
      </c>
      <c r="L30" s="60" t="e">
        <f>+'Monetary Survey Counterparts'!#REF!</f>
        <v>#REF!</v>
      </c>
      <c r="M30" s="1284" t="e">
        <f>+'Monetary Survey Counterparts'!#REF!</f>
        <v>#REF!</v>
      </c>
      <c r="N30" s="1284" t="e">
        <f>+'Monetary Survey Counterparts'!#REF!</f>
        <v>#REF!</v>
      </c>
      <c r="O30" s="60" t="e">
        <f>+'Monetary Survey Counterparts'!#REF!</f>
        <v>#REF!</v>
      </c>
      <c r="P30" s="60" t="e">
        <f>+'Monetary Survey Counterparts'!#REF!</f>
        <v>#REF!</v>
      </c>
      <c r="Q30" s="60" t="e">
        <f>+'Monetary Survey Counterparts'!#REF!</f>
        <v>#REF!</v>
      </c>
      <c r="R30" s="60" t="e">
        <f>+'Monetary Survey Counterparts'!#REF!</f>
        <v>#REF!</v>
      </c>
      <c r="S30" s="60" t="e">
        <f>+'Monetary Survey Counterparts'!#REF!</f>
        <v>#REF!</v>
      </c>
      <c r="T30" s="60" t="e">
        <f>+'Monetary Survey Counterparts'!#REF!</f>
        <v>#REF!</v>
      </c>
      <c r="U30" s="523"/>
      <c r="V30" s="485"/>
      <c r="W30" s="569" t="e">
        <f t="shared" si="8"/>
        <v>#REF!</v>
      </c>
      <c r="X30" s="570" t="e">
        <f t="shared" si="9"/>
        <v>#REF!</v>
      </c>
      <c r="Y30" s="570" t="e">
        <f t="shared" si="10"/>
        <v>#REF!</v>
      </c>
      <c r="Z30" s="116" t="e">
        <f t="shared" si="11"/>
        <v>#REF!</v>
      </c>
      <c r="AA30" s="116"/>
      <c r="AB30" s="116"/>
      <c r="AC30" s="116"/>
      <c r="AD30" s="116"/>
      <c r="AE30" s="116"/>
      <c r="AF30" s="116"/>
      <c r="AG30" s="116"/>
      <c r="AH30" s="523"/>
    </row>
    <row r="31" spans="1:34" ht="12.75" customHeight="1">
      <c r="A31" s="60"/>
      <c r="B31" s="124" t="s">
        <v>171</v>
      </c>
      <c r="C31" s="554">
        <f t="shared" si="5"/>
        <v>6870.22</v>
      </c>
      <c r="D31" s="563">
        <v>2774</v>
      </c>
      <c r="E31" s="559">
        <v>804.8</v>
      </c>
      <c r="F31" s="557">
        <f t="shared" si="6"/>
        <v>1819.9</v>
      </c>
      <c r="G31" s="563">
        <v>1148.44</v>
      </c>
      <c r="H31" s="563">
        <v>671.46</v>
      </c>
      <c r="I31" s="557">
        <f t="shared" si="7"/>
        <v>4096.22</v>
      </c>
      <c r="J31" s="563">
        <v>3803.33</v>
      </c>
      <c r="K31" s="564">
        <v>292.89</v>
      </c>
      <c r="L31" s="60" t="e">
        <f>+'Monetary Survey Counterparts'!#REF!</f>
        <v>#REF!</v>
      </c>
      <c r="M31" s="1284" t="e">
        <f>+'Monetary Survey Counterparts'!#REF!</f>
        <v>#REF!</v>
      </c>
      <c r="N31" s="1284" t="e">
        <f>+'Monetary Survey Counterparts'!#REF!</f>
        <v>#REF!</v>
      </c>
      <c r="O31" s="60" t="e">
        <f>+'Monetary Survey Counterparts'!#REF!</f>
        <v>#REF!</v>
      </c>
      <c r="P31" s="60" t="e">
        <f>+'Monetary Survey Counterparts'!#REF!</f>
        <v>#REF!</v>
      </c>
      <c r="Q31" s="60" t="e">
        <f>+'Monetary Survey Counterparts'!#REF!</f>
        <v>#REF!</v>
      </c>
      <c r="R31" s="60" t="e">
        <f>+'Monetary Survey Counterparts'!#REF!</f>
        <v>#REF!</v>
      </c>
      <c r="S31" s="60" t="e">
        <f>+'Monetary Survey Counterparts'!#REF!</f>
        <v>#REF!</v>
      </c>
      <c r="T31" s="60" t="e">
        <f>+'Monetary Survey Counterparts'!#REF!</f>
        <v>#REF!</v>
      </c>
      <c r="U31" s="523"/>
      <c r="V31" s="485"/>
      <c r="W31" s="569" t="e">
        <f t="shared" si="8"/>
        <v>#REF!</v>
      </c>
      <c r="X31" s="570" t="e">
        <f t="shared" si="9"/>
        <v>#REF!</v>
      </c>
      <c r="Y31" s="570" t="e">
        <f t="shared" si="10"/>
        <v>#REF!</v>
      </c>
      <c r="Z31" s="116" t="e">
        <f t="shared" si="11"/>
        <v>#REF!</v>
      </c>
      <c r="AA31" s="116"/>
      <c r="AB31" s="116"/>
      <c r="AC31" s="116"/>
      <c r="AD31" s="116"/>
      <c r="AE31" s="116"/>
      <c r="AF31" s="116"/>
      <c r="AG31" s="116"/>
      <c r="AH31" s="523"/>
    </row>
    <row r="32" spans="1:34" ht="12.75" customHeight="1">
      <c r="A32" s="60"/>
      <c r="B32" s="124" t="s">
        <v>148</v>
      </c>
      <c r="C32" s="554">
        <f t="shared" si="5"/>
        <v>6578.3099999999995</v>
      </c>
      <c r="D32" s="563">
        <v>2791.99</v>
      </c>
      <c r="E32" s="559">
        <v>768.79</v>
      </c>
      <c r="F32" s="557">
        <f t="shared" si="6"/>
        <v>1860.44</v>
      </c>
      <c r="G32" s="563">
        <v>1176.97</v>
      </c>
      <c r="H32" s="563">
        <v>683.47</v>
      </c>
      <c r="I32" s="557">
        <f t="shared" si="7"/>
        <v>3786.3199999999997</v>
      </c>
      <c r="J32" s="563">
        <v>3598.43</v>
      </c>
      <c r="K32" s="564">
        <v>187.89</v>
      </c>
      <c r="L32" s="60" t="e">
        <f>+'Monetary Survey Counterparts'!#REF!</f>
        <v>#REF!</v>
      </c>
      <c r="M32" s="1284" t="e">
        <f>+'Monetary Survey Counterparts'!#REF!</f>
        <v>#REF!</v>
      </c>
      <c r="N32" s="1284" t="e">
        <f>+'Monetary Survey Counterparts'!#REF!</f>
        <v>#REF!</v>
      </c>
      <c r="O32" s="60" t="e">
        <f>+'Monetary Survey Counterparts'!#REF!</f>
        <v>#REF!</v>
      </c>
      <c r="P32" s="60" t="e">
        <f>+'Monetary Survey Counterparts'!#REF!</f>
        <v>#REF!</v>
      </c>
      <c r="Q32" s="60" t="e">
        <f>+'Monetary Survey Counterparts'!#REF!</f>
        <v>#REF!</v>
      </c>
      <c r="R32" s="60" t="e">
        <f>+'Monetary Survey Counterparts'!#REF!</f>
        <v>#REF!</v>
      </c>
      <c r="S32" s="60" t="e">
        <f>+'Monetary Survey Counterparts'!#REF!</f>
        <v>#REF!</v>
      </c>
      <c r="T32" s="60" t="e">
        <f>+'Monetary Survey Counterparts'!#REF!</f>
        <v>#REF!</v>
      </c>
      <c r="U32" s="523"/>
      <c r="V32" s="485"/>
      <c r="W32" s="569" t="e">
        <f t="shared" si="8"/>
        <v>#REF!</v>
      </c>
      <c r="X32" s="570" t="e">
        <f t="shared" si="9"/>
        <v>#REF!</v>
      </c>
      <c r="Y32" s="570" t="e">
        <f t="shared" si="10"/>
        <v>#REF!</v>
      </c>
      <c r="Z32" s="116" t="e">
        <f t="shared" si="11"/>
        <v>#REF!</v>
      </c>
      <c r="AA32" s="116"/>
      <c r="AB32" s="116"/>
      <c r="AC32" s="116"/>
      <c r="AD32" s="116"/>
      <c r="AE32" s="116"/>
      <c r="AF32" s="116"/>
      <c r="AG32" s="116"/>
      <c r="AH32" s="523"/>
    </row>
    <row r="33" spans="1:35" s="583" customFormat="1" ht="12.75" customHeight="1">
      <c r="A33" s="571">
        <v>1999</v>
      </c>
      <c r="B33" s="572" t="s">
        <v>1247</v>
      </c>
      <c r="C33" s="573">
        <f t="shared" ref="C33:C44" si="12">D33+I33</f>
        <v>6853.71</v>
      </c>
      <c r="D33" s="574">
        <v>2821.9</v>
      </c>
      <c r="E33" s="575">
        <v>742.22</v>
      </c>
      <c r="F33" s="576">
        <f t="shared" ref="F33:F44" si="13">G33+H33</f>
        <v>1916.93</v>
      </c>
      <c r="G33" s="574">
        <v>1245.8900000000001</v>
      </c>
      <c r="H33" s="574">
        <v>671.04</v>
      </c>
      <c r="I33" s="576">
        <f t="shared" ref="I33:I44" si="14">J33+K33</f>
        <v>4031.81</v>
      </c>
      <c r="J33" s="574">
        <v>3734.96</v>
      </c>
      <c r="K33" s="577">
        <v>296.85000000000002</v>
      </c>
      <c r="L33" s="578" t="e">
        <f>+'Monetary Survey Counterparts'!#REF!</f>
        <v>#REF!</v>
      </c>
      <c r="M33" s="1284" t="e">
        <f>+'Monetary Survey Counterparts'!#REF!</f>
        <v>#REF!</v>
      </c>
      <c r="N33" s="1284" t="e">
        <f>+'Monetary Survey Counterparts'!#REF!</f>
        <v>#REF!</v>
      </c>
      <c r="O33" s="578" t="e">
        <f>+'Monetary Survey Counterparts'!#REF!</f>
        <v>#REF!</v>
      </c>
      <c r="P33" s="578" t="e">
        <f>+'Monetary Survey Counterparts'!#REF!</f>
        <v>#REF!</v>
      </c>
      <c r="Q33" s="578" t="e">
        <f>+'Monetary Survey Counterparts'!#REF!</f>
        <v>#REF!</v>
      </c>
      <c r="R33" s="578" t="e">
        <f>+'Monetary Survey Counterparts'!#REF!</f>
        <v>#REF!</v>
      </c>
      <c r="S33" s="578" t="e">
        <f>+'Monetary Survey Counterparts'!#REF!</f>
        <v>#REF!</v>
      </c>
      <c r="T33" s="578" t="e">
        <f>+'Monetary Survey Counterparts'!#REF!</f>
        <v>#REF!</v>
      </c>
      <c r="U33" s="579"/>
      <c r="V33" s="580"/>
      <c r="W33" s="581" t="e">
        <f t="shared" si="8"/>
        <v>#REF!</v>
      </c>
      <c r="X33" s="582" t="e">
        <f t="shared" si="9"/>
        <v>#REF!</v>
      </c>
      <c r="Y33" s="570" t="e">
        <f t="shared" si="10"/>
        <v>#REF!</v>
      </c>
      <c r="Z33" s="116" t="e">
        <f t="shared" si="11"/>
        <v>#REF!</v>
      </c>
      <c r="AA33" s="584"/>
      <c r="AB33" s="584"/>
      <c r="AC33" s="584"/>
      <c r="AD33" s="584"/>
      <c r="AE33" s="584"/>
      <c r="AF33" s="584"/>
      <c r="AG33" s="584"/>
      <c r="AH33" s="579"/>
    </row>
    <row r="34" spans="1:35" ht="12.75" customHeight="1">
      <c r="A34" s="60"/>
      <c r="B34" s="124" t="s">
        <v>162</v>
      </c>
      <c r="C34" s="554">
        <f t="shared" si="12"/>
        <v>6876.34</v>
      </c>
      <c r="D34" s="563">
        <v>2850.62</v>
      </c>
      <c r="E34" s="556">
        <v>743.38</v>
      </c>
      <c r="F34" s="557">
        <f t="shared" si="13"/>
        <v>1944.5099999999998</v>
      </c>
      <c r="G34" s="563">
        <v>1302.3399999999999</v>
      </c>
      <c r="H34" s="563">
        <v>642.16999999999996</v>
      </c>
      <c r="I34" s="557">
        <f t="shared" si="14"/>
        <v>4025.7200000000003</v>
      </c>
      <c r="J34" s="563">
        <v>3743.9</v>
      </c>
      <c r="K34" s="564">
        <v>281.82</v>
      </c>
      <c r="L34" s="60" t="e">
        <f>+'Monetary Survey Counterparts'!#REF!</f>
        <v>#REF!</v>
      </c>
      <c r="M34" s="1284" t="e">
        <f>+'Monetary Survey Counterparts'!#REF!</f>
        <v>#REF!</v>
      </c>
      <c r="N34" s="1284" t="e">
        <f>+'Monetary Survey Counterparts'!#REF!</f>
        <v>#REF!</v>
      </c>
      <c r="O34" s="60" t="e">
        <f>+'Monetary Survey Counterparts'!#REF!</f>
        <v>#REF!</v>
      </c>
      <c r="P34" s="60" t="e">
        <f>+'Monetary Survey Counterparts'!#REF!</f>
        <v>#REF!</v>
      </c>
      <c r="Q34" s="60" t="e">
        <f>+'Monetary Survey Counterparts'!#REF!</f>
        <v>#REF!</v>
      </c>
      <c r="R34" s="60" t="e">
        <f>+'Monetary Survey Counterparts'!#REF!</f>
        <v>#REF!</v>
      </c>
      <c r="S34" s="60" t="e">
        <f>+'Monetary Survey Counterparts'!#REF!</f>
        <v>#REF!</v>
      </c>
      <c r="T34" s="60" t="e">
        <f>+'Monetary Survey Counterparts'!#REF!</f>
        <v>#REF!</v>
      </c>
      <c r="U34" s="523"/>
      <c r="V34" s="485"/>
      <c r="W34" s="569" t="e">
        <f t="shared" si="8"/>
        <v>#REF!</v>
      </c>
      <c r="X34" s="570" t="e">
        <f t="shared" si="9"/>
        <v>#REF!</v>
      </c>
      <c r="Y34" s="570" t="e">
        <f t="shared" si="10"/>
        <v>#REF!</v>
      </c>
      <c r="Z34" s="116" t="e">
        <f t="shared" si="11"/>
        <v>#REF!</v>
      </c>
      <c r="AA34" s="116"/>
      <c r="AB34" s="116"/>
      <c r="AC34" s="116"/>
      <c r="AD34" s="116"/>
      <c r="AE34" s="116"/>
      <c r="AF34" s="116"/>
      <c r="AG34" s="116"/>
      <c r="AH34" s="523"/>
    </row>
    <row r="35" spans="1:35" ht="12.75" customHeight="1">
      <c r="A35" s="60"/>
      <c r="B35" s="124" t="s">
        <v>163</v>
      </c>
      <c r="C35" s="554">
        <f t="shared" si="12"/>
        <v>7319.3899999999994</v>
      </c>
      <c r="D35" s="563">
        <v>2878.94</v>
      </c>
      <c r="E35" s="556">
        <v>740.69</v>
      </c>
      <c r="F35" s="557">
        <f t="shared" si="13"/>
        <v>1974.4</v>
      </c>
      <c r="G35" s="563">
        <v>1329.29</v>
      </c>
      <c r="H35" s="563">
        <v>645.11</v>
      </c>
      <c r="I35" s="557">
        <f t="shared" si="14"/>
        <v>4440.45</v>
      </c>
      <c r="J35" s="563">
        <v>4166.57</v>
      </c>
      <c r="K35" s="564">
        <v>273.88</v>
      </c>
      <c r="L35" s="60" t="e">
        <f>+'Monetary Survey Counterparts'!#REF!</f>
        <v>#REF!</v>
      </c>
      <c r="M35" s="1284" t="e">
        <f>+'Monetary Survey Counterparts'!#REF!</f>
        <v>#REF!</v>
      </c>
      <c r="N35" s="1284" t="e">
        <f>+'Monetary Survey Counterparts'!#REF!</f>
        <v>#REF!</v>
      </c>
      <c r="O35" s="60" t="e">
        <f>+'Monetary Survey Counterparts'!#REF!</f>
        <v>#REF!</v>
      </c>
      <c r="P35" s="60" t="e">
        <f>+'Monetary Survey Counterparts'!#REF!</f>
        <v>#REF!</v>
      </c>
      <c r="Q35" s="60" t="e">
        <f>+'Monetary Survey Counterparts'!#REF!</f>
        <v>#REF!</v>
      </c>
      <c r="R35" s="60" t="e">
        <f>+'Monetary Survey Counterparts'!#REF!</f>
        <v>#REF!</v>
      </c>
      <c r="S35" s="60" t="e">
        <f>+'Monetary Survey Counterparts'!#REF!</f>
        <v>#REF!</v>
      </c>
      <c r="T35" s="60" t="e">
        <f>+'Monetary Survey Counterparts'!#REF!</f>
        <v>#REF!</v>
      </c>
      <c r="U35" s="523"/>
      <c r="V35" s="485"/>
      <c r="W35" s="569" t="e">
        <f t="shared" si="8"/>
        <v>#REF!</v>
      </c>
      <c r="X35" s="570" t="e">
        <f t="shared" si="9"/>
        <v>#REF!</v>
      </c>
      <c r="Y35" s="570" t="e">
        <f t="shared" si="10"/>
        <v>#REF!</v>
      </c>
      <c r="Z35" s="116" t="e">
        <f t="shared" si="11"/>
        <v>#REF!</v>
      </c>
      <c r="AA35" s="116"/>
      <c r="AB35" s="116"/>
      <c r="AC35" s="116"/>
      <c r="AD35" s="116"/>
      <c r="AE35" s="116"/>
      <c r="AF35" s="116"/>
      <c r="AG35" s="116"/>
      <c r="AH35" s="523"/>
    </row>
    <row r="36" spans="1:35" ht="12.75" customHeight="1">
      <c r="A36" s="60"/>
      <c r="B36" s="124" t="s">
        <v>164</v>
      </c>
      <c r="C36" s="554">
        <f t="shared" si="12"/>
        <v>7346.25</v>
      </c>
      <c r="D36" s="563">
        <v>2609.9899999999998</v>
      </c>
      <c r="E36" s="556">
        <v>742.97</v>
      </c>
      <c r="F36" s="557">
        <f t="shared" si="13"/>
        <v>1702.75</v>
      </c>
      <c r="G36" s="563">
        <v>1013.41</v>
      </c>
      <c r="H36" s="563">
        <v>689.34</v>
      </c>
      <c r="I36" s="557">
        <f t="shared" si="14"/>
        <v>4736.26</v>
      </c>
      <c r="J36" s="563">
        <v>4422.04</v>
      </c>
      <c r="K36" s="564">
        <v>314.22000000000003</v>
      </c>
      <c r="L36" s="60" t="e">
        <f>+'Monetary Survey Counterparts'!#REF!</f>
        <v>#REF!</v>
      </c>
      <c r="M36" s="1284" t="e">
        <f>+'Monetary Survey Counterparts'!#REF!</f>
        <v>#REF!</v>
      </c>
      <c r="N36" s="1284" t="e">
        <f>+'Monetary Survey Counterparts'!#REF!</f>
        <v>#REF!</v>
      </c>
      <c r="O36" s="60" t="e">
        <f>+'Monetary Survey Counterparts'!#REF!</f>
        <v>#REF!</v>
      </c>
      <c r="P36" s="60" t="e">
        <f>+'Monetary Survey Counterparts'!#REF!</f>
        <v>#REF!</v>
      </c>
      <c r="Q36" s="60" t="e">
        <f>+'Monetary Survey Counterparts'!#REF!</f>
        <v>#REF!</v>
      </c>
      <c r="R36" s="60" t="e">
        <f>+'Monetary Survey Counterparts'!#REF!</f>
        <v>#REF!</v>
      </c>
      <c r="S36" s="60" t="e">
        <f>+'Monetary Survey Counterparts'!#REF!</f>
        <v>#REF!</v>
      </c>
      <c r="T36" s="60" t="e">
        <f>+'Monetary Survey Counterparts'!#REF!</f>
        <v>#REF!</v>
      </c>
      <c r="U36" s="523"/>
      <c r="V36" s="485"/>
      <c r="W36" s="569" t="e">
        <f t="shared" si="8"/>
        <v>#REF!</v>
      </c>
      <c r="X36" s="570" t="e">
        <f t="shared" si="9"/>
        <v>#REF!</v>
      </c>
      <c r="Y36" s="570" t="e">
        <f t="shared" si="10"/>
        <v>#REF!</v>
      </c>
      <c r="Z36" s="116" t="e">
        <f t="shared" si="11"/>
        <v>#REF!</v>
      </c>
      <c r="AA36" s="116"/>
      <c r="AB36" s="116"/>
      <c r="AC36" s="116"/>
      <c r="AD36" s="116"/>
      <c r="AE36" s="116"/>
      <c r="AF36" s="116"/>
      <c r="AG36" s="116"/>
      <c r="AH36" s="523"/>
    </row>
    <row r="37" spans="1:35" ht="12.75" customHeight="1">
      <c r="A37" s="60"/>
      <c r="B37" s="124" t="s">
        <v>165</v>
      </c>
      <c r="C37" s="554">
        <f t="shared" si="12"/>
        <v>7322.5499999999993</v>
      </c>
      <c r="D37" s="563">
        <v>2836.45</v>
      </c>
      <c r="E37" s="556">
        <v>745.58</v>
      </c>
      <c r="F37" s="557">
        <f t="shared" si="13"/>
        <v>1926.1</v>
      </c>
      <c r="G37" s="563">
        <v>1204.68</v>
      </c>
      <c r="H37" s="563">
        <v>721.42</v>
      </c>
      <c r="I37" s="557">
        <f t="shared" si="14"/>
        <v>4486.0999999999995</v>
      </c>
      <c r="J37" s="563">
        <v>4211.1499999999996</v>
      </c>
      <c r="K37" s="564">
        <v>274.95</v>
      </c>
      <c r="L37" s="60" t="e">
        <f>+'Monetary Survey Counterparts'!#REF!</f>
        <v>#REF!</v>
      </c>
      <c r="M37" s="1284" t="e">
        <f>+'Monetary Survey Counterparts'!#REF!</f>
        <v>#REF!</v>
      </c>
      <c r="N37" s="1284" t="e">
        <f>+'Monetary Survey Counterparts'!#REF!</f>
        <v>#REF!</v>
      </c>
      <c r="O37" s="60" t="e">
        <f>+'Monetary Survey Counterparts'!#REF!</f>
        <v>#REF!</v>
      </c>
      <c r="P37" s="60" t="e">
        <f>+'Monetary Survey Counterparts'!#REF!</f>
        <v>#REF!</v>
      </c>
      <c r="Q37" s="60" t="e">
        <f>+'Monetary Survey Counterparts'!#REF!</f>
        <v>#REF!</v>
      </c>
      <c r="R37" s="60" t="e">
        <f>+'Monetary Survey Counterparts'!#REF!</f>
        <v>#REF!</v>
      </c>
      <c r="S37" s="60" t="e">
        <f>+'Monetary Survey Counterparts'!#REF!</f>
        <v>#REF!</v>
      </c>
      <c r="T37" s="60" t="e">
        <f>+'Monetary Survey Counterparts'!#REF!</f>
        <v>#REF!</v>
      </c>
      <c r="U37" s="523"/>
      <c r="V37" s="485"/>
      <c r="W37" s="569" t="e">
        <f t="shared" si="8"/>
        <v>#REF!</v>
      </c>
      <c r="X37" s="570" t="e">
        <f t="shared" si="9"/>
        <v>#REF!</v>
      </c>
      <c r="Y37" s="570" t="e">
        <f t="shared" si="10"/>
        <v>#REF!</v>
      </c>
      <c r="Z37" s="116" t="e">
        <f t="shared" si="11"/>
        <v>#REF!</v>
      </c>
      <c r="AA37" s="116"/>
      <c r="AB37" s="116"/>
      <c r="AC37" s="116"/>
      <c r="AD37" s="116"/>
      <c r="AE37" s="116"/>
      <c r="AF37" s="116"/>
      <c r="AG37" s="116"/>
      <c r="AH37" s="523"/>
    </row>
    <row r="38" spans="1:35" s="602" customFormat="1" ht="12.75" customHeight="1">
      <c r="A38" s="527"/>
      <c r="B38" s="528" t="s">
        <v>166</v>
      </c>
      <c r="C38" s="591">
        <f t="shared" si="12"/>
        <v>7359.2300000000005</v>
      </c>
      <c r="D38" s="597">
        <v>2868.45</v>
      </c>
      <c r="E38" s="598">
        <v>852.82</v>
      </c>
      <c r="F38" s="594">
        <f t="shared" si="13"/>
        <v>1832.63</v>
      </c>
      <c r="G38" s="597">
        <v>1047.98</v>
      </c>
      <c r="H38" s="597">
        <v>784.65</v>
      </c>
      <c r="I38" s="594">
        <f t="shared" si="14"/>
        <v>4490.7800000000007</v>
      </c>
      <c r="J38" s="597">
        <v>4269.8100000000004</v>
      </c>
      <c r="K38" s="599">
        <v>220.97</v>
      </c>
      <c r="L38" s="527" t="e">
        <f>+'Monetary Survey Counterparts'!#REF!</f>
        <v>#REF!</v>
      </c>
      <c r="M38" s="1284" t="e">
        <f>+'Monetary Survey Counterparts'!#REF!</f>
        <v>#REF!</v>
      </c>
      <c r="N38" s="1284" t="e">
        <f>+'Monetary Survey Counterparts'!#REF!</f>
        <v>#REF!</v>
      </c>
      <c r="O38" s="527" t="e">
        <f>+'Monetary Survey Counterparts'!#REF!</f>
        <v>#REF!</v>
      </c>
      <c r="P38" s="527" t="e">
        <f>+'Monetary Survey Counterparts'!#REF!</f>
        <v>#REF!</v>
      </c>
      <c r="Q38" s="527" t="e">
        <f>+'Monetary Survey Counterparts'!#REF!</f>
        <v>#REF!</v>
      </c>
      <c r="R38" s="527" t="e">
        <f>+'Monetary Survey Counterparts'!#REF!</f>
        <v>#REF!</v>
      </c>
      <c r="S38" s="527" t="e">
        <f>+'Monetary Survey Counterparts'!#REF!</f>
        <v>#REF!</v>
      </c>
      <c r="T38" s="527" t="e">
        <f>+'Monetary Survey Counterparts'!#REF!</f>
        <v>#REF!</v>
      </c>
      <c r="U38" s="600"/>
      <c r="V38" s="601"/>
      <c r="W38" s="587" t="e">
        <f t="shared" si="8"/>
        <v>#REF!</v>
      </c>
      <c r="X38" s="588" t="e">
        <f t="shared" si="9"/>
        <v>#REF!</v>
      </c>
      <c r="Y38" s="588" t="e">
        <f t="shared" si="10"/>
        <v>#REF!</v>
      </c>
      <c r="Z38" s="596" t="e">
        <f t="shared" si="11"/>
        <v>#REF!</v>
      </c>
      <c r="AA38" s="596"/>
      <c r="AB38" s="596"/>
      <c r="AC38" s="596"/>
      <c r="AD38" s="596"/>
      <c r="AE38" s="596"/>
      <c r="AF38" s="596"/>
      <c r="AG38" s="596"/>
      <c r="AH38" s="600"/>
    </row>
    <row r="39" spans="1:35" ht="12.75" customHeight="1">
      <c r="A39" s="60"/>
      <c r="B39" s="124" t="s">
        <v>167</v>
      </c>
      <c r="C39" s="554">
        <f t="shared" si="12"/>
        <v>7235.23</v>
      </c>
      <c r="D39" s="563">
        <v>2872.16</v>
      </c>
      <c r="E39" s="556">
        <v>812.36</v>
      </c>
      <c r="F39" s="557">
        <f t="shared" si="13"/>
        <v>1874.71</v>
      </c>
      <c r="G39" s="563">
        <v>1068.56</v>
      </c>
      <c r="H39" s="563">
        <v>806.15</v>
      </c>
      <c r="I39" s="557">
        <f t="shared" si="14"/>
        <v>4363.07</v>
      </c>
      <c r="J39" s="563">
        <v>4029.15</v>
      </c>
      <c r="K39" s="564">
        <v>333.92</v>
      </c>
      <c r="L39" s="60" t="e">
        <f>+'Monetary Survey Counterparts'!#REF!</f>
        <v>#REF!</v>
      </c>
      <c r="M39" s="1284" t="e">
        <f>+'Monetary Survey Counterparts'!#REF!</f>
        <v>#REF!</v>
      </c>
      <c r="N39" s="1284" t="e">
        <f>+'Monetary Survey Counterparts'!#REF!</f>
        <v>#REF!</v>
      </c>
      <c r="O39" s="60" t="e">
        <f>+'Monetary Survey Counterparts'!#REF!</f>
        <v>#REF!</v>
      </c>
      <c r="P39" s="60" t="e">
        <f>+'Monetary Survey Counterparts'!#REF!</f>
        <v>#REF!</v>
      </c>
      <c r="Q39" s="60" t="e">
        <f>+'Monetary Survey Counterparts'!#REF!</f>
        <v>#REF!</v>
      </c>
      <c r="R39" s="60" t="e">
        <f>+'Monetary Survey Counterparts'!#REF!</f>
        <v>#REF!</v>
      </c>
      <c r="S39" s="60" t="e">
        <f>+'Monetary Survey Counterparts'!#REF!</f>
        <v>#REF!</v>
      </c>
      <c r="T39" s="60" t="e">
        <f>+'Monetary Survey Counterparts'!#REF!</f>
        <v>#REF!</v>
      </c>
      <c r="U39" s="523"/>
      <c r="V39" s="485"/>
      <c r="W39" s="569" t="e">
        <f t="shared" si="8"/>
        <v>#REF!</v>
      </c>
      <c r="X39" s="570" t="e">
        <f t="shared" si="9"/>
        <v>#REF!</v>
      </c>
      <c r="Y39" s="570" t="e">
        <f t="shared" si="10"/>
        <v>#REF!</v>
      </c>
      <c r="Z39" s="116" t="e">
        <f t="shared" si="11"/>
        <v>#REF!</v>
      </c>
      <c r="AA39" s="116"/>
      <c r="AB39" s="116"/>
      <c r="AC39" s="116"/>
      <c r="AD39" s="116"/>
      <c r="AE39" s="116"/>
      <c r="AF39" s="116"/>
      <c r="AG39" s="116"/>
      <c r="AH39" s="523"/>
    </row>
    <row r="40" spans="1:35" ht="12.75" customHeight="1">
      <c r="A40" s="60"/>
      <c r="B40" s="124" t="s">
        <v>168</v>
      </c>
      <c r="C40" s="554">
        <f t="shared" si="12"/>
        <v>8212.85</v>
      </c>
      <c r="D40" s="563">
        <v>3009.13</v>
      </c>
      <c r="E40" s="556">
        <v>830.57</v>
      </c>
      <c r="F40" s="557">
        <f t="shared" si="13"/>
        <v>1994.93</v>
      </c>
      <c r="G40" s="563">
        <v>1163.93</v>
      </c>
      <c r="H40" s="563">
        <v>831</v>
      </c>
      <c r="I40" s="557">
        <f t="shared" si="14"/>
        <v>5203.72</v>
      </c>
      <c r="J40" s="563">
        <v>4928.01</v>
      </c>
      <c r="K40" s="564">
        <v>275.70999999999998</v>
      </c>
      <c r="L40" s="60" t="e">
        <f>+'Monetary Survey Counterparts'!#REF!</f>
        <v>#REF!</v>
      </c>
      <c r="M40" s="1284" t="e">
        <f>+'Monetary Survey Counterparts'!#REF!</f>
        <v>#REF!</v>
      </c>
      <c r="N40" s="1284" t="e">
        <f>+'Monetary Survey Counterparts'!#REF!</f>
        <v>#REF!</v>
      </c>
      <c r="O40" s="60" t="e">
        <f>+'Monetary Survey Counterparts'!#REF!</f>
        <v>#REF!</v>
      </c>
      <c r="P40" s="60" t="e">
        <f>+'Monetary Survey Counterparts'!#REF!</f>
        <v>#REF!</v>
      </c>
      <c r="Q40" s="60" t="e">
        <f>+'Monetary Survey Counterparts'!#REF!</f>
        <v>#REF!</v>
      </c>
      <c r="R40" s="60" t="e">
        <f>+'Monetary Survey Counterparts'!#REF!</f>
        <v>#REF!</v>
      </c>
      <c r="S40" s="60" t="e">
        <f>+'Monetary Survey Counterparts'!#REF!</f>
        <v>#REF!</v>
      </c>
      <c r="T40" s="60" t="e">
        <f>+'Monetary Survey Counterparts'!#REF!</f>
        <v>#REF!</v>
      </c>
      <c r="U40" s="523"/>
      <c r="V40" s="485"/>
      <c r="W40" s="569" t="e">
        <f t="shared" si="8"/>
        <v>#REF!</v>
      </c>
      <c r="X40" s="570" t="e">
        <f t="shared" si="9"/>
        <v>#REF!</v>
      </c>
      <c r="Y40" s="570" t="e">
        <f>+(L40/$L$38-1)*100</f>
        <v>#REF!</v>
      </c>
      <c r="Z40" s="116" t="e">
        <f t="shared" si="11"/>
        <v>#REF!</v>
      </c>
      <c r="AA40" s="116"/>
      <c r="AB40" s="116"/>
      <c r="AC40" s="116"/>
      <c r="AD40" s="116"/>
      <c r="AE40" s="116"/>
      <c r="AF40" s="116"/>
      <c r="AG40" s="116"/>
      <c r="AH40" s="523"/>
    </row>
    <row r="41" spans="1:35" ht="12.75" customHeight="1">
      <c r="A41" s="60"/>
      <c r="B41" s="124" t="s">
        <v>169</v>
      </c>
      <c r="C41" s="554">
        <f t="shared" si="12"/>
        <v>8200.880000000001</v>
      </c>
      <c r="D41" s="563">
        <v>3458.79</v>
      </c>
      <c r="E41" s="556">
        <v>831</v>
      </c>
      <c r="F41" s="557">
        <f t="shared" si="13"/>
        <v>2440.92</v>
      </c>
      <c r="G41" s="563">
        <v>1584.96</v>
      </c>
      <c r="H41" s="563">
        <v>855.96</v>
      </c>
      <c r="I41" s="557">
        <f t="shared" si="14"/>
        <v>4742.09</v>
      </c>
      <c r="J41" s="563">
        <v>4546.8500000000004</v>
      </c>
      <c r="K41" s="564">
        <v>195.24</v>
      </c>
      <c r="L41" s="60" t="e">
        <f>+'Monetary Survey Counterparts'!#REF!</f>
        <v>#REF!</v>
      </c>
      <c r="M41" s="1284" t="e">
        <f>+'Monetary Survey Counterparts'!#REF!</f>
        <v>#REF!</v>
      </c>
      <c r="N41" s="1284" t="e">
        <f>+'Monetary Survey Counterparts'!#REF!</f>
        <v>#REF!</v>
      </c>
      <c r="O41" s="60" t="e">
        <f>+'Monetary Survey Counterparts'!#REF!</f>
        <v>#REF!</v>
      </c>
      <c r="P41" s="60" t="e">
        <f>+'Monetary Survey Counterparts'!#REF!</f>
        <v>#REF!</v>
      </c>
      <c r="Q41" s="60" t="e">
        <f>+'Monetary Survey Counterparts'!#REF!</f>
        <v>#REF!</v>
      </c>
      <c r="R41" s="60" t="e">
        <f>+'Monetary Survey Counterparts'!#REF!</f>
        <v>#REF!</v>
      </c>
      <c r="S41" s="60" t="e">
        <f>+'Monetary Survey Counterparts'!#REF!</f>
        <v>#REF!</v>
      </c>
      <c r="T41" s="60" t="e">
        <f>+'Monetary Survey Counterparts'!#REF!</f>
        <v>#REF!</v>
      </c>
      <c r="U41" s="523"/>
      <c r="V41" s="485"/>
      <c r="W41" s="569" t="e">
        <f t="shared" si="8"/>
        <v>#REF!</v>
      </c>
      <c r="X41" s="570" t="e">
        <f t="shared" si="9"/>
        <v>#REF!</v>
      </c>
      <c r="Y41" s="570" t="e">
        <f t="shared" ref="Y41:Y51" si="15">+(L41/$L$38-1)*100</f>
        <v>#REF!</v>
      </c>
      <c r="Z41" s="116" t="e">
        <f t="shared" si="11"/>
        <v>#REF!</v>
      </c>
      <c r="AA41" s="116"/>
      <c r="AB41" s="116"/>
      <c r="AC41" s="116"/>
      <c r="AD41" s="116"/>
      <c r="AE41" s="116"/>
      <c r="AF41" s="116"/>
      <c r="AG41" s="116"/>
      <c r="AH41" s="523"/>
    </row>
    <row r="42" spans="1:35" ht="12.75" customHeight="1">
      <c r="A42" s="60"/>
      <c r="B42" s="124" t="s">
        <v>170</v>
      </c>
      <c r="C42" s="554">
        <f t="shared" si="12"/>
        <v>9040.99</v>
      </c>
      <c r="D42" s="563">
        <v>3677.92</v>
      </c>
      <c r="E42" s="556">
        <v>875.67</v>
      </c>
      <c r="F42" s="557">
        <f t="shared" si="13"/>
        <v>2623.91</v>
      </c>
      <c r="G42" s="563">
        <v>1736.79</v>
      </c>
      <c r="H42" s="563">
        <v>887.12</v>
      </c>
      <c r="I42" s="557">
        <f t="shared" si="14"/>
        <v>5363.07</v>
      </c>
      <c r="J42" s="563">
        <v>5190.04</v>
      </c>
      <c r="K42" s="564">
        <v>173.03</v>
      </c>
      <c r="L42" s="60" t="e">
        <f>+'Monetary Survey Counterparts'!#REF!</f>
        <v>#REF!</v>
      </c>
      <c r="M42" s="1284" t="e">
        <f>+'Monetary Survey Counterparts'!#REF!</f>
        <v>#REF!</v>
      </c>
      <c r="N42" s="1284" t="e">
        <f>+'Monetary Survey Counterparts'!#REF!</f>
        <v>#REF!</v>
      </c>
      <c r="O42" s="60" t="e">
        <f>+'Monetary Survey Counterparts'!#REF!</f>
        <v>#REF!</v>
      </c>
      <c r="P42" s="60" t="e">
        <f>+'Monetary Survey Counterparts'!#REF!</f>
        <v>#REF!</v>
      </c>
      <c r="Q42" s="60" t="e">
        <f>+'Monetary Survey Counterparts'!#REF!</f>
        <v>#REF!</v>
      </c>
      <c r="R42" s="60" t="e">
        <f>+'Monetary Survey Counterparts'!#REF!</f>
        <v>#REF!</v>
      </c>
      <c r="S42" s="60" t="e">
        <f>+'Monetary Survey Counterparts'!#REF!</f>
        <v>#REF!</v>
      </c>
      <c r="T42" s="60" t="e">
        <f>+'Monetary Survey Counterparts'!#REF!</f>
        <v>#REF!</v>
      </c>
      <c r="U42" s="523"/>
      <c r="V42" s="485"/>
      <c r="W42" s="569" t="e">
        <f t="shared" si="8"/>
        <v>#REF!</v>
      </c>
      <c r="X42" s="570" t="e">
        <f t="shared" si="9"/>
        <v>#REF!</v>
      </c>
      <c r="Y42" s="570" t="e">
        <f t="shared" si="15"/>
        <v>#REF!</v>
      </c>
      <c r="Z42" s="116" t="e">
        <f t="shared" si="11"/>
        <v>#REF!</v>
      </c>
      <c r="AA42" s="116"/>
      <c r="AB42" s="116"/>
      <c r="AC42" s="116"/>
      <c r="AD42" s="116"/>
      <c r="AE42" s="116"/>
      <c r="AF42" s="116"/>
      <c r="AG42" s="116"/>
      <c r="AH42" s="523"/>
    </row>
    <row r="43" spans="1:35" ht="12.75" customHeight="1">
      <c r="A43" s="60"/>
      <c r="B43" s="124" t="s">
        <v>171</v>
      </c>
      <c r="C43" s="554">
        <f t="shared" si="12"/>
        <v>8698.86</v>
      </c>
      <c r="D43" s="563">
        <v>3435.58</v>
      </c>
      <c r="E43" s="556">
        <v>893.13</v>
      </c>
      <c r="F43" s="557">
        <f t="shared" si="13"/>
        <v>2364.15</v>
      </c>
      <c r="G43" s="563">
        <v>1459.94</v>
      </c>
      <c r="H43" s="563">
        <v>904.21</v>
      </c>
      <c r="I43" s="557">
        <f t="shared" si="14"/>
        <v>5263.28</v>
      </c>
      <c r="J43" s="563">
        <v>5084.9399999999996</v>
      </c>
      <c r="K43" s="564">
        <v>178.34</v>
      </c>
      <c r="L43" s="60" t="e">
        <f>+'Monetary Survey Counterparts'!#REF!</f>
        <v>#REF!</v>
      </c>
      <c r="M43" s="1284" t="e">
        <f>+'Monetary Survey Counterparts'!#REF!</f>
        <v>#REF!</v>
      </c>
      <c r="N43" s="1284" t="e">
        <f>+'Monetary Survey Counterparts'!#REF!</f>
        <v>#REF!</v>
      </c>
      <c r="O43" s="60" t="e">
        <f>+'Monetary Survey Counterparts'!#REF!</f>
        <v>#REF!</v>
      </c>
      <c r="P43" s="60" t="e">
        <f>+'Monetary Survey Counterparts'!#REF!</f>
        <v>#REF!</v>
      </c>
      <c r="Q43" s="60" t="e">
        <f>+'Monetary Survey Counterparts'!#REF!</f>
        <v>#REF!</v>
      </c>
      <c r="R43" s="60" t="e">
        <f>+'Monetary Survey Counterparts'!#REF!</f>
        <v>#REF!</v>
      </c>
      <c r="S43" s="60" t="e">
        <f>+'Monetary Survey Counterparts'!#REF!</f>
        <v>#REF!</v>
      </c>
      <c r="T43" s="60" t="e">
        <f>+'Monetary Survey Counterparts'!#REF!</f>
        <v>#REF!</v>
      </c>
      <c r="U43" s="523"/>
      <c r="V43" s="485"/>
      <c r="W43" s="569" t="e">
        <f t="shared" si="8"/>
        <v>#REF!</v>
      </c>
      <c r="X43" s="570" t="e">
        <f t="shared" si="9"/>
        <v>#REF!</v>
      </c>
      <c r="Y43" s="570" t="e">
        <f t="shared" si="15"/>
        <v>#REF!</v>
      </c>
      <c r="Z43" s="116" t="e">
        <f t="shared" si="11"/>
        <v>#REF!</v>
      </c>
      <c r="AA43" s="116"/>
      <c r="AB43" s="116"/>
      <c r="AC43" s="116"/>
      <c r="AD43" s="116"/>
      <c r="AE43" s="116"/>
      <c r="AF43" s="116"/>
      <c r="AG43" s="116"/>
      <c r="AH43" s="523"/>
    </row>
    <row r="44" spans="1:35" ht="12.75" customHeight="1">
      <c r="A44" s="60"/>
      <c r="B44" s="124" t="s">
        <v>148</v>
      </c>
      <c r="C44" s="554">
        <f t="shared" si="12"/>
        <v>8643.36</v>
      </c>
      <c r="D44" s="563">
        <v>3902.66</v>
      </c>
      <c r="E44" s="556">
        <v>969.15</v>
      </c>
      <c r="F44" s="557">
        <f t="shared" si="13"/>
        <v>2754.93</v>
      </c>
      <c r="G44" s="563">
        <v>1848.05</v>
      </c>
      <c r="H44" s="563">
        <v>906.88</v>
      </c>
      <c r="I44" s="557">
        <f t="shared" si="14"/>
        <v>4740.7</v>
      </c>
      <c r="J44" s="563">
        <v>4367.83</v>
      </c>
      <c r="K44" s="564">
        <v>372.87</v>
      </c>
      <c r="L44" s="60" t="e">
        <f>+'Monetary Survey Counterparts'!#REF!</f>
        <v>#REF!</v>
      </c>
      <c r="M44" s="1284" t="e">
        <f>+'Monetary Survey Counterparts'!#REF!</f>
        <v>#REF!</v>
      </c>
      <c r="N44" s="1284" t="e">
        <f>+'Monetary Survey Counterparts'!#REF!</f>
        <v>#REF!</v>
      </c>
      <c r="O44" s="60" t="e">
        <f>+'Monetary Survey Counterparts'!#REF!</f>
        <v>#REF!</v>
      </c>
      <c r="P44" s="60" t="e">
        <f>+'Monetary Survey Counterparts'!#REF!</f>
        <v>#REF!</v>
      </c>
      <c r="Q44" s="60" t="e">
        <f>+'Monetary Survey Counterparts'!#REF!</f>
        <v>#REF!</v>
      </c>
      <c r="R44" s="60" t="e">
        <f>+'Monetary Survey Counterparts'!#REF!</f>
        <v>#REF!</v>
      </c>
      <c r="S44" s="60" t="e">
        <f>+'Monetary Survey Counterparts'!#REF!</f>
        <v>#REF!</v>
      </c>
      <c r="T44" s="60" t="e">
        <f>+'Monetary Survey Counterparts'!#REF!</f>
        <v>#REF!</v>
      </c>
      <c r="U44" s="523"/>
      <c r="V44" s="485"/>
      <c r="W44" s="569" t="e">
        <f t="shared" si="8"/>
        <v>#REF!</v>
      </c>
      <c r="X44" s="570" t="e">
        <f t="shared" si="9"/>
        <v>#REF!</v>
      </c>
      <c r="Y44" s="570" t="e">
        <f t="shared" si="15"/>
        <v>#REF!</v>
      </c>
      <c r="Z44" s="116" t="e">
        <f t="shared" si="11"/>
        <v>#REF!</v>
      </c>
      <c r="AA44" s="116"/>
      <c r="AB44" s="116"/>
      <c r="AC44" s="116"/>
      <c r="AD44" s="116"/>
      <c r="AE44" s="116"/>
      <c r="AF44" s="116"/>
      <c r="AG44" s="116"/>
      <c r="AH44" s="523"/>
    </row>
    <row r="45" spans="1:35" s="60" customFormat="1" ht="15" customHeight="1">
      <c r="A45" s="127">
        <v>2000</v>
      </c>
      <c r="B45" s="124" t="s">
        <v>1246</v>
      </c>
      <c r="C45" s="554">
        <f t="shared" ref="C45:C54" si="16">D45+I45</f>
        <v>8775.39</v>
      </c>
      <c r="D45" s="555">
        <v>3430.65</v>
      </c>
      <c r="E45" s="556">
        <v>975.65</v>
      </c>
      <c r="F45" s="557">
        <f t="shared" ref="F45:F54" si="17">G45+H45</f>
        <v>2275.41</v>
      </c>
      <c r="G45" s="555">
        <v>1368.74</v>
      </c>
      <c r="H45" s="555">
        <v>906.67</v>
      </c>
      <c r="I45" s="557">
        <f t="shared" ref="I45:I54" si="18">J45+K45</f>
        <v>5344.74</v>
      </c>
      <c r="J45" s="555">
        <v>5002.54</v>
      </c>
      <c r="K45" s="558">
        <v>342.2</v>
      </c>
      <c r="L45" s="60" t="e">
        <f>+'Monetary Survey Counterparts'!#REF!</f>
        <v>#REF!</v>
      </c>
      <c r="M45" s="1284" t="e">
        <f>+'Monetary Survey Counterparts'!#REF!</f>
        <v>#REF!</v>
      </c>
      <c r="N45" s="1284" t="e">
        <f>+'Monetary Survey Counterparts'!#REF!</f>
        <v>#REF!</v>
      </c>
      <c r="O45" s="60" t="e">
        <f>+'Monetary Survey Counterparts'!#REF!</f>
        <v>#REF!</v>
      </c>
      <c r="P45" s="60" t="e">
        <f>+'Monetary Survey Counterparts'!#REF!</f>
        <v>#REF!</v>
      </c>
      <c r="Q45" s="60" t="e">
        <f>+'Monetary Survey Counterparts'!#REF!</f>
        <v>#REF!</v>
      </c>
      <c r="R45" s="60" t="e">
        <f>+'Monetary Survey Counterparts'!#REF!</f>
        <v>#REF!</v>
      </c>
      <c r="S45" s="60" t="e">
        <f>+'Monetary Survey Counterparts'!#REF!</f>
        <v>#REF!</v>
      </c>
      <c r="T45" s="60" t="e">
        <f>+'Monetary Survey Counterparts'!#REF!</f>
        <v>#REF!</v>
      </c>
      <c r="W45" s="569" t="e">
        <f t="shared" si="8"/>
        <v>#REF!</v>
      </c>
      <c r="X45" s="570" t="e">
        <f t="shared" si="9"/>
        <v>#REF!</v>
      </c>
      <c r="Y45" s="570" t="e">
        <f t="shared" si="15"/>
        <v>#REF!</v>
      </c>
      <c r="Z45" s="116" t="e">
        <f t="shared" si="11"/>
        <v>#REF!</v>
      </c>
      <c r="AI45" s="527"/>
    </row>
    <row r="46" spans="1:35" s="60" customFormat="1" ht="15" customHeight="1">
      <c r="B46" s="124" t="s">
        <v>162</v>
      </c>
      <c r="C46" s="554">
        <f t="shared" si="16"/>
        <v>8511.6200000000008</v>
      </c>
      <c r="D46" s="555">
        <v>3128.53</v>
      </c>
      <c r="E46" s="556">
        <v>977.52</v>
      </c>
      <c r="F46" s="557">
        <f t="shared" si="17"/>
        <v>1970.0500000000002</v>
      </c>
      <c r="G46" s="555">
        <v>1066.22</v>
      </c>
      <c r="H46" s="555">
        <v>903.83</v>
      </c>
      <c r="I46" s="557">
        <f t="shared" si="18"/>
        <v>5383.09</v>
      </c>
      <c r="J46" s="555">
        <v>5065.63</v>
      </c>
      <c r="K46" s="558">
        <v>317.45999999999998</v>
      </c>
      <c r="L46" s="60" t="e">
        <f>+'Monetary Survey Counterparts'!#REF!</f>
        <v>#REF!</v>
      </c>
      <c r="M46" s="1284" t="e">
        <f>+'Monetary Survey Counterparts'!#REF!</f>
        <v>#REF!</v>
      </c>
      <c r="N46" s="1284" t="e">
        <f>+'Monetary Survey Counterparts'!#REF!</f>
        <v>#REF!</v>
      </c>
      <c r="O46" s="60" t="e">
        <f>+'Monetary Survey Counterparts'!#REF!</f>
        <v>#REF!</v>
      </c>
      <c r="P46" s="60" t="e">
        <f>+'Monetary Survey Counterparts'!#REF!</f>
        <v>#REF!</v>
      </c>
      <c r="Q46" s="60" t="e">
        <f>+'Monetary Survey Counterparts'!#REF!</f>
        <v>#REF!</v>
      </c>
      <c r="R46" s="60" t="e">
        <f>+'Monetary Survey Counterparts'!#REF!</f>
        <v>#REF!</v>
      </c>
      <c r="S46" s="60" t="e">
        <f>+'Monetary Survey Counterparts'!#REF!</f>
        <v>#REF!</v>
      </c>
      <c r="T46" s="60" t="e">
        <f>+'Monetary Survey Counterparts'!#REF!</f>
        <v>#REF!</v>
      </c>
      <c r="W46" s="569" t="e">
        <f t="shared" si="8"/>
        <v>#REF!</v>
      </c>
      <c r="X46" s="570" t="e">
        <f t="shared" si="9"/>
        <v>#REF!</v>
      </c>
      <c r="Y46" s="570" t="e">
        <f t="shared" si="15"/>
        <v>#REF!</v>
      </c>
      <c r="Z46" s="116" t="e">
        <f t="shared" si="11"/>
        <v>#REF!</v>
      </c>
    </row>
    <row r="47" spans="1:35" s="60" customFormat="1" ht="15" customHeight="1">
      <c r="B47" s="124" t="s">
        <v>163</v>
      </c>
      <c r="C47" s="554">
        <f t="shared" si="16"/>
        <v>9066.67</v>
      </c>
      <c r="D47" s="555">
        <v>4117.21</v>
      </c>
      <c r="E47" s="556">
        <v>1040.68</v>
      </c>
      <c r="F47" s="557">
        <f t="shared" si="17"/>
        <v>2979.48</v>
      </c>
      <c r="G47" s="555">
        <v>2048.13</v>
      </c>
      <c r="H47" s="555">
        <v>931.35</v>
      </c>
      <c r="I47" s="557">
        <f t="shared" si="18"/>
        <v>4949.46</v>
      </c>
      <c r="J47" s="555">
        <v>4653.0200000000004</v>
      </c>
      <c r="K47" s="558">
        <v>296.44</v>
      </c>
      <c r="L47" s="60" t="e">
        <f>+'Monetary Survey Counterparts'!#REF!</f>
        <v>#REF!</v>
      </c>
      <c r="M47" s="1284" t="e">
        <f>+'Monetary Survey Counterparts'!#REF!</f>
        <v>#REF!</v>
      </c>
      <c r="N47" s="1284" t="e">
        <f>+'Monetary Survey Counterparts'!#REF!</f>
        <v>#REF!</v>
      </c>
      <c r="O47" s="60" t="e">
        <f>+'Monetary Survey Counterparts'!#REF!</f>
        <v>#REF!</v>
      </c>
      <c r="P47" s="60" t="e">
        <f>+'Monetary Survey Counterparts'!#REF!</f>
        <v>#REF!</v>
      </c>
      <c r="Q47" s="60" t="e">
        <f>+'Monetary Survey Counterparts'!#REF!</f>
        <v>#REF!</v>
      </c>
      <c r="R47" s="60" t="e">
        <f>+'Monetary Survey Counterparts'!#REF!</f>
        <v>#REF!</v>
      </c>
      <c r="S47" s="60" t="e">
        <f>+'Monetary Survey Counterparts'!#REF!</f>
        <v>#REF!</v>
      </c>
      <c r="T47" s="60" t="e">
        <f>+'Monetary Survey Counterparts'!#REF!</f>
        <v>#REF!</v>
      </c>
      <c r="W47" s="569" t="e">
        <f t="shared" si="8"/>
        <v>#REF!</v>
      </c>
      <c r="X47" s="570" t="e">
        <f t="shared" si="9"/>
        <v>#REF!</v>
      </c>
      <c r="Y47" s="570" t="e">
        <f t="shared" si="15"/>
        <v>#REF!</v>
      </c>
      <c r="Z47" s="116" t="e">
        <f t="shared" si="11"/>
        <v>#REF!</v>
      </c>
    </row>
    <row r="48" spans="1:35" s="60" customFormat="1" ht="15" customHeight="1">
      <c r="B48" s="124" t="s">
        <v>164</v>
      </c>
      <c r="C48" s="554">
        <f t="shared" si="16"/>
        <v>8358.15</v>
      </c>
      <c r="D48" s="555">
        <v>3500.56</v>
      </c>
      <c r="E48" s="556">
        <v>991.28</v>
      </c>
      <c r="F48" s="557">
        <f t="shared" si="17"/>
        <v>2412.1999999999998</v>
      </c>
      <c r="G48" s="555">
        <v>1443.12</v>
      </c>
      <c r="H48" s="555">
        <v>969.08</v>
      </c>
      <c r="I48" s="557">
        <f t="shared" si="18"/>
        <v>4857.59</v>
      </c>
      <c r="J48" s="555">
        <v>4569.71</v>
      </c>
      <c r="K48" s="558">
        <v>287.88</v>
      </c>
      <c r="L48" s="60" t="e">
        <f>+'Monetary Survey Counterparts'!#REF!</f>
        <v>#REF!</v>
      </c>
      <c r="M48" s="1284" t="e">
        <f>+'Monetary Survey Counterparts'!#REF!</f>
        <v>#REF!</v>
      </c>
      <c r="N48" s="1284" t="e">
        <f>+'Monetary Survey Counterparts'!#REF!</f>
        <v>#REF!</v>
      </c>
      <c r="O48" s="60" t="e">
        <f>+'Monetary Survey Counterparts'!#REF!</f>
        <v>#REF!</v>
      </c>
      <c r="P48" s="60" t="e">
        <f>+'Monetary Survey Counterparts'!#REF!</f>
        <v>#REF!</v>
      </c>
      <c r="Q48" s="60" t="e">
        <f>+'Monetary Survey Counterparts'!#REF!</f>
        <v>#REF!</v>
      </c>
      <c r="R48" s="60" t="e">
        <f>+'Monetary Survey Counterparts'!#REF!</f>
        <v>#REF!</v>
      </c>
      <c r="S48" s="60" t="e">
        <f>+'Monetary Survey Counterparts'!#REF!</f>
        <v>#REF!</v>
      </c>
      <c r="T48" s="60" t="e">
        <f>+'Monetary Survey Counterparts'!#REF!</f>
        <v>#REF!</v>
      </c>
      <c r="W48" s="569" t="e">
        <f t="shared" si="8"/>
        <v>#REF!</v>
      </c>
      <c r="X48" s="570" t="e">
        <f t="shared" si="9"/>
        <v>#REF!</v>
      </c>
      <c r="Y48" s="570" t="e">
        <f t="shared" si="15"/>
        <v>#REF!</v>
      </c>
      <c r="Z48" s="116" t="e">
        <f t="shared" si="11"/>
        <v>#REF!</v>
      </c>
    </row>
    <row r="49" spans="1:35" s="60" customFormat="1" ht="15" customHeight="1">
      <c r="B49" s="124" t="s">
        <v>165</v>
      </c>
      <c r="C49" s="554">
        <f t="shared" si="16"/>
        <v>8277.2099999999991</v>
      </c>
      <c r="D49" s="555">
        <v>3460.56</v>
      </c>
      <c r="E49" s="556">
        <v>1022.7</v>
      </c>
      <c r="F49" s="557">
        <f t="shared" si="17"/>
        <v>2340.5100000000002</v>
      </c>
      <c r="G49" s="555">
        <v>1227.8399999999999</v>
      </c>
      <c r="H49" s="555">
        <v>1112.67</v>
      </c>
      <c r="I49" s="557">
        <f t="shared" si="18"/>
        <v>4816.6499999999996</v>
      </c>
      <c r="J49" s="555">
        <v>4557.95</v>
      </c>
      <c r="K49" s="558">
        <v>258.7</v>
      </c>
      <c r="L49" s="60" t="e">
        <f>+'Monetary Survey Counterparts'!#REF!</f>
        <v>#REF!</v>
      </c>
      <c r="M49" s="1284" t="e">
        <f>+'Monetary Survey Counterparts'!#REF!</f>
        <v>#REF!</v>
      </c>
      <c r="N49" s="1284" t="e">
        <f>+'Monetary Survey Counterparts'!#REF!</f>
        <v>#REF!</v>
      </c>
      <c r="O49" s="60" t="e">
        <f>+'Monetary Survey Counterparts'!#REF!</f>
        <v>#REF!</v>
      </c>
      <c r="P49" s="60" t="e">
        <f>+'Monetary Survey Counterparts'!#REF!</f>
        <v>#REF!</v>
      </c>
      <c r="Q49" s="60" t="e">
        <f>+'Monetary Survey Counterparts'!#REF!</f>
        <v>#REF!</v>
      </c>
      <c r="R49" s="60" t="e">
        <f>+'Monetary Survey Counterparts'!#REF!</f>
        <v>#REF!</v>
      </c>
      <c r="S49" s="60" t="e">
        <f>+'Monetary Survey Counterparts'!#REF!</f>
        <v>#REF!</v>
      </c>
      <c r="T49" s="60" t="e">
        <f>+'Monetary Survey Counterparts'!#REF!</f>
        <v>#REF!</v>
      </c>
      <c r="W49" s="569" t="e">
        <f t="shared" si="8"/>
        <v>#REF!</v>
      </c>
      <c r="X49" s="570" t="e">
        <f t="shared" si="9"/>
        <v>#REF!</v>
      </c>
      <c r="Y49" s="570" t="e">
        <f t="shared" si="15"/>
        <v>#REF!</v>
      </c>
      <c r="Z49" s="116" t="e">
        <f t="shared" si="11"/>
        <v>#REF!</v>
      </c>
    </row>
    <row r="50" spans="1:35" s="527" customFormat="1" ht="15" customHeight="1">
      <c r="B50" s="528" t="s">
        <v>166</v>
      </c>
      <c r="C50" s="591">
        <f t="shared" si="16"/>
        <v>8930.5400000000009</v>
      </c>
      <c r="D50" s="592">
        <v>3691.66</v>
      </c>
      <c r="E50" s="593">
        <v>1119.3900000000001</v>
      </c>
      <c r="F50" s="594">
        <f t="shared" si="17"/>
        <v>2474.7600000000002</v>
      </c>
      <c r="G50" s="592">
        <v>1311.14</v>
      </c>
      <c r="H50" s="592">
        <v>1163.6199999999999</v>
      </c>
      <c r="I50" s="594">
        <f t="shared" si="18"/>
        <v>5238.88</v>
      </c>
      <c r="J50" s="592">
        <v>5016.58</v>
      </c>
      <c r="K50" s="595">
        <v>222.3</v>
      </c>
      <c r="L50" s="527" t="e">
        <f>+'Monetary Survey Counterparts'!#REF!</f>
        <v>#REF!</v>
      </c>
      <c r="M50" s="1284" t="e">
        <f>+'Monetary Survey Counterparts'!#REF!</f>
        <v>#REF!</v>
      </c>
      <c r="N50" s="1284" t="e">
        <f>+'Monetary Survey Counterparts'!#REF!</f>
        <v>#REF!</v>
      </c>
      <c r="O50" s="527" t="e">
        <f>+'Monetary Survey Counterparts'!#REF!</f>
        <v>#REF!</v>
      </c>
      <c r="P50" s="527" t="e">
        <f>+'Monetary Survey Counterparts'!#REF!</f>
        <v>#REF!</v>
      </c>
      <c r="Q50" s="527" t="e">
        <f>+'Monetary Survey Counterparts'!#REF!</f>
        <v>#REF!</v>
      </c>
      <c r="R50" s="527" t="e">
        <f>+'Monetary Survey Counterparts'!#REF!</f>
        <v>#REF!</v>
      </c>
      <c r="S50" s="527" t="e">
        <f>+'Monetary Survey Counterparts'!#REF!</f>
        <v>#REF!</v>
      </c>
      <c r="T50" s="527" t="e">
        <f>+'Monetary Survey Counterparts'!#REF!</f>
        <v>#REF!</v>
      </c>
      <c r="W50" s="587" t="e">
        <f t="shared" si="8"/>
        <v>#REF!</v>
      </c>
      <c r="X50" s="588" t="e">
        <f t="shared" si="9"/>
        <v>#REF!</v>
      </c>
      <c r="Y50" s="588" t="e">
        <f t="shared" si="15"/>
        <v>#REF!</v>
      </c>
      <c r="Z50" s="596" t="e">
        <f t="shared" si="11"/>
        <v>#REF!</v>
      </c>
    </row>
    <row r="51" spans="1:35" s="60" customFormat="1" ht="15" customHeight="1">
      <c r="B51" s="124" t="s">
        <v>167</v>
      </c>
      <c r="C51" s="554">
        <f t="shared" si="16"/>
        <v>9564.5400000000009</v>
      </c>
      <c r="D51" s="555">
        <v>3853.99</v>
      </c>
      <c r="E51" s="559">
        <v>1086.93</v>
      </c>
      <c r="F51" s="557">
        <f t="shared" si="17"/>
        <v>2669.47</v>
      </c>
      <c r="G51" s="555">
        <v>1458.12</v>
      </c>
      <c r="H51" s="555">
        <v>1211.3499999999999</v>
      </c>
      <c r="I51" s="557">
        <f t="shared" si="18"/>
        <v>5710.55</v>
      </c>
      <c r="J51" s="555">
        <v>5466.34</v>
      </c>
      <c r="K51" s="558">
        <v>244.21</v>
      </c>
      <c r="L51" s="60" t="e">
        <f>+'Monetary Survey Counterparts'!#REF!</f>
        <v>#REF!</v>
      </c>
      <c r="M51" s="1284" t="e">
        <f>+'Monetary Survey Counterparts'!#REF!</f>
        <v>#REF!</v>
      </c>
      <c r="N51" s="1284" t="e">
        <f>+'Monetary Survey Counterparts'!#REF!</f>
        <v>#REF!</v>
      </c>
      <c r="O51" s="60" t="e">
        <f>+'Monetary Survey Counterparts'!#REF!</f>
        <v>#REF!</v>
      </c>
      <c r="P51" s="60" t="e">
        <f>+'Monetary Survey Counterparts'!#REF!</f>
        <v>#REF!</v>
      </c>
      <c r="Q51" s="60" t="e">
        <f>+'Monetary Survey Counterparts'!#REF!</f>
        <v>#REF!</v>
      </c>
      <c r="R51" s="60" t="e">
        <f>+'Monetary Survey Counterparts'!#REF!</f>
        <v>#REF!</v>
      </c>
      <c r="S51" s="60" t="e">
        <f>+'Monetary Survey Counterparts'!#REF!</f>
        <v>#REF!</v>
      </c>
      <c r="T51" s="60" t="e">
        <f>+'Monetary Survey Counterparts'!#REF!</f>
        <v>#REF!</v>
      </c>
      <c r="W51" s="569" t="e">
        <f t="shared" si="8"/>
        <v>#REF!</v>
      </c>
      <c r="X51" s="570" t="e">
        <f t="shared" si="9"/>
        <v>#REF!</v>
      </c>
      <c r="Y51" s="570" t="e">
        <f t="shared" si="15"/>
        <v>#REF!</v>
      </c>
      <c r="Z51" s="116" t="e">
        <f t="shared" si="11"/>
        <v>#REF!</v>
      </c>
    </row>
    <row r="52" spans="1:35" s="60" customFormat="1" ht="15" customHeight="1">
      <c r="B52" s="124" t="s">
        <v>168</v>
      </c>
      <c r="C52" s="554">
        <f t="shared" si="16"/>
        <v>9650.49</v>
      </c>
      <c r="D52" s="555">
        <v>3871.74</v>
      </c>
      <c r="E52" s="559">
        <v>1121.72</v>
      </c>
      <c r="F52" s="557">
        <f t="shared" si="17"/>
        <v>2652.01</v>
      </c>
      <c r="G52" s="555">
        <v>1404.91</v>
      </c>
      <c r="H52" s="555">
        <v>1247.0999999999999</v>
      </c>
      <c r="I52" s="557">
        <f t="shared" si="18"/>
        <v>5778.75</v>
      </c>
      <c r="J52" s="555">
        <v>5558.18</v>
      </c>
      <c r="K52" s="558">
        <v>220.57</v>
      </c>
      <c r="L52" s="60" t="e">
        <f>+'Monetary Survey Counterparts'!#REF!</f>
        <v>#REF!</v>
      </c>
      <c r="M52" s="1284" t="e">
        <f>+'Monetary Survey Counterparts'!#REF!</f>
        <v>#REF!</v>
      </c>
      <c r="N52" s="1284" t="e">
        <f>+'Monetary Survey Counterparts'!#REF!</f>
        <v>#REF!</v>
      </c>
      <c r="O52" s="60" t="e">
        <f>+'Monetary Survey Counterparts'!#REF!</f>
        <v>#REF!</v>
      </c>
      <c r="P52" s="60" t="e">
        <f>+'Monetary Survey Counterparts'!#REF!</f>
        <v>#REF!</v>
      </c>
      <c r="Q52" s="60" t="e">
        <f>+'Monetary Survey Counterparts'!#REF!</f>
        <v>#REF!</v>
      </c>
      <c r="R52" s="60" t="e">
        <f>+'Monetary Survey Counterparts'!#REF!</f>
        <v>#REF!</v>
      </c>
      <c r="S52" s="60" t="e">
        <f>+'Monetary Survey Counterparts'!#REF!</f>
        <v>#REF!</v>
      </c>
      <c r="T52" s="60" t="e">
        <f>+'Monetary Survey Counterparts'!#REF!</f>
        <v>#REF!</v>
      </c>
      <c r="W52" s="569" t="e">
        <f t="shared" si="8"/>
        <v>#REF!</v>
      </c>
      <c r="X52" s="570" t="e">
        <f t="shared" si="9"/>
        <v>#REF!</v>
      </c>
      <c r="Y52" s="585" t="e">
        <f>+(L52/$L$50-1)*100</f>
        <v>#REF!</v>
      </c>
      <c r="Z52" s="60" t="e">
        <f t="shared" ref="Z52:Z62" si="19">+((M52-$M$50)/$L$50)*100</f>
        <v>#REF!</v>
      </c>
    </row>
    <row r="53" spans="1:35" s="60" customFormat="1" ht="15" customHeight="1">
      <c r="B53" s="124" t="s">
        <v>169</v>
      </c>
      <c r="C53" s="554">
        <f t="shared" si="16"/>
        <v>10369.189999999999</v>
      </c>
      <c r="D53" s="555">
        <v>4554.25</v>
      </c>
      <c r="E53" s="559">
        <v>1205.1500000000001</v>
      </c>
      <c r="F53" s="557">
        <f t="shared" si="17"/>
        <v>3251.02</v>
      </c>
      <c r="G53" s="555">
        <v>2031.47</v>
      </c>
      <c r="H53" s="555">
        <v>1219.55</v>
      </c>
      <c r="I53" s="557">
        <f t="shared" si="18"/>
        <v>5814.94</v>
      </c>
      <c r="J53" s="555">
        <v>5516.4</v>
      </c>
      <c r="K53" s="558">
        <v>298.54000000000002</v>
      </c>
      <c r="L53" s="60" t="e">
        <f>+'Monetary Survey Counterparts'!#REF!</f>
        <v>#REF!</v>
      </c>
      <c r="M53" s="1284" t="e">
        <f>+'Monetary Survey Counterparts'!#REF!</f>
        <v>#REF!</v>
      </c>
      <c r="N53" s="1284" t="e">
        <f>+'Monetary Survey Counterparts'!#REF!</f>
        <v>#REF!</v>
      </c>
      <c r="O53" s="60" t="e">
        <f>+'Monetary Survey Counterparts'!#REF!</f>
        <v>#REF!</v>
      </c>
      <c r="P53" s="60" t="e">
        <f>+'Monetary Survey Counterparts'!#REF!</f>
        <v>#REF!</v>
      </c>
      <c r="Q53" s="60" t="e">
        <f>+'Monetary Survey Counterparts'!#REF!</f>
        <v>#REF!</v>
      </c>
      <c r="R53" s="60" t="e">
        <f>+'Monetary Survey Counterparts'!#REF!</f>
        <v>#REF!</v>
      </c>
      <c r="S53" s="60" t="e">
        <f>+'Monetary Survey Counterparts'!#REF!</f>
        <v>#REF!</v>
      </c>
      <c r="T53" s="60" t="e">
        <f>+'Monetary Survey Counterparts'!#REF!</f>
        <v>#REF!</v>
      </c>
      <c r="W53" s="569" t="e">
        <f t="shared" si="8"/>
        <v>#REF!</v>
      </c>
      <c r="X53" s="570" t="e">
        <f t="shared" si="9"/>
        <v>#REF!</v>
      </c>
      <c r="Y53" s="585" t="e">
        <f t="shared" ref="Y53:Y62" si="20">+(L53/$L$50-1)*100</f>
        <v>#REF!</v>
      </c>
      <c r="Z53" s="60" t="e">
        <f t="shared" si="19"/>
        <v>#REF!</v>
      </c>
    </row>
    <row r="54" spans="1:35" s="60" customFormat="1" ht="15" customHeight="1">
      <c r="B54" s="124" t="s">
        <v>170</v>
      </c>
      <c r="C54" s="554">
        <f t="shared" si="16"/>
        <v>9848.36</v>
      </c>
      <c r="D54" s="555">
        <v>4390.3999999999996</v>
      </c>
      <c r="E54" s="559">
        <v>1384.57</v>
      </c>
      <c r="F54" s="557">
        <f t="shared" si="17"/>
        <v>2907.45</v>
      </c>
      <c r="G54" s="555">
        <v>1723.51</v>
      </c>
      <c r="H54" s="555">
        <v>1183.94</v>
      </c>
      <c r="I54" s="557">
        <f t="shared" si="18"/>
        <v>5457.96</v>
      </c>
      <c r="J54" s="555">
        <v>5204.9399999999996</v>
      </c>
      <c r="K54" s="558">
        <v>253.02</v>
      </c>
      <c r="L54" s="60" t="e">
        <f>+'Monetary Survey Counterparts'!#REF!</f>
        <v>#REF!</v>
      </c>
      <c r="M54" s="1284" t="e">
        <f>+'Monetary Survey Counterparts'!#REF!</f>
        <v>#REF!</v>
      </c>
      <c r="N54" s="1284" t="e">
        <f>+'Monetary Survey Counterparts'!#REF!</f>
        <v>#REF!</v>
      </c>
      <c r="O54" s="60" t="e">
        <f>+'Monetary Survey Counterparts'!#REF!</f>
        <v>#REF!</v>
      </c>
      <c r="P54" s="60" t="e">
        <f>+'Monetary Survey Counterparts'!#REF!</f>
        <v>#REF!</v>
      </c>
      <c r="Q54" s="60" t="e">
        <f>+'Monetary Survey Counterparts'!#REF!</f>
        <v>#REF!</v>
      </c>
      <c r="R54" s="60" t="e">
        <f>+'Monetary Survey Counterparts'!#REF!</f>
        <v>#REF!</v>
      </c>
      <c r="S54" s="60" t="e">
        <f>+'Monetary Survey Counterparts'!#REF!</f>
        <v>#REF!</v>
      </c>
      <c r="T54" s="60" t="e">
        <f>+'Monetary Survey Counterparts'!#REF!</f>
        <v>#REF!</v>
      </c>
      <c r="W54" s="569" t="e">
        <f t="shared" si="8"/>
        <v>#REF!</v>
      </c>
      <c r="X54" s="570" t="e">
        <f t="shared" si="9"/>
        <v>#REF!</v>
      </c>
      <c r="Y54" s="585" t="e">
        <f t="shared" si="20"/>
        <v>#REF!</v>
      </c>
      <c r="Z54" s="60" t="e">
        <f t="shared" si="19"/>
        <v>#REF!</v>
      </c>
    </row>
    <row r="55" spans="1:35" s="60" customFormat="1" ht="15" customHeight="1">
      <c r="B55" s="124" t="s">
        <v>171</v>
      </c>
      <c r="C55" s="554">
        <f>D55+I55</f>
        <v>10047.82</v>
      </c>
      <c r="D55" s="555">
        <v>4004.91</v>
      </c>
      <c r="E55" s="559">
        <v>1208.73</v>
      </c>
      <c r="F55" s="557">
        <f>G55+H55</f>
        <v>2692.61</v>
      </c>
      <c r="G55" s="555">
        <v>1445.18</v>
      </c>
      <c r="H55" s="555">
        <v>1247.43</v>
      </c>
      <c r="I55" s="557">
        <f>J55+K55</f>
        <v>6042.91</v>
      </c>
      <c r="J55" s="555">
        <v>5815.66</v>
      </c>
      <c r="K55" s="558">
        <v>227.25</v>
      </c>
      <c r="L55" s="60" t="e">
        <f>+'Monetary Survey Counterparts'!#REF!</f>
        <v>#REF!</v>
      </c>
      <c r="M55" s="1284" t="e">
        <f>+'Monetary Survey Counterparts'!#REF!</f>
        <v>#REF!</v>
      </c>
      <c r="N55" s="1284" t="e">
        <f>+'Monetary Survey Counterparts'!#REF!</f>
        <v>#REF!</v>
      </c>
      <c r="O55" s="60" t="e">
        <f>+'Monetary Survey Counterparts'!#REF!</f>
        <v>#REF!</v>
      </c>
      <c r="P55" s="60" t="e">
        <f>+'Monetary Survey Counterparts'!#REF!</f>
        <v>#REF!</v>
      </c>
      <c r="Q55" s="60" t="e">
        <f>+'Monetary Survey Counterparts'!#REF!</f>
        <v>#REF!</v>
      </c>
      <c r="R55" s="60" t="e">
        <f>+'Monetary Survey Counterparts'!#REF!</f>
        <v>#REF!</v>
      </c>
      <c r="S55" s="60" t="e">
        <f>+'Monetary Survey Counterparts'!#REF!</f>
        <v>#REF!</v>
      </c>
      <c r="T55" s="60" t="e">
        <f>+'Monetary Survey Counterparts'!#REF!</f>
        <v>#REF!</v>
      </c>
      <c r="W55" s="569" t="e">
        <f t="shared" si="8"/>
        <v>#REF!</v>
      </c>
      <c r="X55" s="570" t="e">
        <f t="shared" si="9"/>
        <v>#REF!</v>
      </c>
      <c r="Y55" s="585" t="e">
        <f t="shared" si="20"/>
        <v>#REF!</v>
      </c>
      <c r="Z55" s="60" t="e">
        <f t="shared" si="19"/>
        <v>#REF!</v>
      </c>
    </row>
    <row r="56" spans="1:35" s="60" customFormat="1" ht="15" customHeight="1">
      <c r="B56" s="124" t="s">
        <v>148</v>
      </c>
      <c r="C56" s="125">
        <f>D56+I56</f>
        <v>10035.35</v>
      </c>
      <c r="D56" s="99">
        <v>4039.03</v>
      </c>
      <c r="E56" s="126">
        <v>1269.57</v>
      </c>
      <c r="F56" s="99">
        <f>G56+H56</f>
        <v>2669.46</v>
      </c>
      <c r="G56" s="99">
        <v>1424.27</v>
      </c>
      <c r="H56" s="99">
        <v>1245.19</v>
      </c>
      <c r="I56" s="99">
        <f>J56+K56</f>
        <v>5996.32</v>
      </c>
      <c r="J56" s="99">
        <v>5815.41</v>
      </c>
      <c r="K56" s="99">
        <v>180.91</v>
      </c>
      <c r="L56" s="60" t="e">
        <f>+'Monetary Survey Counterparts'!#REF!</f>
        <v>#REF!</v>
      </c>
      <c r="M56" s="1284" t="e">
        <f>+'Monetary Survey Counterparts'!#REF!</f>
        <v>#REF!</v>
      </c>
      <c r="N56" s="1284" t="e">
        <f>+'Monetary Survey Counterparts'!#REF!</f>
        <v>#REF!</v>
      </c>
      <c r="O56" s="60" t="e">
        <f>+'Monetary Survey Counterparts'!#REF!</f>
        <v>#REF!</v>
      </c>
      <c r="P56" s="60" t="e">
        <f>+'Monetary Survey Counterparts'!#REF!</f>
        <v>#REF!</v>
      </c>
      <c r="Q56" s="60" t="e">
        <f>+'Monetary Survey Counterparts'!#REF!</f>
        <v>#REF!</v>
      </c>
      <c r="R56" s="60" t="e">
        <f>+'Monetary Survey Counterparts'!#REF!</f>
        <v>#REF!</v>
      </c>
      <c r="S56" s="60" t="e">
        <f>+'Monetary Survey Counterparts'!#REF!</f>
        <v>#REF!</v>
      </c>
      <c r="T56" s="60" t="e">
        <f>+'Monetary Survey Counterparts'!#REF!</f>
        <v>#REF!</v>
      </c>
      <c r="W56" s="569" t="e">
        <f t="shared" si="8"/>
        <v>#REF!</v>
      </c>
      <c r="X56" s="570" t="e">
        <f t="shared" si="9"/>
        <v>#REF!</v>
      </c>
      <c r="Y56" s="585" t="e">
        <f t="shared" si="20"/>
        <v>#REF!</v>
      </c>
      <c r="Z56" s="60" t="e">
        <f t="shared" si="19"/>
        <v>#REF!</v>
      </c>
    </row>
    <row r="57" spans="1:35" s="60" customFormat="1" ht="12.75" customHeight="1">
      <c r="A57" s="127">
        <v>2001</v>
      </c>
      <c r="B57" s="124" t="s">
        <v>1237</v>
      </c>
      <c r="C57" s="99">
        <f t="shared" ref="C57:C80" si="21">D57+I57</f>
        <v>9121.15</v>
      </c>
      <c r="D57" s="99">
        <v>3965.1</v>
      </c>
      <c r="E57" s="126">
        <v>1276.1199999999999</v>
      </c>
      <c r="F57" s="99">
        <f t="shared" ref="F57:F80" si="22">G57+H57</f>
        <v>2594.2200000000003</v>
      </c>
      <c r="G57" s="99">
        <v>1335.94</v>
      </c>
      <c r="H57" s="99">
        <v>1258.28</v>
      </c>
      <c r="I57" s="99">
        <f t="shared" ref="I57:I80" si="23">J57+K57</f>
        <v>5156.05</v>
      </c>
      <c r="J57" s="99">
        <v>4902.92</v>
      </c>
      <c r="K57" s="99">
        <v>253.13</v>
      </c>
      <c r="L57" s="60" t="e">
        <f>+'Monetary Survey Counterparts'!#REF!</f>
        <v>#REF!</v>
      </c>
      <c r="M57" s="1284" t="e">
        <f>+'Monetary Survey Counterparts'!#REF!</f>
        <v>#REF!</v>
      </c>
      <c r="N57" s="1284" t="e">
        <f>+'Monetary Survey Counterparts'!#REF!</f>
        <v>#REF!</v>
      </c>
      <c r="O57" s="60" t="e">
        <f>+'Monetary Survey Counterparts'!#REF!</f>
        <v>#REF!</v>
      </c>
      <c r="P57" s="60" t="e">
        <f>+'Monetary Survey Counterparts'!#REF!</f>
        <v>#REF!</v>
      </c>
      <c r="Q57" s="60" t="e">
        <f>+'Monetary Survey Counterparts'!#REF!</f>
        <v>#REF!</v>
      </c>
      <c r="R57" s="60" t="e">
        <f>+'Monetary Survey Counterparts'!#REF!</f>
        <v>#REF!</v>
      </c>
      <c r="S57" s="60" t="e">
        <f>+'Monetary Survey Counterparts'!#REF!</f>
        <v>#REF!</v>
      </c>
      <c r="T57" s="60" t="e">
        <f>+'Monetary Survey Counterparts'!#REF!</f>
        <v>#REF!</v>
      </c>
      <c r="U57" s="526">
        <v>5277.92</v>
      </c>
      <c r="V57" s="526"/>
      <c r="W57" s="569" t="e">
        <f t="shared" si="8"/>
        <v>#REF!</v>
      </c>
      <c r="X57" s="570" t="e">
        <f t="shared" si="9"/>
        <v>#REF!</v>
      </c>
      <c r="Y57" s="585" t="e">
        <f t="shared" si="20"/>
        <v>#REF!</v>
      </c>
      <c r="Z57" s="60" t="e">
        <f t="shared" si="19"/>
        <v>#REF!</v>
      </c>
      <c r="AH57" s="536">
        <f>C57/U57</f>
        <v>1.7281713250674506</v>
      </c>
    </row>
    <row r="58" spans="1:35" s="60" customFormat="1" ht="12.75" customHeight="1">
      <c r="B58" s="124" t="s">
        <v>162</v>
      </c>
      <c r="C58" s="129">
        <f t="shared" si="21"/>
        <v>8952.1299999999992</v>
      </c>
      <c r="D58" s="129">
        <v>3803.86</v>
      </c>
      <c r="E58" s="129">
        <v>1318.54</v>
      </c>
      <c r="F58" s="129">
        <f t="shared" si="22"/>
        <v>2397.5100000000002</v>
      </c>
      <c r="G58" s="129">
        <v>1168.8800000000001</v>
      </c>
      <c r="H58" s="129">
        <v>1228.6300000000001</v>
      </c>
      <c r="I58" s="129">
        <f t="shared" si="23"/>
        <v>5148.2699999999995</v>
      </c>
      <c r="J58" s="129">
        <v>4855.1899999999996</v>
      </c>
      <c r="K58" s="129">
        <v>293.08</v>
      </c>
      <c r="L58" s="60" t="e">
        <f>+'Monetary Survey Counterparts'!#REF!</f>
        <v>#REF!</v>
      </c>
      <c r="M58" s="1284" t="e">
        <f>+'Monetary Survey Counterparts'!#REF!</f>
        <v>#REF!</v>
      </c>
      <c r="N58" s="1284" t="e">
        <f>+'Monetary Survey Counterparts'!#REF!</f>
        <v>#REF!</v>
      </c>
      <c r="O58" s="60" t="e">
        <f>+'Monetary Survey Counterparts'!#REF!</f>
        <v>#REF!</v>
      </c>
      <c r="P58" s="60" t="e">
        <f>+'Monetary Survey Counterparts'!#REF!</f>
        <v>#REF!</v>
      </c>
      <c r="Q58" s="60" t="e">
        <f>+'Monetary Survey Counterparts'!#REF!</f>
        <v>#REF!</v>
      </c>
      <c r="R58" s="60" t="e">
        <f>+'Monetary Survey Counterparts'!#REF!</f>
        <v>#REF!</v>
      </c>
      <c r="S58" s="60" t="e">
        <f>+'Monetary Survey Counterparts'!#REF!</f>
        <v>#REF!</v>
      </c>
      <c r="T58" s="60" t="e">
        <f>+'Monetary Survey Counterparts'!#REF!</f>
        <v>#REF!</v>
      </c>
      <c r="U58" s="526">
        <v>4872.5200000000004</v>
      </c>
      <c r="V58" s="526"/>
      <c r="W58" s="569" t="e">
        <f t="shared" si="8"/>
        <v>#REF!</v>
      </c>
      <c r="X58" s="570" t="e">
        <f t="shared" si="9"/>
        <v>#REF!</v>
      </c>
      <c r="Y58" s="585" t="e">
        <f t="shared" si="20"/>
        <v>#REF!</v>
      </c>
      <c r="Z58" s="60" t="e">
        <f t="shared" si="19"/>
        <v>#REF!</v>
      </c>
      <c r="AH58" s="536">
        <f t="shared" ref="AH58:AH104" si="24">C58/U58</f>
        <v>1.8372690106967233</v>
      </c>
    </row>
    <row r="59" spans="1:35" s="60" customFormat="1" ht="15.75" customHeight="1">
      <c r="B59" s="124" t="s">
        <v>163</v>
      </c>
      <c r="C59" s="129">
        <f t="shared" si="21"/>
        <v>10062.36</v>
      </c>
      <c r="D59" s="129">
        <v>4323.78</v>
      </c>
      <c r="E59" s="129">
        <v>1346.36</v>
      </c>
      <c r="F59" s="129">
        <f t="shared" si="22"/>
        <v>2879.1</v>
      </c>
      <c r="G59" s="129">
        <v>1636.26</v>
      </c>
      <c r="H59" s="129">
        <v>1242.8399999999999</v>
      </c>
      <c r="I59" s="129">
        <f t="shared" si="23"/>
        <v>5738.58</v>
      </c>
      <c r="J59" s="129">
        <v>5540.97</v>
      </c>
      <c r="K59" s="129">
        <v>197.61</v>
      </c>
      <c r="L59" s="60" t="e">
        <f>+'Monetary Survey Counterparts'!#REF!</f>
        <v>#REF!</v>
      </c>
      <c r="M59" s="1284" t="e">
        <f>+'Monetary Survey Counterparts'!#REF!</f>
        <v>#REF!</v>
      </c>
      <c r="N59" s="1284" t="e">
        <f>+'Monetary Survey Counterparts'!#REF!</f>
        <v>#REF!</v>
      </c>
      <c r="O59" s="60" t="e">
        <f>+'Monetary Survey Counterparts'!#REF!</f>
        <v>#REF!</v>
      </c>
      <c r="P59" s="60" t="e">
        <f>+'Monetary Survey Counterparts'!#REF!</f>
        <v>#REF!</v>
      </c>
      <c r="Q59" s="60" t="e">
        <f>+'Monetary Survey Counterparts'!#REF!</f>
        <v>#REF!</v>
      </c>
      <c r="R59" s="60" t="e">
        <f>+'Monetary Survey Counterparts'!#REF!</f>
        <v>#REF!</v>
      </c>
      <c r="S59" s="60" t="e">
        <f>+'Monetary Survey Counterparts'!#REF!</f>
        <v>#REF!</v>
      </c>
      <c r="T59" s="60" t="e">
        <f>+'Monetary Survey Counterparts'!#REF!</f>
        <v>#REF!</v>
      </c>
      <c r="U59" s="526">
        <v>4572.1499999999996</v>
      </c>
      <c r="V59" s="526"/>
      <c r="W59" s="569" t="e">
        <f t="shared" si="8"/>
        <v>#REF!</v>
      </c>
      <c r="X59" s="570" t="e">
        <f t="shared" si="9"/>
        <v>#REF!</v>
      </c>
      <c r="Y59" s="585" t="e">
        <f t="shared" si="20"/>
        <v>#REF!</v>
      </c>
      <c r="Z59" s="60" t="e">
        <f t="shared" si="19"/>
        <v>#REF!</v>
      </c>
      <c r="AH59" s="536">
        <f t="shared" si="24"/>
        <v>2.2007939372067851</v>
      </c>
    </row>
    <row r="60" spans="1:35" s="60" customFormat="1" ht="12.75" customHeight="1">
      <c r="B60" s="124" t="s">
        <v>164</v>
      </c>
      <c r="C60" s="129">
        <f t="shared" si="21"/>
        <v>9955.7599999999984</v>
      </c>
      <c r="D60" s="129">
        <v>4216.7299999999996</v>
      </c>
      <c r="E60" s="129">
        <v>1346.77</v>
      </c>
      <c r="F60" s="129">
        <f t="shared" si="22"/>
        <v>2769.21</v>
      </c>
      <c r="G60" s="129">
        <v>1478.64</v>
      </c>
      <c r="H60" s="129">
        <v>1290.57</v>
      </c>
      <c r="I60" s="129">
        <f t="shared" si="23"/>
        <v>5739.03</v>
      </c>
      <c r="J60" s="129">
        <v>5436.58</v>
      </c>
      <c r="K60" s="129">
        <v>302.45</v>
      </c>
      <c r="L60" s="60" t="e">
        <f>+'Monetary Survey Counterparts'!#REF!</f>
        <v>#REF!</v>
      </c>
      <c r="M60" s="1284" t="e">
        <f>+'Monetary Survey Counterparts'!#REF!</f>
        <v>#REF!</v>
      </c>
      <c r="N60" s="1284" t="e">
        <f>+'Monetary Survey Counterparts'!#REF!</f>
        <v>#REF!</v>
      </c>
      <c r="O60" s="60" t="e">
        <f>+'Monetary Survey Counterparts'!#REF!</f>
        <v>#REF!</v>
      </c>
      <c r="P60" s="60" t="e">
        <f>+'Monetary Survey Counterparts'!#REF!</f>
        <v>#REF!</v>
      </c>
      <c r="Q60" s="60" t="e">
        <f>+'Monetary Survey Counterparts'!#REF!</f>
        <v>#REF!</v>
      </c>
      <c r="R60" s="60" t="e">
        <f>+'Monetary Survey Counterparts'!#REF!</f>
        <v>#REF!</v>
      </c>
      <c r="S60" s="60" t="e">
        <f>+'Monetary Survey Counterparts'!#REF!</f>
        <v>#REF!</v>
      </c>
      <c r="T60" s="60" t="e">
        <f>+'Monetary Survey Counterparts'!#REF!</f>
        <v>#REF!</v>
      </c>
      <c r="U60" s="526">
        <v>4598.83</v>
      </c>
      <c r="V60" s="526"/>
      <c r="W60" s="569" t="e">
        <f t="shared" si="8"/>
        <v>#REF!</v>
      </c>
      <c r="X60" s="570" t="e">
        <f t="shared" si="9"/>
        <v>#REF!</v>
      </c>
      <c r="Y60" s="585" t="e">
        <f t="shared" si="20"/>
        <v>#REF!</v>
      </c>
      <c r="Z60" s="60" t="e">
        <f t="shared" si="19"/>
        <v>#REF!</v>
      </c>
      <c r="AH60" s="536">
        <f t="shared" si="24"/>
        <v>2.1648462761180558</v>
      </c>
    </row>
    <row r="61" spans="1:35" s="60" customFormat="1" ht="12.75" customHeight="1">
      <c r="B61" s="124" t="s">
        <v>165</v>
      </c>
      <c r="C61" s="129" t="e">
        <f t="shared" si="21"/>
        <v>#REF!</v>
      </c>
      <c r="D61" s="129" t="e">
        <f>#REF!</f>
        <v>#REF!</v>
      </c>
      <c r="E61" s="129">
        <v>1349.43</v>
      </c>
      <c r="F61" s="129">
        <f t="shared" si="22"/>
        <v>2837.66</v>
      </c>
      <c r="G61" s="129">
        <v>1453.52</v>
      </c>
      <c r="H61" s="129">
        <v>1384.14</v>
      </c>
      <c r="I61" s="129">
        <f t="shared" si="23"/>
        <v>5587.6500000000005</v>
      </c>
      <c r="J61" s="129">
        <v>5277.72</v>
      </c>
      <c r="K61" s="129">
        <v>309.93</v>
      </c>
      <c r="L61" s="60" t="e">
        <f>+'Monetary Survey Counterparts'!#REF!</f>
        <v>#REF!</v>
      </c>
      <c r="M61" s="1284" t="e">
        <f>+'Monetary Survey Counterparts'!#REF!</f>
        <v>#REF!</v>
      </c>
      <c r="N61" s="1284" t="e">
        <f>+'Monetary Survey Counterparts'!#REF!</f>
        <v>#REF!</v>
      </c>
      <c r="O61" s="60" t="e">
        <f>+'Monetary Survey Counterparts'!#REF!</f>
        <v>#REF!</v>
      </c>
      <c r="P61" s="60" t="e">
        <f>+'Monetary Survey Counterparts'!#REF!</f>
        <v>#REF!</v>
      </c>
      <c r="Q61" s="60" t="e">
        <f>+'Monetary Survey Counterparts'!#REF!</f>
        <v>#REF!</v>
      </c>
      <c r="R61" s="60" t="e">
        <f>+'Monetary Survey Counterparts'!#REF!</f>
        <v>#REF!</v>
      </c>
      <c r="S61" s="60" t="e">
        <f>+'Monetary Survey Counterparts'!#REF!</f>
        <v>#REF!</v>
      </c>
      <c r="T61" s="60" t="e">
        <f>+'Monetary Survey Counterparts'!#REF!</f>
        <v>#REF!</v>
      </c>
      <c r="U61" s="526">
        <v>4553.8</v>
      </c>
      <c r="V61" s="526"/>
      <c r="W61" s="569" t="e">
        <f t="shared" si="8"/>
        <v>#REF!</v>
      </c>
      <c r="X61" s="570" t="e">
        <f t="shared" si="9"/>
        <v>#REF!</v>
      </c>
      <c r="Y61" s="585" t="e">
        <f t="shared" si="20"/>
        <v>#REF!</v>
      </c>
      <c r="Z61" s="60" t="e">
        <f t="shared" si="19"/>
        <v>#REF!</v>
      </c>
      <c r="AH61" s="536" t="e">
        <f t="shared" si="24"/>
        <v>#REF!</v>
      </c>
    </row>
    <row r="62" spans="1:35" s="527" customFormat="1" ht="12.75" customHeight="1">
      <c r="B62" s="528" t="s">
        <v>166</v>
      </c>
      <c r="C62" s="529" t="e">
        <f t="shared" si="21"/>
        <v>#REF!</v>
      </c>
      <c r="D62" s="529" t="e">
        <f>#REF!</f>
        <v>#REF!</v>
      </c>
      <c r="E62" s="529" t="e">
        <f>#REF!</f>
        <v>#REF!</v>
      </c>
      <c r="F62" s="529">
        <f t="shared" si="22"/>
        <v>2889.7</v>
      </c>
      <c r="G62" s="529">
        <f>1195.61+292.7</f>
        <v>1488.31</v>
      </c>
      <c r="H62" s="529">
        <f>1084.85+316.54</f>
        <v>1401.3899999999999</v>
      </c>
      <c r="I62" s="529">
        <f t="shared" si="23"/>
        <v>4941.96</v>
      </c>
      <c r="J62" s="529">
        <f>'DMB Liabilities'!E29</f>
        <v>4710.49</v>
      </c>
      <c r="K62" s="529">
        <f>'DMB Liabilities'!F29</f>
        <v>231.47</v>
      </c>
      <c r="L62" s="527" t="e">
        <f>+'Monetary Survey Counterparts'!#REF!</f>
        <v>#REF!</v>
      </c>
      <c r="M62" s="1284" t="e">
        <f>+'Monetary Survey Counterparts'!#REF!</f>
        <v>#REF!</v>
      </c>
      <c r="N62" s="1284" t="e">
        <f>+'Monetary Survey Counterparts'!#REF!</f>
        <v>#REF!</v>
      </c>
      <c r="O62" s="527" t="e">
        <f>+'Monetary Survey Counterparts'!#REF!</f>
        <v>#REF!</v>
      </c>
      <c r="P62" s="527" t="e">
        <f>+'Monetary Survey Counterparts'!#REF!</f>
        <v>#REF!</v>
      </c>
      <c r="Q62" s="527" t="e">
        <f>+'Monetary Survey Counterparts'!#REF!</f>
        <v>#REF!</v>
      </c>
      <c r="R62" s="527" t="e">
        <f>+'Monetary Survey Counterparts'!#REF!</f>
        <v>#REF!</v>
      </c>
      <c r="S62" s="527" t="e">
        <f>+'Monetary Survey Counterparts'!#REF!</f>
        <v>#REF!</v>
      </c>
      <c r="T62" s="527" t="e">
        <f>+'Monetary Survey Counterparts'!#REF!</f>
        <v>#REF!</v>
      </c>
      <c r="U62" s="530">
        <v>4710.8500000000004</v>
      </c>
      <c r="V62" s="530"/>
      <c r="W62" s="587" t="e">
        <f t="shared" si="8"/>
        <v>#REF!</v>
      </c>
      <c r="X62" s="588" t="e">
        <f t="shared" si="9"/>
        <v>#REF!</v>
      </c>
      <c r="Y62" s="589" t="e">
        <f t="shared" si="20"/>
        <v>#REF!</v>
      </c>
      <c r="Z62" s="527" t="e">
        <f t="shared" si="19"/>
        <v>#REF!</v>
      </c>
      <c r="AH62" s="590" t="e">
        <f t="shared" si="24"/>
        <v>#REF!</v>
      </c>
    </row>
    <row r="63" spans="1:35" s="60" customFormat="1" ht="12.75" customHeight="1">
      <c r="B63" s="124" t="s">
        <v>167</v>
      </c>
      <c r="C63" s="129" t="e">
        <f t="shared" si="21"/>
        <v>#REF!</v>
      </c>
      <c r="D63" s="129" t="e">
        <f>#REF!</f>
        <v>#REF!</v>
      </c>
      <c r="E63" s="129" t="e">
        <f>#REF!</f>
        <v>#REF!</v>
      </c>
      <c r="F63" s="129">
        <f t="shared" si="22"/>
        <v>3194.34</v>
      </c>
      <c r="G63" s="129">
        <v>1773.87</v>
      </c>
      <c r="H63" s="129">
        <v>1420.47</v>
      </c>
      <c r="I63" s="129">
        <f t="shared" si="23"/>
        <v>5803.18</v>
      </c>
      <c r="J63" s="129">
        <v>5513.59</v>
      </c>
      <c r="K63" s="129">
        <v>289.58999999999997</v>
      </c>
      <c r="L63" s="60" t="e">
        <f>+'Monetary Survey Counterparts'!#REF!</f>
        <v>#REF!</v>
      </c>
      <c r="M63" s="1284" t="e">
        <f>+'Monetary Survey Counterparts'!#REF!</f>
        <v>#REF!</v>
      </c>
      <c r="N63" s="1284" t="e">
        <f>+'Monetary Survey Counterparts'!#REF!</f>
        <v>#REF!</v>
      </c>
      <c r="O63" s="60" t="e">
        <f>+'Monetary Survey Counterparts'!#REF!</f>
        <v>#REF!</v>
      </c>
      <c r="P63" s="60" t="e">
        <f>+'Monetary Survey Counterparts'!#REF!</f>
        <v>#REF!</v>
      </c>
      <c r="Q63" s="60" t="e">
        <f>+'Monetary Survey Counterparts'!#REF!</f>
        <v>#REF!</v>
      </c>
      <c r="R63" s="60" t="e">
        <f>+'Monetary Survey Counterparts'!#REF!</f>
        <v>#REF!</v>
      </c>
      <c r="S63" s="60" t="e">
        <f>+'Monetary Survey Counterparts'!#REF!</f>
        <v>#REF!</v>
      </c>
      <c r="T63" s="60" t="e">
        <f>+'Monetary Survey Counterparts'!#REF!</f>
        <v>#REF!</v>
      </c>
      <c r="U63" s="526">
        <v>4908.59</v>
      </c>
      <c r="V63" s="526"/>
      <c r="W63" s="569" t="e">
        <f t="shared" si="8"/>
        <v>#REF!</v>
      </c>
      <c r="X63" s="570" t="e">
        <f t="shared" si="9"/>
        <v>#REF!</v>
      </c>
      <c r="Y63" s="130" t="e">
        <f t="shared" ref="Y63:Y75" si="25">+(L63/$L$62-1)*100</f>
        <v>#REF!</v>
      </c>
      <c r="Z63" s="586" t="e">
        <f t="shared" ref="Z63:Z75" si="26">+((M63-$M$62)/$L$62)*100</f>
        <v>#REF!</v>
      </c>
      <c r="AA63" s="130" t="e">
        <f t="shared" ref="AA63:AA75" si="27">+((N63-$N$62)/$L$62)*100</f>
        <v>#REF!</v>
      </c>
      <c r="AB63" s="130"/>
      <c r="AC63" s="130"/>
      <c r="AD63" s="130"/>
      <c r="AE63" s="130"/>
      <c r="AF63" s="130"/>
      <c r="AG63" s="130"/>
      <c r="AH63" s="536" t="e">
        <f t="shared" si="24"/>
        <v>#REF!</v>
      </c>
      <c r="AI63" s="130" t="e">
        <f t="shared" ref="AI63:AI101" si="28">+Y63-Z63</f>
        <v>#REF!</v>
      </c>
    </row>
    <row r="64" spans="1:35" s="60" customFormat="1" ht="12.75" customHeight="1">
      <c r="B64" s="124" t="s">
        <v>168</v>
      </c>
      <c r="C64" s="129" t="e">
        <f t="shared" si="21"/>
        <v>#REF!</v>
      </c>
      <c r="D64" s="129" t="e">
        <f>#REF!</f>
        <v>#REF!</v>
      </c>
      <c r="E64" s="129" t="e">
        <f>#REF!</f>
        <v>#REF!</v>
      </c>
      <c r="F64" s="129">
        <f t="shared" si="22"/>
        <v>3230.06</v>
      </c>
      <c r="G64" s="129">
        <v>1806.6</v>
      </c>
      <c r="H64" s="129">
        <v>1423.46</v>
      </c>
      <c r="I64" s="129">
        <f t="shared" si="23"/>
        <v>5750.88</v>
      </c>
      <c r="J64" s="129">
        <v>5593.88</v>
      </c>
      <c r="K64" s="129">
        <v>157</v>
      </c>
      <c r="L64" s="60" t="e">
        <f>+'Monetary Survey Counterparts'!#REF!</f>
        <v>#REF!</v>
      </c>
      <c r="M64" s="1284" t="e">
        <f>+'Monetary Survey Counterparts'!#REF!</f>
        <v>#REF!</v>
      </c>
      <c r="N64" s="1284" t="e">
        <f>+'Monetary Survey Counterparts'!#REF!</f>
        <v>#REF!</v>
      </c>
      <c r="O64" s="60" t="e">
        <f>+'Monetary Survey Counterparts'!#REF!</f>
        <v>#REF!</v>
      </c>
      <c r="P64" s="60" t="e">
        <f>+'Monetary Survey Counterparts'!#REF!</f>
        <v>#REF!</v>
      </c>
      <c r="Q64" s="60" t="e">
        <f>+'Monetary Survey Counterparts'!#REF!</f>
        <v>#REF!</v>
      </c>
      <c r="R64" s="60" t="e">
        <f>+'Monetary Survey Counterparts'!#REF!</f>
        <v>#REF!</v>
      </c>
      <c r="S64" s="60" t="e">
        <f>+'Monetary Survey Counterparts'!#REF!</f>
        <v>#REF!</v>
      </c>
      <c r="T64" s="60" t="e">
        <f>+'Monetary Survey Counterparts'!#REF!</f>
        <v>#REF!</v>
      </c>
      <c r="U64" s="526">
        <v>5033.5600000000004</v>
      </c>
      <c r="V64" s="526"/>
      <c r="W64" s="569" t="e">
        <f t="shared" si="8"/>
        <v>#REF!</v>
      </c>
      <c r="X64" s="570" t="e">
        <f t="shared" si="9"/>
        <v>#REF!</v>
      </c>
      <c r="Y64" s="130" t="e">
        <f t="shared" si="25"/>
        <v>#REF!</v>
      </c>
      <c r="Z64" s="586" t="e">
        <f t="shared" si="26"/>
        <v>#REF!</v>
      </c>
      <c r="AA64" s="130" t="e">
        <f t="shared" si="27"/>
        <v>#REF!</v>
      </c>
      <c r="AB64" s="130"/>
      <c r="AC64" s="130"/>
      <c r="AD64" s="130"/>
      <c r="AE64" s="130"/>
      <c r="AF64" s="130"/>
      <c r="AG64" s="130"/>
      <c r="AH64" s="536" t="e">
        <f t="shared" si="24"/>
        <v>#REF!</v>
      </c>
      <c r="AI64" s="130" t="e">
        <f t="shared" si="28"/>
        <v>#REF!</v>
      </c>
    </row>
    <row r="65" spans="1:35" s="60" customFormat="1" ht="12.75" customHeight="1">
      <c r="B65" s="124" t="s">
        <v>169</v>
      </c>
      <c r="C65" s="129" t="e">
        <f t="shared" si="21"/>
        <v>#REF!</v>
      </c>
      <c r="D65" s="129" t="e">
        <f>#REF!</f>
        <v>#REF!</v>
      </c>
      <c r="E65" s="129" t="e">
        <f>#REF!</f>
        <v>#REF!</v>
      </c>
      <c r="F65" s="129">
        <f t="shared" si="22"/>
        <v>3005.65</v>
      </c>
      <c r="G65" s="129">
        <v>1571.4</v>
      </c>
      <c r="H65" s="129">
        <v>1434.25</v>
      </c>
      <c r="I65" s="129">
        <f t="shared" si="23"/>
        <v>5908.4400000000005</v>
      </c>
      <c r="J65" s="129">
        <f>'DMB Liabilities'!E32</f>
        <v>5728.3</v>
      </c>
      <c r="K65" s="129">
        <f>'DMB Liabilities'!F32</f>
        <v>180.14</v>
      </c>
      <c r="L65" s="60" t="e">
        <f>+'Monetary Survey Counterparts'!#REF!</f>
        <v>#REF!</v>
      </c>
      <c r="M65" s="1284" t="e">
        <f>+'Monetary Survey Counterparts'!#REF!</f>
        <v>#REF!</v>
      </c>
      <c r="N65" s="1284" t="e">
        <f>+'Monetary Survey Counterparts'!#REF!</f>
        <v>#REF!</v>
      </c>
      <c r="O65" s="60" t="e">
        <f>+'Monetary Survey Counterparts'!#REF!</f>
        <v>#REF!</v>
      </c>
      <c r="P65" s="60" t="e">
        <f>+'Monetary Survey Counterparts'!#REF!</f>
        <v>#REF!</v>
      </c>
      <c r="Q65" s="60" t="e">
        <f>+'Monetary Survey Counterparts'!#REF!</f>
        <v>#REF!</v>
      </c>
      <c r="R65" s="60" t="e">
        <f>+'Monetary Survey Counterparts'!#REF!</f>
        <v>#REF!</v>
      </c>
      <c r="S65" s="60" t="e">
        <f>+'Monetary Survey Counterparts'!#REF!</f>
        <v>#REF!</v>
      </c>
      <c r="T65" s="60" t="e">
        <f>+'Monetary Survey Counterparts'!#REF!</f>
        <v>#REF!</v>
      </c>
      <c r="U65" s="526">
        <v>5090.62</v>
      </c>
      <c r="V65" s="526"/>
      <c r="W65" s="569" t="e">
        <f t="shared" si="8"/>
        <v>#REF!</v>
      </c>
      <c r="X65" s="570" t="e">
        <f t="shared" si="9"/>
        <v>#REF!</v>
      </c>
      <c r="Y65" s="130" t="e">
        <f t="shared" si="25"/>
        <v>#REF!</v>
      </c>
      <c r="Z65" s="130" t="e">
        <f t="shared" si="26"/>
        <v>#REF!</v>
      </c>
      <c r="AA65" s="130" t="e">
        <f t="shared" si="27"/>
        <v>#REF!</v>
      </c>
      <c r="AB65" s="130"/>
      <c r="AC65" s="130"/>
      <c r="AD65" s="130"/>
      <c r="AE65" s="130"/>
      <c r="AF65" s="130"/>
      <c r="AG65" s="130"/>
      <c r="AH65" s="536" t="e">
        <f t="shared" si="24"/>
        <v>#REF!</v>
      </c>
      <c r="AI65" s="130" t="e">
        <f t="shared" si="28"/>
        <v>#REF!</v>
      </c>
    </row>
    <row r="66" spans="1:35" s="60" customFormat="1" ht="12.75" customHeight="1">
      <c r="B66" s="124" t="s">
        <v>170</v>
      </c>
      <c r="C66" s="129" t="e">
        <f t="shared" si="21"/>
        <v>#REF!</v>
      </c>
      <c r="D66" s="129" t="e">
        <f>#REF!</f>
        <v>#REF!</v>
      </c>
      <c r="E66" s="129" t="e">
        <f>#REF!</f>
        <v>#REF!</v>
      </c>
      <c r="F66" s="129">
        <f t="shared" si="22"/>
        <v>3678.4700000000003</v>
      </c>
      <c r="G66" s="129">
        <v>2219.27</v>
      </c>
      <c r="H66" s="129">
        <v>1459.2</v>
      </c>
      <c r="I66" s="129">
        <f t="shared" si="23"/>
        <v>5551.63</v>
      </c>
      <c r="J66" s="129">
        <f>'DMB Liabilities'!E33</f>
        <v>5288.38</v>
      </c>
      <c r="K66" s="129">
        <f>'DMB Liabilities'!F33</f>
        <v>263.25</v>
      </c>
      <c r="L66" s="60" t="e">
        <f>+'Monetary Survey Counterparts'!#REF!</f>
        <v>#REF!</v>
      </c>
      <c r="M66" s="1284" t="e">
        <f>+'Monetary Survey Counterparts'!#REF!</f>
        <v>#REF!</v>
      </c>
      <c r="N66" s="1284" t="e">
        <f>+'Monetary Survey Counterparts'!#REF!</f>
        <v>#REF!</v>
      </c>
      <c r="O66" s="60" t="e">
        <f>+'Monetary Survey Counterparts'!#REF!</f>
        <v>#REF!</v>
      </c>
      <c r="P66" s="60" t="e">
        <f>+'Monetary Survey Counterparts'!#REF!</f>
        <v>#REF!</v>
      </c>
      <c r="Q66" s="60" t="e">
        <f>+'Monetary Survey Counterparts'!#REF!</f>
        <v>#REF!</v>
      </c>
      <c r="R66" s="60" t="e">
        <f>+'Monetary Survey Counterparts'!#REF!</f>
        <v>#REF!</v>
      </c>
      <c r="S66" s="60" t="e">
        <f>+'Monetary Survey Counterparts'!#REF!</f>
        <v>#REF!</v>
      </c>
      <c r="T66" s="60" t="e">
        <f>+'Monetary Survey Counterparts'!#REF!</f>
        <v>#REF!</v>
      </c>
      <c r="U66" s="526">
        <v>5499.89</v>
      </c>
      <c r="V66" s="526"/>
      <c r="W66" s="569" t="e">
        <f t="shared" si="8"/>
        <v>#REF!</v>
      </c>
      <c r="X66" s="570" t="e">
        <f t="shared" si="9"/>
        <v>#REF!</v>
      </c>
      <c r="Y66" s="130" t="e">
        <f t="shared" si="25"/>
        <v>#REF!</v>
      </c>
      <c r="Z66" s="130" t="e">
        <f t="shared" si="26"/>
        <v>#REF!</v>
      </c>
      <c r="AA66" s="130" t="e">
        <f t="shared" si="27"/>
        <v>#REF!</v>
      </c>
      <c r="AB66" s="130"/>
      <c r="AC66" s="130"/>
      <c r="AD66" s="130"/>
      <c r="AE66" s="130"/>
      <c r="AF66" s="130"/>
      <c r="AG66" s="130"/>
      <c r="AH66" s="536" t="e">
        <f t="shared" si="24"/>
        <v>#REF!</v>
      </c>
      <c r="AI66" s="130" t="e">
        <f t="shared" si="28"/>
        <v>#REF!</v>
      </c>
    </row>
    <row r="67" spans="1:35" s="60" customFormat="1" ht="12.75" customHeight="1">
      <c r="B67" s="124" t="s">
        <v>171</v>
      </c>
      <c r="C67" s="129" t="e">
        <f>D67+I67</f>
        <v>#REF!</v>
      </c>
      <c r="D67" s="129" t="e">
        <f>#REF!</f>
        <v>#REF!</v>
      </c>
      <c r="E67" s="129" t="e">
        <f>#REF!</f>
        <v>#REF!</v>
      </c>
      <c r="F67" s="129">
        <f t="shared" si="22"/>
        <v>3009.17</v>
      </c>
      <c r="G67" s="129">
        <v>1502.32</v>
      </c>
      <c r="H67" s="129">
        <v>1506.85</v>
      </c>
      <c r="I67" s="129">
        <f>J67+K67</f>
        <v>5539.62</v>
      </c>
      <c r="J67" s="129">
        <f>'DMB Liabilities'!E34</f>
        <v>5319.42</v>
      </c>
      <c r="K67" s="129">
        <f>'DMB Liabilities'!F34</f>
        <v>220.2</v>
      </c>
      <c r="L67" s="60" t="e">
        <f>+'Monetary Survey Counterparts'!#REF!</f>
        <v>#REF!</v>
      </c>
      <c r="M67" s="1284" t="e">
        <f>+'Monetary Survey Counterparts'!#REF!</f>
        <v>#REF!</v>
      </c>
      <c r="N67" s="1284" t="e">
        <f>+'Monetary Survey Counterparts'!#REF!</f>
        <v>#REF!</v>
      </c>
      <c r="O67" s="60" t="e">
        <f>+'Monetary Survey Counterparts'!#REF!</f>
        <v>#REF!</v>
      </c>
      <c r="P67" s="60" t="e">
        <f>+'Monetary Survey Counterparts'!#REF!</f>
        <v>#REF!</v>
      </c>
      <c r="Q67" s="60" t="e">
        <f>+'Monetary Survey Counterparts'!#REF!</f>
        <v>#REF!</v>
      </c>
      <c r="R67" s="60" t="e">
        <f>+'Monetary Survey Counterparts'!#REF!</f>
        <v>#REF!</v>
      </c>
      <c r="S67" s="60" t="e">
        <f>+'Monetary Survey Counterparts'!#REF!</f>
        <v>#REF!</v>
      </c>
      <c r="T67" s="60" t="e">
        <f>+'Monetary Survey Counterparts'!#REF!</f>
        <v>#REF!</v>
      </c>
      <c r="U67" s="526">
        <v>5715.18</v>
      </c>
      <c r="V67" s="526"/>
      <c r="W67" s="569" t="e">
        <f t="shared" si="8"/>
        <v>#REF!</v>
      </c>
      <c r="X67" s="570" t="e">
        <f t="shared" si="9"/>
        <v>#REF!</v>
      </c>
      <c r="Y67" s="130" t="e">
        <f t="shared" si="25"/>
        <v>#REF!</v>
      </c>
      <c r="Z67" s="130" t="e">
        <f t="shared" si="26"/>
        <v>#REF!</v>
      </c>
      <c r="AA67" s="130" t="e">
        <f t="shared" si="27"/>
        <v>#REF!</v>
      </c>
      <c r="AB67" s="130"/>
      <c r="AC67" s="130"/>
      <c r="AD67" s="130"/>
      <c r="AE67" s="130"/>
      <c r="AF67" s="130"/>
      <c r="AG67" s="130"/>
      <c r="AH67" s="536" t="e">
        <f t="shared" si="24"/>
        <v>#REF!</v>
      </c>
      <c r="AI67" s="130" t="e">
        <f t="shared" si="28"/>
        <v>#REF!</v>
      </c>
    </row>
    <row r="68" spans="1:35" s="60" customFormat="1" ht="12.75" customHeight="1">
      <c r="B68" s="124" t="s">
        <v>148</v>
      </c>
      <c r="C68" s="129" t="e">
        <f>D68+I68</f>
        <v>#REF!</v>
      </c>
      <c r="D68" s="129" t="e">
        <f>#REF!</f>
        <v>#REF!</v>
      </c>
      <c r="E68" s="129" t="e">
        <f>#REF!</f>
        <v>#REF!</v>
      </c>
      <c r="F68" s="129">
        <f t="shared" si="22"/>
        <v>3238.21</v>
      </c>
      <c r="G68" s="129">
        <v>1616.3</v>
      </c>
      <c r="H68" s="129">
        <v>1621.91</v>
      </c>
      <c r="I68" s="129">
        <f>J68+K68</f>
        <v>5867.59</v>
      </c>
      <c r="J68" s="129">
        <f>'DMB Liabilities'!E35</f>
        <v>5628.3</v>
      </c>
      <c r="K68" s="129">
        <f>'DMB Liabilities'!F35</f>
        <v>239.29</v>
      </c>
      <c r="L68" s="60" t="e">
        <f>+'Monetary Survey Counterparts'!#REF!</f>
        <v>#REF!</v>
      </c>
      <c r="M68" s="1284" t="e">
        <f>+'Monetary Survey Counterparts'!#REF!</f>
        <v>#REF!</v>
      </c>
      <c r="N68" s="1284" t="e">
        <f>+'Monetary Survey Counterparts'!#REF!</f>
        <v>#REF!</v>
      </c>
      <c r="O68" s="60" t="e">
        <f>+'Monetary Survey Counterparts'!#REF!</f>
        <v>#REF!</v>
      </c>
      <c r="P68" s="60" t="e">
        <f>+'Monetary Survey Counterparts'!#REF!</f>
        <v>#REF!</v>
      </c>
      <c r="Q68" s="60" t="e">
        <f>+'Monetary Survey Counterparts'!#REF!</f>
        <v>#REF!</v>
      </c>
      <c r="R68" s="60" t="e">
        <f>+'Monetary Survey Counterparts'!#REF!</f>
        <v>#REF!</v>
      </c>
      <c r="S68" s="60" t="e">
        <f>+'Monetary Survey Counterparts'!#REF!</f>
        <v>#REF!</v>
      </c>
      <c r="T68" s="60" t="e">
        <f>+'Monetary Survey Counterparts'!#REF!</f>
        <v>#REF!</v>
      </c>
      <c r="U68" s="526">
        <v>6160.68</v>
      </c>
      <c r="V68" s="526"/>
      <c r="W68" s="569" t="e">
        <f t="shared" si="8"/>
        <v>#REF!</v>
      </c>
      <c r="X68" s="570" t="e">
        <f t="shared" si="9"/>
        <v>#REF!</v>
      </c>
      <c r="Y68" s="130" t="e">
        <f t="shared" si="25"/>
        <v>#REF!</v>
      </c>
      <c r="Z68" s="130" t="e">
        <f t="shared" si="26"/>
        <v>#REF!</v>
      </c>
      <c r="AA68" s="130" t="e">
        <f t="shared" si="27"/>
        <v>#REF!</v>
      </c>
      <c r="AB68" s="130"/>
      <c r="AC68" s="130"/>
      <c r="AD68" s="130"/>
      <c r="AE68" s="130"/>
      <c r="AF68" s="130"/>
      <c r="AG68" s="130"/>
      <c r="AH68" s="536" t="e">
        <f t="shared" si="24"/>
        <v>#REF!</v>
      </c>
      <c r="AI68" s="130" t="e">
        <f t="shared" si="28"/>
        <v>#REF!</v>
      </c>
    </row>
    <row r="69" spans="1:35" s="60" customFormat="1">
      <c r="A69" s="127">
        <v>2002</v>
      </c>
      <c r="B69" s="124" t="s">
        <v>1238</v>
      </c>
      <c r="C69" s="129">
        <f t="shared" si="21"/>
        <v>10521.740000000002</v>
      </c>
      <c r="D69" s="129">
        <v>4847.3900000000003</v>
      </c>
      <c r="E69" s="129">
        <v>1623.71</v>
      </c>
      <c r="F69" s="129">
        <f t="shared" si="22"/>
        <v>3166.23</v>
      </c>
      <c r="G69" s="129">
        <v>1537.39</v>
      </c>
      <c r="H69" s="129">
        <v>1628.84</v>
      </c>
      <c r="I69" s="129">
        <f t="shared" si="23"/>
        <v>5674.35</v>
      </c>
      <c r="J69" s="129">
        <v>5316.64</v>
      </c>
      <c r="K69" s="129">
        <v>357.71</v>
      </c>
      <c r="L69" s="60" t="e">
        <f>+'Monetary Survey Counterparts'!#REF!</f>
        <v>#REF!</v>
      </c>
      <c r="M69" s="1284" t="e">
        <f>+'Monetary Survey Counterparts'!#REF!</f>
        <v>#REF!</v>
      </c>
      <c r="N69" s="1284" t="e">
        <f>+'Monetary Survey Counterparts'!#REF!</f>
        <v>#REF!</v>
      </c>
      <c r="O69" s="60" t="e">
        <f>+'Monetary Survey Counterparts'!#REF!</f>
        <v>#REF!</v>
      </c>
      <c r="P69" s="60" t="e">
        <f>+'Monetary Survey Counterparts'!#REF!</f>
        <v>#REF!</v>
      </c>
      <c r="Q69" s="60" t="e">
        <f>+'Monetary Survey Counterparts'!#REF!</f>
        <v>#REF!</v>
      </c>
      <c r="R69" s="60" t="e">
        <f>+'Monetary Survey Counterparts'!#REF!</f>
        <v>#REF!</v>
      </c>
      <c r="S69" s="60" t="e">
        <f>+'Monetary Survey Counterparts'!#REF!</f>
        <v>#REF!</v>
      </c>
      <c r="T69" s="60" t="e">
        <f>+'Monetary Survey Counterparts'!#REF!</f>
        <v>#REF!</v>
      </c>
      <c r="U69" s="526">
        <v>6460.6</v>
      </c>
      <c r="V69" s="604">
        <f>((U69/U57)-1)*100</f>
        <v>22.408069845696787</v>
      </c>
      <c r="W69" s="569" t="e">
        <f t="shared" si="8"/>
        <v>#REF!</v>
      </c>
      <c r="X69" s="603" t="e">
        <f t="shared" si="9"/>
        <v>#REF!</v>
      </c>
      <c r="Y69" s="130" t="e">
        <f t="shared" si="25"/>
        <v>#REF!</v>
      </c>
      <c r="Z69" s="130" t="e">
        <f t="shared" si="26"/>
        <v>#REF!</v>
      </c>
      <c r="AA69" s="130" t="e">
        <f t="shared" si="27"/>
        <v>#REF!</v>
      </c>
      <c r="AB69" s="130"/>
      <c r="AC69" s="130"/>
      <c r="AD69" s="130"/>
      <c r="AE69" s="130"/>
      <c r="AF69" s="130"/>
      <c r="AG69" s="130"/>
      <c r="AH69" s="536">
        <f t="shared" si="24"/>
        <v>1.628601058725196</v>
      </c>
      <c r="AI69" s="130" t="e">
        <f t="shared" si="28"/>
        <v>#REF!</v>
      </c>
    </row>
    <row r="70" spans="1:35" s="60" customFormat="1" ht="12.75" customHeight="1">
      <c r="B70" s="124" t="s">
        <v>162</v>
      </c>
      <c r="C70" s="129">
        <f t="shared" si="21"/>
        <v>11297.490000000002</v>
      </c>
      <c r="D70" s="129">
        <v>5155.3100000000004</v>
      </c>
      <c r="E70" s="129">
        <v>1615.46</v>
      </c>
      <c r="F70" s="129">
        <f t="shared" si="22"/>
        <v>3535.8100000000004</v>
      </c>
      <c r="G70" s="129">
        <v>2030.14</v>
      </c>
      <c r="H70" s="129">
        <v>1505.67</v>
      </c>
      <c r="I70" s="129">
        <f t="shared" si="23"/>
        <v>6142.18</v>
      </c>
      <c r="J70" s="129">
        <v>5798.31</v>
      </c>
      <c r="K70" s="129">
        <v>343.87</v>
      </c>
      <c r="L70" s="60" t="e">
        <f>+'Monetary Survey Counterparts'!#REF!</f>
        <v>#REF!</v>
      </c>
      <c r="M70" s="1284" t="e">
        <f>+'Monetary Survey Counterparts'!#REF!</f>
        <v>#REF!</v>
      </c>
      <c r="N70" s="1284" t="e">
        <f>+'Monetary Survey Counterparts'!#REF!</f>
        <v>#REF!</v>
      </c>
      <c r="O70" s="60" t="e">
        <f>+'Monetary Survey Counterparts'!#REF!</f>
        <v>#REF!</v>
      </c>
      <c r="P70" s="60" t="e">
        <f>+'Monetary Survey Counterparts'!#REF!</f>
        <v>#REF!</v>
      </c>
      <c r="Q70" s="60" t="e">
        <f>+'Monetary Survey Counterparts'!#REF!</f>
        <v>#REF!</v>
      </c>
      <c r="R70" s="60" t="e">
        <f>+'Monetary Survey Counterparts'!#REF!</f>
        <v>#REF!</v>
      </c>
      <c r="S70" s="60" t="e">
        <f>+'Monetary Survey Counterparts'!#REF!</f>
        <v>#REF!</v>
      </c>
      <c r="T70" s="60" t="e">
        <f>+'Monetary Survey Counterparts'!#REF!</f>
        <v>#REF!</v>
      </c>
      <c r="U70" s="526">
        <v>6003.05</v>
      </c>
      <c r="V70" s="526">
        <f t="shared" ref="V70:V104" si="29">((U70/U58)-1)*100</f>
        <v>23.202162330785715</v>
      </c>
      <c r="W70" s="526" t="e">
        <f t="shared" ref="W70:W101" si="30">((S70/S58)-1)*100</f>
        <v>#REF!</v>
      </c>
      <c r="X70" s="130">
        <f t="shared" ref="X70:X78" si="31">+(C70/C58-1)*100</f>
        <v>26.198904618230557</v>
      </c>
      <c r="Y70" s="130" t="e">
        <f t="shared" si="25"/>
        <v>#REF!</v>
      </c>
      <c r="Z70" s="130" t="e">
        <f t="shared" si="26"/>
        <v>#REF!</v>
      </c>
      <c r="AA70" s="130" t="e">
        <f t="shared" si="27"/>
        <v>#REF!</v>
      </c>
      <c r="AB70" s="130"/>
      <c r="AC70" s="130"/>
      <c r="AD70" s="130"/>
      <c r="AE70" s="130"/>
      <c r="AF70" s="130"/>
      <c r="AG70" s="130"/>
      <c r="AH70" s="536">
        <f t="shared" si="24"/>
        <v>1.8819583378449289</v>
      </c>
      <c r="AI70" s="130" t="e">
        <f t="shared" si="28"/>
        <v>#REF!</v>
      </c>
    </row>
    <row r="71" spans="1:35" s="60" customFormat="1">
      <c r="B71" s="124" t="s">
        <v>163</v>
      </c>
      <c r="C71" s="129">
        <f t="shared" si="21"/>
        <v>11028.19</v>
      </c>
      <c r="D71" s="129">
        <v>4820.6000000000004</v>
      </c>
      <c r="E71" s="129">
        <v>1614.65</v>
      </c>
      <c r="F71" s="129">
        <f t="shared" si="22"/>
        <v>3137.85</v>
      </c>
      <c r="G71" s="129">
        <v>1626.36</v>
      </c>
      <c r="H71" s="129">
        <v>1511.49</v>
      </c>
      <c r="I71" s="129">
        <f t="shared" si="23"/>
        <v>6207.59</v>
      </c>
      <c r="J71" s="129">
        <v>5846.53</v>
      </c>
      <c r="K71" s="129">
        <v>361.06</v>
      </c>
      <c r="L71" s="60" t="e">
        <f>+'Monetary Survey Counterparts'!#REF!</f>
        <v>#REF!</v>
      </c>
      <c r="M71" s="1284" t="e">
        <f>+'Monetary Survey Counterparts'!#REF!</f>
        <v>#REF!</v>
      </c>
      <c r="N71" s="1284" t="e">
        <f>+'Monetary Survey Counterparts'!#REF!</f>
        <v>#REF!</v>
      </c>
      <c r="O71" s="60" t="e">
        <f>+'Monetary Survey Counterparts'!#REF!</f>
        <v>#REF!</v>
      </c>
      <c r="P71" s="60" t="e">
        <f>+'Monetary Survey Counterparts'!#REF!</f>
        <v>#REF!</v>
      </c>
      <c r="Q71" s="60" t="e">
        <f>+'Monetary Survey Counterparts'!#REF!</f>
        <v>#REF!</v>
      </c>
      <c r="R71" s="60" t="e">
        <f>+'Monetary Survey Counterparts'!#REF!</f>
        <v>#REF!</v>
      </c>
      <c r="S71" s="60" t="e">
        <f>+'Monetary Survey Counterparts'!#REF!</f>
        <v>#REF!</v>
      </c>
      <c r="T71" s="60" t="e">
        <f>+'Monetary Survey Counterparts'!#REF!</f>
        <v>#REF!</v>
      </c>
      <c r="U71" s="526">
        <v>6420.31</v>
      </c>
      <c r="V71" s="526">
        <f t="shared" si="29"/>
        <v>40.422120884047999</v>
      </c>
      <c r="W71" s="526" t="e">
        <f t="shared" si="30"/>
        <v>#REF!</v>
      </c>
      <c r="X71" s="130">
        <f t="shared" si="31"/>
        <v>9.5984441025763303</v>
      </c>
      <c r="Y71" s="130" t="e">
        <f t="shared" si="25"/>
        <v>#REF!</v>
      </c>
      <c r="Z71" s="130" t="e">
        <f t="shared" si="26"/>
        <v>#REF!</v>
      </c>
      <c r="AA71" s="130" t="e">
        <f t="shared" si="27"/>
        <v>#REF!</v>
      </c>
      <c r="AB71" s="130"/>
      <c r="AC71" s="130"/>
      <c r="AD71" s="130"/>
      <c r="AE71" s="130"/>
      <c r="AF71" s="130"/>
      <c r="AG71" s="130"/>
      <c r="AH71" s="536">
        <f t="shared" si="24"/>
        <v>1.7177036622842199</v>
      </c>
      <c r="AI71" s="130" t="e">
        <f t="shared" si="28"/>
        <v>#REF!</v>
      </c>
    </row>
    <row r="72" spans="1:35" s="60" customFormat="1">
      <c r="B72" s="124" t="s">
        <v>164</v>
      </c>
      <c r="C72" s="129">
        <f t="shared" si="21"/>
        <v>10578.16</v>
      </c>
      <c r="D72" s="129">
        <v>4746.37</v>
      </c>
      <c r="E72" s="129">
        <v>1494.23</v>
      </c>
      <c r="F72" s="129">
        <f t="shared" si="22"/>
        <v>3143.81</v>
      </c>
      <c r="G72" s="129">
        <v>1663.34</v>
      </c>
      <c r="H72" s="129">
        <v>1480.47</v>
      </c>
      <c r="I72" s="129">
        <f t="shared" si="23"/>
        <v>5831.79</v>
      </c>
      <c r="J72" s="129">
        <v>5492.66</v>
      </c>
      <c r="K72" s="129">
        <v>339.13</v>
      </c>
      <c r="L72" s="60" t="e">
        <f>+'Monetary Survey Counterparts'!#REF!</f>
        <v>#REF!</v>
      </c>
      <c r="M72" s="1284" t="e">
        <f>+'Monetary Survey Counterparts'!#REF!</f>
        <v>#REF!</v>
      </c>
      <c r="N72" s="1284" t="e">
        <f>+'Monetary Survey Counterparts'!#REF!</f>
        <v>#REF!</v>
      </c>
      <c r="O72" s="60" t="e">
        <f>+'Monetary Survey Counterparts'!#REF!</f>
        <v>#REF!</v>
      </c>
      <c r="P72" s="60" t="e">
        <f>+'Monetary Survey Counterparts'!#REF!</f>
        <v>#REF!</v>
      </c>
      <c r="Q72" s="60" t="e">
        <f>+'Monetary Survey Counterparts'!#REF!</f>
        <v>#REF!</v>
      </c>
      <c r="R72" s="60" t="e">
        <f>+'Monetary Survey Counterparts'!#REF!</f>
        <v>#REF!</v>
      </c>
      <c r="S72" s="60" t="e">
        <f>+'Monetary Survey Counterparts'!#REF!</f>
        <v>#REF!</v>
      </c>
      <c r="T72" s="60" t="e">
        <f>+'Monetary Survey Counterparts'!#REF!</f>
        <v>#REF!</v>
      </c>
      <c r="U72" s="526">
        <v>6636.9</v>
      </c>
      <c r="V72" s="526">
        <f t="shared" si="29"/>
        <v>44.317141533824909</v>
      </c>
      <c r="W72" s="526" t="e">
        <f t="shared" si="30"/>
        <v>#REF!</v>
      </c>
      <c r="X72" s="130">
        <f t="shared" si="31"/>
        <v>6.2516573320369417</v>
      </c>
      <c r="Y72" s="130" t="e">
        <f t="shared" si="25"/>
        <v>#REF!</v>
      </c>
      <c r="Z72" s="130" t="e">
        <f t="shared" si="26"/>
        <v>#REF!</v>
      </c>
      <c r="AA72" s="130" t="e">
        <f t="shared" si="27"/>
        <v>#REF!</v>
      </c>
      <c r="AB72" s="130"/>
      <c r="AC72" s="130"/>
      <c r="AD72" s="130"/>
      <c r="AE72" s="130"/>
      <c r="AF72" s="130"/>
      <c r="AG72" s="130"/>
      <c r="AH72" s="536">
        <f t="shared" si="24"/>
        <v>1.5938404978227787</v>
      </c>
      <c r="AI72" s="130" t="e">
        <f t="shared" si="28"/>
        <v>#REF!</v>
      </c>
    </row>
    <row r="73" spans="1:35" s="60" customFormat="1">
      <c r="B73" s="124" t="s">
        <v>165</v>
      </c>
      <c r="C73" s="129">
        <f t="shared" si="21"/>
        <v>11456.2</v>
      </c>
      <c r="D73" s="129">
        <v>5055.46</v>
      </c>
      <c r="E73" s="129">
        <v>1512.41</v>
      </c>
      <c r="F73" s="129">
        <f t="shared" si="22"/>
        <v>3409.6</v>
      </c>
      <c r="G73" s="129">
        <v>1829.57</v>
      </c>
      <c r="H73" s="129">
        <v>1580.03</v>
      </c>
      <c r="I73" s="129">
        <f t="shared" si="23"/>
        <v>6400.74</v>
      </c>
      <c r="J73" s="129">
        <v>6069.25</v>
      </c>
      <c r="K73" s="129">
        <v>331.49</v>
      </c>
      <c r="L73" s="60" t="e">
        <f>+'Monetary Survey Counterparts'!#REF!</f>
        <v>#REF!</v>
      </c>
      <c r="M73" s="1284" t="e">
        <f>+'Monetary Survey Counterparts'!#REF!</f>
        <v>#REF!</v>
      </c>
      <c r="N73" s="1284" t="e">
        <f>+'Monetary Survey Counterparts'!#REF!</f>
        <v>#REF!</v>
      </c>
      <c r="O73" s="60" t="e">
        <f>+'Monetary Survey Counterparts'!#REF!</f>
        <v>#REF!</v>
      </c>
      <c r="P73" s="60" t="e">
        <f>+'Monetary Survey Counterparts'!#REF!</f>
        <v>#REF!</v>
      </c>
      <c r="Q73" s="60" t="e">
        <f>+'Monetary Survey Counterparts'!#REF!</f>
        <v>#REF!</v>
      </c>
      <c r="R73" s="60" t="e">
        <f>+'Monetary Survey Counterparts'!#REF!</f>
        <v>#REF!</v>
      </c>
      <c r="S73" s="60" t="e">
        <f>+'Monetary Survey Counterparts'!#REF!</f>
        <v>#REF!</v>
      </c>
      <c r="T73" s="60" t="e">
        <f>+'Monetary Survey Counterparts'!#REF!</f>
        <v>#REF!</v>
      </c>
      <c r="U73" s="526">
        <v>5871.94</v>
      </c>
      <c r="V73" s="526">
        <f t="shared" si="29"/>
        <v>28.945935262857382</v>
      </c>
      <c r="W73" s="526" t="e">
        <f t="shared" si="30"/>
        <v>#REF!</v>
      </c>
      <c r="X73" s="130" t="e">
        <f t="shared" si="31"/>
        <v>#REF!</v>
      </c>
      <c r="Y73" s="130" t="e">
        <f t="shared" si="25"/>
        <v>#REF!</v>
      </c>
      <c r="Z73" s="130" t="e">
        <f t="shared" si="26"/>
        <v>#REF!</v>
      </c>
      <c r="AA73" s="130" t="e">
        <f t="shared" si="27"/>
        <v>#REF!</v>
      </c>
      <c r="AB73" s="130"/>
      <c r="AC73" s="130"/>
      <c r="AD73" s="130"/>
      <c r="AE73" s="130"/>
      <c r="AF73" s="130"/>
      <c r="AG73" s="130"/>
      <c r="AH73" s="536">
        <f t="shared" si="24"/>
        <v>1.9510076737841329</v>
      </c>
      <c r="AI73" s="130" t="e">
        <f t="shared" si="28"/>
        <v>#REF!</v>
      </c>
    </row>
    <row r="74" spans="1:35" s="527" customFormat="1" ht="12.75" customHeight="1">
      <c r="B74" s="528" t="s">
        <v>166</v>
      </c>
      <c r="C74" s="529" t="e">
        <f t="shared" si="21"/>
        <v>#REF!</v>
      </c>
      <c r="D74" s="529" t="e">
        <f>#REF!</f>
        <v>#REF!</v>
      </c>
      <c r="E74" s="529" t="e">
        <f>#REF!</f>
        <v>#REF!</v>
      </c>
      <c r="F74" s="529">
        <f t="shared" si="22"/>
        <v>3313.59</v>
      </c>
      <c r="G74" s="529">
        <f>1329.73+324.45</f>
        <v>1654.18</v>
      </c>
      <c r="H74" s="529">
        <f>1274.68+384.73</f>
        <v>1659.41</v>
      </c>
      <c r="I74" s="529">
        <f t="shared" si="23"/>
        <v>6057.45</v>
      </c>
      <c r="J74" s="529">
        <v>5764.57</v>
      </c>
      <c r="K74" s="529">
        <v>292.88</v>
      </c>
      <c r="L74" s="527" t="e">
        <f>+'Monetary Survey Counterparts'!#REF!</f>
        <v>#REF!</v>
      </c>
      <c r="M74" s="1284" t="e">
        <f>+'Monetary Survey Counterparts'!#REF!</f>
        <v>#REF!</v>
      </c>
      <c r="N74" s="1284" t="e">
        <f>+'Monetary Survey Counterparts'!#REF!</f>
        <v>#REF!</v>
      </c>
      <c r="O74" s="527" t="e">
        <f>+'Monetary Survey Counterparts'!#REF!</f>
        <v>#REF!</v>
      </c>
      <c r="P74" s="527" t="e">
        <f>+'Monetary Survey Counterparts'!#REF!</f>
        <v>#REF!</v>
      </c>
      <c r="Q74" s="527" t="e">
        <f>+'Monetary Survey Counterparts'!#REF!</f>
        <v>#REF!</v>
      </c>
      <c r="R74" s="527" t="e">
        <f>+'Monetary Survey Counterparts'!#REF!</f>
        <v>#REF!</v>
      </c>
      <c r="S74" s="527" t="e">
        <f>+'Monetary Survey Counterparts'!#REF!</f>
        <v>#REF!</v>
      </c>
      <c r="T74" s="527" t="e">
        <f>+'Monetary Survey Counterparts'!#REF!</f>
        <v>#REF!</v>
      </c>
      <c r="U74" s="530">
        <v>6022.99</v>
      </c>
      <c r="V74" s="526">
        <f t="shared" si="29"/>
        <v>27.853572072980448</v>
      </c>
      <c r="W74" s="526" t="e">
        <f t="shared" si="30"/>
        <v>#REF!</v>
      </c>
      <c r="X74" s="531" t="e">
        <f t="shared" si="31"/>
        <v>#REF!</v>
      </c>
      <c r="Y74" s="531" t="e">
        <f t="shared" si="25"/>
        <v>#REF!</v>
      </c>
      <c r="Z74" s="531" t="e">
        <f t="shared" si="26"/>
        <v>#REF!</v>
      </c>
      <c r="AA74" s="531" t="e">
        <f t="shared" si="27"/>
        <v>#REF!</v>
      </c>
      <c r="AB74" s="531"/>
      <c r="AC74" s="531"/>
      <c r="AD74" s="531"/>
      <c r="AE74" s="531"/>
      <c r="AF74" s="531"/>
      <c r="AG74" s="531"/>
      <c r="AH74" s="536" t="e">
        <f t="shared" si="24"/>
        <v>#REF!</v>
      </c>
      <c r="AI74" s="531" t="e">
        <f t="shared" si="28"/>
        <v>#REF!</v>
      </c>
    </row>
    <row r="75" spans="1:35" s="134" customFormat="1" ht="12.75" customHeight="1">
      <c r="B75" s="532" t="s">
        <v>167</v>
      </c>
      <c r="C75" s="177" t="e">
        <f t="shared" si="21"/>
        <v>#REF!</v>
      </c>
      <c r="D75" s="177" t="e">
        <f>#REF!</f>
        <v>#REF!</v>
      </c>
      <c r="E75" s="177" t="e">
        <f>#REF!</f>
        <v>#REF!</v>
      </c>
      <c r="F75" s="177">
        <f t="shared" si="22"/>
        <v>4599.41</v>
      </c>
      <c r="G75" s="177">
        <v>2914.52</v>
      </c>
      <c r="H75" s="177">
        <v>1684.89</v>
      </c>
      <c r="I75" s="177">
        <f t="shared" si="23"/>
        <v>5940.74</v>
      </c>
      <c r="J75" s="177">
        <f>'DMB Liabilities'!E43</f>
        <v>5510.04</v>
      </c>
      <c r="K75" s="177">
        <f>'DMB Liabilities'!F43</f>
        <v>430.7</v>
      </c>
      <c r="L75" s="134" t="e">
        <f>+'Monetary Survey Counterparts'!#REF!</f>
        <v>#REF!</v>
      </c>
      <c r="M75" s="1284" t="e">
        <f>+'Monetary Survey Counterparts'!#REF!</f>
        <v>#REF!</v>
      </c>
      <c r="N75" s="1284" t="e">
        <f>+'Monetary Survey Counterparts'!#REF!</f>
        <v>#REF!</v>
      </c>
      <c r="O75" s="134" t="e">
        <f>+'Monetary Survey Counterparts'!#REF!</f>
        <v>#REF!</v>
      </c>
      <c r="P75" s="134" t="e">
        <f>+'Monetary Survey Counterparts'!#REF!</f>
        <v>#REF!</v>
      </c>
      <c r="Q75" s="134" t="e">
        <f>+'Monetary Survey Counterparts'!#REF!</f>
        <v>#REF!</v>
      </c>
      <c r="R75" s="134" t="e">
        <f>+'Monetary Survey Counterparts'!#REF!</f>
        <v>#REF!</v>
      </c>
      <c r="S75" s="134" t="e">
        <f>+'Monetary Survey Counterparts'!#REF!</f>
        <v>#REF!</v>
      </c>
      <c r="T75" s="134" t="e">
        <f>+'Monetary Survey Counterparts'!#REF!</f>
        <v>#REF!</v>
      </c>
      <c r="U75" s="533">
        <v>6217.21</v>
      </c>
      <c r="V75" s="526">
        <f t="shared" si="29"/>
        <v>26.659794360498633</v>
      </c>
      <c r="W75" s="526" t="e">
        <f t="shared" si="30"/>
        <v>#REF!</v>
      </c>
      <c r="X75" s="534" t="e">
        <f t="shared" si="31"/>
        <v>#REF!</v>
      </c>
      <c r="Y75" s="534" t="e">
        <f t="shared" si="25"/>
        <v>#REF!</v>
      </c>
      <c r="Z75" s="534" t="e">
        <f t="shared" si="26"/>
        <v>#REF!</v>
      </c>
      <c r="AA75" s="534" t="e">
        <f t="shared" si="27"/>
        <v>#REF!</v>
      </c>
      <c r="AB75" s="534"/>
      <c r="AC75" s="534"/>
      <c r="AD75" s="534"/>
      <c r="AE75" s="534"/>
      <c r="AF75" s="534"/>
      <c r="AG75" s="534"/>
      <c r="AH75" s="536" t="e">
        <f t="shared" si="24"/>
        <v>#REF!</v>
      </c>
      <c r="AI75" s="534" t="e">
        <f t="shared" si="28"/>
        <v>#REF!</v>
      </c>
    </row>
    <row r="76" spans="1:35" s="60" customFormat="1" ht="12.75" customHeight="1">
      <c r="B76" s="124" t="s">
        <v>168</v>
      </c>
      <c r="C76" s="129" t="e">
        <f t="shared" si="21"/>
        <v>#REF!</v>
      </c>
      <c r="D76" s="129" t="e">
        <f>#REF!</f>
        <v>#REF!</v>
      </c>
      <c r="E76" s="129" t="e">
        <f>#REF!</f>
        <v>#REF!</v>
      </c>
      <c r="F76" s="129">
        <f t="shared" si="22"/>
        <v>3589.56</v>
      </c>
      <c r="G76" s="129">
        <v>1864.62</v>
      </c>
      <c r="H76" s="129">
        <v>1724.94</v>
      </c>
      <c r="I76" s="129">
        <f t="shared" si="23"/>
        <v>5757.6100000000006</v>
      </c>
      <c r="J76" s="129">
        <f>'DMB Liabilities'!E44</f>
        <v>5416.13</v>
      </c>
      <c r="K76" s="129">
        <f>'DMB Liabilities'!F44</f>
        <v>341.48</v>
      </c>
      <c r="L76" s="60" t="e">
        <f>+'Monetary Survey Counterparts'!#REF!</f>
        <v>#REF!</v>
      </c>
      <c r="M76" s="1284" t="e">
        <f>+'Monetary Survey Counterparts'!#REF!</f>
        <v>#REF!</v>
      </c>
      <c r="N76" s="1284" t="e">
        <f>+'Monetary Survey Counterparts'!#REF!</f>
        <v>#REF!</v>
      </c>
      <c r="O76" s="60" t="e">
        <f>+'Monetary Survey Counterparts'!#REF!</f>
        <v>#REF!</v>
      </c>
      <c r="P76" s="60" t="e">
        <f>+'Monetary Survey Counterparts'!#REF!</f>
        <v>#REF!</v>
      </c>
      <c r="Q76" s="60" t="e">
        <f>+'Monetary Survey Counterparts'!#REF!</f>
        <v>#REF!</v>
      </c>
      <c r="R76" s="60" t="e">
        <f>+'Monetary Survey Counterparts'!#REF!</f>
        <v>#REF!</v>
      </c>
      <c r="S76" s="60" t="e">
        <f>+'Monetary Survey Counterparts'!#REF!</f>
        <v>#REF!</v>
      </c>
      <c r="T76" s="60" t="e">
        <f>+'Monetary Survey Counterparts'!#REF!</f>
        <v>#REF!</v>
      </c>
      <c r="U76" s="526">
        <v>6484.59</v>
      </c>
      <c r="V76" s="526">
        <f t="shared" si="29"/>
        <v>28.827112421427369</v>
      </c>
      <c r="W76" s="526" t="e">
        <f t="shared" si="30"/>
        <v>#REF!</v>
      </c>
      <c r="X76" s="130" t="e">
        <f t="shared" si="31"/>
        <v>#REF!</v>
      </c>
      <c r="Y76" s="534" t="e">
        <f>+(L76/$L$74-1)*100</f>
        <v>#REF!</v>
      </c>
      <c r="Z76" s="130" t="e">
        <f>+((M76-$M$74)/$L$74)*100</f>
        <v>#REF!</v>
      </c>
      <c r="AA76" s="130" t="e">
        <f>+((N76-$N$74)/$L$74)*100</f>
        <v>#REF!</v>
      </c>
      <c r="AB76" s="130"/>
      <c r="AC76" s="130"/>
      <c r="AD76" s="130"/>
      <c r="AE76" s="130"/>
      <c r="AF76" s="130"/>
      <c r="AG76" s="130"/>
      <c r="AH76" s="536" t="e">
        <f t="shared" si="24"/>
        <v>#REF!</v>
      </c>
      <c r="AI76" s="130" t="e">
        <f t="shared" si="28"/>
        <v>#REF!</v>
      </c>
    </row>
    <row r="77" spans="1:35" s="60" customFormat="1" ht="12.75" customHeight="1">
      <c r="B77" s="124" t="s">
        <v>169</v>
      </c>
      <c r="C77" s="129" t="e">
        <f t="shared" si="21"/>
        <v>#REF!</v>
      </c>
      <c r="D77" s="129" t="e">
        <f>#REF!</f>
        <v>#REF!</v>
      </c>
      <c r="E77" s="129" t="e">
        <f>#REF!</f>
        <v>#REF!</v>
      </c>
      <c r="F77" s="129">
        <f t="shared" si="22"/>
        <v>3621.33</v>
      </c>
      <c r="G77" s="129">
        <v>1958.99</v>
      </c>
      <c r="H77" s="129">
        <v>1662.34</v>
      </c>
      <c r="I77" s="129">
        <f t="shared" si="23"/>
        <v>5832.18</v>
      </c>
      <c r="J77" s="129">
        <f>'DMB Liabilities'!E45</f>
        <v>5577.18</v>
      </c>
      <c r="K77" s="129">
        <f>'DMB Liabilities'!F45</f>
        <v>255</v>
      </c>
      <c r="L77" s="60" t="e">
        <f>+'Monetary Survey Counterparts'!#REF!</f>
        <v>#REF!</v>
      </c>
      <c r="M77" s="1284" t="e">
        <f>+'Monetary Survey Counterparts'!#REF!</f>
        <v>#REF!</v>
      </c>
      <c r="N77" s="1284" t="e">
        <f>+'Monetary Survey Counterparts'!#REF!</f>
        <v>#REF!</v>
      </c>
      <c r="O77" s="60" t="e">
        <f>+'Monetary Survey Counterparts'!#REF!</f>
        <v>#REF!</v>
      </c>
      <c r="P77" s="60" t="e">
        <f>+'Monetary Survey Counterparts'!#REF!</f>
        <v>#REF!</v>
      </c>
      <c r="Q77" s="60" t="e">
        <f>+'Monetary Survey Counterparts'!#REF!</f>
        <v>#REF!</v>
      </c>
      <c r="R77" s="60" t="e">
        <f>+'Monetary Survey Counterparts'!#REF!</f>
        <v>#REF!</v>
      </c>
      <c r="S77" s="60" t="e">
        <f>+'Monetary Survey Counterparts'!#REF!</f>
        <v>#REF!</v>
      </c>
      <c r="T77" s="60" t="e">
        <f>+'Monetary Survey Counterparts'!#REF!</f>
        <v>#REF!</v>
      </c>
      <c r="U77" s="526">
        <v>6010.92</v>
      </c>
      <c r="V77" s="526">
        <f t="shared" si="29"/>
        <v>18.078348020476874</v>
      </c>
      <c r="W77" s="526" t="e">
        <f t="shared" si="30"/>
        <v>#REF!</v>
      </c>
      <c r="X77" s="130" t="e">
        <f t="shared" si="31"/>
        <v>#REF!</v>
      </c>
      <c r="Y77" s="534" t="e">
        <f t="shared" ref="Y77:Y86" si="32">+(L77/$L$74-1)*100</f>
        <v>#REF!</v>
      </c>
      <c r="Z77" s="130" t="e">
        <f t="shared" ref="Z77:Z87" si="33">+((M77-$M$74)/$L$74)*100</f>
        <v>#REF!</v>
      </c>
      <c r="AA77" s="130" t="e">
        <f t="shared" ref="AA77:AA87" si="34">+((N77-$N$74)/$L$74)*100</f>
        <v>#REF!</v>
      </c>
      <c r="AB77" s="130"/>
      <c r="AC77" s="130"/>
      <c r="AD77" s="130"/>
      <c r="AE77" s="130"/>
      <c r="AF77" s="130"/>
      <c r="AG77" s="130"/>
      <c r="AH77" s="536" t="e">
        <f t="shared" si="24"/>
        <v>#REF!</v>
      </c>
      <c r="AI77" s="130" t="e">
        <f t="shared" si="28"/>
        <v>#REF!</v>
      </c>
    </row>
    <row r="78" spans="1:35" s="60" customFormat="1" ht="12.75" customHeight="1">
      <c r="B78" s="124" t="s">
        <v>170</v>
      </c>
      <c r="C78" s="129" t="e">
        <f t="shared" si="21"/>
        <v>#REF!</v>
      </c>
      <c r="D78" s="129" t="e">
        <f>#REF!</f>
        <v>#REF!</v>
      </c>
      <c r="E78" s="129" t="e">
        <f>#REF!</f>
        <v>#REF!</v>
      </c>
      <c r="F78" s="129">
        <f t="shared" si="22"/>
        <v>4461.99</v>
      </c>
      <c r="G78" s="129">
        <v>2793.96</v>
      </c>
      <c r="H78" s="129">
        <v>1668.03</v>
      </c>
      <c r="I78" s="129">
        <f t="shared" si="23"/>
        <v>6009.67</v>
      </c>
      <c r="J78" s="129">
        <f>'DMB Liabilities'!E46</f>
        <v>5786.78</v>
      </c>
      <c r="K78" s="129">
        <f>'DMB Liabilities'!F46</f>
        <v>222.89</v>
      </c>
      <c r="L78" s="60" t="e">
        <f>+'Monetary Survey Counterparts'!#REF!</f>
        <v>#REF!</v>
      </c>
      <c r="M78" s="1284" t="e">
        <f>+'Monetary Survey Counterparts'!#REF!</f>
        <v>#REF!</v>
      </c>
      <c r="N78" s="1284" t="e">
        <f>+'Monetary Survey Counterparts'!#REF!</f>
        <v>#REF!</v>
      </c>
      <c r="O78" s="60" t="e">
        <f>+'Monetary Survey Counterparts'!#REF!</f>
        <v>#REF!</v>
      </c>
      <c r="P78" s="60" t="e">
        <f>+'Monetary Survey Counterparts'!#REF!</f>
        <v>#REF!</v>
      </c>
      <c r="Q78" s="60" t="e">
        <f>+'Monetary Survey Counterparts'!#REF!</f>
        <v>#REF!</v>
      </c>
      <c r="R78" s="60" t="e">
        <f>+'Monetary Survey Counterparts'!#REF!</f>
        <v>#REF!</v>
      </c>
      <c r="S78" s="60" t="e">
        <f>+'Monetary Survey Counterparts'!#REF!</f>
        <v>#REF!</v>
      </c>
      <c r="T78" s="60" t="e">
        <f>+'Monetary Survey Counterparts'!#REF!</f>
        <v>#REF!</v>
      </c>
      <c r="U78" s="526">
        <v>6200.55</v>
      </c>
      <c r="V78" s="526">
        <f t="shared" si="29"/>
        <v>12.739527517823079</v>
      </c>
      <c r="W78" s="526" t="e">
        <f t="shared" si="30"/>
        <v>#REF!</v>
      </c>
      <c r="X78" s="130" t="e">
        <f t="shared" si="31"/>
        <v>#REF!</v>
      </c>
      <c r="Y78" s="534" t="e">
        <f t="shared" si="32"/>
        <v>#REF!</v>
      </c>
      <c r="Z78" s="130" t="e">
        <f t="shared" si="33"/>
        <v>#REF!</v>
      </c>
      <c r="AA78" s="130" t="e">
        <f t="shared" si="34"/>
        <v>#REF!</v>
      </c>
      <c r="AB78" s="130"/>
      <c r="AC78" s="130"/>
      <c r="AD78" s="130"/>
      <c r="AE78" s="130"/>
      <c r="AF78" s="130"/>
      <c r="AG78" s="130"/>
      <c r="AH78" s="536" t="e">
        <f t="shared" si="24"/>
        <v>#REF!</v>
      </c>
      <c r="AI78" s="130" t="e">
        <f t="shared" si="28"/>
        <v>#REF!</v>
      </c>
    </row>
    <row r="79" spans="1:35" s="60" customFormat="1" ht="12.75" customHeight="1">
      <c r="B79" s="124" t="s">
        <v>171</v>
      </c>
      <c r="C79" s="129" t="e">
        <f t="shared" si="21"/>
        <v>#REF!</v>
      </c>
      <c r="D79" s="129" t="e">
        <f>#REF!</f>
        <v>#REF!</v>
      </c>
      <c r="E79" s="129" t="e">
        <f>#REF!</f>
        <v>#REF!</v>
      </c>
      <c r="F79" s="129">
        <f t="shared" si="22"/>
        <v>7588.71</v>
      </c>
      <c r="G79" s="129">
        <v>5909.84</v>
      </c>
      <c r="H79" s="129">
        <v>1678.87</v>
      </c>
      <c r="I79" s="129">
        <f t="shared" si="23"/>
        <v>6345</v>
      </c>
      <c r="J79" s="129">
        <f>'DMB Liabilities'!E47</f>
        <v>6061.82</v>
      </c>
      <c r="K79" s="129">
        <f>'DMB Liabilities'!F47</f>
        <v>283.18</v>
      </c>
      <c r="L79" s="60" t="e">
        <f>+'Monetary Survey Counterparts'!#REF!</f>
        <v>#REF!</v>
      </c>
      <c r="M79" s="1284" t="e">
        <f>+'Monetary Survey Counterparts'!#REF!</f>
        <v>#REF!</v>
      </c>
      <c r="N79" s="1284" t="e">
        <f>+'Monetary Survey Counterparts'!#REF!</f>
        <v>#REF!</v>
      </c>
      <c r="O79" s="60" t="e">
        <f>+'Monetary Survey Counterparts'!#REF!</f>
        <v>#REF!</v>
      </c>
      <c r="P79" s="60" t="e">
        <f>+'Monetary Survey Counterparts'!#REF!</f>
        <v>#REF!</v>
      </c>
      <c r="Q79" s="60" t="e">
        <f>+'Monetary Survey Counterparts'!#REF!</f>
        <v>#REF!</v>
      </c>
      <c r="R79" s="60" t="e">
        <f>+'Monetary Survey Counterparts'!#REF!</f>
        <v>#REF!</v>
      </c>
      <c r="S79" s="60" t="e">
        <f>+'Monetary Survey Counterparts'!#REF!</f>
        <v>#REF!</v>
      </c>
      <c r="T79" s="60" t="e">
        <f>+'Monetary Survey Counterparts'!#REF!</f>
        <v>#REF!</v>
      </c>
      <c r="U79" s="526">
        <v>6652.91</v>
      </c>
      <c r="V79" s="526">
        <f t="shared" si="29"/>
        <v>16.407707193824162</v>
      </c>
      <c r="W79" s="526" t="e">
        <f t="shared" si="30"/>
        <v>#REF!</v>
      </c>
      <c r="X79" s="130" t="e">
        <f>+(C79/C67-1)*100</f>
        <v>#REF!</v>
      </c>
      <c r="Y79" s="534" t="e">
        <f t="shared" si="32"/>
        <v>#REF!</v>
      </c>
      <c r="Z79" s="130" t="e">
        <f t="shared" si="33"/>
        <v>#REF!</v>
      </c>
      <c r="AA79" s="130" t="e">
        <f t="shared" si="34"/>
        <v>#REF!</v>
      </c>
      <c r="AB79" s="130"/>
      <c r="AC79" s="130"/>
      <c r="AD79" s="130"/>
      <c r="AE79" s="130"/>
      <c r="AF79" s="130"/>
      <c r="AG79" s="130"/>
      <c r="AH79" s="536" t="e">
        <f t="shared" si="24"/>
        <v>#REF!</v>
      </c>
      <c r="AI79" s="130" t="e">
        <f t="shared" si="28"/>
        <v>#REF!</v>
      </c>
    </row>
    <row r="80" spans="1:35" s="60" customFormat="1" ht="12.75" customHeight="1">
      <c r="B80" s="124" t="s">
        <v>148</v>
      </c>
      <c r="C80" s="129" t="e">
        <f t="shared" si="21"/>
        <v>#REF!</v>
      </c>
      <c r="D80" s="129" t="e">
        <f>#REF!</f>
        <v>#REF!</v>
      </c>
      <c r="E80" s="129" t="e">
        <f>#REF!</f>
        <v>#REF!</v>
      </c>
      <c r="F80" s="129">
        <f t="shared" si="22"/>
        <v>5322.78</v>
      </c>
      <c r="G80" s="129">
        <v>3633.85</v>
      </c>
      <c r="H80" s="129">
        <v>1688.93</v>
      </c>
      <c r="I80" s="129">
        <f t="shared" si="23"/>
        <v>6732.2699999999995</v>
      </c>
      <c r="J80" s="129">
        <f>'DMB Liabilities'!E48</f>
        <v>6260.8099999999995</v>
      </c>
      <c r="K80" s="129">
        <f>'DMB Liabilities'!F48</f>
        <v>471.46000000000004</v>
      </c>
      <c r="L80" s="60" t="e">
        <f>+'Monetary Survey Counterparts'!#REF!</f>
        <v>#REF!</v>
      </c>
      <c r="M80" s="1284" t="e">
        <f>+'Monetary Survey Counterparts'!#REF!</f>
        <v>#REF!</v>
      </c>
      <c r="N80" s="1284" t="e">
        <f>+'Monetary Survey Counterparts'!#REF!</f>
        <v>#REF!</v>
      </c>
      <c r="O80" s="60" t="e">
        <f>+'Monetary Survey Counterparts'!#REF!</f>
        <v>#REF!</v>
      </c>
      <c r="P80" s="60" t="e">
        <f>+'Monetary Survey Counterparts'!#REF!</f>
        <v>#REF!</v>
      </c>
      <c r="Q80" s="60" t="e">
        <f>+'Monetary Survey Counterparts'!#REF!</f>
        <v>#REF!</v>
      </c>
      <c r="R80" s="60" t="e">
        <f>+'Monetary Survey Counterparts'!#REF!</f>
        <v>#REF!</v>
      </c>
      <c r="S80" s="60" t="e">
        <f>+'Monetary Survey Counterparts'!#REF!</f>
        <v>#REF!</v>
      </c>
      <c r="T80" s="60" t="e">
        <f>+'Monetary Survey Counterparts'!#REF!</f>
        <v>#REF!</v>
      </c>
      <c r="U80" s="526">
        <v>6982.08</v>
      </c>
      <c r="V80" s="526">
        <f t="shared" si="29"/>
        <v>13.332943765947913</v>
      </c>
      <c r="W80" s="526" t="e">
        <f t="shared" si="30"/>
        <v>#REF!</v>
      </c>
      <c r="X80" s="130" t="e">
        <f>+(C80/C68-1)*100</f>
        <v>#REF!</v>
      </c>
      <c r="Y80" s="534" t="e">
        <f t="shared" si="32"/>
        <v>#REF!</v>
      </c>
      <c r="Z80" s="130" t="e">
        <f t="shared" si="33"/>
        <v>#REF!</v>
      </c>
      <c r="AA80" s="130" t="e">
        <f t="shared" si="34"/>
        <v>#REF!</v>
      </c>
      <c r="AB80" s="130"/>
      <c r="AC80" s="130"/>
      <c r="AD80" s="130"/>
      <c r="AE80" s="130"/>
      <c r="AF80" s="130"/>
      <c r="AG80" s="130"/>
      <c r="AH80" s="536" t="e">
        <f t="shared" si="24"/>
        <v>#REF!</v>
      </c>
      <c r="AI80" s="130" t="e">
        <f t="shared" si="28"/>
        <v>#REF!</v>
      </c>
    </row>
    <row r="81" spans="1:35" s="60" customFormat="1">
      <c r="A81" s="127">
        <v>2003</v>
      </c>
      <c r="B81" s="124" t="s">
        <v>1239</v>
      </c>
      <c r="C81" s="129" t="e">
        <f t="shared" ref="C81:C100" si="35">D81+I81</f>
        <v>#REF!</v>
      </c>
      <c r="D81" s="129" t="e">
        <f>#REF!</f>
        <v>#REF!</v>
      </c>
      <c r="E81" s="129" t="e">
        <f>#REF!</f>
        <v>#REF!</v>
      </c>
      <c r="F81" s="129">
        <f t="shared" ref="F81:F100" si="36">G81+H81</f>
        <v>4790.93</v>
      </c>
      <c r="G81" s="129">
        <v>3086.14</v>
      </c>
      <c r="H81" s="129">
        <v>1704.79</v>
      </c>
      <c r="I81" s="129">
        <f t="shared" ref="I81:I100" si="37">J81+K81</f>
        <v>6890.2562622399992</v>
      </c>
      <c r="J81" s="129">
        <f>'DMB Liabilities'!E50</f>
        <v>6400.6685472599993</v>
      </c>
      <c r="K81" s="129">
        <f>'DMB Liabilities'!F50</f>
        <v>489.58771497999999</v>
      </c>
      <c r="L81" s="60" t="e">
        <f>+'Monetary Survey Counterparts'!#REF!</f>
        <v>#REF!</v>
      </c>
      <c r="M81" s="1284" t="e">
        <f>+'Monetary Survey Counterparts'!#REF!</f>
        <v>#REF!</v>
      </c>
      <c r="N81" s="1284" t="e">
        <f>+'Monetary Survey Counterparts'!#REF!</f>
        <v>#REF!</v>
      </c>
      <c r="O81" s="60" t="e">
        <f>+'Monetary Survey Counterparts'!#REF!</f>
        <v>#REF!</v>
      </c>
      <c r="P81" s="60" t="e">
        <f>+'Monetary Survey Counterparts'!#REF!</f>
        <v>#REF!</v>
      </c>
      <c r="Q81" s="60" t="e">
        <f>+'Monetary Survey Counterparts'!#REF!</f>
        <v>#REF!</v>
      </c>
      <c r="R81" s="60" t="e">
        <f>+'Monetary Survey Counterparts'!#REF!</f>
        <v>#REF!</v>
      </c>
      <c r="S81" s="60" t="e">
        <f>+'Monetary Survey Counterparts'!#REF!</f>
        <v>#REF!</v>
      </c>
      <c r="T81" s="60" t="e">
        <f>+'Monetary Survey Counterparts'!#REF!</f>
        <v>#REF!</v>
      </c>
      <c r="U81" s="526">
        <v>7177.15</v>
      </c>
      <c r="V81" s="526">
        <f t="shared" si="29"/>
        <v>11.091075132340645</v>
      </c>
      <c r="W81" s="526" t="e">
        <f t="shared" si="30"/>
        <v>#REF!</v>
      </c>
      <c r="X81" s="130" t="e">
        <f t="shared" ref="X81:X87" si="38">+(C81/C69-1)*100</f>
        <v>#REF!</v>
      </c>
      <c r="Y81" s="534" t="e">
        <f t="shared" si="32"/>
        <v>#REF!</v>
      </c>
      <c r="Z81" s="130" t="e">
        <f t="shared" si="33"/>
        <v>#REF!</v>
      </c>
      <c r="AA81" s="130" t="e">
        <f t="shared" si="34"/>
        <v>#REF!</v>
      </c>
      <c r="AB81" s="130"/>
      <c r="AC81" s="130"/>
      <c r="AD81" s="130"/>
      <c r="AE81" s="130"/>
      <c r="AF81" s="130"/>
      <c r="AG81" s="130"/>
      <c r="AH81" s="536" t="e">
        <f t="shared" si="24"/>
        <v>#REF!</v>
      </c>
      <c r="AI81" s="130" t="e">
        <f t="shared" si="28"/>
        <v>#REF!</v>
      </c>
    </row>
    <row r="82" spans="1:35" s="60" customFormat="1">
      <c r="B82" s="124" t="s">
        <v>162</v>
      </c>
      <c r="C82" s="129" t="e">
        <f t="shared" si="35"/>
        <v>#REF!</v>
      </c>
      <c r="D82" s="129" t="e">
        <f>#REF!</f>
        <v>#REF!</v>
      </c>
      <c r="E82" s="129" t="e">
        <f>#REF!</f>
        <v>#REF!</v>
      </c>
      <c r="F82" s="129">
        <f t="shared" si="36"/>
        <v>4219.09</v>
      </c>
      <c r="G82" s="129">
        <v>2529.8200000000002</v>
      </c>
      <c r="H82" s="129">
        <v>1689.27</v>
      </c>
      <c r="I82" s="129">
        <f t="shared" si="37"/>
        <v>6629</v>
      </c>
      <c r="J82" s="129">
        <v>6150.47</v>
      </c>
      <c r="K82" s="129">
        <v>478.53</v>
      </c>
      <c r="L82" s="60" t="e">
        <f>+'Monetary Survey Counterparts'!#REF!</f>
        <v>#REF!</v>
      </c>
      <c r="M82" s="1284" t="e">
        <f>+'Monetary Survey Counterparts'!#REF!</f>
        <v>#REF!</v>
      </c>
      <c r="N82" s="1284" t="e">
        <f>+'Monetary Survey Counterparts'!#REF!</f>
        <v>#REF!</v>
      </c>
      <c r="O82" s="60" t="e">
        <f>+'Monetary Survey Counterparts'!#REF!</f>
        <v>#REF!</v>
      </c>
      <c r="P82" s="60" t="e">
        <f>+'Monetary Survey Counterparts'!#REF!</f>
        <v>#REF!</v>
      </c>
      <c r="Q82" s="60" t="e">
        <f>+'Monetary Survey Counterparts'!#REF!</f>
        <v>#REF!</v>
      </c>
      <c r="R82" s="60" t="e">
        <f>+'Monetary Survey Counterparts'!#REF!</f>
        <v>#REF!</v>
      </c>
      <c r="S82" s="60" t="e">
        <f>+'Monetary Survey Counterparts'!#REF!</f>
        <v>#REF!</v>
      </c>
      <c r="T82" s="60" t="e">
        <f>+'Monetary Survey Counterparts'!#REF!</f>
        <v>#REF!</v>
      </c>
      <c r="U82" s="526">
        <v>7140.37</v>
      </c>
      <c r="V82" s="526">
        <f t="shared" si="29"/>
        <v>18.945702601177739</v>
      </c>
      <c r="W82" s="526" t="e">
        <f t="shared" si="30"/>
        <v>#REF!</v>
      </c>
      <c r="X82" s="130" t="e">
        <f t="shared" si="38"/>
        <v>#REF!</v>
      </c>
      <c r="Y82" s="534" t="e">
        <f t="shared" si="32"/>
        <v>#REF!</v>
      </c>
      <c r="Z82" s="130" t="e">
        <f t="shared" si="33"/>
        <v>#REF!</v>
      </c>
      <c r="AA82" s="130" t="e">
        <f t="shared" si="34"/>
        <v>#REF!</v>
      </c>
      <c r="AB82" s="130"/>
      <c r="AC82" s="130"/>
      <c r="AD82" s="130"/>
      <c r="AE82" s="130"/>
      <c r="AF82" s="130"/>
      <c r="AG82" s="130"/>
      <c r="AH82" s="536" t="e">
        <f t="shared" si="24"/>
        <v>#REF!</v>
      </c>
      <c r="AI82" s="130" t="e">
        <f t="shared" si="28"/>
        <v>#REF!</v>
      </c>
    </row>
    <row r="83" spans="1:35" s="60" customFormat="1">
      <c r="B83" s="124" t="s">
        <v>163</v>
      </c>
      <c r="C83" s="129" t="e">
        <f t="shared" si="35"/>
        <v>#REF!</v>
      </c>
      <c r="D83" s="129" t="e">
        <f>#REF!</f>
        <v>#REF!</v>
      </c>
      <c r="E83" s="129" t="e">
        <f>#REF!</f>
        <v>#REF!</v>
      </c>
      <c r="F83" s="129">
        <f t="shared" si="36"/>
        <v>4197.9799999999996</v>
      </c>
      <c r="G83" s="129">
        <v>2470</v>
      </c>
      <c r="H83" s="129">
        <v>1727.98</v>
      </c>
      <c r="I83" s="129">
        <f t="shared" si="37"/>
        <v>6793.77</v>
      </c>
      <c r="J83" s="129">
        <v>6142.79</v>
      </c>
      <c r="K83" s="129">
        <v>650.98</v>
      </c>
      <c r="L83" s="60" t="e">
        <f>+'Monetary Survey Counterparts'!#REF!</f>
        <v>#REF!</v>
      </c>
      <c r="M83" s="1284" t="e">
        <f>+'Monetary Survey Counterparts'!#REF!</f>
        <v>#REF!</v>
      </c>
      <c r="N83" s="1284" t="e">
        <f>+'Monetary Survey Counterparts'!#REF!</f>
        <v>#REF!</v>
      </c>
      <c r="O83" s="60" t="e">
        <f>+'Monetary Survey Counterparts'!#REF!</f>
        <v>#REF!</v>
      </c>
      <c r="P83" s="60" t="e">
        <f>+'Monetary Survey Counterparts'!#REF!</f>
        <v>#REF!</v>
      </c>
      <c r="Q83" s="60" t="e">
        <f>+'Monetary Survey Counterparts'!#REF!</f>
        <v>#REF!</v>
      </c>
      <c r="R83" s="60" t="e">
        <f>+'Monetary Survey Counterparts'!#REF!</f>
        <v>#REF!</v>
      </c>
      <c r="S83" s="60" t="e">
        <f>+'Monetary Survey Counterparts'!#REF!</f>
        <v>#REF!</v>
      </c>
      <c r="T83" s="60" t="e">
        <f>+'Monetary Survey Counterparts'!#REF!</f>
        <v>#REF!</v>
      </c>
      <c r="U83" s="526">
        <v>7398.52</v>
      </c>
      <c r="V83" s="526">
        <f t="shared" si="29"/>
        <v>15.236180184445924</v>
      </c>
      <c r="W83" s="526" t="e">
        <f t="shared" si="30"/>
        <v>#REF!</v>
      </c>
      <c r="X83" s="130" t="e">
        <f t="shared" si="38"/>
        <v>#REF!</v>
      </c>
      <c r="Y83" s="534" t="e">
        <f t="shared" si="32"/>
        <v>#REF!</v>
      </c>
      <c r="Z83" s="130" t="e">
        <f t="shared" si="33"/>
        <v>#REF!</v>
      </c>
      <c r="AA83" s="130" t="e">
        <f t="shared" si="34"/>
        <v>#REF!</v>
      </c>
      <c r="AB83" s="130"/>
      <c r="AC83" s="130"/>
      <c r="AD83" s="130"/>
      <c r="AE83" s="130"/>
      <c r="AF83" s="130"/>
      <c r="AG83" s="130"/>
      <c r="AH83" s="536" t="e">
        <f t="shared" si="24"/>
        <v>#REF!</v>
      </c>
      <c r="AI83" s="130" t="e">
        <f t="shared" si="28"/>
        <v>#REF!</v>
      </c>
    </row>
    <row r="84" spans="1:35" s="60" customFormat="1">
      <c r="B84" s="124" t="s">
        <v>164</v>
      </c>
      <c r="C84" s="129" t="e">
        <f t="shared" si="35"/>
        <v>#REF!</v>
      </c>
      <c r="D84" s="129" t="e">
        <f>#REF!</f>
        <v>#REF!</v>
      </c>
      <c r="E84" s="129" t="e">
        <f>#REF!</f>
        <v>#REF!</v>
      </c>
      <c r="F84" s="129">
        <f t="shared" si="36"/>
        <v>4581.22</v>
      </c>
      <c r="G84" s="177">
        <v>2840.9</v>
      </c>
      <c r="H84" s="177">
        <v>1740.32</v>
      </c>
      <c r="I84" s="129">
        <f t="shared" si="37"/>
        <v>7568.8700000000008</v>
      </c>
      <c r="J84" s="177">
        <v>6196.85</v>
      </c>
      <c r="K84" s="177">
        <v>1372.02</v>
      </c>
      <c r="L84" s="60" t="e">
        <f>+'Monetary Survey Counterparts'!#REF!</f>
        <v>#REF!</v>
      </c>
      <c r="M84" s="1284" t="e">
        <f>+'Monetary Survey Counterparts'!#REF!</f>
        <v>#REF!</v>
      </c>
      <c r="N84" s="1284" t="e">
        <f>+'Monetary Survey Counterparts'!#REF!</f>
        <v>#REF!</v>
      </c>
      <c r="O84" s="60" t="e">
        <f>+'Monetary Survey Counterparts'!#REF!</f>
        <v>#REF!</v>
      </c>
      <c r="P84" s="60" t="e">
        <f>+'Monetary Survey Counterparts'!#REF!</f>
        <v>#REF!</v>
      </c>
      <c r="Q84" s="60" t="e">
        <f>+'Monetary Survey Counterparts'!#REF!</f>
        <v>#REF!</v>
      </c>
      <c r="R84" s="60" t="e">
        <f>+'Monetary Survey Counterparts'!#REF!</f>
        <v>#REF!</v>
      </c>
      <c r="S84" s="60" t="e">
        <f>+'Monetary Survey Counterparts'!#REF!</f>
        <v>#REF!</v>
      </c>
      <c r="T84" s="60" t="e">
        <f>+'Monetary Survey Counterparts'!#REF!</f>
        <v>#REF!</v>
      </c>
      <c r="U84" s="526">
        <v>8618.26</v>
      </c>
      <c r="V84" s="526">
        <f t="shared" si="29"/>
        <v>29.853696756015612</v>
      </c>
      <c r="W84" s="526" t="e">
        <f t="shared" si="30"/>
        <v>#REF!</v>
      </c>
      <c r="X84" s="130" t="e">
        <f t="shared" si="38"/>
        <v>#REF!</v>
      </c>
      <c r="Y84" s="534" t="e">
        <f t="shared" si="32"/>
        <v>#REF!</v>
      </c>
      <c r="Z84" s="130" t="e">
        <f t="shared" si="33"/>
        <v>#REF!</v>
      </c>
      <c r="AA84" s="130" t="e">
        <f t="shared" si="34"/>
        <v>#REF!</v>
      </c>
      <c r="AB84" s="130"/>
      <c r="AC84" s="130"/>
      <c r="AD84" s="130"/>
      <c r="AE84" s="130"/>
      <c r="AF84" s="130"/>
      <c r="AG84" s="130"/>
      <c r="AH84" s="536" t="e">
        <f t="shared" si="24"/>
        <v>#REF!</v>
      </c>
      <c r="AI84" s="130" t="e">
        <f t="shared" si="28"/>
        <v>#REF!</v>
      </c>
    </row>
    <row r="85" spans="1:35" s="60" customFormat="1">
      <c r="B85" s="124" t="s">
        <v>165</v>
      </c>
      <c r="C85" s="129" t="e">
        <f t="shared" si="35"/>
        <v>#REF!</v>
      </c>
      <c r="D85" s="129" t="e">
        <f>#REF!</f>
        <v>#REF!</v>
      </c>
      <c r="E85" s="129" t="e">
        <f>#REF!</f>
        <v>#REF!</v>
      </c>
      <c r="F85" s="129">
        <f t="shared" si="36"/>
        <v>5498.87</v>
      </c>
      <c r="G85" s="177">
        <v>3659.82</v>
      </c>
      <c r="H85" s="177">
        <v>1839.05</v>
      </c>
      <c r="I85" s="129">
        <f t="shared" si="37"/>
        <v>7342.7199999999993</v>
      </c>
      <c r="J85" s="177">
        <v>6114.73</v>
      </c>
      <c r="K85" s="177">
        <v>1227.99</v>
      </c>
      <c r="L85" s="60" t="e">
        <f>+'Monetary Survey Counterparts'!#REF!</f>
        <v>#REF!</v>
      </c>
      <c r="M85" s="1284" t="e">
        <f>+'Monetary Survey Counterparts'!#REF!</f>
        <v>#REF!</v>
      </c>
      <c r="N85" s="1284" t="e">
        <f>+'Monetary Survey Counterparts'!#REF!</f>
        <v>#REF!</v>
      </c>
      <c r="O85" s="60" t="e">
        <f>+'Monetary Survey Counterparts'!#REF!</f>
        <v>#REF!</v>
      </c>
      <c r="P85" s="60" t="e">
        <f>+'Monetary Survey Counterparts'!#REF!</f>
        <v>#REF!</v>
      </c>
      <c r="Q85" s="60" t="e">
        <f>+'Monetary Survey Counterparts'!#REF!</f>
        <v>#REF!</v>
      </c>
      <c r="R85" s="60" t="e">
        <f>+'Monetary Survey Counterparts'!#REF!</f>
        <v>#REF!</v>
      </c>
      <c r="S85" s="60" t="e">
        <f>+'Monetary Survey Counterparts'!#REF!</f>
        <v>#REF!</v>
      </c>
      <c r="T85" s="60" t="e">
        <f>+'Monetary Survey Counterparts'!#REF!</f>
        <v>#REF!</v>
      </c>
      <c r="U85" s="526">
        <v>8030.84</v>
      </c>
      <c r="V85" s="526">
        <f t="shared" si="29"/>
        <v>36.766383852696059</v>
      </c>
      <c r="W85" s="526" t="e">
        <f t="shared" si="30"/>
        <v>#REF!</v>
      </c>
      <c r="X85" s="130" t="e">
        <f t="shared" si="38"/>
        <v>#REF!</v>
      </c>
      <c r="Y85" s="534" t="e">
        <f t="shared" si="32"/>
        <v>#REF!</v>
      </c>
      <c r="Z85" s="130" t="e">
        <f t="shared" si="33"/>
        <v>#REF!</v>
      </c>
      <c r="AA85" s="130" t="e">
        <f t="shared" si="34"/>
        <v>#REF!</v>
      </c>
      <c r="AB85" s="130"/>
      <c r="AC85" s="130"/>
      <c r="AD85" s="130"/>
      <c r="AE85" s="130"/>
      <c r="AF85" s="130"/>
      <c r="AG85" s="130"/>
      <c r="AH85" s="536" t="e">
        <f t="shared" si="24"/>
        <v>#REF!</v>
      </c>
      <c r="AI85" s="130" t="e">
        <f t="shared" si="28"/>
        <v>#REF!</v>
      </c>
    </row>
    <row r="86" spans="1:35" s="527" customFormat="1">
      <c r="B86" s="528" t="s">
        <v>166</v>
      </c>
      <c r="C86" s="529" t="e">
        <f t="shared" si="35"/>
        <v>#REF!</v>
      </c>
      <c r="D86" s="535" t="e">
        <f>#REF!</f>
        <v>#REF!</v>
      </c>
      <c r="E86" s="529" t="e">
        <f>#REF!</f>
        <v>#REF!</v>
      </c>
      <c r="F86" s="529">
        <f t="shared" si="36"/>
        <v>5094.7300000000005</v>
      </c>
      <c r="G86" s="529">
        <v>3132.53</v>
      </c>
      <c r="H86" s="529">
        <v>1962.2</v>
      </c>
      <c r="I86" s="529">
        <f t="shared" si="37"/>
        <v>7461.32</v>
      </c>
      <c r="J86" s="529">
        <v>6270.79</v>
      </c>
      <c r="K86" s="529">
        <v>1190.53</v>
      </c>
      <c r="L86" s="527" t="e">
        <f>+'Monetary Survey Counterparts'!#REF!</f>
        <v>#REF!</v>
      </c>
      <c r="M86" s="1284" t="e">
        <f>+'Monetary Survey Counterparts'!#REF!</f>
        <v>#REF!</v>
      </c>
      <c r="N86" s="1284" t="e">
        <f>+'Monetary Survey Counterparts'!#REF!</f>
        <v>#REF!</v>
      </c>
      <c r="O86" s="527" t="e">
        <f>+'Monetary Survey Counterparts'!#REF!</f>
        <v>#REF!</v>
      </c>
      <c r="P86" s="527" t="e">
        <f>+'Monetary Survey Counterparts'!#REF!</f>
        <v>#REF!</v>
      </c>
      <c r="Q86" s="527" t="e">
        <f>+'Monetary Survey Counterparts'!#REF!</f>
        <v>#REF!</v>
      </c>
      <c r="R86" s="527" t="e">
        <f>+'Monetary Survey Counterparts'!#REF!</f>
        <v>#REF!</v>
      </c>
      <c r="S86" s="527" t="e">
        <f>+'Monetary Survey Counterparts'!#REF!</f>
        <v>#REF!</v>
      </c>
      <c r="T86" s="527" t="e">
        <f>+'Monetary Survey Counterparts'!#REF!</f>
        <v>#REF!</v>
      </c>
      <c r="U86" s="530">
        <v>8122.96</v>
      </c>
      <c r="V86" s="526">
        <f t="shared" si="29"/>
        <v>34.865905472199032</v>
      </c>
      <c r="W86" s="526" t="e">
        <f t="shared" si="30"/>
        <v>#REF!</v>
      </c>
      <c r="X86" s="531" t="e">
        <f t="shared" si="38"/>
        <v>#REF!</v>
      </c>
      <c r="Y86" s="531" t="e">
        <f t="shared" si="32"/>
        <v>#REF!</v>
      </c>
      <c r="Z86" s="531" t="e">
        <f t="shared" si="33"/>
        <v>#REF!</v>
      </c>
      <c r="AA86" s="531" t="e">
        <f t="shared" si="34"/>
        <v>#REF!</v>
      </c>
      <c r="AB86" s="531"/>
      <c r="AC86" s="531"/>
      <c r="AD86" s="531"/>
      <c r="AE86" s="531"/>
      <c r="AF86" s="531"/>
      <c r="AG86" s="531"/>
      <c r="AH86" s="536" t="e">
        <f t="shared" si="24"/>
        <v>#REF!</v>
      </c>
      <c r="AI86" s="531" t="e">
        <f t="shared" si="28"/>
        <v>#REF!</v>
      </c>
    </row>
    <row r="87" spans="1:35" s="134" customFormat="1">
      <c r="B87" s="532" t="s">
        <v>167</v>
      </c>
      <c r="C87" s="177" t="e">
        <f t="shared" si="35"/>
        <v>#REF!</v>
      </c>
      <c r="D87" s="177" t="e">
        <f>#REF!</f>
        <v>#REF!</v>
      </c>
      <c r="E87" s="177" t="e">
        <f>#REF!</f>
        <v>#REF!</v>
      </c>
      <c r="F87" s="177">
        <f t="shared" si="36"/>
        <v>5940.32</v>
      </c>
      <c r="G87" s="177">
        <v>3944</v>
      </c>
      <c r="H87" s="177">
        <v>1996.32</v>
      </c>
      <c r="I87" s="177">
        <f t="shared" si="37"/>
        <v>7547.96</v>
      </c>
      <c r="J87" s="177">
        <v>6400.71</v>
      </c>
      <c r="K87" s="177">
        <v>1147.25</v>
      </c>
      <c r="L87" s="134" t="e">
        <f>+'Monetary Survey Counterparts'!#REF!</f>
        <v>#REF!</v>
      </c>
      <c r="M87" s="1284" t="e">
        <f>+'Monetary Survey Counterparts'!#REF!</f>
        <v>#REF!</v>
      </c>
      <c r="N87" s="1284" t="e">
        <f>+'Monetary Survey Counterparts'!#REF!</f>
        <v>#REF!</v>
      </c>
      <c r="O87" s="134" t="e">
        <f>+'Monetary Survey Counterparts'!#REF!</f>
        <v>#REF!</v>
      </c>
      <c r="P87" s="134" t="e">
        <f>+'Monetary Survey Counterparts'!#REF!</f>
        <v>#REF!</v>
      </c>
      <c r="Q87" s="134" t="e">
        <f>+'Monetary Survey Counterparts'!#REF!</f>
        <v>#REF!</v>
      </c>
      <c r="R87" s="134" t="e">
        <f>+'Monetary Survey Counterparts'!#REF!</f>
        <v>#REF!</v>
      </c>
      <c r="S87" s="134" t="e">
        <f>+'Monetary Survey Counterparts'!#REF!</f>
        <v>#REF!</v>
      </c>
      <c r="T87" s="134" t="e">
        <f>+'Monetary Survey Counterparts'!#REF!</f>
        <v>#REF!</v>
      </c>
      <c r="U87" s="533">
        <v>8291.7000000000007</v>
      </c>
      <c r="V87" s="526">
        <f t="shared" si="29"/>
        <v>33.366896083613071</v>
      </c>
      <c r="W87" s="526" t="e">
        <f t="shared" si="30"/>
        <v>#REF!</v>
      </c>
      <c r="X87" s="534" t="e">
        <f t="shared" si="38"/>
        <v>#REF!</v>
      </c>
      <c r="Y87" s="534" t="e">
        <f>+(L87/$L$74-1)*100</f>
        <v>#REF!</v>
      </c>
      <c r="Z87" s="534" t="e">
        <f t="shared" si="33"/>
        <v>#REF!</v>
      </c>
      <c r="AA87" s="534" t="e">
        <f t="shared" si="34"/>
        <v>#REF!</v>
      </c>
      <c r="AB87" s="534"/>
      <c r="AC87" s="534"/>
      <c r="AD87" s="534"/>
      <c r="AE87" s="534"/>
      <c r="AF87" s="534"/>
      <c r="AG87" s="534"/>
      <c r="AH87" s="536" t="e">
        <f t="shared" si="24"/>
        <v>#REF!</v>
      </c>
      <c r="AI87" s="534" t="e">
        <f t="shared" si="28"/>
        <v>#REF!</v>
      </c>
    </row>
    <row r="88" spans="1:35" s="60" customFormat="1">
      <c r="B88" s="124" t="s">
        <v>168</v>
      </c>
      <c r="C88" s="129" t="e">
        <f t="shared" si="35"/>
        <v>#REF!</v>
      </c>
      <c r="D88" s="129" t="e">
        <f>#REF!</f>
        <v>#REF!</v>
      </c>
      <c r="E88" s="129" t="e">
        <f>#REF!</f>
        <v>#REF!</v>
      </c>
      <c r="F88" s="129">
        <f t="shared" si="36"/>
        <v>5454.3</v>
      </c>
      <c r="G88" s="177">
        <v>3441.32</v>
      </c>
      <c r="H88" s="177">
        <v>2012.98</v>
      </c>
      <c r="I88" s="129">
        <f t="shared" si="37"/>
        <v>7547.4400000000005</v>
      </c>
      <c r="J88" s="177">
        <v>6382.64</v>
      </c>
      <c r="K88" s="177">
        <v>1164.8</v>
      </c>
      <c r="L88" s="60" t="e">
        <f>+'Monetary Survey Counterparts'!#REF!</f>
        <v>#REF!</v>
      </c>
      <c r="M88" s="1284" t="e">
        <f>+'Monetary Survey Counterparts'!#REF!</f>
        <v>#REF!</v>
      </c>
      <c r="N88" s="1284" t="e">
        <f>+'Monetary Survey Counterparts'!#REF!</f>
        <v>#REF!</v>
      </c>
      <c r="O88" s="60" t="e">
        <f>+'Monetary Survey Counterparts'!#REF!</f>
        <v>#REF!</v>
      </c>
      <c r="P88" s="60" t="e">
        <f>+'Monetary Survey Counterparts'!#REF!</f>
        <v>#REF!</v>
      </c>
      <c r="Q88" s="60" t="e">
        <f>+'Monetary Survey Counterparts'!#REF!</f>
        <v>#REF!</v>
      </c>
      <c r="R88" s="60" t="e">
        <f>+'Monetary Survey Counterparts'!#REF!</f>
        <v>#REF!</v>
      </c>
      <c r="S88" s="60" t="e">
        <f>+'Monetary Survey Counterparts'!#REF!</f>
        <v>#REF!</v>
      </c>
      <c r="T88" s="60" t="e">
        <f>+'Monetary Survey Counterparts'!#REF!</f>
        <v>#REF!</v>
      </c>
      <c r="U88" s="526">
        <v>8440.6200000000008</v>
      </c>
      <c r="V88" s="526">
        <f t="shared" si="29"/>
        <v>30.164281781885993</v>
      </c>
      <c r="W88" s="526" t="e">
        <f t="shared" si="30"/>
        <v>#REF!</v>
      </c>
      <c r="X88" s="130" t="e">
        <f>+(C88/C76-1)*100</f>
        <v>#REF!</v>
      </c>
      <c r="Y88" s="130" t="e">
        <f>+(L88/$L$86-1)*100</f>
        <v>#REF!</v>
      </c>
      <c r="Z88" s="130" t="e">
        <f>+((M88-$M$86)/$L$86)*100</f>
        <v>#REF!</v>
      </c>
      <c r="AA88" s="130" t="e">
        <f>+((N88-$N$86)/$L$86)*100</f>
        <v>#REF!</v>
      </c>
      <c r="AB88" s="130"/>
      <c r="AC88" s="130"/>
      <c r="AD88" s="130"/>
      <c r="AE88" s="130"/>
      <c r="AF88" s="130"/>
      <c r="AG88" s="130"/>
      <c r="AH88" s="536" t="e">
        <f t="shared" si="24"/>
        <v>#REF!</v>
      </c>
      <c r="AI88" s="130" t="e">
        <f t="shared" si="28"/>
        <v>#REF!</v>
      </c>
    </row>
    <row r="89" spans="1:35" s="60" customFormat="1">
      <c r="B89" s="124" t="s">
        <v>169</v>
      </c>
      <c r="C89" s="129" t="e">
        <f t="shared" si="35"/>
        <v>#REF!</v>
      </c>
      <c r="D89" s="129" t="e">
        <f>#REF!</f>
        <v>#REF!</v>
      </c>
      <c r="E89" s="129" t="e">
        <f>#REF!</f>
        <v>#REF!</v>
      </c>
      <c r="F89" s="129">
        <f t="shared" si="36"/>
        <v>6745.66</v>
      </c>
      <c r="G89" s="177">
        <v>4748.95</v>
      </c>
      <c r="H89" s="177">
        <v>1996.71</v>
      </c>
      <c r="I89" s="129">
        <f t="shared" si="37"/>
        <v>7136.3099999999995</v>
      </c>
      <c r="J89" s="177">
        <v>6009.11</v>
      </c>
      <c r="K89" s="177">
        <v>1127.2</v>
      </c>
      <c r="L89" s="60" t="e">
        <f>+'Monetary Survey Counterparts'!#REF!</f>
        <v>#REF!</v>
      </c>
      <c r="M89" s="1284" t="e">
        <f>+'Monetary Survey Counterparts'!#REF!</f>
        <v>#REF!</v>
      </c>
      <c r="N89" s="1284" t="e">
        <f>+'Monetary Survey Counterparts'!#REF!</f>
        <v>#REF!</v>
      </c>
      <c r="O89" s="60" t="e">
        <f>+'Monetary Survey Counterparts'!#REF!</f>
        <v>#REF!</v>
      </c>
      <c r="P89" s="60" t="e">
        <f>+'Monetary Survey Counterparts'!#REF!</f>
        <v>#REF!</v>
      </c>
      <c r="Q89" s="60" t="e">
        <f>+'Monetary Survey Counterparts'!#REF!</f>
        <v>#REF!</v>
      </c>
      <c r="R89" s="60" t="e">
        <f>+'Monetary Survey Counterparts'!#REF!</f>
        <v>#REF!</v>
      </c>
      <c r="S89" s="60" t="e">
        <f>+'Monetary Survey Counterparts'!#REF!</f>
        <v>#REF!</v>
      </c>
      <c r="T89" s="60" t="e">
        <f>+'Monetary Survey Counterparts'!#REF!</f>
        <v>#REF!</v>
      </c>
      <c r="U89" s="526">
        <v>8209.32</v>
      </c>
      <c r="V89" s="526">
        <f t="shared" si="29"/>
        <v>36.573436345850553</v>
      </c>
      <c r="W89" s="526" t="e">
        <f t="shared" si="30"/>
        <v>#REF!</v>
      </c>
      <c r="X89" s="130" t="e">
        <f t="shared" ref="X89:X95" si="39">+(C89/C77-1)*100</f>
        <v>#REF!</v>
      </c>
      <c r="Y89" s="130" t="e">
        <f t="shared" ref="Y89:Y98" si="40">+(L89/$L$86-1)*100</f>
        <v>#REF!</v>
      </c>
      <c r="Z89" s="130" t="e">
        <f t="shared" ref="Z89:Z99" si="41">+((M89-$M$86)/$L$86)*100</f>
        <v>#REF!</v>
      </c>
      <c r="AA89" s="130" t="e">
        <f t="shared" ref="AA89:AA99" si="42">+((N89-$N$86)/$L$86)*100</f>
        <v>#REF!</v>
      </c>
      <c r="AB89" s="130"/>
      <c r="AC89" s="130"/>
      <c r="AD89" s="130"/>
      <c r="AE89" s="130"/>
      <c r="AF89" s="130"/>
      <c r="AG89" s="130"/>
      <c r="AH89" s="536" t="e">
        <f t="shared" si="24"/>
        <v>#REF!</v>
      </c>
      <c r="AI89" s="130" t="e">
        <f t="shared" si="28"/>
        <v>#REF!</v>
      </c>
    </row>
    <row r="90" spans="1:35" s="60" customFormat="1">
      <c r="B90" s="124" t="s">
        <v>170</v>
      </c>
      <c r="C90" s="129" t="e">
        <f t="shared" si="35"/>
        <v>#REF!</v>
      </c>
      <c r="D90" s="129" t="e">
        <f>#REF!</f>
        <v>#REF!</v>
      </c>
      <c r="E90" s="129" t="e">
        <f>#REF!</f>
        <v>#REF!</v>
      </c>
      <c r="F90" s="129">
        <f t="shared" si="36"/>
        <v>6247.13</v>
      </c>
      <c r="G90" s="177">
        <v>4221.17</v>
      </c>
      <c r="H90" s="177">
        <v>2025.96</v>
      </c>
      <c r="I90" s="129">
        <f t="shared" si="37"/>
        <v>6958.34</v>
      </c>
      <c r="J90" s="177">
        <v>5831.78</v>
      </c>
      <c r="K90" s="177">
        <v>1126.56</v>
      </c>
      <c r="L90" s="60" t="e">
        <f>+'Monetary Survey Counterparts'!#REF!</f>
        <v>#REF!</v>
      </c>
      <c r="M90" s="1284" t="e">
        <f>+'Monetary Survey Counterparts'!#REF!</f>
        <v>#REF!</v>
      </c>
      <c r="N90" s="1284" t="e">
        <f>+'Monetary Survey Counterparts'!#REF!</f>
        <v>#REF!</v>
      </c>
      <c r="O90" s="60" t="e">
        <f>+'Monetary Survey Counterparts'!#REF!</f>
        <v>#REF!</v>
      </c>
      <c r="P90" s="60" t="e">
        <f>+'Monetary Survey Counterparts'!#REF!</f>
        <v>#REF!</v>
      </c>
      <c r="Q90" s="60" t="e">
        <f>+'Monetary Survey Counterparts'!#REF!</f>
        <v>#REF!</v>
      </c>
      <c r="R90" s="60" t="e">
        <f>+'Monetary Survey Counterparts'!#REF!</f>
        <v>#REF!</v>
      </c>
      <c r="S90" s="60" t="e">
        <f>+'Monetary Survey Counterparts'!#REF!</f>
        <v>#REF!</v>
      </c>
      <c r="T90" s="60" t="e">
        <f>+'Monetary Survey Counterparts'!#REF!</f>
        <v>#REF!</v>
      </c>
      <c r="U90" s="526">
        <v>7680.89</v>
      </c>
      <c r="V90" s="526">
        <f t="shared" si="29"/>
        <v>23.874333728459575</v>
      </c>
      <c r="W90" s="526" t="e">
        <f t="shared" si="30"/>
        <v>#REF!</v>
      </c>
      <c r="X90" s="130" t="e">
        <f t="shared" si="39"/>
        <v>#REF!</v>
      </c>
      <c r="Y90" s="130" t="e">
        <f t="shared" si="40"/>
        <v>#REF!</v>
      </c>
      <c r="Z90" s="130" t="e">
        <f t="shared" si="41"/>
        <v>#REF!</v>
      </c>
      <c r="AA90" s="130" t="e">
        <f t="shared" si="42"/>
        <v>#REF!</v>
      </c>
      <c r="AB90" s="130"/>
      <c r="AC90" s="130"/>
      <c r="AD90" s="130"/>
      <c r="AE90" s="130"/>
      <c r="AF90" s="130"/>
      <c r="AG90" s="130"/>
      <c r="AH90" s="536" t="e">
        <f t="shared" si="24"/>
        <v>#REF!</v>
      </c>
      <c r="AI90" s="130" t="e">
        <f t="shared" si="28"/>
        <v>#REF!</v>
      </c>
    </row>
    <row r="91" spans="1:35" s="60" customFormat="1">
      <c r="B91" s="124" t="s">
        <v>171</v>
      </c>
      <c r="C91" s="129" t="e">
        <f t="shared" si="35"/>
        <v>#REF!</v>
      </c>
      <c r="D91" s="129" t="e">
        <f>#REF!</f>
        <v>#REF!</v>
      </c>
      <c r="E91" s="129" t="e">
        <f>#REF!</f>
        <v>#REF!</v>
      </c>
      <c r="F91" s="129">
        <f t="shared" si="36"/>
        <v>6361.99</v>
      </c>
      <c r="G91" s="177">
        <v>4305.55</v>
      </c>
      <c r="H91" s="177">
        <v>2056.44</v>
      </c>
      <c r="I91" s="129">
        <f t="shared" si="37"/>
        <v>8113.1939362400008</v>
      </c>
      <c r="J91" s="177">
        <f>'DMB Liabilities'!E60</f>
        <v>7005.0564319400009</v>
      </c>
      <c r="K91" s="177">
        <f>'DMB Liabilities'!F60</f>
        <v>1108.1375043</v>
      </c>
      <c r="L91" s="60" t="e">
        <f>+'Monetary Survey Counterparts'!#REF!</f>
        <v>#REF!</v>
      </c>
      <c r="M91" s="1284" t="e">
        <f>+'Monetary Survey Counterparts'!#REF!</f>
        <v>#REF!</v>
      </c>
      <c r="N91" s="1284" t="e">
        <f>+'Monetary Survey Counterparts'!#REF!</f>
        <v>#REF!</v>
      </c>
      <c r="O91" s="60" t="e">
        <f>+'Monetary Survey Counterparts'!#REF!</f>
        <v>#REF!</v>
      </c>
      <c r="P91" s="60" t="e">
        <f>+'Monetary Survey Counterparts'!#REF!</f>
        <v>#REF!</v>
      </c>
      <c r="Q91" s="60" t="e">
        <f>+'Monetary Survey Counterparts'!#REF!</f>
        <v>#REF!</v>
      </c>
      <c r="R91" s="60" t="e">
        <f>+'Monetary Survey Counterparts'!#REF!</f>
        <v>#REF!</v>
      </c>
      <c r="S91" s="60" t="e">
        <f>+'Monetary Survey Counterparts'!#REF!</f>
        <v>#REF!</v>
      </c>
      <c r="T91" s="60" t="e">
        <f>+'Monetary Survey Counterparts'!#REF!</f>
        <v>#REF!</v>
      </c>
      <c r="U91" s="526">
        <v>8038.37</v>
      </c>
      <c r="V91" s="526">
        <f t="shared" si="29"/>
        <v>20.824872123627113</v>
      </c>
      <c r="W91" s="526" t="e">
        <f t="shared" si="30"/>
        <v>#REF!</v>
      </c>
      <c r="X91" s="130" t="e">
        <f t="shared" si="39"/>
        <v>#REF!</v>
      </c>
      <c r="Y91" s="130" t="e">
        <f t="shared" si="40"/>
        <v>#REF!</v>
      </c>
      <c r="Z91" s="130" t="e">
        <f t="shared" si="41"/>
        <v>#REF!</v>
      </c>
      <c r="AA91" s="130" t="e">
        <f t="shared" si="42"/>
        <v>#REF!</v>
      </c>
      <c r="AB91" s="130"/>
      <c r="AC91" s="130"/>
      <c r="AD91" s="130"/>
      <c r="AE91" s="130"/>
      <c r="AF91" s="130"/>
      <c r="AG91" s="130"/>
      <c r="AH91" s="536" t="e">
        <f t="shared" si="24"/>
        <v>#REF!</v>
      </c>
      <c r="AI91" s="130" t="e">
        <f t="shared" si="28"/>
        <v>#REF!</v>
      </c>
    </row>
    <row r="92" spans="1:35" s="60" customFormat="1">
      <c r="B92" s="124" t="s">
        <v>148</v>
      </c>
      <c r="C92" s="129" t="e">
        <f t="shared" si="35"/>
        <v>#REF!</v>
      </c>
      <c r="D92" s="129" t="e">
        <f>#REF!</f>
        <v>#REF!</v>
      </c>
      <c r="E92" s="129" t="e">
        <f>#REF!</f>
        <v>#REF!</v>
      </c>
      <c r="F92" s="129">
        <f t="shared" si="36"/>
        <v>4967.54</v>
      </c>
      <c r="G92" s="177">
        <v>2893.86</v>
      </c>
      <c r="H92" s="311">
        <v>2073.6799999999998</v>
      </c>
      <c r="I92" s="129">
        <f t="shared" si="37"/>
        <v>8057.0962440099993</v>
      </c>
      <c r="J92" s="177">
        <f>'DMB Liabilities'!E61</f>
        <v>7010.7478494099996</v>
      </c>
      <c r="K92" s="177">
        <f>'DMB Liabilities'!F61</f>
        <v>1046.3483946000001</v>
      </c>
      <c r="L92" s="60" t="e">
        <f>+'Monetary Survey Counterparts'!#REF!</f>
        <v>#REF!</v>
      </c>
      <c r="M92" s="1284" t="e">
        <f>+'Monetary Survey Counterparts'!#REF!</f>
        <v>#REF!</v>
      </c>
      <c r="N92" s="1284" t="e">
        <f>+'Monetary Survey Counterparts'!#REF!</f>
        <v>#REF!</v>
      </c>
      <c r="O92" s="60" t="e">
        <f>+'Monetary Survey Counterparts'!#REF!</f>
        <v>#REF!</v>
      </c>
      <c r="P92" s="60" t="e">
        <f>+'Monetary Survey Counterparts'!#REF!</f>
        <v>#REF!</v>
      </c>
      <c r="Q92" s="60" t="e">
        <f>+'Monetary Survey Counterparts'!#REF!</f>
        <v>#REF!</v>
      </c>
      <c r="R92" s="60" t="e">
        <f>+'Monetary Survey Counterparts'!#REF!</f>
        <v>#REF!</v>
      </c>
      <c r="S92" s="60" t="e">
        <f>+'Monetary Survey Counterparts'!#REF!</f>
        <v>#REF!</v>
      </c>
      <c r="T92" s="60" t="e">
        <f>+'Monetary Survey Counterparts'!#REF!</f>
        <v>#REF!</v>
      </c>
      <c r="U92" s="526">
        <v>8368.41</v>
      </c>
      <c r="V92" s="526">
        <f t="shared" si="29"/>
        <v>19.855544479582022</v>
      </c>
      <c r="W92" s="526" t="e">
        <f t="shared" si="30"/>
        <v>#REF!</v>
      </c>
      <c r="X92" s="130" t="e">
        <f t="shared" si="39"/>
        <v>#REF!</v>
      </c>
      <c r="Y92" s="130" t="e">
        <f t="shared" si="40"/>
        <v>#REF!</v>
      </c>
      <c r="Z92" s="130" t="e">
        <f t="shared" si="41"/>
        <v>#REF!</v>
      </c>
      <c r="AA92" s="130" t="e">
        <f t="shared" si="42"/>
        <v>#REF!</v>
      </c>
      <c r="AB92" s="130"/>
      <c r="AC92" s="130"/>
      <c r="AD92" s="130"/>
      <c r="AE92" s="130"/>
      <c r="AF92" s="130"/>
      <c r="AG92" s="130"/>
      <c r="AH92" s="536" t="e">
        <f t="shared" si="24"/>
        <v>#REF!</v>
      </c>
      <c r="AI92" s="130" t="e">
        <f t="shared" si="28"/>
        <v>#REF!</v>
      </c>
    </row>
    <row r="93" spans="1:35" s="60" customFormat="1">
      <c r="A93" s="310">
        <v>2004</v>
      </c>
      <c r="B93" s="124" t="s">
        <v>1240</v>
      </c>
      <c r="C93" s="129" t="e">
        <f t="shared" si="35"/>
        <v>#REF!</v>
      </c>
      <c r="D93" s="129" t="e">
        <f>#REF!</f>
        <v>#REF!</v>
      </c>
      <c r="E93" s="129" t="e">
        <f>#REF!</f>
        <v>#REF!</v>
      </c>
      <c r="F93" s="129">
        <f t="shared" si="36"/>
        <v>5498.84</v>
      </c>
      <c r="G93" s="177">
        <v>3390.49</v>
      </c>
      <c r="H93" s="177">
        <v>2108.35</v>
      </c>
      <c r="I93" s="129">
        <f t="shared" si="37"/>
        <v>7509.9</v>
      </c>
      <c r="J93" s="177">
        <v>6316.42</v>
      </c>
      <c r="K93" s="177">
        <v>1193.48</v>
      </c>
      <c r="L93" s="60" t="e">
        <f>+'Monetary Survey Counterparts'!#REF!</f>
        <v>#REF!</v>
      </c>
      <c r="M93" s="1284" t="e">
        <f>+'Monetary Survey Counterparts'!#REF!</f>
        <v>#REF!</v>
      </c>
      <c r="N93" s="1284" t="e">
        <f>+'Monetary Survey Counterparts'!#REF!</f>
        <v>#REF!</v>
      </c>
      <c r="O93" s="60" t="e">
        <f>+'Monetary Survey Counterparts'!#REF!</f>
        <v>#REF!</v>
      </c>
      <c r="P93" s="60" t="e">
        <f>+'Monetary Survey Counterparts'!#REF!</f>
        <v>#REF!</v>
      </c>
      <c r="Q93" s="60" t="e">
        <f>+'Monetary Survey Counterparts'!#REF!</f>
        <v>#REF!</v>
      </c>
      <c r="R93" s="60" t="e">
        <f>+'Monetary Survey Counterparts'!#REF!</f>
        <v>#REF!</v>
      </c>
      <c r="S93" s="60" t="e">
        <f>+'Monetary Survey Counterparts'!#REF!</f>
        <v>#REF!</v>
      </c>
      <c r="T93" s="60" t="e">
        <f>+'Monetary Survey Counterparts'!#REF!</f>
        <v>#REF!</v>
      </c>
      <c r="U93" s="526">
        <v>9280.2000000000007</v>
      </c>
      <c r="V93" s="526">
        <f t="shared" si="29"/>
        <v>29.3020209971925</v>
      </c>
      <c r="W93" s="526" t="e">
        <f t="shared" si="30"/>
        <v>#REF!</v>
      </c>
      <c r="X93" s="130" t="e">
        <f t="shared" si="39"/>
        <v>#REF!</v>
      </c>
      <c r="Y93" s="130" t="e">
        <f t="shared" si="40"/>
        <v>#REF!</v>
      </c>
      <c r="Z93" s="130" t="e">
        <f t="shared" si="41"/>
        <v>#REF!</v>
      </c>
      <c r="AA93" s="130" t="e">
        <f t="shared" si="42"/>
        <v>#REF!</v>
      </c>
      <c r="AB93" s="130"/>
      <c r="AC93" s="130"/>
      <c r="AD93" s="130"/>
      <c r="AE93" s="130"/>
      <c r="AF93" s="130"/>
      <c r="AG93" s="130"/>
      <c r="AH93" s="536" t="e">
        <f t="shared" si="24"/>
        <v>#REF!</v>
      </c>
      <c r="AI93" s="130" t="e">
        <f t="shared" si="28"/>
        <v>#REF!</v>
      </c>
    </row>
    <row r="94" spans="1:35" s="60" customFormat="1">
      <c r="B94" s="124" t="s">
        <v>162</v>
      </c>
      <c r="C94" s="129" t="e">
        <f t="shared" si="35"/>
        <v>#REF!</v>
      </c>
      <c r="D94" s="129" t="e">
        <f>#REF!</f>
        <v>#REF!</v>
      </c>
      <c r="E94" s="129" t="e">
        <f>#REF!</f>
        <v>#REF!</v>
      </c>
      <c r="F94" s="129">
        <f t="shared" si="36"/>
        <v>5193.7199999999993</v>
      </c>
      <c r="G94" s="177">
        <v>3110.58</v>
      </c>
      <c r="H94" s="177">
        <v>2083.14</v>
      </c>
      <c r="I94" s="129">
        <f t="shared" si="37"/>
        <v>7637.3499999999995</v>
      </c>
      <c r="J94" s="177">
        <v>6482.69</v>
      </c>
      <c r="K94" s="177">
        <v>1154.6600000000001</v>
      </c>
      <c r="L94" s="60" t="e">
        <f>+'Monetary Survey Counterparts'!#REF!</f>
        <v>#REF!</v>
      </c>
      <c r="M94" s="1284" t="e">
        <f>+'Monetary Survey Counterparts'!#REF!</f>
        <v>#REF!</v>
      </c>
      <c r="N94" s="1284" t="e">
        <f>+'Monetary Survey Counterparts'!#REF!</f>
        <v>#REF!</v>
      </c>
      <c r="O94" s="60" t="e">
        <f>+'Monetary Survey Counterparts'!#REF!</f>
        <v>#REF!</v>
      </c>
      <c r="P94" s="60" t="e">
        <f>+'Monetary Survey Counterparts'!#REF!</f>
        <v>#REF!</v>
      </c>
      <c r="Q94" s="60" t="e">
        <f>+'Monetary Survey Counterparts'!#REF!</f>
        <v>#REF!</v>
      </c>
      <c r="R94" s="60" t="e">
        <f>+'Monetary Survey Counterparts'!#REF!</f>
        <v>#REF!</v>
      </c>
      <c r="S94" s="60" t="e">
        <f>+'Monetary Survey Counterparts'!#REF!</f>
        <v>#REF!</v>
      </c>
      <c r="T94" s="60" t="e">
        <f>+'Monetary Survey Counterparts'!#REF!</f>
        <v>#REF!</v>
      </c>
      <c r="U94" s="526">
        <v>9477.6</v>
      </c>
      <c r="V94" s="526">
        <f t="shared" si="29"/>
        <v>32.732617497412605</v>
      </c>
      <c r="W94" s="526" t="e">
        <f t="shared" si="30"/>
        <v>#REF!</v>
      </c>
      <c r="X94" s="130" t="e">
        <f t="shared" si="39"/>
        <v>#REF!</v>
      </c>
      <c r="Y94" s="130" t="e">
        <f t="shared" si="40"/>
        <v>#REF!</v>
      </c>
      <c r="Z94" s="130" t="e">
        <f t="shared" si="41"/>
        <v>#REF!</v>
      </c>
      <c r="AA94" s="130" t="e">
        <f t="shared" si="42"/>
        <v>#REF!</v>
      </c>
      <c r="AB94" s="130"/>
      <c r="AC94" s="130"/>
      <c r="AD94" s="130"/>
      <c r="AE94" s="130"/>
      <c r="AF94" s="130"/>
      <c r="AG94" s="130"/>
      <c r="AH94" s="536" t="e">
        <f t="shared" si="24"/>
        <v>#REF!</v>
      </c>
      <c r="AI94" s="130" t="e">
        <f t="shared" si="28"/>
        <v>#REF!</v>
      </c>
    </row>
    <row r="95" spans="1:35" s="60" customFormat="1">
      <c r="B95" s="124" t="s">
        <v>163</v>
      </c>
      <c r="C95" s="129" t="e">
        <f t="shared" si="35"/>
        <v>#REF!</v>
      </c>
      <c r="D95" s="129" t="e">
        <f>#REF!</f>
        <v>#REF!</v>
      </c>
      <c r="E95" s="129" t="e">
        <f>#REF!</f>
        <v>#REF!</v>
      </c>
      <c r="F95" s="129">
        <f t="shared" si="36"/>
        <v>4835.1099999999997</v>
      </c>
      <c r="G95" s="177">
        <v>2765.45</v>
      </c>
      <c r="H95" s="177">
        <v>2069.66</v>
      </c>
      <c r="I95" s="129">
        <f t="shared" si="37"/>
        <v>7781.7199999999993</v>
      </c>
      <c r="J95" s="177">
        <v>6517.69</v>
      </c>
      <c r="K95" s="177">
        <v>1264.03</v>
      </c>
      <c r="L95" s="60" t="e">
        <f>+'Monetary Survey Counterparts'!#REF!</f>
        <v>#REF!</v>
      </c>
      <c r="M95" s="1284" t="e">
        <f>+'Monetary Survey Counterparts'!#REF!</f>
        <v>#REF!</v>
      </c>
      <c r="N95" s="1284" t="e">
        <f>+'Monetary Survey Counterparts'!#REF!</f>
        <v>#REF!</v>
      </c>
      <c r="O95" s="60" t="e">
        <f>+'Monetary Survey Counterparts'!#REF!</f>
        <v>#REF!</v>
      </c>
      <c r="P95" s="60" t="e">
        <f>+'Monetary Survey Counterparts'!#REF!</f>
        <v>#REF!</v>
      </c>
      <c r="Q95" s="60" t="e">
        <f>+'Monetary Survey Counterparts'!#REF!</f>
        <v>#REF!</v>
      </c>
      <c r="R95" s="60" t="e">
        <f>+'Monetary Survey Counterparts'!#REF!</f>
        <v>#REF!</v>
      </c>
      <c r="S95" s="60" t="e">
        <f>+'Monetary Survey Counterparts'!#REF!</f>
        <v>#REF!</v>
      </c>
      <c r="T95" s="60" t="e">
        <f>+'Monetary Survey Counterparts'!#REF!</f>
        <v>#REF!</v>
      </c>
      <c r="U95" s="526">
        <v>9381.6200000000008</v>
      </c>
      <c r="V95" s="526">
        <f t="shared" si="29"/>
        <v>26.804009450538757</v>
      </c>
      <c r="W95" s="526" t="e">
        <f t="shared" si="30"/>
        <v>#REF!</v>
      </c>
      <c r="X95" s="130" t="e">
        <f t="shared" si="39"/>
        <v>#REF!</v>
      </c>
      <c r="Y95" s="130" t="e">
        <f t="shared" si="40"/>
        <v>#REF!</v>
      </c>
      <c r="Z95" s="130" t="e">
        <f t="shared" si="41"/>
        <v>#REF!</v>
      </c>
      <c r="AA95" s="130" t="e">
        <f t="shared" si="42"/>
        <v>#REF!</v>
      </c>
      <c r="AB95" s="130"/>
      <c r="AC95" s="130"/>
      <c r="AD95" s="130"/>
      <c r="AE95" s="130"/>
      <c r="AF95" s="130"/>
      <c r="AG95" s="130"/>
      <c r="AH95" s="536" t="e">
        <f t="shared" si="24"/>
        <v>#REF!</v>
      </c>
      <c r="AI95" s="130" t="e">
        <f t="shared" si="28"/>
        <v>#REF!</v>
      </c>
    </row>
    <row r="96" spans="1:35" s="60" customFormat="1">
      <c r="B96" s="124" t="s">
        <v>164</v>
      </c>
      <c r="C96" s="129" t="e">
        <f t="shared" si="35"/>
        <v>#REF!</v>
      </c>
      <c r="D96" s="129" t="e">
        <f>#REF!</f>
        <v>#REF!</v>
      </c>
      <c r="E96" s="129" t="e">
        <f>#REF!</f>
        <v>#REF!</v>
      </c>
      <c r="F96" s="129">
        <f t="shared" si="36"/>
        <v>6908.75</v>
      </c>
      <c r="G96" s="177">
        <v>4752.57</v>
      </c>
      <c r="H96" s="177">
        <v>2156.1799999999998</v>
      </c>
      <c r="I96" s="129">
        <f t="shared" si="37"/>
        <v>7720.31</v>
      </c>
      <c r="J96" s="177">
        <v>6543.92</v>
      </c>
      <c r="K96" s="177">
        <v>1176.3900000000001</v>
      </c>
      <c r="L96" s="60" t="e">
        <f>+'Monetary Survey Counterparts'!#REF!</f>
        <v>#REF!</v>
      </c>
      <c r="M96" s="1284" t="e">
        <f>+'Monetary Survey Counterparts'!#REF!</f>
        <v>#REF!</v>
      </c>
      <c r="N96" s="1284" t="e">
        <f>+'Monetary Survey Counterparts'!#REF!</f>
        <v>#REF!</v>
      </c>
      <c r="O96" s="60" t="e">
        <f>+'Monetary Survey Counterparts'!#REF!</f>
        <v>#REF!</v>
      </c>
      <c r="P96" s="60" t="e">
        <f>+'Monetary Survey Counterparts'!#REF!</f>
        <v>#REF!</v>
      </c>
      <c r="Q96" s="60" t="e">
        <f>+'Monetary Survey Counterparts'!#REF!</f>
        <v>#REF!</v>
      </c>
      <c r="R96" s="60" t="e">
        <f>+'Monetary Survey Counterparts'!#REF!</f>
        <v>#REF!</v>
      </c>
      <c r="S96" s="60" t="e">
        <f>+'Monetary Survey Counterparts'!#REF!</f>
        <v>#REF!</v>
      </c>
      <c r="T96" s="60" t="e">
        <f>+'Monetary Survey Counterparts'!#REF!</f>
        <v>#REF!</v>
      </c>
      <c r="U96" s="526">
        <v>10375.209999999999</v>
      </c>
      <c r="V96" s="526">
        <f t="shared" si="29"/>
        <v>20.386365693306985</v>
      </c>
      <c r="W96" s="526" t="e">
        <f t="shared" si="30"/>
        <v>#REF!</v>
      </c>
      <c r="X96" s="130" t="e">
        <f t="shared" ref="X96:X101" si="43">+(C96/C84-1)*100</f>
        <v>#REF!</v>
      </c>
      <c r="Y96" s="130" t="e">
        <f t="shared" si="40"/>
        <v>#REF!</v>
      </c>
      <c r="Z96" s="130" t="e">
        <f t="shared" si="41"/>
        <v>#REF!</v>
      </c>
      <c r="AA96" s="130" t="e">
        <f t="shared" si="42"/>
        <v>#REF!</v>
      </c>
      <c r="AB96" s="130"/>
      <c r="AC96" s="130"/>
      <c r="AD96" s="130"/>
      <c r="AE96" s="130"/>
      <c r="AF96" s="130"/>
      <c r="AG96" s="130"/>
      <c r="AH96" s="536" t="e">
        <f t="shared" si="24"/>
        <v>#REF!</v>
      </c>
      <c r="AI96" s="130" t="e">
        <f t="shared" si="28"/>
        <v>#REF!</v>
      </c>
    </row>
    <row r="97" spans="2:35" s="60" customFormat="1">
      <c r="B97" s="124" t="s">
        <v>165</v>
      </c>
      <c r="C97" s="129" t="e">
        <f t="shared" si="35"/>
        <v>#REF!</v>
      </c>
      <c r="D97" s="129" t="e">
        <f>#REF!</f>
        <v>#REF!</v>
      </c>
      <c r="E97" s="129" t="e">
        <f>#REF!</f>
        <v>#REF!</v>
      </c>
      <c r="F97" s="129">
        <f t="shared" si="36"/>
        <v>6016.1100000000006</v>
      </c>
      <c r="G97" s="177">
        <v>3869.38</v>
      </c>
      <c r="H97" s="177">
        <v>2146.73</v>
      </c>
      <c r="I97" s="129">
        <f t="shared" si="37"/>
        <v>7388.63</v>
      </c>
      <c r="J97" s="177">
        <v>6662.2</v>
      </c>
      <c r="K97" s="177">
        <v>726.43</v>
      </c>
      <c r="L97" s="60" t="e">
        <f>+'Monetary Survey Counterparts'!#REF!</f>
        <v>#REF!</v>
      </c>
      <c r="M97" s="1284" t="e">
        <f>+'Monetary Survey Counterparts'!#REF!</f>
        <v>#REF!</v>
      </c>
      <c r="N97" s="1284" t="e">
        <f>+'Monetary Survey Counterparts'!#REF!</f>
        <v>#REF!</v>
      </c>
      <c r="O97" s="60" t="e">
        <f>+'Monetary Survey Counterparts'!#REF!</f>
        <v>#REF!</v>
      </c>
      <c r="P97" s="60" t="e">
        <f>+'Monetary Survey Counterparts'!#REF!</f>
        <v>#REF!</v>
      </c>
      <c r="Q97" s="60" t="e">
        <f>+'Monetary Survey Counterparts'!#REF!</f>
        <v>#REF!</v>
      </c>
      <c r="R97" s="60" t="e">
        <f>+'Monetary Survey Counterparts'!#REF!</f>
        <v>#REF!</v>
      </c>
      <c r="S97" s="60" t="e">
        <f>+'Monetary Survey Counterparts'!#REF!</f>
        <v>#REF!</v>
      </c>
      <c r="T97" s="60" t="e">
        <f>+'Monetary Survey Counterparts'!#REF!</f>
        <v>#REF!</v>
      </c>
      <c r="U97" s="526">
        <v>9826.52</v>
      </c>
      <c r="V97" s="526">
        <f t="shared" si="29"/>
        <v>22.359802959590791</v>
      </c>
      <c r="W97" s="526" t="e">
        <f t="shared" si="30"/>
        <v>#REF!</v>
      </c>
      <c r="X97" s="130" t="e">
        <f t="shared" si="43"/>
        <v>#REF!</v>
      </c>
      <c r="Y97" s="130" t="e">
        <f t="shared" si="40"/>
        <v>#REF!</v>
      </c>
      <c r="Z97" s="130" t="e">
        <f t="shared" si="41"/>
        <v>#REF!</v>
      </c>
      <c r="AA97" s="130" t="e">
        <f t="shared" si="42"/>
        <v>#REF!</v>
      </c>
      <c r="AB97" s="130"/>
      <c r="AC97" s="130"/>
      <c r="AD97" s="130"/>
      <c r="AE97" s="130"/>
      <c r="AF97" s="130"/>
      <c r="AG97" s="130"/>
      <c r="AH97" s="536" t="e">
        <f t="shared" si="24"/>
        <v>#REF!</v>
      </c>
      <c r="AI97" s="130" t="e">
        <f t="shared" si="28"/>
        <v>#REF!</v>
      </c>
    </row>
    <row r="98" spans="2:35" s="527" customFormat="1">
      <c r="B98" s="528" t="s">
        <v>166</v>
      </c>
      <c r="C98" s="529" t="e">
        <f t="shared" si="35"/>
        <v>#REF!</v>
      </c>
      <c r="D98" s="529" t="e">
        <f>#REF!</f>
        <v>#REF!</v>
      </c>
      <c r="E98" s="529" t="e">
        <f>#REF!</f>
        <v>#REF!</v>
      </c>
      <c r="F98" s="529">
        <f t="shared" si="36"/>
        <v>5721.73</v>
      </c>
      <c r="G98" s="529">
        <v>3432.43</v>
      </c>
      <c r="H98" s="529">
        <v>2289.3000000000002</v>
      </c>
      <c r="I98" s="529">
        <f t="shared" si="37"/>
        <v>7095.3099999999995</v>
      </c>
      <c r="J98" s="529">
        <v>6490.91</v>
      </c>
      <c r="K98" s="529">
        <v>604.4</v>
      </c>
      <c r="L98" s="527" t="e">
        <f>+'Monetary Survey Counterparts'!#REF!</f>
        <v>#REF!</v>
      </c>
      <c r="M98" s="1284" t="e">
        <f>+'Monetary Survey Counterparts'!#REF!</f>
        <v>#REF!</v>
      </c>
      <c r="N98" s="1284" t="e">
        <f>+'Monetary Survey Counterparts'!#REF!</f>
        <v>#REF!</v>
      </c>
      <c r="O98" s="527" t="e">
        <f>+'Monetary Survey Counterparts'!#REF!</f>
        <v>#REF!</v>
      </c>
      <c r="P98" s="527" t="e">
        <f>+'Monetary Survey Counterparts'!#REF!</f>
        <v>#REF!</v>
      </c>
      <c r="Q98" s="527" t="e">
        <f>+'Monetary Survey Counterparts'!#REF!</f>
        <v>#REF!</v>
      </c>
      <c r="R98" s="527" t="e">
        <f>+'Monetary Survey Counterparts'!#REF!</f>
        <v>#REF!</v>
      </c>
      <c r="S98" s="527" t="e">
        <f>+'Monetary Survey Counterparts'!#REF!</f>
        <v>#REF!</v>
      </c>
      <c r="T98" s="527" t="e">
        <f>+'Monetary Survey Counterparts'!#REF!</f>
        <v>#REF!</v>
      </c>
      <c r="U98" s="530">
        <v>9503.94</v>
      </c>
      <c r="V98" s="526">
        <f t="shared" si="29"/>
        <v>17.00094546815447</v>
      </c>
      <c r="W98" s="526" t="e">
        <f t="shared" si="30"/>
        <v>#REF!</v>
      </c>
      <c r="X98" s="531" t="e">
        <f t="shared" si="43"/>
        <v>#REF!</v>
      </c>
      <c r="Y98" s="531" t="e">
        <f t="shared" si="40"/>
        <v>#REF!</v>
      </c>
      <c r="Z98" s="531" t="e">
        <f t="shared" si="41"/>
        <v>#REF!</v>
      </c>
      <c r="AA98" s="531" t="e">
        <f t="shared" si="42"/>
        <v>#REF!</v>
      </c>
      <c r="AB98" s="531"/>
      <c r="AC98" s="531"/>
      <c r="AD98" s="531"/>
      <c r="AE98" s="531"/>
      <c r="AF98" s="531"/>
      <c r="AG98" s="531"/>
      <c r="AH98" s="536" t="e">
        <f t="shared" si="24"/>
        <v>#REF!</v>
      </c>
      <c r="AI98" s="531" t="e">
        <f t="shared" si="28"/>
        <v>#REF!</v>
      </c>
    </row>
    <row r="99" spans="2:35" s="134" customFormat="1">
      <c r="B99" s="532" t="s">
        <v>167</v>
      </c>
      <c r="C99" s="177" t="e">
        <f t="shared" si="35"/>
        <v>#REF!</v>
      </c>
      <c r="D99" s="177" t="e">
        <f>#REF!</f>
        <v>#REF!</v>
      </c>
      <c r="E99" s="177" t="e">
        <f>#REF!</f>
        <v>#REF!</v>
      </c>
      <c r="F99" s="177">
        <f t="shared" si="36"/>
        <v>4989.05</v>
      </c>
      <c r="G99" s="177">
        <v>2684.82</v>
      </c>
      <c r="H99" s="177">
        <v>2304.23</v>
      </c>
      <c r="I99" s="177">
        <f t="shared" si="37"/>
        <v>7418.04</v>
      </c>
      <c r="J99" s="177">
        <v>6840.37</v>
      </c>
      <c r="K99" s="177">
        <v>577.66999999999996</v>
      </c>
      <c r="L99" s="134" t="e">
        <f>+'Monetary Survey Counterparts'!#REF!</f>
        <v>#REF!</v>
      </c>
      <c r="M99" s="1284" t="e">
        <f>+'Monetary Survey Counterparts'!#REF!</f>
        <v>#REF!</v>
      </c>
      <c r="N99" s="1284" t="e">
        <f>+'Monetary Survey Counterparts'!#REF!</f>
        <v>#REF!</v>
      </c>
      <c r="O99" s="134" t="e">
        <f>+'Monetary Survey Counterparts'!#REF!</f>
        <v>#REF!</v>
      </c>
      <c r="P99" s="134" t="e">
        <f>+'Monetary Survey Counterparts'!#REF!</f>
        <v>#REF!</v>
      </c>
      <c r="Q99" s="134" t="e">
        <f>+'Monetary Survey Counterparts'!#REF!</f>
        <v>#REF!</v>
      </c>
      <c r="R99" s="134" t="e">
        <f>+'Monetary Survey Counterparts'!#REF!</f>
        <v>#REF!</v>
      </c>
      <c r="S99" s="134" t="e">
        <f>+'Monetary Survey Counterparts'!#REF!</f>
        <v>#REF!</v>
      </c>
      <c r="T99" s="134" t="e">
        <f>+'Monetary Survey Counterparts'!#REF!</f>
        <v>#REF!</v>
      </c>
      <c r="U99" s="533">
        <v>8693.1299999999992</v>
      </c>
      <c r="V99" s="526">
        <f t="shared" si="29"/>
        <v>4.8413473714678412</v>
      </c>
      <c r="W99" s="526" t="e">
        <f t="shared" si="30"/>
        <v>#REF!</v>
      </c>
      <c r="X99" s="534" t="e">
        <f t="shared" si="43"/>
        <v>#REF!</v>
      </c>
      <c r="Y99" s="534" t="e">
        <f>+(L99/$L$86-1)*100</f>
        <v>#REF!</v>
      </c>
      <c r="Z99" s="534" t="e">
        <f t="shared" si="41"/>
        <v>#REF!</v>
      </c>
      <c r="AA99" s="534" t="e">
        <f t="shared" si="42"/>
        <v>#REF!</v>
      </c>
      <c r="AB99" s="534"/>
      <c r="AC99" s="534"/>
      <c r="AD99" s="534"/>
      <c r="AE99" s="534"/>
      <c r="AF99" s="534"/>
      <c r="AG99" s="534"/>
      <c r="AH99" s="536" t="e">
        <f t="shared" si="24"/>
        <v>#REF!</v>
      </c>
      <c r="AI99" s="534" t="e">
        <f t="shared" si="28"/>
        <v>#REF!</v>
      </c>
    </row>
    <row r="100" spans="2:35" s="60" customFormat="1">
      <c r="B100" s="124" t="s">
        <v>168</v>
      </c>
      <c r="C100" s="129" t="e">
        <f t="shared" si="35"/>
        <v>#REF!</v>
      </c>
      <c r="D100" s="129" t="e">
        <f>#REF!</f>
        <v>#REF!</v>
      </c>
      <c r="E100" s="129" t="e">
        <f>#REF!</f>
        <v>#REF!</v>
      </c>
      <c r="F100" s="129">
        <f t="shared" si="36"/>
        <v>4783.87</v>
      </c>
      <c r="G100" s="177">
        <v>2447.81</v>
      </c>
      <c r="H100" s="177">
        <v>2336.06</v>
      </c>
      <c r="I100" s="129">
        <f t="shared" si="37"/>
        <v>7722.9699999999993</v>
      </c>
      <c r="J100" s="177">
        <v>7029.07</v>
      </c>
      <c r="K100" s="177">
        <v>693.9</v>
      </c>
      <c r="L100" s="60" t="e">
        <f>+'Monetary Survey Counterparts'!#REF!</f>
        <v>#REF!</v>
      </c>
      <c r="M100" s="1284" t="e">
        <f>+'Monetary Survey Counterparts'!#REF!</f>
        <v>#REF!</v>
      </c>
      <c r="N100" s="1284" t="e">
        <f>+'Monetary Survey Counterparts'!#REF!</f>
        <v>#REF!</v>
      </c>
      <c r="O100" s="60" t="e">
        <f>+'Monetary Survey Counterparts'!#REF!</f>
        <v>#REF!</v>
      </c>
      <c r="P100" s="60" t="e">
        <f>+'Monetary Survey Counterparts'!#REF!</f>
        <v>#REF!</v>
      </c>
      <c r="Q100" s="60" t="e">
        <f>+'Monetary Survey Counterparts'!#REF!</f>
        <v>#REF!</v>
      </c>
      <c r="R100" s="60" t="e">
        <f>+'Monetary Survey Counterparts'!#REF!</f>
        <v>#REF!</v>
      </c>
      <c r="S100" s="60" t="e">
        <f>+'Monetary Survey Counterparts'!#REF!</f>
        <v>#REF!</v>
      </c>
      <c r="T100" s="60" t="e">
        <f>+'Monetary Survey Counterparts'!#REF!</f>
        <v>#REF!</v>
      </c>
      <c r="U100" s="526">
        <v>8795.26</v>
      </c>
      <c r="V100" s="526">
        <f t="shared" si="29"/>
        <v>4.2015870872044836</v>
      </c>
      <c r="W100" s="526" t="e">
        <f t="shared" si="30"/>
        <v>#REF!</v>
      </c>
      <c r="X100" s="130" t="e">
        <f t="shared" si="43"/>
        <v>#REF!</v>
      </c>
      <c r="Y100" s="130" t="e">
        <f>+(L100/$L$98-1)*100</f>
        <v>#REF!</v>
      </c>
      <c r="Z100" s="130" t="e">
        <f>+((M100-$M$98)/$L$98)*100</f>
        <v>#REF!</v>
      </c>
      <c r="AA100" s="130" t="e">
        <f>+((N100-$N$98)/$L$98)*100</f>
        <v>#REF!</v>
      </c>
      <c r="AB100" s="130"/>
      <c r="AC100" s="130"/>
      <c r="AD100" s="130"/>
      <c r="AE100" s="130"/>
      <c r="AF100" s="130"/>
      <c r="AG100" s="130"/>
      <c r="AH100" s="536" t="e">
        <f t="shared" si="24"/>
        <v>#REF!</v>
      </c>
      <c r="AI100" s="130" t="e">
        <f t="shared" si="28"/>
        <v>#REF!</v>
      </c>
    </row>
    <row r="101" spans="2:35" s="60" customFormat="1" ht="12.75" customHeight="1">
      <c r="B101" s="675" t="e">
        <f>'Monetary Survey Components'!#REF!</f>
        <v>#REF!</v>
      </c>
      <c r="C101" s="675" t="e">
        <f>'Monetary Survey Components'!#REF!</f>
        <v>#REF!</v>
      </c>
      <c r="D101" s="675" t="e">
        <f>'Monetary Survey Components'!#REF!</f>
        <v>#REF!</v>
      </c>
      <c r="E101" s="675" t="e">
        <f>'Monetary Survey Components'!#REF!</f>
        <v>#REF!</v>
      </c>
      <c r="F101" s="675" t="e">
        <f>'Monetary Survey Components'!#REF!</f>
        <v>#REF!</v>
      </c>
      <c r="G101" s="675" t="e">
        <f>'Monetary Survey Components'!#REF!</f>
        <v>#REF!</v>
      </c>
      <c r="H101" s="675" t="e">
        <f>'Monetary Survey Components'!#REF!</f>
        <v>#REF!</v>
      </c>
      <c r="I101" s="675" t="e">
        <f>'Monetary Survey Components'!#REF!</f>
        <v>#REF!</v>
      </c>
      <c r="J101" s="675" t="e">
        <f>'Monetary Survey Components'!#REF!</f>
        <v>#REF!</v>
      </c>
      <c r="K101" s="675" t="e">
        <f>'Monetary Survey Components'!#REF!</f>
        <v>#REF!</v>
      </c>
      <c r="L101" s="60" t="e">
        <f>+'Monetary Survey Counterparts'!#REF!</f>
        <v>#REF!</v>
      </c>
      <c r="M101" s="1284" t="e">
        <f>+'Monetary Survey Counterparts'!#REF!</f>
        <v>#REF!</v>
      </c>
      <c r="N101" s="1284" t="e">
        <f>+'Monetary Survey Counterparts'!#REF!</f>
        <v>#REF!</v>
      </c>
      <c r="O101" s="60" t="e">
        <f>+'Monetary Survey Counterparts'!#REF!</f>
        <v>#REF!</v>
      </c>
      <c r="P101" s="60" t="e">
        <f>+'Monetary Survey Counterparts'!#REF!</f>
        <v>#REF!</v>
      </c>
      <c r="Q101" s="60" t="e">
        <f>+'Monetary Survey Counterparts'!#REF!</f>
        <v>#REF!</v>
      </c>
      <c r="R101" s="60" t="e">
        <f>+'Monetary Survey Counterparts'!#REF!</f>
        <v>#REF!</v>
      </c>
      <c r="S101" s="60" t="e">
        <f>+'Monetary Survey Counterparts'!#REF!</f>
        <v>#REF!</v>
      </c>
      <c r="T101" s="60" t="e">
        <f>+'Monetary Survey Counterparts'!#REF!</f>
        <v>#REF!</v>
      </c>
      <c r="U101" s="526">
        <v>8684.41</v>
      </c>
      <c r="V101" s="526">
        <f t="shared" si="29"/>
        <v>5.7872028377502716</v>
      </c>
      <c r="W101" s="526" t="e">
        <f t="shared" si="30"/>
        <v>#REF!</v>
      </c>
      <c r="X101" s="130" t="e">
        <f t="shared" si="43"/>
        <v>#REF!</v>
      </c>
      <c r="Y101" s="130" t="e">
        <f>+(L101/$L$98-1)*100</f>
        <v>#REF!</v>
      </c>
      <c r="Z101" s="130" t="e">
        <f>+((M101-$M$98)/$L$98)*100</f>
        <v>#REF!</v>
      </c>
      <c r="AA101" s="130" t="e">
        <f>+((N101-$N$98)/$L$98)*100</f>
        <v>#REF!</v>
      </c>
      <c r="AB101" s="130"/>
      <c r="AC101" s="130"/>
      <c r="AD101" s="130"/>
      <c r="AE101" s="130"/>
      <c r="AF101" s="130"/>
      <c r="AG101" s="130"/>
      <c r="AH101" s="536" t="e">
        <f t="shared" si="24"/>
        <v>#REF!</v>
      </c>
      <c r="AI101" s="130" t="e">
        <f t="shared" si="28"/>
        <v>#REF!</v>
      </c>
    </row>
    <row r="102" spans="2:35" s="60" customFormat="1" ht="15" customHeight="1">
      <c r="B102" s="675" t="e">
        <f>'Monetary Survey Components'!#REF!</f>
        <v>#REF!</v>
      </c>
      <c r="C102" s="675" t="e">
        <f>'Monetary Survey Components'!#REF!</f>
        <v>#REF!</v>
      </c>
      <c r="D102" s="675" t="e">
        <f>'Monetary Survey Components'!#REF!</f>
        <v>#REF!</v>
      </c>
      <c r="E102" s="675" t="e">
        <f>'Monetary Survey Components'!#REF!</f>
        <v>#REF!</v>
      </c>
      <c r="F102" s="675" t="e">
        <f>'Monetary Survey Components'!#REF!</f>
        <v>#REF!</v>
      </c>
      <c r="G102" s="675" t="e">
        <f>'Monetary Survey Components'!#REF!</f>
        <v>#REF!</v>
      </c>
      <c r="H102" s="675" t="e">
        <f>'Monetary Survey Components'!#REF!</f>
        <v>#REF!</v>
      </c>
      <c r="I102" s="675" t="e">
        <f>'Monetary Survey Components'!#REF!</f>
        <v>#REF!</v>
      </c>
      <c r="J102" s="675" t="e">
        <f>'Monetary Survey Components'!#REF!</f>
        <v>#REF!</v>
      </c>
      <c r="K102" s="675" t="e">
        <f>'Monetary Survey Components'!#REF!</f>
        <v>#REF!</v>
      </c>
      <c r="L102" s="60" t="e">
        <f>+'Monetary Survey Counterparts'!#REF!</f>
        <v>#REF!</v>
      </c>
      <c r="M102" s="1284" t="e">
        <f>+'Monetary Survey Counterparts'!#REF!</f>
        <v>#REF!</v>
      </c>
      <c r="N102" s="1284" t="e">
        <f>+'Monetary Survey Counterparts'!#REF!</f>
        <v>#REF!</v>
      </c>
      <c r="O102" s="60" t="e">
        <f>+'Monetary Survey Counterparts'!#REF!</f>
        <v>#REF!</v>
      </c>
      <c r="P102" s="60" t="e">
        <f>+'Monetary Survey Counterparts'!#REF!</f>
        <v>#REF!</v>
      </c>
      <c r="Q102" s="60" t="e">
        <f>+'Monetary Survey Counterparts'!#REF!</f>
        <v>#REF!</v>
      </c>
      <c r="R102" s="60" t="e">
        <f>+'Monetary Survey Counterparts'!#REF!</f>
        <v>#REF!</v>
      </c>
      <c r="S102" s="60" t="e">
        <f>+'Monetary Survey Counterparts'!#REF!</f>
        <v>#REF!</v>
      </c>
      <c r="T102" s="60" t="e">
        <f>+'Monetary Survey Counterparts'!#REF!</f>
        <v>#REF!</v>
      </c>
      <c r="U102" s="526">
        <v>9093.39</v>
      </c>
      <c r="V102" s="526">
        <f t="shared" si="29"/>
        <v>18.389795974164436</v>
      </c>
      <c r="W102" s="526" t="e">
        <f>((S102/S90)-1)*100</f>
        <v>#REF!</v>
      </c>
      <c r="X102" s="130" t="e">
        <f>+(C102/C90-1)*100</f>
        <v>#REF!</v>
      </c>
      <c r="Y102" s="130" t="e">
        <f>+(L102/$L$98-1)*100</f>
        <v>#REF!</v>
      </c>
      <c r="Z102" s="130" t="e">
        <f>+((M102-$M$98)/$L$98)*100</f>
        <v>#REF!</v>
      </c>
      <c r="AA102" s="130" t="e">
        <f>+((N102-$N$98)/$L$98)*100</f>
        <v>#REF!</v>
      </c>
      <c r="AB102" s="130"/>
      <c r="AC102" s="130"/>
      <c r="AD102" s="130"/>
      <c r="AE102" s="130"/>
      <c r="AF102" s="130"/>
      <c r="AG102" s="130"/>
      <c r="AH102" s="536" t="e">
        <f t="shared" si="24"/>
        <v>#REF!</v>
      </c>
      <c r="AI102" s="130" t="e">
        <f>+Y102-Z102</f>
        <v>#REF!</v>
      </c>
    </row>
    <row r="103" spans="2:35" s="60" customFormat="1" ht="12.75" customHeight="1">
      <c r="B103" s="675" t="e">
        <f>'Monetary Survey Components'!#REF!</f>
        <v>#REF!</v>
      </c>
      <c r="C103" s="675" t="e">
        <f>'Monetary Survey Components'!#REF!</f>
        <v>#REF!</v>
      </c>
      <c r="D103" s="675" t="e">
        <f>'Monetary Survey Components'!#REF!</f>
        <v>#REF!</v>
      </c>
      <c r="E103" s="675" t="e">
        <f>'Monetary Survey Components'!#REF!</f>
        <v>#REF!</v>
      </c>
      <c r="F103" s="675" t="e">
        <f>'Monetary Survey Components'!#REF!</f>
        <v>#REF!</v>
      </c>
      <c r="G103" s="675" t="e">
        <f>'Monetary Survey Components'!#REF!</f>
        <v>#REF!</v>
      </c>
      <c r="H103" s="675" t="e">
        <f>'Monetary Survey Components'!#REF!</f>
        <v>#REF!</v>
      </c>
      <c r="I103" s="675" t="e">
        <f>'Monetary Survey Components'!#REF!</f>
        <v>#REF!</v>
      </c>
      <c r="J103" s="675" t="e">
        <f>'Monetary Survey Components'!#REF!</f>
        <v>#REF!</v>
      </c>
      <c r="K103" s="675" t="e">
        <f>'Monetary Survey Components'!#REF!</f>
        <v>#REF!</v>
      </c>
      <c r="L103" s="60" t="e">
        <f>+'Monetary Survey Counterparts'!#REF!</f>
        <v>#REF!</v>
      </c>
      <c r="M103" s="1284" t="e">
        <f>+'Monetary Survey Counterparts'!#REF!</f>
        <v>#REF!</v>
      </c>
      <c r="N103" s="1284" t="e">
        <f>+'Monetary Survey Counterparts'!#REF!</f>
        <v>#REF!</v>
      </c>
      <c r="O103" s="60" t="e">
        <f>+'Monetary Survey Counterparts'!#REF!</f>
        <v>#REF!</v>
      </c>
      <c r="P103" s="60" t="e">
        <f>+'Monetary Survey Counterparts'!#REF!</f>
        <v>#REF!</v>
      </c>
      <c r="Q103" s="60" t="e">
        <f>+'Monetary Survey Counterparts'!#REF!</f>
        <v>#REF!</v>
      </c>
      <c r="R103" s="60" t="e">
        <f>+'Monetary Survey Counterparts'!#REF!</f>
        <v>#REF!</v>
      </c>
      <c r="S103" s="60" t="e">
        <f>+'Monetary Survey Counterparts'!#REF!</f>
        <v>#REF!</v>
      </c>
      <c r="T103" s="60" t="e">
        <f>+'Monetary Survey Counterparts'!#REF!</f>
        <v>#REF!</v>
      </c>
      <c r="U103" s="526">
        <v>9320.0400000000009</v>
      </c>
      <c r="V103" s="526">
        <f t="shared" si="29"/>
        <v>15.944401663521358</v>
      </c>
      <c r="W103" s="526" t="e">
        <f>((S103/S91)-1)*100</f>
        <v>#REF!</v>
      </c>
      <c r="X103" s="130" t="e">
        <f>+(C103/C91-1)*100</f>
        <v>#REF!</v>
      </c>
      <c r="Y103" s="130" t="e">
        <f>+(L103/$L$98-1)*100</f>
        <v>#REF!</v>
      </c>
      <c r="Z103" s="130" t="e">
        <f>+((M103-$M$98)/$L$98)*100</f>
        <v>#REF!</v>
      </c>
      <c r="AA103" s="130" t="e">
        <f>+((N103-$N$98)/$L$98)*100</f>
        <v>#REF!</v>
      </c>
      <c r="AB103" s="130"/>
      <c r="AC103" s="130"/>
      <c r="AD103" s="130"/>
      <c r="AE103" s="130"/>
      <c r="AF103" s="130"/>
      <c r="AG103" s="130"/>
      <c r="AH103" s="536" t="e">
        <f t="shared" si="24"/>
        <v>#REF!</v>
      </c>
      <c r="AI103" s="130" t="e">
        <f>+Y103-Z103</f>
        <v>#REF!</v>
      </c>
    </row>
    <row r="104" spans="2:35" s="60" customFormat="1" ht="12.75" customHeight="1">
      <c r="B104" s="675" t="e">
        <f>'Monetary Survey Components'!#REF!</f>
        <v>#REF!</v>
      </c>
      <c r="C104" s="675" t="e">
        <f>'Monetary Survey Components'!#REF!</f>
        <v>#REF!</v>
      </c>
      <c r="D104" s="675" t="e">
        <f>'Monetary Survey Components'!#REF!</f>
        <v>#REF!</v>
      </c>
      <c r="E104" s="675" t="e">
        <f>'Monetary Survey Components'!#REF!</f>
        <v>#REF!</v>
      </c>
      <c r="F104" s="675" t="e">
        <f>'Monetary Survey Components'!#REF!</f>
        <v>#REF!</v>
      </c>
      <c r="G104" s="675" t="e">
        <f>'Monetary Survey Components'!#REF!</f>
        <v>#REF!</v>
      </c>
      <c r="H104" s="675" t="e">
        <f>'Monetary Survey Components'!#REF!</f>
        <v>#REF!</v>
      </c>
      <c r="I104" s="675" t="e">
        <f>'Monetary Survey Components'!#REF!</f>
        <v>#REF!</v>
      </c>
      <c r="J104" s="675" t="e">
        <f>'Monetary Survey Components'!#REF!</f>
        <v>#REF!</v>
      </c>
      <c r="K104" s="675" t="e">
        <f>'Monetary Survey Components'!#REF!</f>
        <v>#REF!</v>
      </c>
      <c r="L104" s="60" t="e">
        <f>+'Monetary Survey Counterparts'!#REF!</f>
        <v>#REF!</v>
      </c>
      <c r="M104" s="1284" t="e">
        <f>+'Monetary Survey Counterparts'!#REF!</f>
        <v>#REF!</v>
      </c>
      <c r="N104" s="1284" t="e">
        <f>+'Monetary Survey Counterparts'!#REF!</f>
        <v>#REF!</v>
      </c>
      <c r="O104" s="60" t="e">
        <f>+'Monetary Survey Counterparts'!#REF!</f>
        <v>#REF!</v>
      </c>
      <c r="P104" s="60" t="e">
        <f>+'Monetary Survey Counterparts'!#REF!</f>
        <v>#REF!</v>
      </c>
      <c r="Q104" s="60" t="e">
        <f>+'Monetary Survey Counterparts'!#REF!</f>
        <v>#REF!</v>
      </c>
      <c r="R104" s="60" t="e">
        <f>+'Monetary Survey Counterparts'!#REF!</f>
        <v>#REF!</v>
      </c>
      <c r="S104" s="60" t="e">
        <f>+'Monetary Survey Counterparts'!#REF!</f>
        <v>#REF!</v>
      </c>
      <c r="T104" s="60" t="e">
        <f>+'Monetary Survey Counterparts'!#REF!</f>
        <v>#REF!</v>
      </c>
      <c r="U104" s="526">
        <v>9240.7900000000009</v>
      </c>
      <c r="V104" s="526">
        <f t="shared" si="29"/>
        <v>10.424680435112531</v>
      </c>
      <c r="W104" s="526" t="e">
        <f>((S104/S92)-1)*100</f>
        <v>#REF!</v>
      </c>
      <c r="X104" s="130" t="e">
        <f>+(C104/C92-1)*100</f>
        <v>#REF!</v>
      </c>
      <c r="Y104" s="130" t="e">
        <f>+(L104/$L$98-1)*100</f>
        <v>#REF!</v>
      </c>
      <c r="Z104" s="130" t="e">
        <f>+((M104-$M$98)/$L$98)*100</f>
        <v>#REF!</v>
      </c>
      <c r="AA104" s="130" t="e">
        <f>+((N104-$N$98)/$L$98)*100</f>
        <v>#REF!</v>
      </c>
      <c r="AB104" s="130"/>
      <c r="AC104" s="130"/>
      <c r="AD104" s="130"/>
      <c r="AE104" s="130"/>
      <c r="AF104" s="130"/>
      <c r="AG104" s="130"/>
      <c r="AH104" s="536" t="e">
        <f t="shared" si="24"/>
        <v>#REF!</v>
      </c>
      <c r="AI104" s="130" t="e">
        <f>+Y104-Z104</f>
        <v>#REF!</v>
      </c>
    </row>
    <row r="105" spans="2:35" s="60" customFormat="1" ht="12.75" customHeight="1">
      <c r="B105" s="675"/>
      <c r="C105" s="675"/>
      <c r="D105" s="675"/>
      <c r="E105" s="675"/>
      <c r="F105" s="675"/>
      <c r="G105" s="675"/>
      <c r="H105" s="675"/>
      <c r="I105" s="675"/>
      <c r="J105" s="675"/>
      <c r="K105" s="675"/>
      <c r="M105" s="1284"/>
      <c r="N105" s="1284"/>
      <c r="U105" s="526"/>
      <c r="Y105" s="130"/>
      <c r="AH105" s="172"/>
    </row>
    <row r="106" spans="2:35" s="60" customFormat="1" ht="12.75" customHeight="1">
      <c r="B106" s="675"/>
      <c r="C106" s="675"/>
      <c r="D106" s="675"/>
      <c r="E106" s="675"/>
      <c r="F106" s="675"/>
      <c r="G106" s="675"/>
      <c r="H106" s="675"/>
      <c r="I106" s="675"/>
      <c r="J106" s="675"/>
      <c r="K106" s="675"/>
      <c r="M106" s="1284"/>
      <c r="N106" s="1284"/>
      <c r="Y106" s="130"/>
      <c r="AH106" s="172"/>
    </row>
    <row r="107" spans="2:35" s="60" customFormat="1" ht="12.75" customHeight="1">
      <c r="B107" s="190"/>
      <c r="C107" s="171"/>
      <c r="D107" s="171"/>
      <c r="E107" s="171"/>
      <c r="F107" s="171"/>
      <c r="G107" s="171"/>
      <c r="H107" s="171"/>
      <c r="I107" s="171"/>
      <c r="J107" s="171"/>
      <c r="K107" s="171"/>
      <c r="M107" s="1284"/>
      <c r="N107" s="1284"/>
      <c r="Y107" s="130"/>
      <c r="AH107" s="172"/>
    </row>
    <row r="108" spans="2:35" s="60" customFormat="1" ht="12.75" customHeight="1">
      <c r="B108" s="190"/>
      <c r="C108" s="171"/>
      <c r="D108" s="171"/>
      <c r="E108" s="171"/>
      <c r="F108" s="171"/>
      <c r="G108" s="171"/>
      <c r="H108" s="171"/>
      <c r="I108" s="171"/>
      <c r="J108" s="171"/>
      <c r="K108" s="171"/>
      <c r="M108" s="1284"/>
      <c r="N108" s="1284"/>
      <c r="Y108" s="130"/>
      <c r="AH108" s="172"/>
    </row>
    <row r="109" spans="2:35" s="60" customFormat="1" ht="12.75" customHeight="1">
      <c r="B109" s="190"/>
      <c r="C109" s="171"/>
      <c r="D109" s="171"/>
      <c r="E109" s="171"/>
      <c r="F109" s="171"/>
      <c r="G109" s="171"/>
      <c r="H109" s="171"/>
      <c r="I109" s="171"/>
      <c r="J109" s="171"/>
      <c r="K109" s="171"/>
      <c r="M109" s="1284"/>
      <c r="N109" s="1284"/>
      <c r="Y109" s="130"/>
      <c r="AH109" s="172"/>
    </row>
    <row r="110" spans="2:35" s="60" customFormat="1" ht="12.75" customHeight="1">
      <c r="B110" s="190"/>
      <c r="C110" s="171"/>
      <c r="D110" s="171"/>
      <c r="E110" s="171"/>
      <c r="F110" s="171"/>
      <c r="G110" s="171"/>
      <c r="H110" s="171"/>
      <c r="I110" s="171"/>
      <c r="J110" s="171"/>
      <c r="K110" s="171"/>
      <c r="M110" s="1284"/>
      <c r="N110" s="1284"/>
      <c r="Y110" s="130"/>
      <c r="AH110" s="172"/>
    </row>
    <row r="111" spans="2:35" s="60" customFormat="1" ht="12.75" customHeight="1">
      <c r="B111" s="190"/>
      <c r="C111" s="171"/>
      <c r="D111" s="171"/>
      <c r="E111" s="171"/>
      <c r="F111" s="171"/>
      <c r="G111" s="171"/>
      <c r="H111" s="171"/>
      <c r="I111" s="171"/>
      <c r="J111" s="171"/>
      <c r="K111" s="171"/>
      <c r="M111" s="1284"/>
      <c r="N111" s="1284"/>
      <c r="Y111" s="130"/>
      <c r="AH111" s="172"/>
    </row>
    <row r="112" spans="2:35" s="60" customFormat="1" ht="12.75" customHeight="1">
      <c r="B112" s="190"/>
      <c r="C112" s="171"/>
      <c r="D112" s="171"/>
      <c r="E112" s="171"/>
      <c r="F112" s="171"/>
      <c r="G112" s="171"/>
      <c r="H112" s="171"/>
      <c r="I112" s="171"/>
      <c r="J112" s="171"/>
      <c r="K112" s="171"/>
      <c r="M112" s="1284"/>
      <c r="N112" s="1284"/>
      <c r="Y112" s="130"/>
      <c r="AH112" s="172"/>
    </row>
    <row r="113" spans="2:34" s="60" customFormat="1" ht="12.75" customHeight="1">
      <c r="B113" s="190"/>
      <c r="C113" s="171"/>
      <c r="D113" s="171"/>
      <c r="E113" s="171"/>
      <c r="F113" s="171"/>
      <c r="G113" s="171"/>
      <c r="H113" s="171"/>
      <c r="I113" s="171"/>
      <c r="J113" s="171"/>
      <c r="K113" s="171"/>
      <c r="M113" s="1284"/>
      <c r="N113" s="1284"/>
      <c r="Y113" s="130"/>
      <c r="AH113" s="172"/>
    </row>
    <row r="114" spans="2:34" s="60" customFormat="1" ht="12.75" customHeight="1">
      <c r="B114" s="190"/>
      <c r="C114" s="171"/>
      <c r="D114" s="171"/>
      <c r="E114" s="171"/>
      <c r="F114" s="171"/>
      <c r="G114" s="171"/>
      <c r="H114" s="171"/>
      <c r="I114" s="171"/>
      <c r="J114" s="171"/>
      <c r="K114" s="171"/>
      <c r="M114" s="1284"/>
      <c r="N114" s="1284"/>
      <c r="Y114" s="130"/>
      <c r="AH114" s="172"/>
    </row>
    <row r="115" spans="2:34" s="60" customFormat="1" ht="12.75" customHeight="1">
      <c r="B115" s="190"/>
      <c r="C115" s="171"/>
      <c r="D115" s="171"/>
      <c r="E115" s="171"/>
      <c r="F115" s="171"/>
      <c r="G115" s="171"/>
      <c r="H115" s="171"/>
      <c r="I115" s="171"/>
      <c r="J115" s="171"/>
      <c r="K115" s="171"/>
      <c r="M115" s="1284"/>
      <c r="N115" s="1284"/>
      <c r="Y115" s="130"/>
      <c r="AH115" s="172"/>
    </row>
    <row r="116" spans="2:34" s="60" customFormat="1" ht="12.75" customHeight="1">
      <c r="B116" s="190"/>
      <c r="C116" s="171"/>
      <c r="D116" s="171"/>
      <c r="E116" s="171"/>
      <c r="F116" s="171"/>
      <c r="G116" s="171"/>
      <c r="H116" s="171"/>
      <c r="I116" s="171"/>
      <c r="J116" s="171"/>
      <c r="K116" s="171"/>
      <c r="M116" s="1284"/>
      <c r="N116" s="1284"/>
      <c r="AH116" s="172"/>
    </row>
    <row r="117" spans="2:34" s="60" customFormat="1" ht="12.75" customHeight="1">
      <c r="B117" s="190"/>
      <c r="C117" s="171"/>
      <c r="D117" s="171"/>
      <c r="E117" s="171"/>
      <c r="F117" s="171"/>
      <c r="G117" s="171"/>
      <c r="H117" s="171"/>
      <c r="I117" s="171"/>
      <c r="J117" s="171"/>
      <c r="K117" s="171"/>
      <c r="M117" s="1284"/>
      <c r="N117" s="1284"/>
      <c r="AH117" s="172"/>
    </row>
    <row r="118" spans="2:34" s="60" customFormat="1" ht="12.75" customHeight="1">
      <c r="B118" s="519"/>
      <c r="C118" s="171"/>
      <c r="D118" s="171"/>
      <c r="E118" s="171"/>
      <c r="F118" s="171"/>
      <c r="G118" s="171"/>
      <c r="H118" s="171"/>
      <c r="I118" s="171"/>
      <c r="J118" s="171"/>
      <c r="K118" s="171"/>
      <c r="M118" s="1284"/>
      <c r="N118" s="1284"/>
      <c r="AH118" s="172"/>
    </row>
    <row r="119" spans="2:34" s="60" customFormat="1" ht="12.75" customHeight="1">
      <c r="B119" s="190"/>
      <c r="C119" s="171"/>
      <c r="D119" s="171"/>
      <c r="E119" s="171"/>
      <c r="F119" s="171"/>
      <c r="G119" s="171"/>
      <c r="H119" s="171"/>
      <c r="I119" s="171"/>
      <c r="J119" s="171"/>
      <c r="K119" s="171"/>
      <c r="M119" s="1284"/>
      <c r="N119" s="1284"/>
      <c r="AH119" s="172"/>
    </row>
    <row r="120" spans="2:34" s="60" customFormat="1" ht="12.75" customHeight="1">
      <c r="B120" s="190"/>
      <c r="C120" s="171"/>
      <c r="D120" s="171"/>
      <c r="E120" s="171"/>
      <c r="F120" s="171"/>
      <c r="G120" s="171"/>
      <c r="H120" s="171"/>
      <c r="I120" s="171"/>
      <c r="J120" s="171"/>
      <c r="K120" s="171"/>
      <c r="M120" s="1284"/>
      <c r="N120" s="1284"/>
      <c r="AH120" s="172"/>
    </row>
    <row r="121" spans="2:34" s="60" customFormat="1" ht="12.75" customHeight="1">
      <c r="B121" s="190"/>
      <c r="C121" s="171"/>
      <c r="D121" s="171"/>
      <c r="E121" s="171"/>
      <c r="F121" s="171"/>
      <c r="G121" s="171"/>
      <c r="H121" s="171"/>
      <c r="I121" s="171"/>
      <c r="J121" s="171"/>
      <c r="K121" s="171"/>
      <c r="M121" s="1284"/>
      <c r="N121" s="1284"/>
      <c r="AH121" s="172"/>
    </row>
    <row r="122" spans="2:34" s="60" customFormat="1" ht="12.75" customHeight="1">
      <c r="B122" s="190"/>
      <c r="C122" s="171"/>
      <c r="D122" s="171"/>
      <c r="E122" s="171"/>
      <c r="F122" s="171"/>
      <c r="G122" s="171"/>
      <c r="H122" s="171"/>
      <c r="I122" s="171"/>
      <c r="J122" s="171"/>
      <c r="K122" s="171"/>
      <c r="M122" s="1284"/>
      <c r="N122" s="1284"/>
      <c r="AH122" s="172"/>
    </row>
    <row r="123" spans="2:34" s="60" customFormat="1" ht="12.75" customHeight="1">
      <c r="B123" s="190"/>
      <c r="C123" s="171"/>
      <c r="D123" s="171"/>
      <c r="E123" s="171"/>
      <c r="F123" s="171"/>
      <c r="G123" s="171"/>
      <c r="H123" s="171"/>
      <c r="I123" s="171"/>
      <c r="J123" s="171"/>
      <c r="K123" s="171"/>
      <c r="M123" s="1284"/>
      <c r="N123" s="1284"/>
      <c r="AH123" s="172"/>
    </row>
    <row r="124" spans="2:34" s="60" customFormat="1" ht="12.75" customHeight="1">
      <c r="B124" s="190"/>
      <c r="C124" s="171"/>
      <c r="D124" s="171"/>
      <c r="E124" s="171"/>
      <c r="F124" s="171"/>
      <c r="G124" s="171"/>
      <c r="H124" s="171"/>
      <c r="I124" s="171"/>
      <c r="J124" s="171"/>
      <c r="K124" s="171"/>
      <c r="M124" s="1284"/>
      <c r="N124" s="1284"/>
      <c r="AH124" s="172"/>
    </row>
    <row r="125" spans="2:34" s="60" customFormat="1" ht="12.75" customHeight="1">
      <c r="B125" s="190"/>
      <c r="C125" s="171"/>
      <c r="D125" s="171"/>
      <c r="E125" s="171"/>
      <c r="F125" s="171"/>
      <c r="G125" s="171"/>
      <c r="H125" s="171"/>
      <c r="I125" s="171"/>
      <c r="J125" s="171"/>
      <c r="K125" s="171"/>
      <c r="M125" s="1284"/>
      <c r="N125" s="1284"/>
      <c r="AH125" s="172"/>
    </row>
    <row r="126" spans="2:34" s="60" customFormat="1" ht="12.75" customHeight="1">
      <c r="B126" s="190"/>
      <c r="C126" s="171"/>
      <c r="D126" s="171"/>
      <c r="E126" s="171"/>
      <c r="F126" s="171"/>
      <c r="G126" s="171"/>
      <c r="H126" s="171"/>
      <c r="I126" s="171"/>
      <c r="J126" s="171"/>
      <c r="K126" s="171"/>
      <c r="M126" s="1284"/>
      <c r="N126" s="1284"/>
      <c r="AH126" s="172"/>
    </row>
    <row r="127" spans="2:34" s="60" customFormat="1" ht="12.75" customHeight="1">
      <c r="B127" s="190"/>
      <c r="C127" s="171"/>
      <c r="D127" s="171"/>
      <c r="E127" s="171"/>
      <c r="F127" s="171"/>
      <c r="G127" s="171"/>
      <c r="H127" s="171"/>
      <c r="I127" s="171"/>
      <c r="J127" s="171"/>
      <c r="K127" s="171"/>
      <c r="M127" s="1284"/>
      <c r="N127" s="1284"/>
      <c r="AH127" s="172"/>
    </row>
    <row r="128" spans="2:34" s="60" customFormat="1" ht="12.75" customHeight="1">
      <c r="B128" s="190"/>
      <c r="C128" s="171"/>
      <c r="D128" s="171"/>
      <c r="E128" s="171"/>
      <c r="F128" s="171"/>
      <c r="G128" s="171"/>
      <c r="H128" s="171"/>
      <c r="I128" s="171"/>
      <c r="J128" s="171"/>
      <c r="K128" s="171"/>
      <c r="M128" s="1284"/>
      <c r="N128" s="1284"/>
      <c r="AH128" s="172"/>
    </row>
    <row r="129" spans="2:34" s="60" customFormat="1" ht="12.75" customHeight="1">
      <c r="B129" s="190"/>
      <c r="C129" s="171"/>
      <c r="D129" s="171"/>
      <c r="E129" s="171"/>
      <c r="F129" s="171"/>
      <c r="G129" s="171"/>
      <c r="H129" s="171"/>
      <c r="I129" s="171"/>
      <c r="J129" s="171"/>
      <c r="K129" s="171"/>
      <c r="M129" s="1284"/>
      <c r="N129" s="1284"/>
      <c r="AH129" s="172"/>
    </row>
    <row r="130" spans="2:34" s="60" customFormat="1" ht="12.75" customHeight="1">
      <c r="B130" s="190"/>
      <c r="C130" s="171"/>
      <c r="D130" s="171"/>
      <c r="E130" s="171"/>
      <c r="F130" s="171"/>
      <c r="G130" s="171"/>
      <c r="H130" s="171"/>
      <c r="I130" s="171"/>
      <c r="J130" s="171"/>
      <c r="K130" s="171"/>
      <c r="M130" s="1284"/>
      <c r="N130" s="1284"/>
      <c r="AH130" s="172"/>
    </row>
    <row r="131" spans="2:34" s="60" customFormat="1">
      <c r="B131" s="520"/>
      <c r="C131" s="171"/>
      <c r="D131" s="171"/>
      <c r="E131" s="171"/>
      <c r="F131" s="171"/>
      <c r="G131" s="171"/>
      <c r="H131" s="171"/>
      <c r="I131" s="171"/>
      <c r="J131" s="171"/>
      <c r="K131" s="171"/>
      <c r="M131" s="1284"/>
      <c r="N131" s="1284"/>
      <c r="AH131" s="172"/>
    </row>
    <row r="132" spans="2:34" s="60" customFormat="1" ht="12.75" customHeight="1">
      <c r="B132" s="190"/>
      <c r="C132" s="171"/>
      <c r="D132" s="171"/>
      <c r="E132" s="171"/>
      <c r="F132" s="171"/>
      <c r="G132" s="171"/>
      <c r="H132" s="171"/>
      <c r="I132" s="171"/>
      <c r="J132" s="171"/>
      <c r="K132" s="171"/>
      <c r="M132" s="1284"/>
      <c r="N132" s="1284"/>
      <c r="AH132" s="172"/>
    </row>
    <row r="133" spans="2:34" s="60" customFormat="1" ht="12.75" customHeight="1">
      <c r="B133" s="190"/>
      <c r="C133" s="171"/>
      <c r="D133" s="171"/>
      <c r="E133" s="171"/>
      <c r="F133" s="171"/>
      <c r="G133" s="171"/>
      <c r="H133" s="171"/>
      <c r="I133" s="171"/>
      <c r="J133" s="171"/>
      <c r="K133" s="171"/>
      <c r="M133" s="1284"/>
      <c r="N133" s="1284"/>
      <c r="AH133" s="172"/>
    </row>
    <row r="134" spans="2:34" s="60" customFormat="1" ht="12.75" customHeight="1">
      <c r="B134" s="190"/>
      <c r="C134" s="171"/>
      <c r="D134" s="171"/>
      <c r="E134" s="171"/>
      <c r="F134" s="171"/>
      <c r="G134" s="171"/>
      <c r="H134" s="171"/>
      <c r="I134" s="171"/>
      <c r="J134" s="171"/>
      <c r="K134" s="171"/>
      <c r="M134" s="1284"/>
      <c r="N134" s="1284"/>
      <c r="AH134" s="172"/>
    </row>
    <row r="135" spans="2:34" s="60" customFormat="1">
      <c r="B135" s="190"/>
      <c r="C135" s="171"/>
      <c r="D135" s="171"/>
      <c r="E135" s="171"/>
      <c r="F135" s="171"/>
      <c r="G135" s="171"/>
      <c r="H135" s="171"/>
      <c r="I135" s="171"/>
      <c r="J135" s="171"/>
      <c r="K135" s="171"/>
      <c r="M135" s="1284"/>
      <c r="N135" s="1284"/>
      <c r="AH135" s="172"/>
    </row>
    <row r="136" spans="2:34" s="60" customFormat="1">
      <c r="B136" s="190"/>
      <c r="C136" s="171"/>
      <c r="D136" s="171"/>
      <c r="E136" s="171"/>
      <c r="F136" s="171"/>
      <c r="G136" s="171"/>
      <c r="H136" s="171"/>
      <c r="I136" s="171"/>
      <c r="J136" s="171"/>
      <c r="K136" s="171"/>
      <c r="M136" s="1284"/>
      <c r="N136" s="1284"/>
      <c r="AH136" s="172"/>
    </row>
    <row r="137" spans="2:34" s="60" customFormat="1">
      <c r="B137" s="190"/>
      <c r="C137" s="171"/>
      <c r="D137" s="171"/>
      <c r="E137" s="171"/>
      <c r="F137" s="171"/>
      <c r="G137" s="171"/>
      <c r="H137" s="171"/>
      <c r="I137" s="171"/>
      <c r="J137" s="171"/>
      <c r="K137" s="171"/>
      <c r="M137" s="1284"/>
      <c r="N137" s="1284"/>
      <c r="AH137" s="172"/>
    </row>
    <row r="138" spans="2:34" s="60" customFormat="1">
      <c r="B138" s="190"/>
      <c r="C138" s="171"/>
      <c r="D138" s="171"/>
      <c r="E138" s="171"/>
      <c r="F138" s="171"/>
      <c r="G138" s="171"/>
      <c r="H138" s="171"/>
      <c r="I138" s="171"/>
      <c r="J138" s="171"/>
      <c r="K138" s="171"/>
      <c r="M138" s="1284"/>
      <c r="N138" s="1284"/>
      <c r="AH138" s="172"/>
    </row>
    <row r="139" spans="2:34" s="60" customFormat="1">
      <c r="B139" s="190"/>
      <c r="C139" s="171"/>
      <c r="D139" s="171"/>
      <c r="E139" s="171"/>
      <c r="F139" s="171"/>
      <c r="G139" s="171"/>
      <c r="H139" s="171"/>
      <c r="I139" s="171"/>
      <c r="J139" s="171"/>
      <c r="K139" s="171"/>
      <c r="M139" s="1284"/>
      <c r="N139" s="1284"/>
      <c r="AH139" s="172"/>
    </row>
    <row r="140" spans="2:34" s="60" customFormat="1" ht="12.75" customHeight="1">
      <c r="B140" s="190"/>
      <c r="C140" s="171"/>
      <c r="D140" s="171"/>
      <c r="E140" s="171"/>
      <c r="F140" s="171"/>
      <c r="G140" s="171"/>
      <c r="H140" s="171"/>
      <c r="I140" s="171"/>
      <c r="J140" s="171"/>
      <c r="K140" s="171"/>
      <c r="M140" s="1284"/>
      <c r="N140" s="1284"/>
      <c r="AH140" s="172"/>
    </row>
    <row r="141" spans="2:34" s="60" customFormat="1" ht="31.5" customHeight="1">
      <c r="B141" s="487"/>
      <c r="C141" s="4501"/>
      <c r="D141" s="4501"/>
      <c r="E141" s="4501"/>
      <c r="F141" s="4501"/>
      <c r="G141" s="4501"/>
      <c r="H141" s="4501"/>
      <c r="I141" s="4501"/>
      <c r="J141" s="4501"/>
      <c r="K141" s="4501"/>
      <c r="M141" s="1284"/>
      <c r="N141" s="1284"/>
      <c r="AH141" s="172"/>
    </row>
    <row r="142" spans="2:34" s="60" customFormat="1" ht="12.75" customHeight="1">
      <c r="B142" s="519"/>
      <c r="C142" s="125"/>
      <c r="D142" s="125"/>
      <c r="E142" s="125"/>
      <c r="F142" s="125"/>
      <c r="G142" s="125"/>
      <c r="H142" s="125"/>
      <c r="I142" s="125"/>
      <c r="J142" s="125"/>
      <c r="K142" s="125"/>
      <c r="M142" s="1284"/>
      <c r="N142" s="1284"/>
      <c r="AH142" s="172"/>
    </row>
    <row r="143" spans="2:34" s="60" customFormat="1" ht="12.75" customHeight="1">
      <c r="B143" s="190"/>
      <c r="C143" s="125"/>
      <c r="D143" s="125"/>
      <c r="E143" s="125"/>
      <c r="F143" s="125"/>
      <c r="G143" s="125"/>
      <c r="H143" s="125"/>
      <c r="I143" s="125"/>
      <c r="J143" s="125"/>
      <c r="K143" s="125"/>
      <c r="M143" s="1284"/>
      <c r="N143" s="1284"/>
      <c r="AH143" s="172"/>
    </row>
    <row r="144" spans="2:34" s="60" customFormat="1" ht="12.75" customHeight="1">
      <c r="B144" s="519"/>
      <c r="C144" s="171"/>
      <c r="D144" s="171"/>
      <c r="E144" s="171"/>
      <c r="F144" s="171"/>
      <c r="G144" s="171"/>
      <c r="H144" s="171"/>
      <c r="I144" s="171"/>
      <c r="J144" s="171"/>
      <c r="K144" s="171"/>
      <c r="M144" s="1284"/>
      <c r="N144" s="1284"/>
      <c r="AH144" s="172"/>
    </row>
    <row r="145" spans="2:34" s="60" customFormat="1" ht="12.75" customHeight="1">
      <c r="B145" s="190"/>
      <c r="C145" s="171"/>
      <c r="D145" s="171"/>
      <c r="E145" s="171"/>
      <c r="F145" s="171"/>
      <c r="G145" s="171"/>
      <c r="H145" s="171"/>
      <c r="I145" s="171"/>
      <c r="J145" s="171"/>
      <c r="K145" s="171"/>
      <c r="M145" s="1284"/>
      <c r="N145" s="1284"/>
      <c r="AH145" s="172"/>
    </row>
    <row r="146" spans="2:34" s="60" customFormat="1" ht="12.75" customHeight="1">
      <c r="B146" s="190"/>
      <c r="C146" s="171"/>
      <c r="D146" s="171"/>
      <c r="E146" s="171"/>
      <c r="F146" s="171"/>
      <c r="G146" s="171"/>
      <c r="H146" s="171"/>
      <c r="I146" s="171"/>
      <c r="J146" s="171"/>
      <c r="K146" s="171"/>
      <c r="M146" s="1284"/>
      <c r="N146" s="1284"/>
      <c r="AH146" s="172"/>
    </row>
    <row r="147" spans="2:34" s="60" customFormat="1" ht="12.75" customHeight="1">
      <c r="B147" s="190"/>
      <c r="C147" s="171"/>
      <c r="D147" s="171"/>
      <c r="E147" s="171"/>
      <c r="F147" s="171"/>
      <c r="G147" s="171"/>
      <c r="H147" s="171"/>
      <c r="I147" s="171"/>
      <c r="J147" s="171"/>
      <c r="K147" s="171"/>
      <c r="M147" s="1284"/>
      <c r="N147" s="1284"/>
      <c r="AH147" s="172"/>
    </row>
    <row r="148" spans="2:34" s="60" customFormat="1" ht="14.25" customHeight="1">
      <c r="B148" s="190"/>
      <c r="C148" s="171"/>
      <c r="D148" s="171"/>
      <c r="E148" s="171"/>
      <c r="F148" s="171"/>
      <c r="G148" s="171"/>
      <c r="H148" s="171"/>
      <c r="I148" s="171"/>
      <c r="J148" s="171"/>
      <c r="K148" s="171"/>
      <c r="M148" s="1284"/>
      <c r="N148" s="1284"/>
      <c r="AH148" s="172"/>
    </row>
    <row r="149" spans="2:34" s="60" customFormat="1" ht="14.25" customHeight="1">
      <c r="B149" s="190"/>
      <c r="C149" s="171"/>
      <c r="D149" s="171"/>
      <c r="E149" s="171"/>
      <c r="F149" s="171"/>
      <c r="G149" s="171"/>
      <c r="H149" s="171"/>
      <c r="I149" s="171"/>
      <c r="J149" s="171"/>
      <c r="K149" s="171"/>
      <c r="M149" s="1284"/>
      <c r="N149" s="1284"/>
      <c r="AH149" s="172"/>
    </row>
    <row r="150" spans="2:34" s="60" customFormat="1" ht="14.25" customHeight="1">
      <c r="B150" s="190"/>
      <c r="C150" s="171"/>
      <c r="D150" s="171"/>
      <c r="E150" s="171"/>
      <c r="F150" s="171"/>
      <c r="G150" s="171"/>
      <c r="H150" s="171"/>
      <c r="I150" s="171"/>
      <c r="J150" s="171"/>
      <c r="K150" s="171"/>
      <c r="M150" s="1284"/>
      <c r="N150" s="1284"/>
      <c r="AH150" s="172"/>
    </row>
    <row r="151" spans="2:34" s="60" customFormat="1" ht="14.25" customHeight="1">
      <c r="B151" s="190"/>
      <c r="C151" s="171"/>
      <c r="D151" s="171"/>
      <c r="E151" s="171"/>
      <c r="F151" s="171"/>
      <c r="G151" s="171"/>
      <c r="H151" s="171"/>
      <c r="I151" s="171"/>
      <c r="J151" s="171"/>
      <c r="K151" s="171"/>
      <c r="M151" s="1284"/>
      <c r="N151" s="1284"/>
      <c r="AH151" s="172"/>
    </row>
    <row r="152" spans="2:34" s="60" customFormat="1" ht="14.25" customHeight="1">
      <c r="B152" s="190"/>
      <c r="C152" s="171"/>
      <c r="D152" s="171"/>
      <c r="E152" s="171"/>
      <c r="F152" s="171"/>
      <c r="G152" s="171"/>
      <c r="H152" s="171"/>
      <c r="I152" s="171"/>
      <c r="J152" s="171"/>
      <c r="K152" s="171"/>
      <c r="M152" s="1284"/>
      <c r="N152" s="1284"/>
      <c r="AH152" s="172"/>
    </row>
    <row r="153" spans="2:34" s="60" customFormat="1" ht="14.25" customHeight="1">
      <c r="B153" s="190"/>
      <c r="C153" s="171"/>
      <c r="D153" s="171"/>
      <c r="E153" s="171"/>
      <c r="F153" s="171"/>
      <c r="G153" s="171"/>
      <c r="H153" s="171"/>
      <c r="I153" s="171"/>
      <c r="J153" s="171"/>
      <c r="K153" s="171"/>
      <c r="M153" s="1284"/>
      <c r="N153" s="1284"/>
      <c r="AH153" s="172"/>
    </row>
    <row r="154" spans="2:34" s="60" customFormat="1" ht="14.25" customHeight="1">
      <c r="B154" s="190"/>
      <c r="C154" s="171"/>
      <c r="D154" s="171"/>
      <c r="E154" s="171"/>
      <c r="F154" s="171"/>
      <c r="G154" s="171"/>
      <c r="H154" s="171"/>
      <c r="I154" s="171"/>
      <c r="J154" s="171"/>
      <c r="K154" s="171"/>
      <c r="M154" s="1284"/>
      <c r="N154" s="1284"/>
      <c r="AH154" s="172"/>
    </row>
    <row r="155" spans="2:34" s="60" customFormat="1" ht="14.25" customHeight="1">
      <c r="B155" s="190"/>
      <c r="C155" s="171"/>
      <c r="D155" s="171"/>
      <c r="E155" s="171"/>
      <c r="F155" s="171"/>
      <c r="G155" s="171"/>
      <c r="H155" s="171"/>
      <c r="I155" s="171"/>
      <c r="J155" s="171"/>
      <c r="K155" s="171"/>
      <c r="M155" s="1284"/>
      <c r="N155" s="1284"/>
      <c r="AH155" s="172"/>
    </row>
    <row r="156" spans="2:34" s="60" customFormat="1" ht="14.25" customHeight="1">
      <c r="B156" s="190"/>
      <c r="C156" s="171"/>
      <c r="D156" s="171"/>
      <c r="E156" s="171"/>
      <c r="F156" s="171"/>
      <c r="G156" s="171"/>
      <c r="H156" s="171"/>
      <c r="I156" s="171"/>
      <c r="J156" s="171"/>
      <c r="K156" s="171"/>
      <c r="M156" s="1284"/>
      <c r="N156" s="1284"/>
      <c r="AH156" s="172"/>
    </row>
    <row r="157" spans="2:34" s="60" customFormat="1" ht="14.25" customHeight="1">
      <c r="B157" s="519"/>
      <c r="C157" s="171"/>
      <c r="D157" s="171"/>
      <c r="E157" s="171"/>
      <c r="F157" s="171"/>
      <c r="G157" s="171"/>
      <c r="H157" s="171"/>
      <c r="I157" s="171"/>
      <c r="J157" s="171"/>
      <c r="K157" s="171"/>
      <c r="M157" s="1284"/>
      <c r="N157" s="1284"/>
      <c r="AH157" s="172"/>
    </row>
    <row r="158" spans="2:34" ht="14.25" customHeight="1">
      <c r="B158" s="190"/>
      <c r="C158" s="171"/>
      <c r="D158" s="171"/>
      <c r="E158" s="171"/>
      <c r="F158" s="171"/>
      <c r="G158" s="171"/>
      <c r="H158" s="171"/>
      <c r="I158" s="171"/>
      <c r="J158" s="171"/>
      <c r="K158" s="171"/>
      <c r="AH158" s="522"/>
    </row>
    <row r="159" spans="2:34" ht="14.25" customHeight="1">
      <c r="B159" s="190"/>
      <c r="C159" s="171"/>
      <c r="D159" s="171"/>
      <c r="E159" s="171"/>
      <c r="F159" s="171"/>
      <c r="G159" s="171"/>
      <c r="H159" s="171"/>
      <c r="I159" s="171"/>
      <c r="J159" s="171"/>
      <c r="K159" s="171"/>
      <c r="AH159" s="522"/>
    </row>
    <row r="160" spans="2:34" ht="14.25" customHeight="1">
      <c r="B160" s="190"/>
      <c r="C160" s="171"/>
      <c r="D160" s="171"/>
      <c r="E160" s="171"/>
      <c r="F160" s="171"/>
      <c r="G160" s="171"/>
      <c r="H160" s="171"/>
      <c r="I160" s="171"/>
      <c r="J160" s="171"/>
      <c r="K160" s="171"/>
      <c r="AH160" s="522"/>
    </row>
    <row r="161" spans="2:34" ht="14.25" customHeight="1">
      <c r="B161" s="190"/>
      <c r="C161" s="171"/>
      <c r="D161" s="171"/>
      <c r="E161" s="171"/>
      <c r="F161" s="171"/>
      <c r="G161" s="171"/>
      <c r="H161" s="171"/>
      <c r="I161" s="171"/>
      <c r="J161" s="171"/>
      <c r="K161" s="171"/>
      <c r="AH161" s="522"/>
    </row>
    <row r="162" spans="2:34" ht="14.25" customHeight="1">
      <c r="B162" s="190"/>
      <c r="C162" s="171"/>
      <c r="D162" s="171"/>
      <c r="E162" s="171"/>
      <c r="F162" s="171"/>
      <c r="G162" s="171"/>
      <c r="H162" s="171"/>
      <c r="I162" s="171"/>
      <c r="J162" s="171"/>
      <c r="K162" s="171"/>
      <c r="AH162" s="522"/>
    </row>
    <row r="163" spans="2:34" ht="14.25" customHeight="1">
      <c r="B163" s="190"/>
      <c r="C163" s="171"/>
      <c r="D163" s="171"/>
      <c r="E163" s="171"/>
      <c r="F163" s="171"/>
      <c r="G163" s="171"/>
      <c r="H163" s="171"/>
      <c r="I163" s="171"/>
      <c r="J163" s="171"/>
      <c r="K163" s="171"/>
      <c r="AH163" s="522"/>
    </row>
    <row r="164" spans="2:34" ht="14.25" customHeight="1">
      <c r="B164" s="190"/>
      <c r="C164" s="171"/>
      <c r="D164" s="171"/>
      <c r="E164" s="171"/>
      <c r="F164" s="171"/>
      <c r="G164" s="171"/>
      <c r="H164" s="171"/>
      <c r="I164" s="171"/>
      <c r="J164" s="171"/>
      <c r="K164" s="171"/>
      <c r="AH164" s="522"/>
    </row>
    <row r="165" spans="2:34" ht="14.25" customHeight="1">
      <c r="B165" s="190"/>
      <c r="C165" s="171"/>
      <c r="D165" s="171"/>
      <c r="E165" s="171"/>
      <c r="F165" s="171"/>
      <c r="G165" s="171"/>
      <c r="H165" s="171"/>
      <c r="I165" s="171"/>
      <c r="J165" s="171"/>
      <c r="K165" s="171"/>
      <c r="AH165" s="522"/>
    </row>
    <row r="166" spans="2:34" ht="14.25" customHeight="1">
      <c r="B166" s="190"/>
      <c r="C166" s="171"/>
      <c r="D166" s="171"/>
      <c r="E166" s="171"/>
      <c r="F166" s="171"/>
      <c r="G166" s="171"/>
      <c r="H166" s="171"/>
      <c r="I166" s="171"/>
      <c r="J166" s="171"/>
      <c r="K166" s="171"/>
      <c r="AH166" s="522"/>
    </row>
    <row r="167" spans="2:34" ht="14.25" customHeight="1">
      <c r="B167" s="190"/>
      <c r="C167" s="171"/>
      <c r="D167" s="171"/>
      <c r="E167" s="171"/>
      <c r="F167" s="171"/>
      <c r="G167" s="171"/>
      <c r="H167" s="171"/>
      <c r="I167" s="171"/>
      <c r="J167" s="171"/>
      <c r="K167" s="171"/>
      <c r="AH167" s="522"/>
    </row>
    <row r="168" spans="2:34" ht="14.25" customHeight="1">
      <c r="B168" s="190"/>
      <c r="C168" s="171"/>
      <c r="D168" s="171"/>
      <c r="E168" s="171"/>
      <c r="F168" s="171"/>
      <c r="G168" s="171"/>
      <c r="H168" s="171"/>
      <c r="I168" s="171"/>
      <c r="J168" s="171"/>
      <c r="K168" s="171"/>
      <c r="AH168" s="522"/>
    </row>
    <row r="169" spans="2:34" ht="14.25" customHeight="1">
      <c r="B169" s="190"/>
      <c r="C169" s="171"/>
      <c r="D169" s="171"/>
      <c r="E169" s="171"/>
      <c r="F169" s="171"/>
      <c r="G169" s="171"/>
      <c r="H169" s="171"/>
      <c r="I169" s="171"/>
      <c r="J169" s="171"/>
      <c r="K169" s="171"/>
      <c r="AH169" s="522"/>
    </row>
    <row r="170" spans="2:34" ht="14.25" customHeight="1">
      <c r="B170" s="520"/>
      <c r="C170" s="171"/>
      <c r="D170" s="171"/>
      <c r="E170" s="171"/>
      <c r="F170" s="171"/>
      <c r="G170" s="171"/>
      <c r="H170" s="171"/>
      <c r="I170" s="171"/>
      <c r="J170" s="171"/>
      <c r="K170" s="171"/>
      <c r="AH170" s="522"/>
    </row>
    <row r="171" spans="2:34" ht="14.25" customHeight="1">
      <c r="B171" s="190"/>
      <c r="C171" s="171"/>
      <c r="D171" s="171"/>
      <c r="E171" s="171"/>
      <c r="F171" s="171"/>
      <c r="G171" s="171"/>
      <c r="H171" s="171"/>
      <c r="I171" s="171"/>
      <c r="J171" s="171"/>
      <c r="K171" s="171"/>
      <c r="AH171" s="522"/>
    </row>
    <row r="172" spans="2:34" ht="14.25" customHeight="1">
      <c r="B172" s="190"/>
      <c r="C172" s="171"/>
      <c r="D172" s="171"/>
      <c r="E172" s="171"/>
      <c r="F172" s="171"/>
      <c r="G172" s="171"/>
      <c r="H172" s="171"/>
      <c r="I172" s="171"/>
      <c r="J172" s="171"/>
      <c r="K172" s="171"/>
      <c r="AH172" s="522"/>
    </row>
    <row r="173" spans="2:34" ht="14.25" customHeight="1">
      <c r="B173" s="190"/>
      <c r="C173" s="171"/>
      <c r="D173" s="171"/>
      <c r="E173" s="171"/>
      <c r="F173" s="171"/>
      <c r="G173" s="171"/>
      <c r="H173" s="171"/>
      <c r="I173" s="171"/>
      <c r="J173" s="171"/>
      <c r="K173" s="171"/>
      <c r="AH173" s="522"/>
    </row>
    <row r="174" spans="2:34" ht="14.25" customHeight="1">
      <c r="B174" s="190"/>
      <c r="C174" s="171"/>
      <c r="D174" s="171"/>
      <c r="E174" s="171"/>
      <c r="F174" s="171"/>
      <c r="G174" s="171"/>
      <c r="H174" s="171"/>
      <c r="I174" s="171"/>
      <c r="J174" s="171"/>
      <c r="K174" s="171"/>
      <c r="AH174" s="522"/>
    </row>
    <row r="175" spans="2:34" ht="14.25" customHeight="1">
      <c r="B175" s="190"/>
      <c r="C175" s="171"/>
      <c r="D175" s="171"/>
      <c r="E175" s="171"/>
      <c r="F175" s="171"/>
      <c r="G175" s="171"/>
      <c r="H175" s="171"/>
      <c r="I175" s="171"/>
      <c r="J175" s="171"/>
      <c r="K175" s="171"/>
      <c r="AH175" s="522"/>
    </row>
    <row r="176" spans="2:34" ht="14.25" customHeight="1">
      <c r="B176" s="190"/>
      <c r="C176" s="171"/>
      <c r="D176" s="171"/>
      <c r="E176" s="171"/>
      <c r="F176" s="171"/>
      <c r="G176" s="171"/>
      <c r="H176" s="171"/>
      <c r="I176" s="171"/>
      <c r="J176" s="171"/>
      <c r="K176" s="171"/>
      <c r="AH176" s="522"/>
    </row>
    <row r="177" spans="2:34" ht="14.25" customHeight="1">
      <c r="B177" s="190"/>
      <c r="C177" s="171"/>
      <c r="D177" s="171"/>
      <c r="E177" s="171"/>
      <c r="F177" s="171"/>
      <c r="G177" s="171"/>
      <c r="H177" s="171"/>
      <c r="I177" s="171"/>
      <c r="J177" s="171"/>
      <c r="K177" s="171"/>
      <c r="AH177" s="522"/>
    </row>
    <row r="178" spans="2:34" ht="14.25" customHeight="1">
      <c r="B178" s="190"/>
      <c r="C178" s="171"/>
      <c r="D178" s="171"/>
      <c r="E178" s="171"/>
      <c r="F178" s="171"/>
      <c r="G178" s="171"/>
      <c r="H178" s="171"/>
      <c r="I178" s="171"/>
      <c r="J178" s="171"/>
      <c r="K178" s="171"/>
      <c r="AH178" s="522"/>
    </row>
    <row r="179" spans="2:34" ht="14.25" customHeight="1">
      <c r="B179" s="190"/>
      <c r="C179" s="171"/>
      <c r="D179" s="171"/>
      <c r="E179" s="171"/>
      <c r="F179" s="171"/>
      <c r="G179" s="171"/>
      <c r="H179" s="171"/>
      <c r="I179" s="171"/>
      <c r="J179" s="171"/>
      <c r="K179" s="171"/>
      <c r="AH179" s="522"/>
    </row>
    <row r="180" spans="2:34" ht="27.75" customHeight="1">
      <c r="B180" s="4502"/>
      <c r="C180" s="4502"/>
      <c r="D180" s="4502"/>
      <c r="E180" s="4502"/>
      <c r="F180" s="4502"/>
      <c r="G180" s="4502"/>
      <c r="H180" s="4502"/>
      <c r="I180" s="4502"/>
      <c r="J180" s="4502"/>
      <c r="K180" s="4502"/>
      <c r="AH180" s="522"/>
    </row>
    <row r="181" spans="2:34">
      <c r="B181" s="115"/>
      <c r="C181" s="115"/>
      <c r="D181" s="115"/>
      <c r="E181" s="521"/>
      <c r="F181" s="521"/>
      <c r="G181" s="115"/>
      <c r="H181" s="115"/>
      <c r="I181" s="115"/>
      <c r="J181" s="521"/>
      <c r="K181" s="521"/>
      <c r="AH181" s="522"/>
    </row>
    <row r="182" spans="2:34" ht="19.5" customHeight="1">
      <c r="B182" s="115"/>
      <c r="C182" s="115"/>
      <c r="D182" s="115"/>
      <c r="E182" s="115"/>
      <c r="F182" s="115"/>
      <c r="G182" s="115"/>
      <c r="H182" s="115"/>
      <c r="I182" s="115"/>
      <c r="J182" s="115"/>
      <c r="K182" s="115"/>
      <c r="AH182" s="522"/>
    </row>
    <row r="183" spans="2:34" ht="21.75" customHeight="1">
      <c r="B183" s="4500"/>
      <c r="C183" s="4500"/>
      <c r="D183" s="4500"/>
      <c r="E183" s="4500"/>
      <c r="F183" s="115"/>
      <c r="G183" s="115"/>
      <c r="H183" s="115"/>
      <c r="I183" s="115"/>
      <c r="J183" s="115"/>
      <c r="K183" s="115"/>
      <c r="AH183" s="522"/>
    </row>
    <row r="184" spans="2:34">
      <c r="B184" s="123"/>
      <c r="C184" s="518"/>
      <c r="D184" s="518"/>
      <c r="E184" s="518"/>
      <c r="F184" s="115"/>
      <c r="G184" s="115"/>
      <c r="H184" s="115"/>
      <c r="I184" s="115"/>
      <c r="J184" s="115"/>
      <c r="K184" s="115"/>
      <c r="AH184" s="522"/>
    </row>
    <row r="185" spans="2:34" ht="12.75" hidden="1" customHeight="1">
      <c r="B185" s="189"/>
      <c r="C185" s="73"/>
      <c r="D185" s="73"/>
      <c r="E185" s="73"/>
      <c r="F185" s="115"/>
      <c r="G185" s="115"/>
      <c r="H185" s="115"/>
      <c r="I185" s="115"/>
      <c r="J185" s="115"/>
      <c r="K185" s="115"/>
      <c r="AH185" s="522"/>
    </row>
    <row r="186" spans="2:34" ht="12.75" hidden="1" customHeight="1">
      <c r="B186" s="189"/>
      <c r="C186" s="73"/>
      <c r="D186" s="73"/>
      <c r="E186" s="73"/>
      <c r="F186" s="115"/>
      <c r="G186" s="115"/>
      <c r="H186" s="115"/>
      <c r="I186" s="115"/>
      <c r="J186" s="115"/>
      <c r="K186" s="115"/>
      <c r="AH186" s="522"/>
    </row>
    <row r="187" spans="2:34" ht="12.75" hidden="1" customHeight="1">
      <c r="B187" s="189"/>
      <c r="C187" s="73"/>
      <c r="D187" s="73"/>
      <c r="E187" s="73"/>
      <c r="F187" s="115"/>
      <c r="G187" s="115"/>
      <c r="H187" s="115"/>
      <c r="I187" s="115"/>
      <c r="J187" s="115"/>
      <c r="K187" s="115"/>
      <c r="AH187" s="522"/>
    </row>
    <row r="188" spans="2:34" ht="12.75" hidden="1" customHeight="1">
      <c r="B188" s="190"/>
      <c r="C188" s="73"/>
      <c r="D188" s="73"/>
      <c r="E188" s="73"/>
      <c r="F188" s="115"/>
      <c r="G188" s="115"/>
      <c r="H188" s="115"/>
      <c r="I188" s="115"/>
      <c r="J188" s="115"/>
      <c r="K188" s="115"/>
      <c r="AH188" s="522"/>
    </row>
    <row r="189" spans="2:34" ht="12.75" hidden="1" customHeight="1">
      <c r="B189" s="191"/>
      <c r="C189" s="73"/>
      <c r="D189" s="73"/>
      <c r="E189" s="73"/>
      <c r="F189" s="115"/>
      <c r="G189" s="115"/>
      <c r="H189" s="115"/>
      <c r="I189" s="115"/>
      <c r="J189" s="115"/>
      <c r="K189" s="115"/>
      <c r="AH189" s="522"/>
    </row>
    <row r="190" spans="2:34" s="60" customFormat="1" ht="13.5" hidden="1" customHeight="1">
      <c r="B190" s="191"/>
      <c r="C190" s="73"/>
      <c r="D190" s="73"/>
      <c r="E190" s="73"/>
      <c r="F190" s="123"/>
      <c r="G190" s="123"/>
      <c r="H190" s="123"/>
      <c r="I190" s="123"/>
      <c r="J190" s="123"/>
      <c r="K190" s="123"/>
      <c r="M190" s="1284"/>
      <c r="N190" s="1284"/>
      <c r="AH190" s="172"/>
    </row>
    <row r="191" spans="2:34" s="60" customFormat="1" ht="13.5" hidden="1" customHeight="1">
      <c r="B191" s="191"/>
      <c r="C191" s="73"/>
      <c r="D191" s="73"/>
      <c r="E191" s="73"/>
      <c r="F191" s="123"/>
      <c r="G191" s="123"/>
      <c r="H191" s="123"/>
      <c r="I191" s="123"/>
      <c r="J191" s="123"/>
      <c r="K191" s="123"/>
      <c r="M191" s="1284"/>
      <c r="N191" s="1284"/>
      <c r="AH191" s="172"/>
    </row>
    <row r="192" spans="2:34" ht="12.75" hidden="1" customHeight="1">
      <c r="B192" s="192"/>
      <c r="C192" s="73"/>
      <c r="D192" s="73"/>
      <c r="E192" s="73"/>
      <c r="F192" s="115"/>
      <c r="G192" s="115"/>
      <c r="H192" s="115"/>
      <c r="I192" s="115"/>
      <c r="J192" s="115"/>
      <c r="K192" s="115"/>
      <c r="AH192" s="522"/>
    </row>
    <row r="193" spans="2:34" ht="12.75" hidden="1" customHeight="1">
      <c r="B193" s="192"/>
      <c r="C193" s="73"/>
      <c r="D193" s="73"/>
      <c r="E193" s="73"/>
      <c r="F193" s="115"/>
      <c r="G193" s="115"/>
      <c r="H193" s="115"/>
      <c r="I193" s="115"/>
      <c r="J193" s="115"/>
      <c r="K193" s="115"/>
      <c r="AH193" s="522"/>
    </row>
    <row r="194" spans="2:34" ht="12.75" hidden="1" customHeight="1">
      <c r="B194" s="193"/>
      <c r="C194" s="73"/>
      <c r="D194" s="73"/>
      <c r="E194" s="73"/>
      <c r="F194" s="115"/>
      <c r="G194" s="115"/>
      <c r="H194" s="115"/>
      <c r="I194" s="115"/>
      <c r="J194" s="115"/>
      <c r="K194" s="115"/>
      <c r="AH194" s="522"/>
    </row>
    <row r="195" spans="2:34" ht="12.75" hidden="1" customHeight="1">
      <c r="B195" s="193"/>
      <c r="C195" s="73"/>
      <c r="D195" s="73"/>
      <c r="E195" s="73"/>
      <c r="F195" s="115"/>
      <c r="G195" s="115"/>
      <c r="H195" s="115"/>
      <c r="I195" s="115"/>
      <c r="J195" s="115"/>
      <c r="K195" s="115"/>
      <c r="AH195" s="522"/>
    </row>
    <row r="196" spans="2:34" ht="12.75" hidden="1" customHeight="1">
      <c r="B196" s="193"/>
      <c r="C196" s="73"/>
      <c r="D196" s="73"/>
      <c r="E196" s="73"/>
      <c r="F196" s="115"/>
      <c r="G196" s="115"/>
      <c r="H196" s="115"/>
      <c r="I196" s="115"/>
      <c r="J196" s="115"/>
      <c r="K196" s="115"/>
      <c r="AH196" s="522"/>
    </row>
    <row r="197" spans="2:34" ht="12.75" hidden="1" customHeight="1">
      <c r="B197" s="193"/>
      <c r="C197" s="73"/>
      <c r="D197" s="73"/>
      <c r="E197" s="73"/>
      <c r="F197" s="115"/>
      <c r="G197" s="115"/>
      <c r="H197" s="115"/>
      <c r="I197" s="115"/>
      <c r="J197" s="115"/>
      <c r="K197" s="115"/>
      <c r="AH197" s="522"/>
    </row>
    <row r="198" spans="2:34" ht="12.75" hidden="1" customHeight="1">
      <c r="B198" s="193"/>
      <c r="C198" s="73"/>
      <c r="D198" s="73"/>
      <c r="E198" s="73"/>
      <c r="F198" s="115"/>
      <c r="G198" s="115"/>
      <c r="H198" s="115"/>
      <c r="I198" s="115"/>
      <c r="J198" s="115"/>
      <c r="K198" s="115"/>
      <c r="AH198" s="522"/>
    </row>
    <row r="199" spans="2:34" ht="12.75" hidden="1" customHeight="1">
      <c r="B199" s="193"/>
      <c r="C199" s="73"/>
      <c r="D199" s="73"/>
      <c r="E199" s="73"/>
      <c r="F199" s="115"/>
      <c r="G199" s="115"/>
      <c r="H199" s="115"/>
      <c r="I199" s="115"/>
      <c r="J199" s="115"/>
      <c r="K199" s="115"/>
      <c r="AH199" s="522"/>
    </row>
    <row r="200" spans="2:34" ht="12.75" hidden="1" customHeight="1">
      <c r="B200" s="193"/>
      <c r="C200" s="73"/>
      <c r="D200" s="73"/>
      <c r="E200" s="73"/>
      <c r="F200" s="115"/>
      <c r="G200" s="115"/>
      <c r="H200" s="115"/>
      <c r="I200" s="115"/>
      <c r="J200" s="115"/>
      <c r="K200" s="115"/>
      <c r="AH200" s="522"/>
    </row>
    <row r="201" spans="2:34" ht="12.75" hidden="1" customHeight="1">
      <c r="B201" s="215"/>
      <c r="C201" s="73"/>
      <c r="D201" s="73"/>
      <c r="E201" s="73"/>
      <c r="F201" s="115"/>
      <c r="G201" s="115"/>
      <c r="H201" s="115"/>
      <c r="I201" s="115"/>
      <c r="J201" s="115"/>
      <c r="K201" s="115"/>
      <c r="AH201" s="522"/>
    </row>
    <row r="202" spans="2:34" ht="12.75" hidden="1" customHeight="1">
      <c r="B202" s="216"/>
      <c r="C202" s="73"/>
      <c r="D202" s="73"/>
      <c r="E202" s="73"/>
      <c r="F202" s="115"/>
      <c r="G202" s="115"/>
      <c r="H202" s="115"/>
      <c r="I202" s="115"/>
      <c r="J202" s="115"/>
      <c r="K202" s="115"/>
      <c r="AH202" s="522"/>
    </row>
    <row r="203" spans="2:34" ht="12.75" hidden="1" customHeight="1">
      <c r="B203" s="193"/>
      <c r="C203" s="73"/>
      <c r="D203" s="73"/>
      <c r="E203" s="73"/>
      <c r="F203" s="115"/>
      <c r="G203" s="115"/>
      <c r="H203" s="115"/>
      <c r="I203" s="115"/>
      <c r="J203" s="115"/>
      <c r="K203" s="115"/>
      <c r="AH203" s="522"/>
    </row>
    <row r="204" spans="2:34" ht="12.75" hidden="1" customHeight="1">
      <c r="B204" s="271"/>
      <c r="C204" s="73"/>
      <c r="D204" s="73"/>
      <c r="E204" s="73"/>
      <c r="F204" s="115"/>
      <c r="G204" s="115"/>
      <c r="H204" s="115"/>
      <c r="I204" s="115"/>
      <c r="J204" s="115"/>
      <c r="K204" s="115"/>
      <c r="AH204" s="522"/>
    </row>
    <row r="205" spans="2:34" ht="12.75" hidden="1" customHeight="1">
      <c r="B205" s="193"/>
      <c r="C205" s="73"/>
      <c r="D205" s="73"/>
      <c r="E205" s="73"/>
      <c r="F205" s="115"/>
      <c r="G205" s="115"/>
      <c r="H205" s="115"/>
      <c r="I205" s="115"/>
      <c r="J205" s="115"/>
      <c r="K205" s="115"/>
      <c r="AH205" s="522"/>
    </row>
    <row r="206" spans="2:34" ht="12.75" hidden="1" customHeight="1">
      <c r="B206" s="216"/>
      <c r="C206" s="73"/>
      <c r="D206" s="73"/>
      <c r="E206" s="73"/>
      <c r="F206" s="115"/>
      <c r="G206" s="115"/>
      <c r="H206" s="115"/>
      <c r="I206" s="115"/>
      <c r="J206" s="115"/>
      <c r="K206" s="115"/>
      <c r="AH206" s="522"/>
    </row>
    <row r="207" spans="2:34" ht="12.75" hidden="1" customHeight="1">
      <c r="B207" s="309"/>
      <c r="C207" s="73"/>
      <c r="D207" s="73"/>
      <c r="E207" s="73"/>
      <c r="F207" s="115"/>
      <c r="G207" s="115"/>
      <c r="H207" s="115"/>
      <c r="I207" s="115"/>
      <c r="J207" s="115"/>
      <c r="K207" s="115"/>
      <c r="AH207" s="522"/>
    </row>
    <row r="208" spans="2:34" ht="12.75" hidden="1" customHeight="1">
      <c r="B208" s="313"/>
      <c r="C208" s="73"/>
      <c r="D208" s="73"/>
      <c r="E208" s="73"/>
      <c r="F208" s="115"/>
      <c r="G208" s="115"/>
      <c r="H208" s="115"/>
      <c r="I208" s="115"/>
      <c r="J208" s="115"/>
      <c r="K208" s="115"/>
      <c r="AH208" s="522"/>
    </row>
    <row r="209" spans="2:34" ht="12.75" hidden="1" customHeight="1">
      <c r="B209" s="313"/>
      <c r="C209" s="73"/>
      <c r="D209" s="73"/>
      <c r="E209" s="73"/>
      <c r="F209" s="115"/>
      <c r="G209" s="115"/>
      <c r="H209" s="115"/>
      <c r="I209" s="115"/>
      <c r="J209" s="115"/>
      <c r="K209" s="115"/>
      <c r="AH209" s="522"/>
    </row>
    <row r="210" spans="2:34" ht="12.75" hidden="1" customHeight="1">
      <c r="B210" s="313"/>
      <c r="C210" s="73"/>
      <c r="D210" s="73"/>
      <c r="E210" s="73"/>
      <c r="F210" s="115"/>
      <c r="G210" s="115"/>
      <c r="H210" s="115"/>
      <c r="I210" s="115"/>
      <c r="J210" s="115"/>
      <c r="K210" s="115"/>
      <c r="AH210" s="522"/>
    </row>
    <row r="211" spans="2:34" ht="12.75" hidden="1" customHeight="1">
      <c r="B211" s="313"/>
      <c r="C211" s="73"/>
      <c r="D211" s="73"/>
      <c r="E211" s="73"/>
      <c r="F211" s="115"/>
      <c r="G211" s="115"/>
      <c r="H211" s="115"/>
      <c r="I211" s="115"/>
      <c r="J211" s="115"/>
      <c r="K211" s="115"/>
      <c r="AH211" s="522"/>
    </row>
    <row r="212" spans="2:34" ht="12.75" hidden="1" customHeight="1">
      <c r="B212" s="514"/>
      <c r="C212" s="73"/>
      <c r="D212" s="73"/>
      <c r="E212" s="73"/>
      <c r="F212" s="115"/>
      <c r="G212" s="115"/>
      <c r="H212" s="115"/>
      <c r="I212" s="115"/>
      <c r="J212" s="115"/>
      <c r="K212" s="115"/>
      <c r="AH212" s="522"/>
    </row>
    <row r="213" spans="2:34" ht="12.75" hidden="1" customHeight="1">
      <c r="B213" s="216"/>
      <c r="C213" s="73"/>
      <c r="D213" s="73"/>
      <c r="E213" s="73"/>
      <c r="F213" s="115"/>
      <c r="G213" s="115"/>
      <c r="H213" s="115"/>
      <c r="I213" s="115"/>
      <c r="J213" s="115"/>
      <c r="K213" s="115"/>
      <c r="AH213" s="522"/>
    </row>
    <row r="214" spans="2:34" ht="12.75" customHeight="1">
      <c r="B214" s="115"/>
      <c r="C214" s="73"/>
      <c r="D214" s="73"/>
      <c r="E214" s="73"/>
      <c r="F214" s="115"/>
      <c r="G214" s="115"/>
      <c r="H214" s="115"/>
      <c r="I214" s="115"/>
      <c r="J214" s="115"/>
      <c r="K214" s="115"/>
      <c r="AH214" s="522"/>
    </row>
    <row r="215" spans="2:34">
      <c r="B215" s="115"/>
      <c r="C215" s="73"/>
      <c r="D215" s="73"/>
      <c r="E215" s="73"/>
      <c r="F215" s="115"/>
      <c r="G215" s="115"/>
      <c r="H215" s="115"/>
      <c r="I215" s="115"/>
      <c r="J215" s="115"/>
      <c r="K215" s="115"/>
      <c r="AH215" s="522"/>
    </row>
    <row r="216" spans="2:34" ht="12.75" customHeight="1">
      <c r="B216" s="112"/>
      <c r="C216" s="73"/>
      <c r="D216" s="73"/>
      <c r="E216" s="73"/>
      <c r="F216" s="115"/>
      <c r="G216" s="115"/>
      <c r="H216" s="115"/>
      <c r="I216" s="115"/>
      <c r="J216" s="115"/>
      <c r="K216" s="115"/>
      <c r="AH216" s="522"/>
    </row>
    <row r="217" spans="2:34">
      <c r="B217" s="112"/>
      <c r="C217" s="73"/>
      <c r="D217" s="73"/>
      <c r="E217" s="73"/>
      <c r="F217" s="115"/>
      <c r="G217" s="115"/>
      <c r="H217" s="115"/>
      <c r="I217" s="115"/>
      <c r="J217" s="115"/>
      <c r="K217" s="115"/>
      <c r="AH217" s="522"/>
    </row>
    <row r="218" spans="2:34">
      <c r="B218" s="115"/>
      <c r="C218" s="115"/>
      <c r="D218" s="115"/>
      <c r="E218" s="115"/>
      <c r="F218" s="115"/>
      <c r="G218" s="115"/>
      <c r="H218" s="115"/>
      <c r="I218" s="115"/>
      <c r="J218" s="115"/>
      <c r="K218" s="115"/>
      <c r="AH218" s="522"/>
    </row>
    <row r="219" spans="2:34">
      <c r="B219" s="115"/>
      <c r="C219" s="115"/>
      <c r="D219" s="115"/>
      <c r="E219" s="115"/>
      <c r="F219" s="115"/>
      <c r="G219" s="115"/>
      <c r="H219" s="115"/>
      <c r="I219" s="115"/>
      <c r="J219" s="115"/>
      <c r="K219" s="115"/>
      <c r="AH219" s="522"/>
    </row>
    <row r="220" spans="2:34">
      <c r="B220" s="115"/>
      <c r="C220" s="115"/>
      <c r="D220" s="115"/>
      <c r="E220" s="115"/>
      <c r="F220" s="115"/>
      <c r="G220" s="115"/>
      <c r="H220" s="115"/>
      <c r="I220" s="115"/>
      <c r="J220" s="115"/>
      <c r="K220" s="115"/>
      <c r="AH220" s="522"/>
    </row>
    <row r="221" spans="2:34">
      <c r="B221" s="115"/>
      <c r="C221" s="115"/>
      <c r="D221" s="115"/>
      <c r="E221" s="115"/>
      <c r="F221" s="115"/>
      <c r="G221" s="115"/>
      <c r="H221" s="115"/>
      <c r="I221" s="115"/>
      <c r="J221" s="115"/>
      <c r="K221" s="115"/>
      <c r="AH221" s="522"/>
    </row>
    <row r="222" spans="2:34">
      <c r="B222" s="115"/>
      <c r="C222" s="115"/>
      <c r="D222" s="115"/>
      <c r="E222" s="115"/>
      <c r="F222" s="115"/>
      <c r="G222" s="115"/>
      <c r="H222" s="115"/>
      <c r="I222" s="115"/>
      <c r="J222" s="115"/>
      <c r="K222" s="115"/>
      <c r="AH222" s="522"/>
    </row>
    <row r="223" spans="2:34">
      <c r="B223" s="115"/>
      <c r="C223" s="115"/>
      <c r="D223" s="115"/>
      <c r="E223" s="115"/>
      <c r="F223" s="115"/>
      <c r="G223" s="115"/>
      <c r="H223" s="115"/>
      <c r="I223" s="115"/>
      <c r="J223" s="115"/>
      <c r="K223" s="115"/>
      <c r="AH223" s="522"/>
    </row>
    <row r="224" spans="2:34">
      <c r="B224" s="115"/>
      <c r="C224" s="115"/>
      <c r="D224" s="115"/>
      <c r="E224" s="115"/>
      <c r="F224" s="115"/>
      <c r="G224" s="115"/>
      <c r="H224" s="115"/>
      <c r="I224" s="115"/>
      <c r="J224" s="115"/>
      <c r="K224" s="115"/>
      <c r="AH224" s="522"/>
    </row>
    <row r="225" spans="2:34">
      <c r="B225" s="115"/>
      <c r="C225" s="115"/>
      <c r="D225" s="115"/>
      <c r="E225" s="115"/>
      <c r="F225" s="115"/>
      <c r="G225" s="115"/>
      <c r="H225" s="115"/>
      <c r="I225" s="115"/>
      <c r="J225" s="115"/>
      <c r="K225" s="115"/>
      <c r="AH225" s="522"/>
    </row>
    <row r="226" spans="2:34">
      <c r="B226" s="115"/>
      <c r="C226" s="115"/>
      <c r="D226" s="115"/>
      <c r="E226" s="115"/>
      <c r="F226" s="115"/>
      <c r="G226" s="115"/>
      <c r="H226" s="115"/>
      <c r="I226" s="115"/>
      <c r="J226" s="115"/>
      <c r="K226" s="115"/>
      <c r="AH226" s="522"/>
    </row>
    <row r="227" spans="2:34">
      <c r="B227" s="115"/>
      <c r="C227" s="115"/>
      <c r="D227" s="115"/>
      <c r="E227" s="115"/>
      <c r="F227" s="115"/>
      <c r="G227" s="115"/>
      <c r="H227" s="115"/>
      <c r="I227" s="115"/>
      <c r="J227" s="115"/>
      <c r="K227" s="115"/>
      <c r="AH227" s="522"/>
    </row>
    <row r="228" spans="2:34">
      <c r="B228" s="115"/>
      <c r="C228" s="115"/>
      <c r="D228" s="115"/>
      <c r="E228" s="115"/>
      <c r="F228" s="115"/>
      <c r="G228" s="115"/>
      <c r="H228" s="115"/>
      <c r="I228" s="115"/>
      <c r="J228" s="115"/>
      <c r="K228" s="115"/>
      <c r="AH228" s="522"/>
    </row>
    <row r="229" spans="2:34">
      <c r="B229" s="115"/>
      <c r="C229" s="115"/>
      <c r="D229" s="115"/>
      <c r="E229" s="115"/>
      <c r="F229" s="115"/>
      <c r="G229" s="115"/>
      <c r="H229" s="115"/>
      <c r="I229" s="115"/>
      <c r="J229" s="115"/>
      <c r="K229" s="115"/>
      <c r="AH229" s="522"/>
    </row>
    <row r="230" spans="2:34">
      <c r="B230" s="115"/>
      <c r="C230" s="115"/>
      <c r="D230" s="115"/>
      <c r="E230" s="115"/>
      <c r="F230" s="115"/>
      <c r="G230" s="115"/>
      <c r="H230" s="115"/>
      <c r="I230" s="115"/>
      <c r="J230" s="115"/>
      <c r="K230" s="115"/>
      <c r="AH230" s="522"/>
    </row>
    <row r="231" spans="2:34">
      <c r="B231" s="115"/>
      <c r="C231" s="115"/>
      <c r="D231" s="115"/>
      <c r="E231" s="115"/>
      <c r="F231" s="115"/>
      <c r="G231" s="115"/>
      <c r="H231" s="115"/>
      <c r="I231" s="115"/>
      <c r="J231" s="115"/>
      <c r="K231" s="115"/>
      <c r="AH231" s="522"/>
    </row>
    <row r="232" spans="2:34">
      <c r="B232" s="115"/>
      <c r="C232" s="115"/>
      <c r="D232" s="115"/>
      <c r="E232" s="115"/>
      <c r="F232" s="115"/>
      <c r="G232" s="115"/>
      <c r="H232" s="115"/>
      <c r="I232" s="115"/>
      <c r="J232" s="115"/>
      <c r="K232" s="115"/>
      <c r="AH232" s="522"/>
    </row>
    <row r="233" spans="2:34">
      <c r="B233" s="115"/>
      <c r="C233" s="115"/>
      <c r="D233" s="115"/>
      <c r="E233" s="115"/>
      <c r="F233" s="115"/>
      <c r="G233" s="115"/>
      <c r="H233" s="115"/>
      <c r="I233" s="115"/>
      <c r="J233" s="115"/>
      <c r="K233" s="115"/>
      <c r="AH233" s="522"/>
    </row>
    <row r="234" spans="2:34">
      <c r="B234" s="115"/>
      <c r="C234" s="115"/>
      <c r="D234" s="115"/>
      <c r="E234" s="115"/>
      <c r="F234" s="115"/>
      <c r="G234" s="115"/>
      <c r="H234" s="115"/>
      <c r="I234" s="115"/>
      <c r="J234" s="115"/>
      <c r="K234" s="115"/>
      <c r="AH234" s="522"/>
    </row>
    <row r="235" spans="2:34">
      <c r="B235" s="115"/>
      <c r="C235" s="115"/>
      <c r="D235" s="115"/>
      <c r="E235" s="115"/>
      <c r="F235" s="115"/>
      <c r="G235" s="115"/>
      <c r="H235" s="115"/>
      <c r="I235" s="115"/>
      <c r="J235" s="115"/>
      <c r="K235" s="115"/>
      <c r="AH235" s="522"/>
    </row>
    <row r="236" spans="2:34">
      <c r="B236" s="115"/>
      <c r="C236" s="115"/>
      <c r="D236" s="115"/>
      <c r="E236" s="115"/>
      <c r="F236" s="115"/>
      <c r="G236" s="115"/>
      <c r="H236" s="115"/>
      <c r="I236" s="115"/>
      <c r="J236" s="115"/>
      <c r="K236" s="115"/>
      <c r="AH236" s="522"/>
    </row>
    <row r="237" spans="2:34">
      <c r="B237" s="115"/>
      <c r="C237" s="115"/>
      <c r="D237" s="115"/>
      <c r="E237" s="115"/>
      <c r="F237" s="115"/>
      <c r="G237" s="115"/>
      <c r="H237" s="115"/>
      <c r="I237" s="115"/>
      <c r="J237" s="115"/>
      <c r="K237" s="115"/>
      <c r="AH237" s="522"/>
    </row>
    <row r="238" spans="2:34">
      <c r="B238" s="115"/>
      <c r="C238" s="115"/>
      <c r="D238" s="115"/>
      <c r="E238" s="115"/>
      <c r="F238" s="115"/>
      <c r="G238" s="115"/>
      <c r="H238" s="115"/>
      <c r="I238" s="115"/>
      <c r="J238" s="115"/>
      <c r="K238" s="115"/>
      <c r="AH238" s="522"/>
    </row>
    <row r="239" spans="2:34">
      <c r="B239" s="115"/>
      <c r="C239" s="115"/>
      <c r="D239" s="115"/>
      <c r="E239" s="115"/>
      <c r="F239" s="115"/>
      <c r="G239" s="115"/>
      <c r="H239" s="115"/>
      <c r="I239" s="115"/>
      <c r="J239" s="115"/>
      <c r="K239" s="115"/>
      <c r="AH239" s="522"/>
    </row>
    <row r="240" spans="2:34">
      <c r="B240" s="115"/>
      <c r="C240" s="115"/>
      <c r="D240" s="115"/>
      <c r="E240" s="115"/>
      <c r="F240" s="115"/>
      <c r="G240" s="115"/>
      <c r="H240" s="115"/>
      <c r="I240" s="115"/>
      <c r="J240" s="115"/>
      <c r="K240" s="115"/>
      <c r="AH240" s="522"/>
    </row>
    <row r="241" spans="2:34">
      <c r="B241" s="115"/>
      <c r="C241" s="115"/>
      <c r="D241" s="115"/>
      <c r="E241" s="115"/>
      <c r="F241" s="115"/>
      <c r="G241" s="115"/>
      <c r="H241" s="115"/>
      <c r="I241" s="115"/>
      <c r="J241" s="115"/>
      <c r="K241" s="115"/>
      <c r="AH241" s="522"/>
    </row>
    <row r="242" spans="2:34">
      <c r="B242" s="115"/>
      <c r="C242" s="115"/>
      <c r="D242" s="115"/>
      <c r="E242" s="115"/>
      <c r="F242" s="115"/>
      <c r="G242" s="115"/>
      <c r="H242" s="115"/>
      <c r="I242" s="115"/>
      <c r="J242" s="115"/>
      <c r="K242" s="115"/>
      <c r="AH242" s="522"/>
    </row>
    <row r="243" spans="2:34">
      <c r="B243" s="115"/>
      <c r="C243" s="115"/>
      <c r="D243" s="115"/>
      <c r="E243" s="115"/>
      <c r="F243" s="115"/>
      <c r="G243" s="115"/>
      <c r="H243" s="115"/>
      <c r="I243" s="115"/>
      <c r="J243" s="115"/>
      <c r="K243" s="115"/>
      <c r="AH243" s="522"/>
    </row>
    <row r="244" spans="2:34">
      <c r="B244" s="115"/>
      <c r="C244" s="115"/>
      <c r="D244" s="115"/>
      <c r="E244" s="115"/>
      <c r="F244" s="115"/>
      <c r="G244" s="115"/>
      <c r="H244" s="115"/>
      <c r="I244" s="115"/>
      <c r="J244" s="115"/>
      <c r="K244" s="115"/>
      <c r="AH244" s="522"/>
    </row>
    <row r="245" spans="2:34">
      <c r="B245" s="115"/>
      <c r="C245" s="115"/>
      <c r="D245" s="115"/>
      <c r="E245" s="115"/>
      <c r="F245" s="115"/>
      <c r="G245" s="115"/>
      <c r="H245" s="115"/>
      <c r="I245" s="115"/>
      <c r="J245" s="115"/>
      <c r="K245" s="115"/>
      <c r="AH245" s="522"/>
    </row>
    <row r="246" spans="2:34">
      <c r="B246" s="115"/>
      <c r="C246" s="115"/>
      <c r="D246" s="115"/>
      <c r="E246" s="115"/>
      <c r="F246" s="115"/>
      <c r="G246" s="115"/>
      <c r="H246" s="115"/>
      <c r="I246" s="115"/>
      <c r="J246" s="115"/>
      <c r="K246" s="115"/>
      <c r="AH246" s="522"/>
    </row>
    <row r="247" spans="2:34">
      <c r="B247" s="115"/>
      <c r="C247" s="115"/>
      <c r="D247" s="115"/>
      <c r="E247" s="115"/>
      <c r="F247" s="115"/>
      <c r="G247" s="115"/>
      <c r="H247" s="115"/>
      <c r="I247" s="115"/>
      <c r="J247" s="115"/>
      <c r="K247" s="115"/>
      <c r="AH247" s="522"/>
    </row>
    <row r="248" spans="2:34">
      <c r="B248" s="115"/>
      <c r="C248" s="115"/>
      <c r="D248" s="115"/>
      <c r="E248" s="115"/>
      <c r="F248" s="115"/>
      <c r="G248" s="115"/>
      <c r="H248" s="115"/>
      <c r="I248" s="115"/>
      <c r="J248" s="115"/>
      <c r="K248" s="115"/>
      <c r="AH248" s="522"/>
    </row>
    <row r="249" spans="2:34">
      <c r="B249" s="115"/>
      <c r="C249" s="115"/>
      <c r="D249" s="115"/>
      <c r="E249" s="115"/>
      <c r="F249" s="115"/>
      <c r="G249" s="115"/>
      <c r="H249" s="115"/>
      <c r="I249" s="115"/>
      <c r="J249" s="115"/>
      <c r="K249" s="115"/>
      <c r="AH249" s="522"/>
    </row>
    <row r="250" spans="2:34">
      <c r="B250" s="115"/>
      <c r="C250" s="115"/>
      <c r="D250" s="115"/>
      <c r="E250" s="115"/>
      <c r="F250" s="115"/>
      <c r="G250" s="115"/>
      <c r="H250" s="115"/>
      <c r="I250" s="115"/>
      <c r="J250" s="115"/>
      <c r="K250" s="115"/>
      <c r="AH250" s="522"/>
    </row>
    <row r="251" spans="2:34">
      <c r="B251" s="115"/>
      <c r="C251" s="115"/>
      <c r="D251" s="115"/>
      <c r="E251" s="115"/>
      <c r="F251" s="115"/>
      <c r="G251" s="115"/>
      <c r="H251" s="115"/>
      <c r="I251" s="115"/>
      <c r="J251" s="115"/>
      <c r="K251" s="115"/>
      <c r="AH251" s="522"/>
    </row>
    <row r="252" spans="2:34">
      <c r="B252" s="115"/>
      <c r="C252" s="115"/>
      <c r="D252" s="115"/>
      <c r="E252" s="115"/>
      <c r="F252" s="115"/>
      <c r="G252" s="115"/>
      <c r="H252" s="115"/>
      <c r="I252" s="115"/>
      <c r="J252" s="115"/>
      <c r="K252" s="115"/>
      <c r="AH252" s="522"/>
    </row>
    <row r="253" spans="2:34">
      <c r="B253" s="115"/>
      <c r="C253" s="115"/>
      <c r="D253" s="115"/>
      <c r="E253" s="115"/>
      <c r="F253" s="115"/>
      <c r="G253" s="115"/>
      <c r="H253" s="115"/>
      <c r="I253" s="115"/>
      <c r="J253" s="115"/>
      <c r="K253" s="115"/>
      <c r="AH253" s="522"/>
    </row>
    <row r="254" spans="2:34">
      <c r="B254" s="115"/>
      <c r="C254" s="115"/>
      <c r="D254" s="115"/>
      <c r="E254" s="115"/>
      <c r="F254" s="115"/>
      <c r="G254" s="115"/>
      <c r="H254" s="115"/>
      <c r="I254" s="115"/>
      <c r="J254" s="115"/>
      <c r="K254" s="115"/>
      <c r="AH254" s="522"/>
    </row>
    <row r="255" spans="2:34">
      <c r="B255" s="115"/>
      <c r="C255" s="115"/>
      <c r="D255" s="115"/>
      <c r="E255" s="115"/>
      <c r="F255" s="115"/>
      <c r="G255" s="115"/>
      <c r="H255" s="115"/>
      <c r="I255" s="115"/>
      <c r="J255" s="115"/>
      <c r="K255" s="115"/>
      <c r="AH255" s="522"/>
    </row>
    <row r="256" spans="2:34">
      <c r="B256" s="115"/>
      <c r="C256" s="115"/>
      <c r="D256" s="115"/>
      <c r="E256" s="115"/>
      <c r="F256" s="115"/>
      <c r="G256" s="115"/>
      <c r="H256" s="115"/>
      <c r="I256" s="115"/>
      <c r="J256" s="115"/>
      <c r="K256" s="115"/>
      <c r="AH256" s="522"/>
    </row>
    <row r="257" spans="2:34">
      <c r="B257" s="115"/>
      <c r="C257" s="115"/>
      <c r="D257" s="115"/>
      <c r="E257" s="115"/>
      <c r="F257" s="115"/>
      <c r="G257" s="115"/>
      <c r="H257" s="115"/>
      <c r="I257" s="115"/>
      <c r="J257" s="115"/>
      <c r="K257" s="115"/>
      <c r="AH257" s="522"/>
    </row>
    <row r="258" spans="2:34">
      <c r="B258" s="115"/>
      <c r="C258" s="115"/>
      <c r="D258" s="115"/>
      <c r="E258" s="115"/>
      <c r="F258" s="115"/>
      <c r="G258" s="115"/>
      <c r="H258" s="115"/>
      <c r="I258" s="115"/>
      <c r="J258" s="115"/>
      <c r="K258" s="115"/>
      <c r="AH258" s="522"/>
    </row>
    <row r="259" spans="2:34">
      <c r="B259" s="115"/>
      <c r="C259" s="115"/>
      <c r="D259" s="115"/>
      <c r="E259" s="115"/>
      <c r="F259" s="115"/>
      <c r="G259" s="115"/>
      <c r="H259" s="115"/>
      <c r="I259" s="115"/>
      <c r="J259" s="115"/>
      <c r="K259" s="115"/>
      <c r="AH259" s="522"/>
    </row>
    <row r="260" spans="2:34">
      <c r="B260" s="115"/>
      <c r="C260" s="115"/>
      <c r="D260" s="115"/>
      <c r="E260" s="115"/>
      <c r="F260" s="115"/>
      <c r="G260" s="115"/>
      <c r="H260" s="115"/>
      <c r="I260" s="115"/>
      <c r="J260" s="115"/>
      <c r="K260" s="115"/>
      <c r="AH260" s="522"/>
    </row>
    <row r="261" spans="2:34">
      <c r="B261" s="115"/>
      <c r="C261" s="115"/>
      <c r="D261" s="115"/>
      <c r="E261" s="115"/>
      <c r="F261" s="115"/>
      <c r="G261" s="115"/>
      <c r="H261" s="115"/>
      <c r="I261" s="115"/>
      <c r="J261" s="115"/>
      <c r="K261" s="115"/>
      <c r="AH261" s="522"/>
    </row>
    <row r="262" spans="2:34">
      <c r="B262" s="115"/>
      <c r="C262" s="115"/>
      <c r="D262" s="115"/>
      <c r="E262" s="115"/>
      <c r="F262" s="115"/>
      <c r="G262" s="115"/>
      <c r="H262" s="115"/>
      <c r="I262" s="115"/>
      <c r="J262" s="115"/>
      <c r="K262" s="115"/>
      <c r="AH262" s="522"/>
    </row>
    <row r="263" spans="2:34">
      <c r="B263" s="115"/>
      <c r="C263" s="115"/>
      <c r="D263" s="115"/>
      <c r="E263" s="115"/>
      <c r="F263" s="115"/>
      <c r="G263" s="115"/>
      <c r="H263" s="115"/>
      <c r="I263" s="115"/>
      <c r="J263" s="115"/>
      <c r="K263" s="115"/>
      <c r="AH263" s="522"/>
    </row>
    <row r="264" spans="2:34">
      <c r="B264" s="115"/>
      <c r="C264" s="115"/>
      <c r="D264" s="115"/>
      <c r="E264" s="115"/>
      <c r="F264" s="115"/>
      <c r="G264" s="115"/>
      <c r="H264" s="115"/>
      <c r="I264" s="115"/>
      <c r="J264" s="115"/>
      <c r="K264" s="115"/>
      <c r="AH264" s="522"/>
    </row>
    <row r="265" spans="2:34">
      <c r="B265" s="115"/>
      <c r="C265" s="115"/>
      <c r="D265" s="115"/>
      <c r="E265" s="115"/>
      <c r="F265" s="115"/>
      <c r="G265" s="115"/>
      <c r="H265" s="115"/>
      <c r="I265" s="115"/>
      <c r="J265" s="115"/>
      <c r="K265" s="115"/>
      <c r="AH265" s="522"/>
    </row>
    <row r="266" spans="2:34">
      <c r="B266" s="115"/>
      <c r="C266" s="115"/>
      <c r="D266" s="115"/>
      <c r="E266" s="115"/>
      <c r="F266" s="115"/>
      <c r="G266" s="115"/>
      <c r="H266" s="115"/>
      <c r="I266" s="115"/>
      <c r="J266" s="115"/>
      <c r="K266" s="115"/>
      <c r="AH266" s="522"/>
    </row>
    <row r="267" spans="2:34">
      <c r="B267" s="115"/>
      <c r="C267" s="115"/>
      <c r="D267" s="115"/>
      <c r="E267" s="115"/>
      <c r="F267" s="115"/>
      <c r="G267" s="115"/>
      <c r="H267" s="115"/>
      <c r="I267" s="115"/>
      <c r="J267" s="115"/>
      <c r="K267" s="115"/>
      <c r="AH267" s="522"/>
    </row>
    <row r="268" spans="2:34">
      <c r="B268" s="115"/>
      <c r="C268" s="115"/>
      <c r="D268" s="115"/>
      <c r="E268" s="115"/>
      <c r="F268" s="115"/>
      <c r="G268" s="115"/>
      <c r="H268" s="115"/>
      <c r="I268" s="115"/>
      <c r="J268" s="115"/>
      <c r="K268" s="115"/>
      <c r="AH268" s="522"/>
    </row>
    <row r="269" spans="2:34">
      <c r="B269" s="115"/>
      <c r="C269" s="115"/>
      <c r="D269" s="115"/>
      <c r="E269" s="115"/>
      <c r="F269" s="115"/>
      <c r="G269" s="115"/>
      <c r="H269" s="115"/>
      <c r="I269" s="115"/>
      <c r="J269" s="115"/>
      <c r="K269" s="115"/>
      <c r="AH269" s="522"/>
    </row>
    <row r="270" spans="2:34">
      <c r="B270" s="115"/>
      <c r="C270" s="115"/>
      <c r="D270" s="115"/>
      <c r="E270" s="115"/>
      <c r="F270" s="115"/>
      <c r="G270" s="115"/>
      <c r="H270" s="115"/>
      <c r="I270" s="115"/>
      <c r="J270" s="115"/>
      <c r="K270" s="115"/>
      <c r="AH270" s="522"/>
    </row>
    <row r="271" spans="2:34">
      <c r="B271" s="115"/>
      <c r="C271" s="115"/>
      <c r="D271" s="115"/>
      <c r="E271" s="115"/>
      <c r="F271" s="115"/>
      <c r="G271" s="115"/>
      <c r="H271" s="115"/>
      <c r="I271" s="115"/>
      <c r="J271" s="115"/>
      <c r="K271" s="115"/>
      <c r="AH271" s="522"/>
    </row>
    <row r="272" spans="2:34">
      <c r="B272" s="115"/>
      <c r="C272" s="115"/>
      <c r="D272" s="115"/>
      <c r="E272" s="115"/>
      <c r="F272" s="115"/>
      <c r="G272" s="115"/>
      <c r="H272" s="115"/>
      <c r="I272" s="115"/>
      <c r="J272" s="115"/>
      <c r="K272" s="115"/>
      <c r="AH272" s="522"/>
    </row>
    <row r="273" spans="2:34">
      <c r="B273" s="115"/>
      <c r="C273" s="115"/>
      <c r="D273" s="115"/>
      <c r="E273" s="115"/>
      <c r="F273" s="115"/>
      <c r="G273" s="115"/>
      <c r="H273" s="115"/>
      <c r="I273" s="115"/>
      <c r="J273" s="115"/>
      <c r="K273" s="115"/>
      <c r="AH273" s="522"/>
    </row>
    <row r="274" spans="2:34">
      <c r="B274" s="115"/>
      <c r="C274" s="115"/>
      <c r="D274" s="115"/>
      <c r="E274" s="115"/>
      <c r="F274" s="115"/>
      <c r="G274" s="115"/>
      <c r="H274" s="115"/>
      <c r="I274" s="115"/>
      <c r="J274" s="115"/>
      <c r="K274" s="115"/>
      <c r="AH274" s="522"/>
    </row>
    <row r="275" spans="2:34">
      <c r="B275" s="115"/>
      <c r="C275" s="115"/>
      <c r="D275" s="115"/>
      <c r="E275" s="115"/>
      <c r="F275" s="115"/>
      <c r="G275" s="115"/>
      <c r="H275" s="115"/>
      <c r="I275" s="115"/>
      <c r="J275" s="115"/>
      <c r="K275" s="115"/>
      <c r="AH275" s="522"/>
    </row>
    <row r="276" spans="2:34">
      <c r="B276" s="115"/>
      <c r="C276" s="115"/>
      <c r="D276" s="115"/>
      <c r="E276" s="115"/>
      <c r="F276" s="115"/>
      <c r="G276" s="115"/>
      <c r="H276" s="115"/>
      <c r="I276" s="115"/>
      <c r="J276" s="115"/>
      <c r="K276" s="115"/>
      <c r="AH276" s="522"/>
    </row>
    <row r="277" spans="2:34">
      <c r="B277" s="115"/>
      <c r="C277" s="115"/>
      <c r="D277" s="115"/>
      <c r="E277" s="115"/>
      <c r="F277" s="115"/>
      <c r="G277" s="115"/>
      <c r="H277" s="115"/>
      <c r="I277" s="115"/>
      <c r="J277" s="115"/>
      <c r="K277" s="115"/>
      <c r="AH277" s="522"/>
    </row>
    <row r="278" spans="2:34">
      <c r="B278" s="115"/>
      <c r="C278" s="115"/>
      <c r="D278" s="115"/>
      <c r="E278" s="115"/>
      <c r="F278" s="115"/>
      <c r="G278" s="115"/>
      <c r="H278" s="115"/>
      <c r="I278" s="115"/>
      <c r="J278" s="115"/>
      <c r="K278" s="115"/>
      <c r="AH278" s="522"/>
    </row>
    <row r="279" spans="2:34">
      <c r="B279" s="115"/>
      <c r="C279" s="115"/>
      <c r="D279" s="115"/>
      <c r="E279" s="115"/>
      <c r="F279" s="115"/>
      <c r="G279" s="115"/>
      <c r="H279" s="115"/>
      <c r="I279" s="115"/>
      <c r="J279" s="115"/>
      <c r="K279" s="115"/>
      <c r="AH279" s="522"/>
    </row>
    <row r="280" spans="2:34">
      <c r="B280" s="115"/>
      <c r="C280" s="115"/>
      <c r="D280" s="115"/>
      <c r="E280" s="115"/>
      <c r="F280" s="115"/>
      <c r="G280" s="115"/>
      <c r="H280" s="115"/>
      <c r="I280" s="115"/>
      <c r="J280" s="115"/>
      <c r="K280" s="115"/>
      <c r="AH280" s="522"/>
    </row>
    <row r="281" spans="2:34">
      <c r="B281" s="115"/>
      <c r="C281" s="115"/>
      <c r="D281" s="115"/>
      <c r="E281" s="115"/>
      <c r="F281" s="115"/>
      <c r="G281" s="115"/>
      <c r="H281" s="115"/>
      <c r="I281" s="115"/>
      <c r="J281" s="115"/>
      <c r="K281" s="115"/>
      <c r="AH281" s="522"/>
    </row>
    <row r="282" spans="2:34">
      <c r="B282" s="115"/>
      <c r="C282" s="115"/>
      <c r="D282" s="115"/>
      <c r="E282" s="115"/>
      <c r="F282" s="115"/>
      <c r="G282" s="115"/>
      <c r="H282" s="115"/>
      <c r="I282" s="115"/>
      <c r="J282" s="115"/>
      <c r="K282" s="115"/>
      <c r="AH282" s="522"/>
    </row>
    <row r="283" spans="2:34">
      <c r="B283" s="115"/>
      <c r="C283" s="115"/>
      <c r="D283" s="115"/>
      <c r="E283" s="115"/>
      <c r="F283" s="115"/>
      <c r="G283" s="115"/>
      <c r="H283" s="115"/>
      <c r="I283" s="115"/>
      <c r="J283" s="115"/>
      <c r="K283" s="115"/>
      <c r="AH283" s="522"/>
    </row>
    <row r="284" spans="2:34">
      <c r="B284" s="115"/>
      <c r="C284" s="115"/>
      <c r="D284" s="115"/>
      <c r="E284" s="115"/>
      <c r="F284" s="115"/>
      <c r="G284" s="115"/>
      <c r="H284" s="115"/>
      <c r="I284" s="115"/>
      <c r="J284" s="115"/>
      <c r="K284" s="115"/>
      <c r="AH284" s="522"/>
    </row>
    <row r="285" spans="2:34">
      <c r="B285" s="115"/>
      <c r="C285" s="115"/>
      <c r="D285" s="115"/>
      <c r="E285" s="115"/>
      <c r="F285" s="115"/>
      <c r="G285" s="115"/>
      <c r="H285" s="115"/>
      <c r="I285" s="115"/>
      <c r="J285" s="115"/>
      <c r="K285" s="115"/>
      <c r="AH285" s="522"/>
    </row>
    <row r="286" spans="2:34">
      <c r="B286" s="115"/>
      <c r="C286" s="115"/>
      <c r="D286" s="115"/>
      <c r="E286" s="115"/>
      <c r="F286" s="115"/>
      <c r="G286" s="115"/>
      <c r="H286" s="115"/>
      <c r="I286" s="115"/>
      <c r="J286" s="115"/>
      <c r="K286" s="115"/>
      <c r="AH286" s="522"/>
    </row>
    <row r="287" spans="2:34">
      <c r="B287" s="115"/>
      <c r="C287" s="115"/>
      <c r="D287" s="115"/>
      <c r="E287" s="115"/>
      <c r="F287" s="115"/>
      <c r="G287" s="115"/>
      <c r="H287" s="115"/>
      <c r="I287" s="115"/>
      <c r="J287" s="115"/>
      <c r="K287" s="115"/>
      <c r="AH287" s="522"/>
    </row>
    <row r="288" spans="2:34">
      <c r="B288" s="115"/>
      <c r="C288" s="115"/>
      <c r="D288" s="115"/>
      <c r="E288" s="115"/>
      <c r="F288" s="115"/>
      <c r="G288" s="115"/>
      <c r="H288" s="115"/>
      <c r="I288" s="115"/>
      <c r="J288" s="115"/>
      <c r="K288" s="115"/>
      <c r="AH288" s="522"/>
    </row>
    <row r="289" spans="2:34">
      <c r="B289" s="115"/>
      <c r="C289" s="115"/>
      <c r="D289" s="115"/>
      <c r="E289" s="115"/>
      <c r="F289" s="115"/>
      <c r="G289" s="115"/>
      <c r="H289" s="115"/>
      <c r="I289" s="115"/>
      <c r="J289" s="115"/>
      <c r="K289" s="115"/>
      <c r="AH289" s="522"/>
    </row>
    <row r="290" spans="2:34">
      <c r="B290" s="115"/>
      <c r="C290" s="115"/>
      <c r="D290" s="115"/>
      <c r="E290" s="115"/>
      <c r="F290" s="115"/>
      <c r="G290" s="115"/>
      <c r="H290" s="115"/>
      <c r="I290" s="115"/>
      <c r="J290" s="115"/>
      <c r="K290" s="115"/>
      <c r="AH290" s="522"/>
    </row>
    <row r="291" spans="2:34">
      <c r="B291" s="115"/>
      <c r="C291" s="115"/>
      <c r="D291" s="115"/>
      <c r="E291" s="115"/>
      <c r="F291" s="115"/>
      <c r="G291" s="115"/>
      <c r="H291" s="115"/>
      <c r="I291" s="115"/>
      <c r="J291" s="115"/>
      <c r="K291" s="115"/>
      <c r="AH291" s="522"/>
    </row>
    <row r="292" spans="2:34">
      <c r="B292" s="115"/>
      <c r="C292" s="115"/>
      <c r="D292" s="115"/>
      <c r="E292" s="115"/>
      <c r="F292" s="115"/>
      <c r="G292" s="115"/>
      <c r="H292" s="115"/>
      <c r="I292" s="115"/>
      <c r="J292" s="115"/>
      <c r="K292" s="115"/>
      <c r="AH292" s="522"/>
    </row>
    <row r="293" spans="2:34">
      <c r="B293" s="115"/>
      <c r="C293" s="115"/>
      <c r="D293" s="115"/>
      <c r="E293" s="115"/>
      <c r="F293" s="115"/>
      <c r="G293" s="115"/>
      <c r="H293" s="115"/>
      <c r="I293" s="115"/>
      <c r="J293" s="115"/>
      <c r="K293" s="115"/>
      <c r="AH293" s="522"/>
    </row>
    <row r="294" spans="2:34">
      <c r="B294" s="115"/>
      <c r="C294" s="115"/>
      <c r="D294" s="115"/>
      <c r="E294" s="115"/>
      <c r="F294" s="115"/>
      <c r="G294" s="115"/>
      <c r="H294" s="115"/>
      <c r="I294" s="115"/>
      <c r="J294" s="115"/>
      <c r="K294" s="115"/>
      <c r="AH294" s="522"/>
    </row>
    <row r="295" spans="2:34">
      <c r="B295" s="115"/>
      <c r="C295" s="115"/>
      <c r="D295" s="115"/>
      <c r="E295" s="115"/>
      <c r="F295" s="115"/>
      <c r="G295" s="115"/>
      <c r="H295" s="115"/>
      <c r="I295" s="115"/>
      <c r="J295" s="115"/>
      <c r="K295" s="115"/>
      <c r="AH295" s="522"/>
    </row>
    <row r="296" spans="2:34">
      <c r="B296" s="115"/>
      <c r="C296" s="115"/>
      <c r="D296" s="115"/>
      <c r="E296" s="115"/>
      <c r="F296" s="115"/>
      <c r="G296" s="115"/>
      <c r="H296" s="115"/>
      <c r="I296" s="115"/>
      <c r="J296" s="115"/>
      <c r="K296" s="115"/>
      <c r="AH296" s="522"/>
    </row>
    <row r="297" spans="2:34">
      <c r="B297" s="115"/>
      <c r="C297" s="115"/>
      <c r="D297" s="115"/>
      <c r="E297" s="115"/>
      <c r="F297" s="115"/>
      <c r="G297" s="115"/>
      <c r="H297" s="115"/>
      <c r="I297" s="115"/>
      <c r="J297" s="115"/>
      <c r="K297" s="115"/>
      <c r="AH297" s="522"/>
    </row>
    <row r="298" spans="2:34">
      <c r="B298" s="115"/>
      <c r="C298" s="115"/>
      <c r="D298" s="115"/>
      <c r="E298" s="115"/>
      <c r="F298" s="115"/>
      <c r="G298" s="115"/>
      <c r="H298" s="115"/>
      <c r="I298" s="115"/>
      <c r="J298" s="115"/>
      <c r="K298" s="115"/>
      <c r="AH298" s="522"/>
    </row>
    <row r="299" spans="2:34">
      <c r="B299" s="115"/>
      <c r="C299" s="115"/>
      <c r="D299" s="115"/>
      <c r="E299" s="115"/>
      <c r="F299" s="115"/>
      <c r="G299" s="115"/>
      <c r="H299" s="115"/>
      <c r="I299" s="115"/>
      <c r="J299" s="115"/>
      <c r="K299" s="115"/>
      <c r="AH299" s="522"/>
    </row>
    <row r="300" spans="2:34">
      <c r="B300" s="115"/>
      <c r="C300" s="115"/>
      <c r="D300" s="115"/>
      <c r="E300" s="115"/>
      <c r="F300" s="115"/>
      <c r="G300" s="115"/>
      <c r="H300" s="115"/>
      <c r="I300" s="115"/>
      <c r="J300" s="115"/>
      <c r="K300" s="115"/>
      <c r="AH300" s="522"/>
    </row>
    <row r="301" spans="2:34">
      <c r="B301" s="115"/>
      <c r="C301" s="115"/>
      <c r="D301" s="115"/>
      <c r="E301" s="115"/>
      <c r="F301" s="115"/>
      <c r="G301" s="115"/>
      <c r="H301" s="115"/>
      <c r="I301" s="115"/>
      <c r="J301" s="115"/>
      <c r="K301" s="115"/>
      <c r="AH301" s="522"/>
    </row>
    <row r="302" spans="2:34">
      <c r="B302" s="115"/>
      <c r="C302" s="115"/>
      <c r="D302" s="115"/>
      <c r="E302" s="115"/>
      <c r="F302" s="115"/>
      <c r="G302" s="115"/>
      <c r="H302" s="115"/>
      <c r="I302" s="115"/>
      <c r="J302" s="115"/>
      <c r="K302" s="115"/>
      <c r="AH302" s="522"/>
    </row>
    <row r="303" spans="2:34">
      <c r="B303" s="115"/>
      <c r="C303" s="115"/>
      <c r="D303" s="115"/>
      <c r="E303" s="115"/>
      <c r="F303" s="115"/>
      <c r="G303" s="115"/>
      <c r="H303" s="115"/>
      <c r="I303" s="115"/>
      <c r="J303" s="115"/>
      <c r="K303" s="115"/>
      <c r="AH303" s="522"/>
    </row>
    <row r="304" spans="2:34">
      <c r="B304" s="115"/>
      <c r="C304" s="115"/>
      <c r="D304" s="115"/>
      <c r="E304" s="115"/>
      <c r="F304" s="115"/>
      <c r="G304" s="115"/>
      <c r="H304" s="115"/>
      <c r="I304" s="115"/>
      <c r="J304" s="115"/>
      <c r="K304" s="115"/>
      <c r="AH304" s="522"/>
    </row>
    <row r="305" spans="2:34">
      <c r="B305" s="115"/>
      <c r="C305" s="115"/>
      <c r="D305" s="115"/>
      <c r="E305" s="115"/>
      <c r="F305" s="115"/>
      <c r="G305" s="115"/>
      <c r="H305" s="115"/>
      <c r="I305" s="115"/>
      <c r="J305" s="115"/>
      <c r="K305" s="115"/>
      <c r="AH305" s="522"/>
    </row>
    <row r="306" spans="2:34">
      <c r="B306" s="115"/>
      <c r="C306" s="115"/>
      <c r="D306" s="115"/>
      <c r="E306" s="115"/>
      <c r="F306" s="115"/>
      <c r="G306" s="115"/>
      <c r="H306" s="115"/>
      <c r="I306" s="115"/>
      <c r="J306" s="115"/>
      <c r="K306" s="115"/>
      <c r="AH306" s="522"/>
    </row>
    <row r="307" spans="2:34">
      <c r="B307" s="115"/>
      <c r="C307" s="115"/>
      <c r="D307" s="115"/>
      <c r="E307" s="115"/>
      <c r="F307" s="115"/>
      <c r="G307" s="115"/>
      <c r="H307" s="115"/>
      <c r="I307" s="115"/>
      <c r="J307" s="115"/>
      <c r="K307" s="115"/>
      <c r="AH307" s="522"/>
    </row>
    <row r="308" spans="2:34">
      <c r="B308" s="115"/>
      <c r="C308" s="115"/>
      <c r="D308" s="115"/>
      <c r="E308" s="115"/>
      <c r="F308" s="115"/>
      <c r="G308" s="115"/>
      <c r="H308" s="115"/>
      <c r="I308" s="115"/>
      <c r="J308" s="115"/>
      <c r="K308" s="115"/>
      <c r="AH308" s="522"/>
    </row>
    <row r="309" spans="2:34">
      <c r="B309" s="115"/>
      <c r="C309" s="115"/>
      <c r="D309" s="115"/>
      <c r="E309" s="115"/>
      <c r="F309" s="115"/>
      <c r="G309" s="115"/>
      <c r="H309" s="115"/>
      <c r="I309" s="115"/>
      <c r="J309" s="115"/>
      <c r="K309" s="115"/>
      <c r="AH309" s="522"/>
    </row>
    <row r="310" spans="2:34">
      <c r="B310" s="115"/>
      <c r="C310" s="115"/>
      <c r="D310" s="115"/>
      <c r="E310" s="115"/>
      <c r="F310" s="115"/>
      <c r="G310" s="115"/>
      <c r="H310" s="115"/>
      <c r="I310" s="115"/>
      <c r="J310" s="115"/>
      <c r="K310" s="115"/>
      <c r="AH310" s="522"/>
    </row>
    <row r="311" spans="2:34">
      <c r="B311" s="115"/>
      <c r="C311" s="115"/>
      <c r="D311" s="115"/>
      <c r="E311" s="115"/>
      <c r="F311" s="115"/>
      <c r="G311" s="115"/>
      <c r="H311" s="115"/>
      <c r="I311" s="115"/>
      <c r="J311" s="115"/>
      <c r="K311" s="115"/>
      <c r="AH311" s="522"/>
    </row>
    <row r="312" spans="2:34">
      <c r="B312" s="115"/>
      <c r="C312" s="115"/>
      <c r="D312" s="115"/>
      <c r="E312" s="115"/>
      <c r="F312" s="115"/>
      <c r="G312" s="115"/>
      <c r="H312" s="115"/>
      <c r="I312" s="115"/>
      <c r="J312" s="115"/>
      <c r="K312" s="115"/>
      <c r="AH312" s="522"/>
    </row>
    <row r="313" spans="2:34">
      <c r="B313" s="115"/>
      <c r="C313" s="115"/>
      <c r="D313" s="115"/>
      <c r="E313" s="115"/>
      <c r="F313" s="115"/>
      <c r="G313" s="115"/>
      <c r="H313" s="115"/>
      <c r="I313" s="115"/>
      <c r="J313" s="115"/>
      <c r="K313" s="115"/>
      <c r="AH313" s="522"/>
    </row>
    <row r="314" spans="2:34">
      <c r="B314" s="115"/>
      <c r="C314" s="115"/>
      <c r="D314" s="115"/>
      <c r="E314" s="115"/>
      <c r="F314" s="115"/>
      <c r="G314" s="115"/>
      <c r="H314" s="115"/>
      <c r="I314" s="115"/>
      <c r="J314" s="115"/>
      <c r="K314" s="115"/>
      <c r="AH314" s="522"/>
    </row>
    <row r="315" spans="2:34">
      <c r="B315" s="115"/>
      <c r="C315" s="115"/>
      <c r="D315" s="115"/>
      <c r="E315" s="115"/>
      <c r="F315" s="115"/>
      <c r="G315" s="115"/>
      <c r="H315" s="115"/>
      <c r="I315" s="115"/>
      <c r="J315" s="115"/>
      <c r="K315" s="115"/>
      <c r="AH315" s="522"/>
    </row>
    <row r="316" spans="2:34">
      <c r="B316" s="115"/>
      <c r="C316" s="115"/>
      <c r="D316" s="115"/>
      <c r="E316" s="115"/>
      <c r="F316" s="115"/>
      <c r="G316" s="115"/>
      <c r="H316" s="115"/>
      <c r="I316" s="115"/>
      <c r="J316" s="115"/>
      <c r="K316" s="115"/>
      <c r="AH316" s="522"/>
    </row>
    <row r="317" spans="2:34">
      <c r="B317" s="115"/>
      <c r="C317" s="115"/>
      <c r="D317" s="115"/>
      <c r="E317" s="115"/>
      <c r="F317" s="115"/>
      <c r="G317" s="115"/>
      <c r="H317" s="115"/>
      <c r="I317" s="115"/>
      <c r="J317" s="115"/>
      <c r="K317" s="115"/>
      <c r="AH317" s="522"/>
    </row>
    <row r="318" spans="2:34">
      <c r="B318" s="115"/>
      <c r="C318" s="115"/>
      <c r="D318" s="115"/>
      <c r="E318" s="115"/>
      <c r="F318" s="115"/>
      <c r="G318" s="115"/>
      <c r="H318" s="115"/>
      <c r="I318" s="115"/>
      <c r="J318" s="115"/>
      <c r="K318" s="115"/>
      <c r="AH318" s="522"/>
    </row>
    <row r="319" spans="2:34">
      <c r="B319" s="115"/>
      <c r="C319" s="115"/>
      <c r="D319" s="115"/>
      <c r="E319" s="115"/>
      <c r="F319" s="115"/>
      <c r="G319" s="115"/>
      <c r="H319" s="115"/>
      <c r="I319" s="115"/>
      <c r="J319" s="115"/>
      <c r="K319" s="115"/>
      <c r="AH319" s="522"/>
    </row>
    <row r="320" spans="2:34">
      <c r="B320" s="115"/>
      <c r="C320" s="115"/>
      <c r="D320" s="115"/>
      <c r="E320" s="115"/>
      <c r="F320" s="115"/>
      <c r="G320" s="115"/>
      <c r="H320" s="115"/>
      <c r="I320" s="115"/>
      <c r="J320" s="115"/>
      <c r="K320" s="115"/>
      <c r="AH320" s="522"/>
    </row>
    <row r="321" spans="2:34">
      <c r="B321" s="115"/>
      <c r="C321" s="115"/>
      <c r="D321" s="115"/>
      <c r="E321" s="115"/>
      <c r="F321" s="115"/>
      <c r="G321" s="115"/>
      <c r="H321" s="115"/>
      <c r="I321" s="115"/>
      <c r="J321" s="115"/>
      <c r="K321" s="115"/>
      <c r="AH321" s="522"/>
    </row>
    <row r="322" spans="2:34">
      <c r="B322" s="115"/>
      <c r="C322" s="115"/>
      <c r="D322" s="115"/>
      <c r="E322" s="115"/>
      <c r="F322" s="115"/>
      <c r="G322" s="115"/>
      <c r="H322" s="115"/>
      <c r="I322" s="115"/>
      <c r="J322" s="115"/>
      <c r="K322" s="115"/>
      <c r="AH322" s="522"/>
    </row>
    <row r="323" spans="2:34">
      <c r="B323" s="115"/>
      <c r="C323" s="115"/>
      <c r="D323" s="115"/>
      <c r="E323" s="115"/>
      <c r="F323" s="115"/>
      <c r="G323" s="115"/>
      <c r="H323" s="115"/>
      <c r="I323" s="115"/>
      <c r="J323" s="115"/>
      <c r="K323" s="115"/>
      <c r="AH323" s="522"/>
    </row>
    <row r="324" spans="2:34">
      <c r="B324" s="115"/>
      <c r="C324" s="115"/>
      <c r="D324" s="115"/>
      <c r="E324" s="115"/>
      <c r="F324" s="115"/>
      <c r="G324" s="115"/>
      <c r="H324" s="115"/>
      <c r="I324" s="115"/>
      <c r="J324" s="115"/>
      <c r="K324" s="115"/>
      <c r="AH324" s="522"/>
    </row>
    <row r="325" spans="2:34">
      <c r="B325" s="115"/>
      <c r="C325" s="115"/>
      <c r="D325" s="115"/>
      <c r="E325" s="115"/>
      <c r="F325" s="115"/>
      <c r="G325" s="115"/>
      <c r="H325" s="115"/>
      <c r="I325" s="115"/>
      <c r="J325" s="115"/>
      <c r="K325" s="115"/>
      <c r="AH325" s="522"/>
    </row>
    <row r="326" spans="2:34">
      <c r="B326" s="115"/>
      <c r="C326" s="115"/>
      <c r="D326" s="115"/>
      <c r="E326" s="115"/>
      <c r="F326" s="115"/>
      <c r="G326" s="115"/>
      <c r="H326" s="115"/>
      <c r="I326" s="115"/>
      <c r="J326" s="115"/>
      <c r="K326" s="115"/>
      <c r="AH326" s="522"/>
    </row>
    <row r="327" spans="2:34">
      <c r="B327" s="115"/>
      <c r="C327" s="115"/>
      <c r="D327" s="115"/>
      <c r="E327" s="115"/>
      <c r="F327" s="115"/>
      <c r="G327" s="115"/>
      <c r="H327" s="115"/>
      <c r="I327" s="115"/>
      <c r="J327" s="115"/>
      <c r="K327" s="115"/>
      <c r="AH327" s="522"/>
    </row>
    <row r="328" spans="2:34">
      <c r="B328" s="115"/>
      <c r="C328" s="115"/>
      <c r="D328" s="115"/>
      <c r="E328" s="115"/>
      <c r="F328" s="115"/>
      <c r="G328" s="115"/>
      <c r="H328" s="115"/>
      <c r="I328" s="115"/>
      <c r="J328" s="115"/>
      <c r="K328" s="115"/>
      <c r="AH328" s="522"/>
    </row>
    <row r="329" spans="2:34">
      <c r="B329" s="115"/>
      <c r="C329" s="115"/>
      <c r="D329" s="115"/>
      <c r="E329" s="115"/>
      <c r="F329" s="115"/>
      <c r="G329" s="115"/>
      <c r="H329" s="115"/>
      <c r="I329" s="115"/>
      <c r="J329" s="115"/>
      <c r="K329" s="115"/>
      <c r="AH329" s="522"/>
    </row>
    <row r="330" spans="2:34">
      <c r="B330" s="115"/>
      <c r="C330" s="115"/>
      <c r="D330" s="115"/>
      <c r="E330" s="115"/>
      <c r="F330" s="115"/>
      <c r="G330" s="115"/>
      <c r="H330" s="115"/>
      <c r="I330" s="115"/>
      <c r="J330" s="115"/>
      <c r="K330" s="115"/>
      <c r="AH330" s="522"/>
    </row>
    <row r="331" spans="2:34">
      <c r="B331" s="115"/>
      <c r="C331" s="115"/>
      <c r="D331" s="115"/>
      <c r="E331" s="115"/>
      <c r="F331" s="115"/>
      <c r="G331" s="115"/>
      <c r="H331" s="115"/>
      <c r="I331" s="115"/>
      <c r="J331" s="115"/>
      <c r="K331" s="115"/>
      <c r="AH331" s="522"/>
    </row>
    <row r="332" spans="2:34">
      <c r="B332" s="115"/>
      <c r="C332" s="115"/>
      <c r="D332" s="115"/>
      <c r="E332" s="115"/>
      <c r="F332" s="115"/>
      <c r="G332" s="115"/>
      <c r="H332" s="115"/>
      <c r="I332" s="115"/>
      <c r="J332" s="115"/>
      <c r="K332" s="115"/>
      <c r="AH332" s="522"/>
    </row>
    <row r="333" spans="2:34">
      <c r="B333" s="115"/>
      <c r="C333" s="115"/>
      <c r="D333" s="115"/>
      <c r="E333" s="115"/>
      <c r="F333" s="115"/>
      <c r="G333" s="115"/>
      <c r="H333" s="115"/>
      <c r="I333" s="115"/>
      <c r="J333" s="115"/>
      <c r="K333" s="115"/>
      <c r="AH333" s="522"/>
    </row>
    <row r="334" spans="2:34">
      <c r="B334" s="115"/>
      <c r="C334" s="115"/>
      <c r="D334" s="115"/>
      <c r="E334" s="115"/>
      <c r="F334" s="115"/>
      <c r="G334" s="115"/>
      <c r="H334" s="115"/>
      <c r="I334" s="115"/>
      <c r="J334" s="115"/>
      <c r="K334" s="115"/>
      <c r="AH334" s="522"/>
    </row>
    <row r="335" spans="2:34">
      <c r="B335" s="115"/>
      <c r="C335" s="115"/>
      <c r="D335" s="115"/>
      <c r="E335" s="115"/>
      <c r="F335" s="115"/>
      <c r="G335" s="115"/>
      <c r="H335" s="115"/>
      <c r="I335" s="115"/>
      <c r="J335" s="115"/>
      <c r="K335" s="115"/>
      <c r="AH335" s="522"/>
    </row>
    <row r="336" spans="2:34">
      <c r="B336" s="115"/>
      <c r="C336" s="115"/>
      <c r="D336" s="115"/>
      <c r="E336" s="115"/>
      <c r="F336" s="115"/>
      <c r="G336" s="115"/>
      <c r="H336" s="115"/>
      <c r="I336" s="115"/>
      <c r="J336" s="115"/>
      <c r="K336" s="115"/>
      <c r="AH336" s="522"/>
    </row>
    <row r="337" spans="2:34">
      <c r="B337" s="115"/>
      <c r="C337" s="115"/>
      <c r="D337" s="115"/>
      <c r="E337" s="115"/>
      <c r="F337" s="115"/>
      <c r="G337" s="115"/>
      <c r="H337" s="115"/>
      <c r="I337" s="115"/>
      <c r="J337" s="115"/>
      <c r="K337" s="115"/>
      <c r="AH337" s="522"/>
    </row>
    <row r="338" spans="2:34">
      <c r="B338" s="115"/>
      <c r="C338" s="115"/>
      <c r="D338" s="115"/>
      <c r="E338" s="115"/>
      <c r="F338" s="115"/>
      <c r="G338" s="115"/>
      <c r="H338" s="115"/>
      <c r="I338" s="115"/>
      <c r="J338" s="115"/>
      <c r="K338" s="115"/>
      <c r="AH338" s="522"/>
    </row>
    <row r="339" spans="2:34">
      <c r="B339" s="115"/>
      <c r="C339" s="115"/>
      <c r="D339" s="115"/>
      <c r="E339" s="115"/>
      <c r="F339" s="115"/>
      <c r="G339" s="115"/>
      <c r="H339" s="115"/>
      <c r="I339" s="115"/>
      <c r="J339" s="115"/>
      <c r="K339" s="115"/>
      <c r="AH339" s="522"/>
    </row>
    <row r="340" spans="2:34">
      <c r="B340" s="115"/>
      <c r="C340" s="115"/>
      <c r="D340" s="115"/>
      <c r="E340" s="115"/>
      <c r="F340" s="115"/>
      <c r="G340" s="115"/>
      <c r="H340" s="115"/>
      <c r="I340" s="115"/>
      <c r="J340" s="115"/>
      <c r="K340" s="115"/>
      <c r="AH340" s="522"/>
    </row>
    <row r="341" spans="2:34">
      <c r="B341" s="115"/>
      <c r="C341" s="115"/>
      <c r="D341" s="115"/>
      <c r="E341" s="115"/>
      <c r="F341" s="115"/>
      <c r="G341" s="115"/>
      <c r="H341" s="115"/>
      <c r="I341" s="115"/>
      <c r="J341" s="115"/>
      <c r="K341" s="115"/>
      <c r="AH341" s="522"/>
    </row>
    <row r="342" spans="2:34">
      <c r="B342" s="115"/>
      <c r="C342" s="115"/>
      <c r="D342" s="115"/>
      <c r="E342" s="115"/>
      <c r="F342" s="115"/>
      <c r="G342" s="115"/>
      <c r="H342" s="115"/>
      <c r="I342" s="115"/>
      <c r="J342" s="115"/>
      <c r="K342" s="115"/>
      <c r="AH342" s="522"/>
    </row>
    <row r="343" spans="2:34">
      <c r="B343" s="115"/>
      <c r="C343" s="115"/>
      <c r="D343" s="115"/>
      <c r="E343" s="115"/>
      <c r="F343" s="115"/>
      <c r="G343" s="115"/>
      <c r="H343" s="115"/>
      <c r="I343" s="115"/>
      <c r="J343" s="115"/>
      <c r="K343" s="115"/>
      <c r="AH343" s="522"/>
    </row>
    <row r="344" spans="2:34">
      <c r="B344" s="115"/>
      <c r="C344" s="115"/>
      <c r="D344" s="115"/>
      <c r="E344" s="115"/>
      <c r="F344" s="115"/>
      <c r="G344" s="115"/>
      <c r="H344" s="115"/>
      <c r="I344" s="115"/>
      <c r="J344" s="115"/>
      <c r="K344" s="115"/>
      <c r="AH344" s="522"/>
    </row>
    <row r="345" spans="2:34">
      <c r="B345" s="115"/>
      <c r="C345" s="115"/>
      <c r="D345" s="115"/>
      <c r="E345" s="115"/>
      <c r="F345" s="115"/>
      <c r="G345" s="115"/>
      <c r="H345" s="115"/>
      <c r="I345" s="115"/>
      <c r="J345" s="115"/>
      <c r="K345" s="115"/>
      <c r="AH345" s="522"/>
    </row>
    <row r="346" spans="2:34">
      <c r="B346" s="115"/>
      <c r="C346" s="115"/>
      <c r="D346" s="115"/>
      <c r="E346" s="115"/>
      <c r="F346" s="115"/>
      <c r="G346" s="115"/>
      <c r="H346" s="115"/>
      <c r="I346" s="115"/>
      <c r="J346" s="115"/>
      <c r="K346" s="115"/>
      <c r="AH346" s="522"/>
    </row>
    <row r="347" spans="2:34">
      <c r="B347" s="115"/>
      <c r="C347" s="115"/>
      <c r="D347" s="115"/>
      <c r="E347" s="115"/>
      <c r="F347" s="115"/>
      <c r="G347" s="115"/>
      <c r="H347" s="115"/>
      <c r="I347" s="115"/>
      <c r="J347" s="115"/>
      <c r="K347" s="115"/>
      <c r="AH347" s="522"/>
    </row>
    <row r="348" spans="2:34">
      <c r="B348" s="115"/>
      <c r="C348" s="115"/>
      <c r="D348" s="115"/>
      <c r="E348" s="115"/>
      <c r="F348" s="115"/>
      <c r="G348" s="115"/>
      <c r="H348" s="115"/>
      <c r="I348" s="115"/>
      <c r="J348" s="115"/>
      <c r="K348" s="115"/>
      <c r="AH348" s="522"/>
    </row>
    <row r="349" spans="2:34">
      <c r="B349" s="115"/>
      <c r="C349" s="115"/>
      <c r="D349" s="115"/>
      <c r="E349" s="115"/>
      <c r="F349" s="115"/>
      <c r="G349" s="115"/>
      <c r="H349" s="115"/>
      <c r="I349" s="115"/>
      <c r="J349" s="115"/>
      <c r="K349" s="115"/>
      <c r="AH349" s="522"/>
    </row>
    <row r="350" spans="2:34">
      <c r="B350" s="115"/>
      <c r="C350" s="115"/>
      <c r="D350" s="115"/>
      <c r="E350" s="115"/>
      <c r="F350" s="115"/>
      <c r="G350" s="115"/>
      <c r="H350" s="115"/>
      <c r="I350" s="115"/>
      <c r="J350" s="115"/>
      <c r="K350" s="115"/>
      <c r="AH350" s="522"/>
    </row>
    <row r="351" spans="2:34">
      <c r="B351" s="115"/>
      <c r="C351" s="115"/>
      <c r="D351" s="115"/>
      <c r="E351" s="115"/>
      <c r="F351" s="115"/>
      <c r="G351" s="115"/>
      <c r="H351" s="115"/>
      <c r="I351" s="115"/>
      <c r="J351" s="115"/>
      <c r="K351" s="115"/>
      <c r="AH351" s="522"/>
    </row>
    <row r="352" spans="2:34">
      <c r="B352" s="115"/>
      <c r="C352" s="115"/>
      <c r="D352" s="115"/>
      <c r="E352" s="115"/>
      <c r="F352" s="115"/>
      <c r="G352" s="115"/>
      <c r="H352" s="115"/>
      <c r="I352" s="115"/>
      <c r="J352" s="115"/>
      <c r="K352" s="115"/>
      <c r="AH352" s="522"/>
    </row>
    <row r="353" spans="2:34">
      <c r="B353" s="115"/>
      <c r="C353" s="115"/>
      <c r="D353" s="115"/>
      <c r="E353" s="115"/>
      <c r="F353" s="115"/>
      <c r="G353" s="115"/>
      <c r="H353" s="115"/>
      <c r="I353" s="115"/>
      <c r="J353" s="115"/>
      <c r="K353" s="115"/>
      <c r="AH353" s="522"/>
    </row>
    <row r="354" spans="2:34">
      <c r="B354" s="115"/>
      <c r="C354" s="115"/>
      <c r="D354" s="115"/>
      <c r="E354" s="115"/>
      <c r="F354" s="115"/>
      <c r="G354" s="115"/>
      <c r="H354" s="115"/>
      <c r="I354" s="115"/>
      <c r="J354" s="115"/>
      <c r="K354" s="115"/>
      <c r="AH354" s="522"/>
    </row>
    <row r="355" spans="2:34">
      <c r="B355" s="115"/>
      <c r="C355" s="115"/>
      <c r="D355" s="115"/>
      <c r="E355" s="115"/>
      <c r="F355" s="115"/>
      <c r="G355" s="115"/>
      <c r="H355" s="115"/>
      <c r="I355" s="115"/>
      <c r="J355" s="115"/>
      <c r="K355" s="115"/>
      <c r="AH355" s="522"/>
    </row>
    <row r="356" spans="2:34">
      <c r="B356" s="115"/>
      <c r="C356" s="115"/>
      <c r="D356" s="115"/>
      <c r="E356" s="115"/>
      <c r="F356" s="115"/>
      <c r="G356" s="115"/>
      <c r="H356" s="115"/>
      <c r="I356" s="115"/>
      <c r="J356" s="115"/>
      <c r="K356" s="115"/>
      <c r="AH356" s="522"/>
    </row>
    <row r="357" spans="2:34">
      <c r="B357" s="115"/>
      <c r="C357" s="115"/>
      <c r="D357" s="115"/>
      <c r="E357" s="115"/>
      <c r="F357" s="115"/>
      <c r="G357" s="115"/>
      <c r="H357" s="115"/>
      <c r="I357" s="115"/>
      <c r="J357" s="115"/>
      <c r="K357" s="115"/>
      <c r="AH357" s="522"/>
    </row>
    <row r="358" spans="2:34">
      <c r="B358" s="115"/>
      <c r="C358" s="115"/>
      <c r="D358" s="115"/>
      <c r="E358" s="115"/>
      <c r="F358" s="115"/>
      <c r="G358" s="115"/>
      <c r="H358" s="115"/>
      <c r="I358" s="115"/>
      <c r="J358" s="115"/>
      <c r="K358" s="115"/>
      <c r="AH358" s="522"/>
    </row>
    <row r="359" spans="2:34">
      <c r="B359" s="115"/>
      <c r="C359" s="115"/>
      <c r="D359" s="115"/>
      <c r="E359" s="115"/>
      <c r="F359" s="115"/>
      <c r="G359" s="115"/>
      <c r="H359" s="115"/>
      <c r="I359" s="115"/>
      <c r="J359" s="115"/>
      <c r="K359" s="115"/>
      <c r="AH359" s="522"/>
    </row>
    <row r="360" spans="2:34">
      <c r="B360" s="115"/>
      <c r="C360" s="115"/>
      <c r="D360" s="115"/>
      <c r="E360" s="115"/>
      <c r="F360" s="115"/>
      <c r="G360" s="115"/>
      <c r="H360" s="115"/>
      <c r="I360" s="115"/>
      <c r="J360" s="115"/>
      <c r="K360" s="115"/>
      <c r="AH360" s="522"/>
    </row>
    <row r="361" spans="2:34">
      <c r="B361" s="115"/>
      <c r="C361" s="115"/>
      <c r="D361" s="115"/>
      <c r="E361" s="115"/>
      <c r="F361" s="115"/>
      <c r="G361" s="115"/>
      <c r="H361" s="115"/>
      <c r="I361" s="115"/>
      <c r="J361" s="115"/>
      <c r="K361" s="115"/>
      <c r="AH361" s="522"/>
    </row>
    <row r="362" spans="2:34">
      <c r="B362" s="115"/>
      <c r="C362" s="115"/>
      <c r="D362" s="115"/>
      <c r="E362" s="115"/>
      <c r="F362" s="115"/>
      <c r="G362" s="115"/>
      <c r="H362" s="115"/>
      <c r="I362" s="115"/>
      <c r="J362" s="115"/>
      <c r="K362" s="115"/>
      <c r="AH362" s="522"/>
    </row>
    <row r="363" spans="2:34">
      <c r="B363" s="115"/>
      <c r="C363" s="115"/>
      <c r="D363" s="115"/>
      <c r="E363" s="115"/>
      <c r="F363" s="115"/>
      <c r="G363" s="115"/>
      <c r="H363" s="115"/>
      <c r="I363" s="115"/>
      <c r="J363" s="115"/>
      <c r="K363" s="115"/>
      <c r="AH363" s="522"/>
    </row>
    <row r="364" spans="2:34">
      <c r="B364" s="115"/>
      <c r="C364" s="115"/>
      <c r="D364" s="115"/>
      <c r="E364" s="115"/>
      <c r="F364" s="115"/>
      <c r="G364" s="115"/>
      <c r="H364" s="115"/>
      <c r="I364" s="115"/>
      <c r="J364" s="115"/>
      <c r="K364" s="115"/>
      <c r="AH364" s="522"/>
    </row>
    <row r="365" spans="2:34">
      <c r="B365" s="115"/>
      <c r="C365" s="115"/>
      <c r="D365" s="115"/>
      <c r="E365" s="115"/>
      <c r="F365" s="115"/>
      <c r="G365" s="115"/>
      <c r="H365" s="115"/>
      <c r="I365" s="115"/>
      <c r="J365" s="115"/>
      <c r="K365" s="115"/>
      <c r="AH365" s="522"/>
    </row>
    <row r="366" spans="2:34">
      <c r="B366" s="115"/>
      <c r="C366" s="115"/>
      <c r="D366" s="115"/>
      <c r="E366" s="115"/>
      <c r="F366" s="115"/>
      <c r="G366" s="115"/>
      <c r="H366" s="115"/>
      <c r="I366" s="115"/>
      <c r="J366" s="115"/>
      <c r="K366" s="115"/>
      <c r="AH366" s="522"/>
    </row>
    <row r="367" spans="2:34">
      <c r="B367" s="115"/>
      <c r="C367" s="115"/>
      <c r="D367" s="115"/>
      <c r="E367" s="115"/>
      <c r="F367" s="115"/>
      <c r="G367" s="115"/>
      <c r="H367" s="115"/>
      <c r="I367" s="115"/>
      <c r="J367" s="115"/>
      <c r="K367" s="115"/>
      <c r="AH367" s="522"/>
    </row>
    <row r="368" spans="2:34">
      <c r="B368" s="115"/>
      <c r="C368" s="115"/>
      <c r="D368" s="115"/>
      <c r="E368" s="115"/>
      <c r="F368" s="115"/>
      <c r="G368" s="115"/>
      <c r="H368" s="115"/>
      <c r="I368" s="115"/>
      <c r="J368" s="115"/>
      <c r="K368" s="115"/>
      <c r="AH368" s="522"/>
    </row>
    <row r="369" spans="2:34">
      <c r="B369" s="115"/>
      <c r="C369" s="115"/>
      <c r="D369" s="115"/>
      <c r="E369" s="115"/>
      <c r="F369" s="115"/>
      <c r="G369" s="115"/>
      <c r="H369" s="115"/>
      <c r="I369" s="115"/>
      <c r="J369" s="115"/>
      <c r="K369" s="115"/>
      <c r="AH369" s="522"/>
    </row>
    <row r="370" spans="2:34">
      <c r="B370" s="115"/>
      <c r="C370" s="115"/>
      <c r="D370" s="115"/>
      <c r="E370" s="115"/>
      <c r="F370" s="115"/>
      <c r="G370" s="115"/>
      <c r="H370" s="115"/>
      <c r="I370" s="115"/>
      <c r="J370" s="115"/>
      <c r="K370" s="115"/>
      <c r="AH370" s="522"/>
    </row>
    <row r="371" spans="2:34">
      <c r="B371" s="115"/>
      <c r="C371" s="115"/>
      <c r="D371" s="115"/>
      <c r="E371" s="115"/>
      <c r="F371" s="115"/>
      <c r="G371" s="115"/>
      <c r="H371" s="115"/>
      <c r="I371" s="115"/>
      <c r="J371" s="115"/>
      <c r="K371" s="115"/>
      <c r="AH371" s="522"/>
    </row>
    <row r="372" spans="2:34">
      <c r="B372" s="115"/>
      <c r="C372" s="115"/>
      <c r="D372" s="115"/>
      <c r="E372" s="115"/>
      <c r="F372" s="115"/>
      <c r="G372" s="115"/>
      <c r="H372" s="115"/>
      <c r="I372" s="115"/>
      <c r="J372" s="115"/>
      <c r="K372" s="115"/>
      <c r="AH372" s="522"/>
    </row>
    <row r="373" spans="2:34">
      <c r="B373" s="115"/>
      <c r="C373" s="115"/>
      <c r="D373" s="115"/>
      <c r="E373" s="115"/>
      <c r="F373" s="115"/>
      <c r="G373" s="115"/>
      <c r="H373" s="115"/>
      <c r="I373" s="115"/>
      <c r="J373" s="115"/>
      <c r="K373" s="115"/>
      <c r="AH373" s="522"/>
    </row>
    <row r="374" spans="2:34">
      <c r="B374" s="115"/>
      <c r="C374" s="115"/>
      <c r="D374" s="115"/>
      <c r="E374" s="115"/>
      <c r="F374" s="115"/>
      <c r="G374" s="115"/>
      <c r="H374" s="115"/>
      <c r="I374" s="115"/>
      <c r="J374" s="115"/>
      <c r="K374" s="115"/>
      <c r="AH374" s="522"/>
    </row>
    <row r="375" spans="2:34">
      <c r="B375" s="115"/>
      <c r="C375" s="115"/>
      <c r="D375" s="115"/>
      <c r="E375" s="115"/>
      <c r="F375" s="115"/>
      <c r="G375" s="115"/>
      <c r="H375" s="115"/>
      <c r="I375" s="115"/>
      <c r="J375" s="115"/>
      <c r="K375" s="115"/>
      <c r="AH375" s="522"/>
    </row>
    <row r="376" spans="2:34">
      <c r="B376" s="115"/>
      <c r="C376" s="115"/>
      <c r="D376" s="115"/>
      <c r="E376" s="115"/>
      <c r="F376" s="115"/>
      <c r="G376" s="115"/>
      <c r="H376" s="115"/>
      <c r="I376" s="115"/>
      <c r="J376" s="115"/>
      <c r="K376" s="115"/>
      <c r="AH376" s="522"/>
    </row>
    <row r="377" spans="2:34">
      <c r="B377" s="115"/>
      <c r="C377" s="115"/>
      <c r="D377" s="115"/>
      <c r="E377" s="115"/>
      <c r="F377" s="115"/>
      <c r="G377" s="115"/>
      <c r="H377" s="115"/>
      <c r="I377" s="115"/>
      <c r="J377" s="115"/>
      <c r="K377" s="115"/>
      <c r="AH377" s="522"/>
    </row>
    <row r="378" spans="2:34">
      <c r="B378" s="115"/>
      <c r="C378" s="115"/>
      <c r="D378" s="115"/>
      <c r="E378" s="115"/>
      <c r="F378" s="115"/>
      <c r="G378" s="115"/>
      <c r="H378" s="115"/>
      <c r="I378" s="115"/>
      <c r="J378" s="115"/>
      <c r="K378" s="115"/>
      <c r="AH378" s="522"/>
    </row>
    <row r="379" spans="2:34">
      <c r="B379" s="115"/>
      <c r="C379" s="115"/>
      <c r="D379" s="115"/>
      <c r="E379" s="115"/>
      <c r="F379" s="115"/>
      <c r="G379" s="115"/>
      <c r="H379" s="115"/>
      <c r="I379" s="115"/>
      <c r="J379" s="115"/>
      <c r="K379" s="115"/>
      <c r="AH379" s="522"/>
    </row>
    <row r="380" spans="2:34">
      <c r="B380" s="115"/>
      <c r="C380" s="115"/>
      <c r="D380" s="115"/>
      <c r="E380" s="115"/>
      <c r="F380" s="115"/>
      <c r="G380" s="115"/>
      <c r="H380" s="115"/>
      <c r="I380" s="115"/>
      <c r="J380" s="115"/>
      <c r="K380" s="115"/>
      <c r="AH380" s="522"/>
    </row>
    <row r="381" spans="2:34">
      <c r="B381" s="115"/>
      <c r="C381" s="115"/>
      <c r="D381" s="115"/>
      <c r="E381" s="115"/>
      <c r="F381" s="115"/>
      <c r="G381" s="115"/>
      <c r="H381" s="115"/>
      <c r="I381" s="115"/>
      <c r="J381" s="115"/>
      <c r="K381" s="115"/>
      <c r="AH381" s="522"/>
    </row>
    <row r="382" spans="2:34">
      <c r="B382" s="115"/>
      <c r="C382" s="115"/>
      <c r="D382" s="115"/>
      <c r="E382" s="115"/>
      <c r="F382" s="115"/>
      <c r="G382" s="115"/>
      <c r="H382" s="115"/>
      <c r="I382" s="115"/>
      <c r="J382" s="115"/>
      <c r="K382" s="115"/>
      <c r="AH382" s="522"/>
    </row>
    <row r="383" spans="2:34">
      <c r="B383" s="115"/>
      <c r="C383" s="115"/>
      <c r="D383" s="115"/>
      <c r="E383" s="115"/>
      <c r="F383" s="115"/>
      <c r="G383" s="115"/>
      <c r="H383" s="115"/>
      <c r="I383" s="115"/>
      <c r="J383" s="115"/>
      <c r="K383" s="115"/>
      <c r="AH383" s="522"/>
    </row>
    <row r="384" spans="2:34">
      <c r="B384" s="115"/>
      <c r="C384" s="115"/>
      <c r="D384" s="115"/>
      <c r="E384" s="115"/>
      <c r="F384" s="115"/>
      <c r="G384" s="115"/>
      <c r="H384" s="115"/>
      <c r="I384" s="115"/>
      <c r="J384" s="115"/>
      <c r="K384" s="115"/>
      <c r="AH384" s="522"/>
    </row>
    <row r="385" spans="2:34">
      <c r="B385" s="115"/>
      <c r="C385" s="115"/>
      <c r="D385" s="115"/>
      <c r="E385" s="115"/>
      <c r="F385" s="115"/>
      <c r="G385" s="115"/>
      <c r="H385" s="115"/>
      <c r="I385" s="115"/>
      <c r="J385" s="115"/>
      <c r="K385" s="115"/>
      <c r="AH385" s="522"/>
    </row>
    <row r="386" spans="2:34">
      <c r="B386" s="115"/>
      <c r="C386" s="115"/>
      <c r="D386" s="115"/>
      <c r="E386" s="115"/>
      <c r="F386" s="115"/>
      <c r="G386" s="115"/>
      <c r="H386" s="115"/>
      <c r="I386" s="115"/>
      <c r="J386" s="115"/>
      <c r="K386" s="115"/>
      <c r="AH386" s="522"/>
    </row>
    <row r="387" spans="2:34">
      <c r="B387" s="115"/>
      <c r="C387" s="115"/>
      <c r="D387" s="115"/>
      <c r="E387" s="115"/>
      <c r="F387" s="115"/>
      <c r="G387" s="115"/>
      <c r="H387" s="115"/>
      <c r="I387" s="115"/>
      <c r="J387" s="115"/>
      <c r="K387" s="115"/>
      <c r="AH387" s="522"/>
    </row>
    <row r="388" spans="2:34">
      <c r="B388" s="115"/>
      <c r="C388" s="115"/>
      <c r="D388" s="115"/>
      <c r="E388" s="115"/>
      <c r="F388" s="115"/>
      <c r="G388" s="115"/>
      <c r="H388" s="115"/>
      <c r="I388" s="115"/>
      <c r="J388" s="115"/>
      <c r="K388" s="115"/>
      <c r="AH388" s="522"/>
    </row>
    <row r="389" spans="2:34">
      <c r="B389" s="115"/>
      <c r="C389" s="115"/>
      <c r="D389" s="115"/>
      <c r="E389" s="115"/>
      <c r="F389" s="115"/>
      <c r="G389" s="115"/>
      <c r="H389" s="115"/>
      <c r="I389" s="115"/>
      <c r="J389" s="115"/>
      <c r="K389" s="115"/>
      <c r="AH389" s="522"/>
    </row>
    <row r="390" spans="2:34">
      <c r="B390" s="115"/>
      <c r="C390" s="115"/>
      <c r="D390" s="115"/>
      <c r="E390" s="115"/>
      <c r="F390" s="115"/>
      <c r="G390" s="115"/>
      <c r="H390" s="115"/>
      <c r="I390" s="115"/>
      <c r="J390" s="115"/>
      <c r="K390" s="115"/>
      <c r="AH390" s="522"/>
    </row>
    <row r="391" spans="2:34">
      <c r="B391" s="115"/>
      <c r="C391" s="115"/>
      <c r="D391" s="115"/>
      <c r="E391" s="115"/>
      <c r="F391" s="115"/>
      <c r="G391" s="115"/>
      <c r="H391" s="115"/>
      <c r="I391" s="115"/>
      <c r="J391" s="115"/>
      <c r="K391" s="115"/>
      <c r="AH391" s="522"/>
    </row>
    <row r="392" spans="2:34">
      <c r="B392" s="115"/>
      <c r="C392" s="115"/>
      <c r="D392" s="115"/>
      <c r="E392" s="115"/>
      <c r="F392" s="115"/>
      <c r="G392" s="115"/>
      <c r="H392" s="115"/>
      <c r="I392" s="115"/>
      <c r="J392" s="115"/>
      <c r="K392" s="115"/>
      <c r="AH392" s="522"/>
    </row>
    <row r="393" spans="2:34">
      <c r="B393" s="115"/>
      <c r="C393" s="115"/>
      <c r="D393" s="115"/>
      <c r="E393" s="115"/>
      <c r="F393" s="115"/>
      <c r="G393" s="115"/>
      <c r="H393" s="115"/>
      <c r="I393" s="115"/>
      <c r="J393" s="115"/>
      <c r="K393" s="115"/>
      <c r="AH393" s="522"/>
    </row>
    <row r="394" spans="2:34">
      <c r="B394" s="115"/>
      <c r="C394" s="115"/>
      <c r="D394" s="115"/>
      <c r="E394" s="115"/>
      <c r="F394" s="115"/>
      <c r="G394" s="115"/>
      <c r="H394" s="115"/>
      <c r="I394" s="115"/>
      <c r="J394" s="115"/>
      <c r="K394" s="115"/>
      <c r="AH394" s="522"/>
    </row>
    <row r="395" spans="2:34">
      <c r="B395" s="115"/>
      <c r="C395" s="115"/>
      <c r="D395" s="115"/>
      <c r="E395" s="115"/>
      <c r="F395" s="115"/>
      <c r="G395" s="115"/>
      <c r="H395" s="115"/>
      <c r="I395" s="115"/>
      <c r="J395" s="115"/>
      <c r="K395" s="115"/>
      <c r="AH395" s="522"/>
    </row>
    <row r="396" spans="2:34">
      <c r="B396" s="115"/>
      <c r="C396" s="115"/>
      <c r="D396" s="115"/>
      <c r="E396" s="115"/>
      <c r="F396" s="115"/>
      <c r="G396" s="115"/>
      <c r="H396" s="115"/>
      <c r="I396" s="115"/>
      <c r="J396" s="115"/>
      <c r="K396" s="115"/>
      <c r="AH396" s="522"/>
    </row>
    <row r="397" spans="2:34">
      <c r="B397" s="115"/>
      <c r="C397" s="115"/>
      <c r="D397" s="115"/>
      <c r="E397" s="115"/>
      <c r="F397" s="115"/>
      <c r="G397" s="115"/>
      <c r="H397" s="115"/>
      <c r="I397" s="115"/>
      <c r="J397" s="115"/>
      <c r="K397" s="115"/>
      <c r="AH397" s="522"/>
    </row>
    <row r="398" spans="2:34">
      <c r="B398" s="115"/>
      <c r="C398" s="115"/>
      <c r="D398" s="115"/>
      <c r="E398" s="115"/>
      <c r="F398" s="115"/>
      <c r="G398" s="115"/>
      <c r="H398" s="115"/>
      <c r="I398" s="115"/>
      <c r="J398" s="115"/>
      <c r="K398" s="115"/>
      <c r="AH398" s="522"/>
    </row>
    <row r="399" spans="2:34">
      <c r="AH399" s="522"/>
    </row>
    <row r="400" spans="2:34">
      <c r="AH400" s="522"/>
    </row>
    <row r="401" spans="34:34">
      <c r="AH401" s="522"/>
    </row>
    <row r="402" spans="34:34">
      <c r="AH402" s="522"/>
    </row>
    <row r="403" spans="34:34">
      <c r="AH403" s="522"/>
    </row>
    <row r="404" spans="34:34">
      <c r="AH404" s="522"/>
    </row>
    <row r="405" spans="34:34">
      <c r="AH405" s="522"/>
    </row>
    <row r="406" spans="34:34">
      <c r="AH406" s="522"/>
    </row>
    <row r="407" spans="34:34">
      <c r="AH407" s="522"/>
    </row>
    <row r="408" spans="34:34">
      <c r="AH408" s="522"/>
    </row>
    <row r="409" spans="34:34">
      <c r="AH409" s="522"/>
    </row>
    <row r="410" spans="34:34">
      <c r="AH410" s="522"/>
    </row>
    <row r="411" spans="34:34">
      <c r="AH411" s="522"/>
    </row>
    <row r="412" spans="34:34">
      <c r="AH412" s="522"/>
    </row>
    <row r="413" spans="34:34">
      <c r="AH413" s="522"/>
    </row>
    <row r="414" spans="34:34">
      <c r="AH414" s="522"/>
    </row>
    <row r="415" spans="34:34">
      <c r="AH415" s="522"/>
    </row>
    <row r="416" spans="34:34">
      <c r="AH416" s="522"/>
    </row>
    <row r="417" spans="34:34">
      <c r="AH417" s="522"/>
    </row>
    <row r="418" spans="34:34">
      <c r="AH418" s="522"/>
    </row>
    <row r="419" spans="34:34">
      <c r="AH419" s="522"/>
    </row>
    <row r="420" spans="34:34">
      <c r="AH420" s="522"/>
    </row>
    <row r="421" spans="34:34">
      <c r="AH421" s="522"/>
    </row>
    <row r="422" spans="34:34">
      <c r="AH422" s="522"/>
    </row>
    <row r="423" spans="34:34">
      <c r="AH423" s="522"/>
    </row>
    <row r="424" spans="34:34">
      <c r="AH424" s="522"/>
    </row>
    <row r="425" spans="34:34">
      <c r="AH425" s="522"/>
    </row>
    <row r="426" spans="34:34">
      <c r="AH426" s="522"/>
    </row>
    <row r="427" spans="34:34">
      <c r="AH427" s="522"/>
    </row>
    <row r="428" spans="34:34">
      <c r="AH428" s="522"/>
    </row>
    <row r="429" spans="34:34">
      <c r="AH429" s="522"/>
    </row>
    <row r="430" spans="34:34">
      <c r="AH430" s="522"/>
    </row>
    <row r="431" spans="34:34">
      <c r="AH431" s="522"/>
    </row>
    <row r="432" spans="34:34">
      <c r="AH432" s="522"/>
    </row>
    <row r="433" spans="34:34">
      <c r="AH433" s="522"/>
    </row>
    <row r="434" spans="34:34">
      <c r="AH434" s="522"/>
    </row>
    <row r="435" spans="34:34">
      <c r="AH435" s="522"/>
    </row>
    <row r="436" spans="34:34">
      <c r="AH436" s="522"/>
    </row>
    <row r="437" spans="34:34">
      <c r="AH437" s="522"/>
    </row>
    <row r="438" spans="34:34">
      <c r="AH438" s="522"/>
    </row>
    <row r="439" spans="34:34">
      <c r="AH439" s="522"/>
    </row>
    <row r="440" spans="34:34">
      <c r="AH440" s="522"/>
    </row>
    <row r="441" spans="34:34">
      <c r="AH441" s="522"/>
    </row>
    <row r="442" spans="34:34">
      <c r="AH442" s="522"/>
    </row>
    <row r="443" spans="34:34">
      <c r="AH443" s="522"/>
    </row>
    <row r="444" spans="34:34">
      <c r="AH444" s="522"/>
    </row>
    <row r="445" spans="34:34">
      <c r="AH445" s="522"/>
    </row>
    <row r="446" spans="34:34">
      <c r="AH446" s="522"/>
    </row>
    <row r="447" spans="34:34">
      <c r="AH447" s="522"/>
    </row>
    <row r="448" spans="34:34">
      <c r="AH448" s="522"/>
    </row>
    <row r="449" spans="34:34">
      <c r="AH449" s="522"/>
    </row>
    <row r="450" spans="34:34">
      <c r="AH450" s="522"/>
    </row>
    <row r="451" spans="34:34">
      <c r="AH451" s="522"/>
    </row>
    <row r="452" spans="34:34">
      <c r="AH452" s="522"/>
    </row>
    <row r="453" spans="34:34">
      <c r="AH453" s="522"/>
    </row>
    <row r="454" spans="34:34">
      <c r="AH454" s="522"/>
    </row>
    <row r="455" spans="34:34">
      <c r="AH455" s="522"/>
    </row>
    <row r="456" spans="34:34">
      <c r="AH456" s="522"/>
    </row>
    <row r="457" spans="34:34">
      <c r="AH457" s="522"/>
    </row>
    <row r="458" spans="34:34">
      <c r="AH458" s="522"/>
    </row>
    <row r="459" spans="34:34">
      <c r="AH459" s="522"/>
    </row>
    <row r="460" spans="34:34">
      <c r="AH460" s="522"/>
    </row>
    <row r="461" spans="34:34">
      <c r="AH461" s="522"/>
    </row>
    <row r="462" spans="34:34">
      <c r="AH462" s="522"/>
    </row>
    <row r="463" spans="34:34">
      <c r="AH463" s="522"/>
    </row>
    <row r="464" spans="34:34">
      <c r="AH464" s="522"/>
    </row>
    <row r="465" spans="34:34">
      <c r="AH465" s="522"/>
    </row>
    <row r="466" spans="34:34">
      <c r="AH466" s="522"/>
    </row>
    <row r="467" spans="34:34">
      <c r="AH467" s="522"/>
    </row>
    <row r="468" spans="34:34">
      <c r="AH468" s="522"/>
    </row>
    <row r="469" spans="34:34">
      <c r="AH469" s="522"/>
    </row>
    <row r="470" spans="34:34">
      <c r="AH470" s="522"/>
    </row>
    <row r="471" spans="34:34">
      <c r="AH471" s="522"/>
    </row>
    <row r="472" spans="34:34">
      <c r="AH472" s="522"/>
    </row>
    <row r="473" spans="34:34">
      <c r="AH473" s="522"/>
    </row>
    <row r="474" spans="34:34">
      <c r="AH474" s="522"/>
    </row>
    <row r="475" spans="34:34">
      <c r="AH475" s="522"/>
    </row>
    <row r="476" spans="34:34">
      <c r="AH476" s="522"/>
    </row>
    <row r="477" spans="34:34">
      <c r="AH477" s="522"/>
    </row>
    <row r="478" spans="34:34">
      <c r="AH478" s="522"/>
    </row>
    <row r="479" spans="34:34">
      <c r="AH479" s="522"/>
    </row>
    <row r="480" spans="34:34">
      <c r="AH480" s="522"/>
    </row>
    <row r="481" spans="34:34">
      <c r="AH481" s="522"/>
    </row>
    <row r="482" spans="34:34">
      <c r="AH482" s="522"/>
    </row>
    <row r="483" spans="34:34">
      <c r="AH483" s="522"/>
    </row>
    <row r="484" spans="34:34">
      <c r="AH484" s="522"/>
    </row>
    <row r="485" spans="34:34">
      <c r="AH485" s="522"/>
    </row>
    <row r="486" spans="34:34">
      <c r="AH486" s="522"/>
    </row>
    <row r="487" spans="34:34">
      <c r="AH487" s="522"/>
    </row>
    <row r="488" spans="34:34">
      <c r="AH488" s="522"/>
    </row>
    <row r="489" spans="34:34">
      <c r="AH489" s="522"/>
    </row>
    <row r="490" spans="34:34">
      <c r="AH490" s="522"/>
    </row>
    <row r="491" spans="34:34">
      <c r="AH491" s="522"/>
    </row>
    <row r="492" spans="34:34">
      <c r="AH492" s="522"/>
    </row>
    <row r="493" spans="34:34">
      <c r="AH493" s="522"/>
    </row>
    <row r="494" spans="34:34">
      <c r="AH494" s="522"/>
    </row>
    <row r="495" spans="34:34">
      <c r="AH495" s="522"/>
    </row>
    <row r="496" spans="34:34">
      <c r="AH496" s="522"/>
    </row>
    <row r="497" spans="34:34">
      <c r="AH497" s="522"/>
    </row>
    <row r="498" spans="34:34">
      <c r="AH498" s="522"/>
    </row>
    <row r="499" spans="34:34">
      <c r="AH499" s="522"/>
    </row>
    <row r="500" spans="34:34">
      <c r="AH500" s="522"/>
    </row>
    <row r="501" spans="34:34">
      <c r="AH501" s="522"/>
    </row>
    <row r="502" spans="34:34">
      <c r="AH502" s="522"/>
    </row>
    <row r="503" spans="34:34">
      <c r="AH503" s="522"/>
    </row>
    <row r="504" spans="34:34">
      <c r="AH504" s="522"/>
    </row>
    <row r="505" spans="34:34">
      <c r="AH505" s="522"/>
    </row>
    <row r="506" spans="34:34">
      <c r="AH506" s="522"/>
    </row>
    <row r="507" spans="34:34">
      <c r="AH507" s="522"/>
    </row>
    <row r="508" spans="34:34">
      <c r="AH508" s="522"/>
    </row>
    <row r="509" spans="34:34">
      <c r="AH509" s="522"/>
    </row>
    <row r="510" spans="34:34">
      <c r="AH510" s="522"/>
    </row>
    <row r="511" spans="34:34">
      <c r="AH511" s="522"/>
    </row>
    <row r="512" spans="34:34">
      <c r="AH512" s="522"/>
    </row>
    <row r="513" spans="34:34">
      <c r="AH513" s="522"/>
    </row>
    <row r="514" spans="34:34">
      <c r="AH514" s="522"/>
    </row>
    <row r="515" spans="34:34">
      <c r="AH515" s="522"/>
    </row>
    <row r="516" spans="34:34">
      <c r="AH516" s="522"/>
    </row>
    <row r="517" spans="34:34">
      <c r="AH517" s="522"/>
    </row>
    <row r="518" spans="34:34">
      <c r="AH518" s="522"/>
    </row>
    <row r="519" spans="34:34">
      <c r="AH519" s="522"/>
    </row>
    <row r="520" spans="34:34">
      <c r="AH520" s="522"/>
    </row>
    <row r="521" spans="34:34">
      <c r="AH521" s="522"/>
    </row>
    <row r="522" spans="34:34">
      <c r="AH522" s="522"/>
    </row>
    <row r="523" spans="34:34">
      <c r="AH523" s="522"/>
    </row>
    <row r="524" spans="34:34">
      <c r="AH524" s="522"/>
    </row>
    <row r="525" spans="34:34">
      <c r="AH525" s="522"/>
    </row>
    <row r="526" spans="34:34">
      <c r="AH526" s="522"/>
    </row>
    <row r="527" spans="34:34">
      <c r="AH527" s="522"/>
    </row>
    <row r="528" spans="34:34">
      <c r="AH528" s="522"/>
    </row>
    <row r="529" spans="34:34">
      <c r="AH529" s="522"/>
    </row>
    <row r="530" spans="34:34">
      <c r="AH530" s="522"/>
    </row>
    <row r="531" spans="34:34">
      <c r="AH531" s="522"/>
    </row>
    <row r="532" spans="34:34">
      <c r="AH532" s="522"/>
    </row>
    <row r="533" spans="34:34">
      <c r="AH533" s="522"/>
    </row>
    <row r="534" spans="34:34">
      <c r="AH534" s="522"/>
    </row>
    <row r="535" spans="34:34">
      <c r="AH535" s="522"/>
    </row>
    <row r="536" spans="34:34">
      <c r="AH536" s="522"/>
    </row>
    <row r="537" spans="34:34">
      <c r="AH537" s="522"/>
    </row>
    <row r="538" spans="34:34">
      <c r="AH538" s="522"/>
    </row>
    <row r="539" spans="34:34">
      <c r="AH539" s="522"/>
    </row>
    <row r="540" spans="34:34">
      <c r="AH540" s="522"/>
    </row>
    <row r="541" spans="34:34">
      <c r="AH541" s="522"/>
    </row>
    <row r="542" spans="34:34">
      <c r="AH542" s="522"/>
    </row>
    <row r="543" spans="34:34">
      <c r="AH543" s="522"/>
    </row>
    <row r="544" spans="34:34">
      <c r="AH544" s="522"/>
    </row>
    <row r="545" spans="34:34">
      <c r="AH545" s="522"/>
    </row>
    <row r="546" spans="34:34">
      <c r="AH546" s="522"/>
    </row>
    <row r="547" spans="34:34">
      <c r="AH547" s="522"/>
    </row>
    <row r="548" spans="34:34">
      <c r="AH548" s="522"/>
    </row>
    <row r="549" spans="34:34">
      <c r="AH549" s="522"/>
    </row>
    <row r="550" spans="34:34">
      <c r="AH550" s="522"/>
    </row>
    <row r="551" spans="34:34">
      <c r="AH551" s="522"/>
    </row>
    <row r="552" spans="34:34">
      <c r="AH552" s="522"/>
    </row>
    <row r="553" spans="34:34">
      <c r="AH553" s="522"/>
    </row>
    <row r="554" spans="34:34">
      <c r="AH554" s="522"/>
    </row>
    <row r="555" spans="34:34">
      <c r="AH555" s="522"/>
    </row>
    <row r="556" spans="34:34">
      <c r="AH556" s="522"/>
    </row>
    <row r="557" spans="34:34">
      <c r="AH557" s="522"/>
    </row>
    <row r="558" spans="34:34">
      <c r="AH558" s="522"/>
    </row>
    <row r="559" spans="34:34">
      <c r="AH559" s="522"/>
    </row>
    <row r="560" spans="34:34">
      <c r="AH560" s="522"/>
    </row>
    <row r="561" spans="34:34">
      <c r="AH561" s="522"/>
    </row>
    <row r="562" spans="34:34">
      <c r="AH562" s="522"/>
    </row>
    <row r="563" spans="34:34">
      <c r="AH563" s="522"/>
    </row>
    <row r="564" spans="34:34">
      <c r="AH564" s="522"/>
    </row>
    <row r="565" spans="34:34">
      <c r="AH565" s="522"/>
    </row>
    <row r="566" spans="34:34">
      <c r="AH566" s="522"/>
    </row>
    <row r="567" spans="34:34">
      <c r="AH567" s="522"/>
    </row>
    <row r="568" spans="34:34">
      <c r="AH568" s="522"/>
    </row>
    <row r="569" spans="34:34">
      <c r="AH569" s="522"/>
    </row>
    <row r="570" spans="34:34">
      <c r="AH570" s="522"/>
    </row>
    <row r="571" spans="34:34">
      <c r="AH571" s="522"/>
    </row>
    <row r="572" spans="34:34">
      <c r="AH572" s="522"/>
    </row>
    <row r="573" spans="34:34">
      <c r="AH573" s="522"/>
    </row>
    <row r="574" spans="34:34">
      <c r="AH574" s="522"/>
    </row>
    <row r="575" spans="34:34">
      <c r="AH575" s="522"/>
    </row>
    <row r="576" spans="34:34">
      <c r="AH576" s="522"/>
    </row>
    <row r="577" spans="34:34">
      <c r="AH577" s="522"/>
    </row>
    <row r="578" spans="34:34">
      <c r="AH578" s="522"/>
    </row>
    <row r="579" spans="34:34">
      <c r="AH579" s="522"/>
    </row>
    <row r="580" spans="34:34">
      <c r="AH580" s="522"/>
    </row>
    <row r="581" spans="34:34">
      <c r="AH581" s="522"/>
    </row>
    <row r="582" spans="34:34">
      <c r="AH582" s="522"/>
    </row>
    <row r="583" spans="34:34">
      <c r="AH583" s="522"/>
    </row>
    <row r="584" spans="34:34">
      <c r="AH584" s="522"/>
    </row>
    <row r="585" spans="34:34">
      <c r="AH585" s="522"/>
    </row>
    <row r="586" spans="34:34">
      <c r="AH586" s="522"/>
    </row>
    <row r="587" spans="34:34">
      <c r="AH587" s="522"/>
    </row>
    <row r="588" spans="34:34">
      <c r="AH588" s="522"/>
    </row>
    <row r="589" spans="34:34">
      <c r="AH589" s="522"/>
    </row>
    <row r="590" spans="34:34">
      <c r="AH590" s="522"/>
    </row>
    <row r="591" spans="34:34">
      <c r="AH591" s="522"/>
    </row>
    <row r="592" spans="34:34">
      <c r="AH592" s="522"/>
    </row>
    <row r="593" spans="34:34">
      <c r="AH593" s="522"/>
    </row>
    <row r="594" spans="34:34">
      <c r="AH594" s="522"/>
    </row>
    <row r="595" spans="34:34">
      <c r="AH595" s="522"/>
    </row>
    <row r="596" spans="34:34">
      <c r="AH596" s="522"/>
    </row>
    <row r="597" spans="34:34">
      <c r="AH597" s="522"/>
    </row>
    <row r="598" spans="34:34">
      <c r="AH598" s="522"/>
    </row>
    <row r="599" spans="34:34">
      <c r="AH599" s="522"/>
    </row>
    <row r="600" spans="34:34">
      <c r="AH600" s="522"/>
    </row>
    <row r="601" spans="34:34">
      <c r="AH601" s="522"/>
    </row>
    <row r="602" spans="34:34">
      <c r="AH602" s="522"/>
    </row>
    <row r="603" spans="34:34">
      <c r="AH603" s="522"/>
    </row>
    <row r="604" spans="34:34">
      <c r="AH604" s="522"/>
    </row>
    <row r="605" spans="34:34">
      <c r="AH605" s="522"/>
    </row>
    <row r="606" spans="34:34">
      <c r="AH606" s="522"/>
    </row>
    <row r="607" spans="34:34">
      <c r="AH607" s="522"/>
    </row>
    <row r="608" spans="34:34">
      <c r="AH608" s="522"/>
    </row>
    <row r="609" spans="34:34">
      <c r="AH609" s="522"/>
    </row>
    <row r="610" spans="34:34">
      <c r="AH610" s="522"/>
    </row>
    <row r="611" spans="34:34">
      <c r="AH611" s="522"/>
    </row>
    <row r="612" spans="34:34">
      <c r="AH612" s="522"/>
    </row>
    <row r="613" spans="34:34">
      <c r="AH613" s="522"/>
    </row>
    <row r="614" spans="34:34">
      <c r="AH614" s="522"/>
    </row>
    <row r="615" spans="34:34">
      <c r="AH615" s="522"/>
    </row>
    <row r="616" spans="34:34">
      <c r="AH616" s="522"/>
    </row>
    <row r="617" spans="34:34">
      <c r="AH617" s="522"/>
    </row>
    <row r="618" spans="34:34">
      <c r="AH618" s="522"/>
    </row>
    <row r="619" spans="34:34">
      <c r="AH619" s="522"/>
    </row>
    <row r="620" spans="34:34">
      <c r="AH620" s="522"/>
    </row>
    <row r="621" spans="34:34">
      <c r="AH621" s="522"/>
    </row>
    <row r="622" spans="34:34">
      <c r="AH622" s="522"/>
    </row>
    <row r="623" spans="34:34">
      <c r="AH623" s="522"/>
    </row>
    <row r="624" spans="34:34">
      <c r="AH624" s="522"/>
    </row>
    <row r="625" spans="34:34">
      <c r="AH625" s="522"/>
    </row>
  </sheetData>
  <mergeCells count="33">
    <mergeCell ref="AE7:AG7"/>
    <mergeCell ref="Z6:AG6"/>
    <mergeCell ref="E5:H5"/>
    <mergeCell ref="I5:I7"/>
    <mergeCell ref="J5:J7"/>
    <mergeCell ref="K5:K7"/>
    <mergeCell ref="E6:E7"/>
    <mergeCell ref="O6:O7"/>
    <mergeCell ref="P6:R6"/>
    <mergeCell ref="S6:S7"/>
    <mergeCell ref="Y6:Y7"/>
    <mergeCell ref="X6:X7"/>
    <mergeCell ref="Z7:AD7"/>
    <mergeCell ref="V7:V8"/>
    <mergeCell ref="W7:W8"/>
    <mergeCell ref="U7:U8"/>
    <mergeCell ref="B183:E183"/>
    <mergeCell ref="C141:K141"/>
    <mergeCell ref="B180:K180"/>
    <mergeCell ref="F6:H6"/>
    <mergeCell ref="B3:B7"/>
    <mergeCell ref="C3:K3"/>
    <mergeCell ref="C4:C7"/>
    <mergeCell ref="D4:H4"/>
    <mergeCell ref="I4:K4"/>
    <mergeCell ref="D5:D7"/>
    <mergeCell ref="L3:T3"/>
    <mergeCell ref="L4:L7"/>
    <mergeCell ref="M4:M7"/>
    <mergeCell ref="N4:T4"/>
    <mergeCell ref="N5:N7"/>
    <mergeCell ref="O5:S5"/>
    <mergeCell ref="T5:T7"/>
  </mergeCells>
  <phoneticPr fontId="0" type="noConversion"/>
  <pageMargins left="0.75" right="0.75" top="1" bottom="1" header="0.5" footer="0.5"/>
  <pageSetup scale="1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21"/>
  <dimension ref="A1:G31"/>
  <sheetViews>
    <sheetView workbookViewId="0">
      <pane xSplit="1" ySplit="2" topLeftCell="B6" activePane="bottomRight" state="frozen"/>
      <selection pane="topRight" activeCell="B1" sqref="B1"/>
      <selection pane="bottomLeft" activeCell="A3" sqref="A3"/>
      <selection pane="bottomRight" activeCell="H14" sqref="H14"/>
    </sheetView>
  </sheetViews>
  <sheetFormatPr defaultRowHeight="12.75"/>
  <cols>
    <col min="1" max="1" width="33" customWidth="1"/>
    <col min="2" max="5" width="10.140625" customWidth="1"/>
  </cols>
  <sheetData>
    <row r="1" spans="1:5" ht="15.75">
      <c r="A1" s="866" t="s">
        <v>796</v>
      </c>
      <c r="B1" s="867"/>
      <c r="C1" s="867"/>
      <c r="D1" s="4513" t="s">
        <v>217</v>
      </c>
      <c r="E1" s="4514"/>
    </row>
    <row r="2" spans="1:5" ht="15.75">
      <c r="A2" s="812" t="s">
        <v>146</v>
      </c>
      <c r="B2" s="868" t="s">
        <v>452</v>
      </c>
      <c r="C2" s="868" t="s">
        <v>609</v>
      </c>
      <c r="D2" s="868" t="s">
        <v>877</v>
      </c>
      <c r="E2" s="869" t="s">
        <v>1164</v>
      </c>
    </row>
    <row r="3" spans="1:5" ht="20.25" customHeight="1">
      <c r="A3" s="813" t="s">
        <v>782</v>
      </c>
      <c r="B3" s="814" t="e">
        <f>'Monetary Survey Components'!#REF!</f>
        <v>#REF!</v>
      </c>
      <c r="C3" s="814" t="e">
        <f>'Monetary Survey Components'!#REF!</f>
        <v>#REF!</v>
      </c>
      <c r="D3" s="814" t="e">
        <f>'Monetary Survey Components'!#REF!</f>
        <v>#REF!</v>
      </c>
      <c r="E3" s="815" t="e">
        <f>'Monetary Survey Components'!#REF!</f>
        <v>#REF!</v>
      </c>
    </row>
    <row r="4" spans="1:5" ht="20.25" customHeight="1">
      <c r="A4" s="816" t="s">
        <v>783</v>
      </c>
      <c r="B4" s="817" t="e">
        <f>'Monetary Survey Components'!#REF!</f>
        <v>#REF!</v>
      </c>
      <c r="C4" s="817" t="e">
        <f>'Monetary Survey Components'!#REF!</f>
        <v>#REF!</v>
      </c>
      <c r="D4" s="817" t="e">
        <f>'Monetary Survey Components'!#REF!</f>
        <v>#REF!</v>
      </c>
      <c r="E4" s="818" t="e">
        <f>'Monetary Survey Components'!#REF!</f>
        <v>#REF!</v>
      </c>
    </row>
    <row r="5" spans="1:5" ht="20.25" customHeight="1">
      <c r="A5" s="813" t="s">
        <v>874</v>
      </c>
      <c r="B5" s="814"/>
      <c r="C5" s="814"/>
      <c r="D5" s="814"/>
      <c r="E5" s="815"/>
    </row>
    <row r="6" spans="1:5" ht="20.25" customHeight="1">
      <c r="A6" s="819" t="s">
        <v>784</v>
      </c>
      <c r="B6" s="814" t="e">
        <f>'Monetary Survey Counterparts'!#REF!</f>
        <v>#REF!</v>
      </c>
      <c r="C6" s="814" t="e">
        <f>'Monetary Survey Counterparts'!#REF!</f>
        <v>#REF!</v>
      </c>
      <c r="D6" s="814" t="e">
        <f>'Monetary Survey Counterparts'!#REF!</f>
        <v>#REF!</v>
      </c>
      <c r="E6" s="815" t="e">
        <f>'Monetary Survey Counterparts'!#REF!</f>
        <v>#REF!</v>
      </c>
    </row>
    <row r="7" spans="1:5" ht="20.25" customHeight="1">
      <c r="A7" s="820" t="s">
        <v>785</v>
      </c>
      <c r="B7" s="817" t="e">
        <f>'Monetary Survey Counterparts'!#REF!</f>
        <v>#REF!</v>
      </c>
      <c r="C7" s="817" t="e">
        <f>'Monetary Survey Counterparts'!#REF!</f>
        <v>#REF!</v>
      </c>
      <c r="D7" s="817" t="e">
        <f>'Monetary Survey Counterparts'!#REF!</f>
        <v>#REF!</v>
      </c>
      <c r="E7" s="818" t="e">
        <f>'Monetary Survey Counterparts'!#REF!</f>
        <v>#REF!</v>
      </c>
    </row>
    <row r="8" spans="1:5" ht="20.25" customHeight="1">
      <c r="A8" s="821" t="s">
        <v>786</v>
      </c>
      <c r="B8" s="814" t="e">
        <f>'Monetary Survey Counterparts'!#REF!</f>
        <v>#REF!</v>
      </c>
      <c r="C8" s="814" t="e">
        <f>'Monetary Survey Counterparts'!#REF!</f>
        <v>#REF!</v>
      </c>
      <c r="D8" s="814" t="e">
        <f>'Monetary Survey Counterparts'!#REF!</f>
        <v>#REF!</v>
      </c>
      <c r="E8" s="815" t="e">
        <f>'Monetary Survey Counterparts'!#REF!</f>
        <v>#REF!</v>
      </c>
    </row>
    <row r="9" spans="1:5" ht="20.25" customHeight="1">
      <c r="A9" s="822" t="s">
        <v>711</v>
      </c>
      <c r="B9" s="817" t="e">
        <f>'Monetary Survey Counterparts'!#REF!</f>
        <v>#REF!</v>
      </c>
      <c r="C9" s="817" t="e">
        <f>'Monetary Survey Counterparts'!#REF!</f>
        <v>#REF!</v>
      </c>
      <c r="D9" s="817" t="e">
        <f>'Monetary Survey Counterparts'!#REF!</f>
        <v>#REF!</v>
      </c>
      <c r="E9" s="818" t="e">
        <f>'Monetary Survey Counterparts'!#REF!</f>
        <v>#REF!</v>
      </c>
    </row>
    <row r="10" spans="1:5" ht="30.75" customHeight="1">
      <c r="A10" s="821" t="s">
        <v>534</v>
      </c>
      <c r="B10" s="814" t="e">
        <f>'Monetary Survey Counterparts'!#REF!</f>
        <v>#REF!</v>
      </c>
      <c r="C10" s="814" t="e">
        <f>'Monetary Survey Counterparts'!#REF!</f>
        <v>#REF!</v>
      </c>
      <c r="D10" s="814" t="e">
        <f>'Monetary Survey Counterparts'!#REF!</f>
        <v>#REF!</v>
      </c>
      <c r="E10" s="815" t="e">
        <f>'Monetary Survey Counterparts'!#REF!</f>
        <v>#REF!</v>
      </c>
    </row>
    <row r="11" spans="1:5" ht="23.25" customHeight="1">
      <c r="A11" s="820" t="s">
        <v>535</v>
      </c>
      <c r="B11" s="817" t="e">
        <f>'Monetary Survey Counterparts'!#REF!</f>
        <v>#REF!</v>
      </c>
      <c r="C11" s="817" t="e">
        <f>'Monetary Survey Counterparts'!#REF!</f>
        <v>#REF!</v>
      </c>
      <c r="D11" s="817" t="e">
        <f>'Monetary Survey Counterparts'!#REF!</f>
        <v>#REF!</v>
      </c>
      <c r="E11" s="818" t="e">
        <f>'Monetary Survey Counterparts'!#REF!</f>
        <v>#REF!</v>
      </c>
    </row>
    <row r="12" spans="1:5" ht="23.25" customHeight="1">
      <c r="A12" s="813" t="s">
        <v>787</v>
      </c>
      <c r="B12" s="823"/>
      <c r="C12" s="823"/>
      <c r="D12" s="823"/>
      <c r="E12" s="824"/>
    </row>
    <row r="13" spans="1:5" ht="23.25" customHeight="1">
      <c r="A13" s="819" t="s">
        <v>788</v>
      </c>
      <c r="B13" s="814" t="e">
        <f>'Monetary Survey Components'!#REF!</f>
        <v>#REF!</v>
      </c>
      <c r="C13" s="814" t="e">
        <f>'Monetary Survey Components'!#REF!</f>
        <v>#REF!</v>
      </c>
      <c r="D13" s="814" t="e">
        <f>'Monetary Survey Components'!#REF!</f>
        <v>#REF!</v>
      </c>
      <c r="E13" s="815" t="e">
        <f>'Monetary Survey Components'!#REF!</f>
        <v>#REF!</v>
      </c>
    </row>
    <row r="14" spans="1:5" ht="24.75" customHeight="1">
      <c r="A14" s="820" t="s">
        <v>536</v>
      </c>
      <c r="B14" s="817" t="e">
        <f>'Monetary Survey Components'!#REF!</f>
        <v>#REF!</v>
      </c>
      <c r="C14" s="817" t="e">
        <f>'Monetary Survey Components'!#REF!</f>
        <v>#REF!</v>
      </c>
      <c r="D14" s="817" t="e">
        <f>'Monetary Survey Components'!#REF!</f>
        <v>#REF!</v>
      </c>
      <c r="E14" s="818" t="e">
        <f>'Monetary Survey Components'!#REF!</f>
        <v>#REF!</v>
      </c>
    </row>
    <row r="15" spans="1:5" ht="24.75" customHeight="1">
      <c r="A15" s="825" t="s">
        <v>537</v>
      </c>
      <c r="B15" s="826" t="e">
        <f>'Monetary Survey Components'!#REF!</f>
        <v>#REF!</v>
      </c>
      <c r="C15" s="826" t="e">
        <f>'Monetary Survey Components'!#REF!</f>
        <v>#REF!</v>
      </c>
      <c r="D15" s="826" t="e">
        <f>'Monetary Survey Components'!#REF!</f>
        <v>#REF!</v>
      </c>
      <c r="E15" s="827" t="e">
        <f>'Monetary Survey Components'!#REF!</f>
        <v>#REF!</v>
      </c>
    </row>
    <row r="16" spans="1:5" ht="24.75" hidden="1" customHeight="1">
      <c r="A16" s="816" t="s">
        <v>791</v>
      </c>
      <c r="B16" s="863"/>
      <c r="C16" s="863" t="s">
        <v>143</v>
      </c>
      <c r="D16" s="863"/>
      <c r="E16" s="864"/>
    </row>
    <row r="17" spans="1:7" ht="24.75" hidden="1" customHeight="1">
      <c r="A17" s="822" t="s">
        <v>792</v>
      </c>
      <c r="B17" s="863">
        <f>'[9]RMA Liab'!$D$76</f>
        <v>6022.99</v>
      </c>
      <c r="C17" s="863">
        <f>'[9]RMA Liab'!$D$89</f>
        <v>8008.01</v>
      </c>
      <c r="D17" s="863">
        <f>'[9]RMA Liab'!$D$102</f>
        <v>9370.25</v>
      </c>
      <c r="E17" s="864">
        <f>'[9]RMA Liab'!$D$115</f>
        <v>9340.07</v>
      </c>
    </row>
    <row r="18" spans="1:7" ht="24.75" hidden="1" customHeight="1">
      <c r="A18" s="822" t="s">
        <v>793</v>
      </c>
      <c r="B18" s="865"/>
      <c r="C18" s="865"/>
      <c r="D18" s="865"/>
      <c r="E18" s="864"/>
    </row>
    <row r="19" spans="1:7" ht="24.75" hidden="1" customHeight="1">
      <c r="A19" s="821" t="s">
        <v>794</v>
      </c>
      <c r="B19" s="823">
        <v>1694.5</v>
      </c>
      <c r="C19" s="823">
        <v>1765.1</v>
      </c>
      <c r="D19" s="823">
        <v>2057.1</v>
      </c>
      <c r="E19" s="824"/>
    </row>
    <row r="20" spans="1:7" ht="18" hidden="1" customHeight="1">
      <c r="A20" s="822" t="s">
        <v>795</v>
      </c>
      <c r="B20" s="863">
        <v>4222.8999999999996</v>
      </c>
      <c r="C20" s="863">
        <v>6242.9</v>
      </c>
      <c r="D20" s="863">
        <v>7261.7</v>
      </c>
      <c r="E20" s="864"/>
    </row>
    <row r="21" spans="1:7" hidden="1">
      <c r="A21" s="107"/>
      <c r="B21" s="59">
        <f>SUM(B19:B20)</f>
        <v>5917.4</v>
      </c>
      <c r="C21" s="59"/>
      <c r="D21" s="59"/>
      <c r="E21" s="108"/>
    </row>
    <row r="22" spans="1:7" ht="40.5" customHeight="1">
      <c r="A22" s="4515" t="s">
        <v>538</v>
      </c>
      <c r="B22" s="4516"/>
      <c r="C22" s="4516"/>
      <c r="D22" s="4516"/>
      <c r="E22" s="4516"/>
    </row>
    <row r="24" spans="1:7">
      <c r="B24" t="s">
        <v>609</v>
      </c>
    </row>
    <row r="26" spans="1:7">
      <c r="B26" t="s">
        <v>877</v>
      </c>
    </row>
    <row r="27" spans="1:7">
      <c r="B27" t="s">
        <v>161</v>
      </c>
      <c r="C27" t="s">
        <v>162</v>
      </c>
      <c r="D27" t="s">
        <v>163</v>
      </c>
      <c r="E27" t="s">
        <v>164</v>
      </c>
      <c r="F27" t="s">
        <v>165</v>
      </c>
      <c r="G27" t="s">
        <v>166</v>
      </c>
    </row>
    <row r="28" spans="1:7">
      <c r="B28" t="e">
        <f>'Monetary Survey Counterparts'!#REF!</f>
        <v>#REF!</v>
      </c>
      <c r="C28" t="e">
        <f>'Monetary Survey Counterparts'!#REF!</f>
        <v>#REF!</v>
      </c>
      <c r="D28" t="e">
        <f>'Monetary Survey Counterparts'!#REF!</f>
        <v>#REF!</v>
      </c>
      <c r="E28" t="e">
        <f>'Monetary Survey Counterparts'!#REF!</f>
        <v>#REF!</v>
      </c>
      <c r="F28" t="e">
        <f>'Monetary Survey Counterparts'!#REF!</f>
        <v>#REF!</v>
      </c>
      <c r="G28" t="e">
        <f>'Monetary Survey Counterparts'!#REF!</f>
        <v>#REF!</v>
      </c>
    </row>
    <row r="29" spans="1:7">
      <c r="B29" t="s">
        <v>1164</v>
      </c>
    </row>
    <row r="30" spans="1:7">
      <c r="B30" t="s">
        <v>161</v>
      </c>
      <c r="C30" t="s">
        <v>162</v>
      </c>
      <c r="D30" t="s">
        <v>163</v>
      </c>
      <c r="E30" t="s">
        <v>164</v>
      </c>
      <c r="F30" t="s">
        <v>165</v>
      </c>
      <c r="G30" t="s">
        <v>166</v>
      </c>
    </row>
    <row r="31" spans="1:7">
      <c r="B31" t="e">
        <f>'Monetary Survey Counterparts'!#REF!</f>
        <v>#REF!</v>
      </c>
      <c r="C31" t="e">
        <f>'Monetary Survey Counterparts'!#REF!</f>
        <v>#REF!</v>
      </c>
      <c r="D31" t="e">
        <f>'Monetary Survey Counterparts'!#REF!</f>
        <v>#REF!</v>
      </c>
      <c r="E31" t="e">
        <f>'Monetary Survey Counterparts'!#REF!</f>
        <v>#REF!</v>
      </c>
      <c r="F31" t="e">
        <f>'Monetary Survey Counterparts'!#REF!</f>
        <v>#REF!</v>
      </c>
      <c r="G31" t="e">
        <f>'Monetary Survey Counterparts'!#REF!</f>
        <v>#REF!</v>
      </c>
    </row>
  </sheetData>
  <mergeCells count="2">
    <mergeCell ref="D1:E1"/>
    <mergeCell ref="A22:E22"/>
  </mergeCells>
  <phoneticPr fontId="4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22"/>
  <dimension ref="A1:S729"/>
  <sheetViews>
    <sheetView zoomScale="75" workbookViewId="0">
      <pane xSplit="1" ySplit="5" topLeftCell="B94" activePane="bottomRight" state="frozen"/>
      <selection pane="topRight" activeCell="B1" sqref="B1"/>
      <selection pane="bottomLeft" activeCell="A5" sqref="A5"/>
      <selection pane="bottomRight" activeCell="S201" sqref="S201"/>
    </sheetView>
  </sheetViews>
  <sheetFormatPr defaultRowHeight="12.75"/>
  <cols>
    <col min="1" max="1" width="10.7109375" customWidth="1"/>
    <col min="2" max="5" width="10.42578125" customWidth="1"/>
    <col min="6" max="6" width="12" customWidth="1"/>
    <col min="7" max="7" width="13" customWidth="1"/>
    <col min="8" max="8" width="12.140625" customWidth="1"/>
    <col min="9" max="9" width="13.28515625" customWidth="1"/>
    <col min="10" max="10" width="12" customWidth="1"/>
    <col min="11" max="11" width="11.7109375" customWidth="1"/>
    <col min="12" max="12" width="10.5703125" bestFit="1" customWidth="1"/>
  </cols>
  <sheetData>
    <row r="1" spans="1:19" ht="21" customHeight="1">
      <c r="A1" s="35" t="s">
        <v>63</v>
      </c>
      <c r="B1" s="35"/>
      <c r="C1" s="35"/>
      <c r="D1" s="35"/>
      <c r="E1" s="35"/>
      <c r="F1" s="35"/>
      <c r="G1" s="35"/>
      <c r="H1" s="35"/>
    </row>
    <row r="2" spans="1:19">
      <c r="A2" s="4533" t="s">
        <v>598</v>
      </c>
      <c r="B2" s="4533"/>
      <c r="C2" s="4533"/>
      <c r="D2" s="4533"/>
      <c r="E2" s="4533"/>
      <c r="F2" s="4533"/>
      <c r="G2" s="4533"/>
      <c r="H2" s="4533"/>
      <c r="I2" s="4510" t="s">
        <v>603</v>
      </c>
      <c r="J2" s="4510"/>
      <c r="K2" s="4510"/>
      <c r="L2" s="4510"/>
    </row>
    <row r="3" spans="1:19">
      <c r="A3" s="4529" t="s">
        <v>227</v>
      </c>
      <c r="B3" s="4531" t="s">
        <v>13</v>
      </c>
      <c r="C3" s="4531" t="s">
        <v>14</v>
      </c>
      <c r="D3" s="4538" t="s">
        <v>199</v>
      </c>
      <c r="E3" s="4539"/>
      <c r="F3" s="4539"/>
      <c r="G3" s="4540"/>
      <c r="H3" s="4536" t="s">
        <v>15</v>
      </c>
      <c r="I3" s="695"/>
      <c r="J3" s="489"/>
      <c r="K3" s="489"/>
      <c r="L3" s="680"/>
    </row>
    <row r="4" spans="1:19" ht="27" customHeight="1">
      <c r="A4" s="4530"/>
      <c r="B4" s="4532"/>
      <c r="C4" s="4532"/>
      <c r="D4" s="677" t="s">
        <v>152</v>
      </c>
      <c r="E4" s="678" t="s">
        <v>177</v>
      </c>
      <c r="F4" s="678" t="s">
        <v>25</v>
      </c>
      <c r="G4" s="679" t="s">
        <v>16</v>
      </c>
      <c r="H4" s="4537"/>
      <c r="I4" s="696" t="s">
        <v>221</v>
      </c>
      <c r="J4" s="705" t="s">
        <v>64</v>
      </c>
      <c r="K4" s="705" t="s">
        <v>65</v>
      </c>
      <c r="L4" s="706" t="s">
        <v>405</v>
      </c>
      <c r="M4" s="4534" t="s">
        <v>644</v>
      </c>
      <c r="N4" s="4535"/>
      <c r="O4" s="4535"/>
      <c r="P4" s="4535"/>
      <c r="Q4" s="4535"/>
      <c r="R4" s="4535"/>
      <c r="S4" s="4535"/>
    </row>
    <row r="5" spans="1:19" s="663" customFormat="1">
      <c r="A5" s="691"/>
      <c r="B5" s="690" t="s">
        <v>27</v>
      </c>
      <c r="C5" s="690">
        <v>2</v>
      </c>
      <c r="D5" s="690" t="s">
        <v>17</v>
      </c>
      <c r="E5" s="690">
        <v>4</v>
      </c>
      <c r="F5" s="690">
        <v>5</v>
      </c>
      <c r="G5" s="690">
        <v>6</v>
      </c>
      <c r="H5" s="692">
        <v>7</v>
      </c>
      <c r="I5" s="217">
        <v>8</v>
      </c>
      <c r="J5" s="663">
        <v>9</v>
      </c>
      <c r="K5" s="217">
        <v>10</v>
      </c>
      <c r="L5" s="707">
        <v>11</v>
      </c>
      <c r="M5" s="663" t="s">
        <v>220</v>
      </c>
      <c r="N5" s="663" t="s">
        <v>406</v>
      </c>
      <c r="O5" s="663" t="s">
        <v>407</v>
      </c>
      <c r="P5" s="663" t="s">
        <v>642</v>
      </c>
      <c r="Q5" s="663" t="s">
        <v>25</v>
      </c>
      <c r="R5" s="663" t="s">
        <v>272</v>
      </c>
      <c r="S5" s="663" t="s">
        <v>408</v>
      </c>
    </row>
    <row r="6" spans="1:19" ht="15.75" hidden="1" customHeight="1">
      <c r="A6" s="1276">
        <v>2001</v>
      </c>
      <c r="B6" s="698" t="e">
        <f>C6+D6+H6</f>
        <v>#REF!</v>
      </c>
      <c r="C6" s="489" t="e">
        <f>'Monetary Survey Counterparts'!#REF!</f>
        <v>#REF!</v>
      </c>
      <c r="D6" s="698" t="e">
        <f t="shared" ref="D6:D19" si="0">SUM(E6:G6)</f>
        <v>#REF!</v>
      </c>
      <c r="E6" s="489" t="e">
        <f>'Monetary Survey Counterparts'!#REF!</f>
        <v>#REF!</v>
      </c>
      <c r="F6" s="489" t="e">
        <f>'Monetary Survey Counterparts'!#REF!</f>
        <v>#REF!</v>
      </c>
      <c r="G6" s="489" t="e">
        <f>'Monetary Survey Counterparts'!#REF!</f>
        <v>#REF!</v>
      </c>
      <c r="H6" s="489" t="e">
        <f>-'Monetary Survey Counterparts'!#REF!</f>
        <v>#REF!</v>
      </c>
      <c r="I6" s="98" t="e">
        <f>'Monetary Survey Components'!#REF!</f>
        <v>#REF!</v>
      </c>
      <c r="J6" s="98" t="e">
        <f>'Monetary Survey Components'!#REF!</f>
        <v>#REF!</v>
      </c>
      <c r="K6" s="98" t="e">
        <f>'Monetary Survey Components'!#REF!</f>
        <v>#REF!</v>
      </c>
      <c r="L6" s="98" t="e">
        <f>'Monetary Survey Components'!#REF!</f>
        <v>#REF!</v>
      </c>
      <c r="M6" s="117" t="e">
        <f>(((B51/B6)^(1/6)-1)*100)</f>
        <v>#REF!</v>
      </c>
      <c r="N6" s="117" t="e">
        <f t="shared" ref="N6:S6" si="1">(((C51/C6)^(1/6)-1)*100)</f>
        <v>#REF!</v>
      </c>
      <c r="O6" s="117" t="e">
        <f t="shared" si="1"/>
        <v>#REF!</v>
      </c>
      <c r="P6" s="117" t="e">
        <f t="shared" si="1"/>
        <v>#REF!</v>
      </c>
      <c r="Q6" s="117" t="e">
        <f t="shared" si="1"/>
        <v>#REF!</v>
      </c>
      <c r="R6" s="117" t="e">
        <f t="shared" si="1"/>
        <v>#REF!</v>
      </c>
      <c r="S6" s="117" t="e">
        <f t="shared" si="1"/>
        <v>#REF!</v>
      </c>
    </row>
    <row r="7" spans="1:19" ht="12.75" hidden="1" customHeight="1">
      <c r="A7" s="697" t="s">
        <v>1051</v>
      </c>
      <c r="B7" s="698" t="e">
        <f>C7+D7+H7</f>
        <v>#REF!</v>
      </c>
      <c r="C7" s="681" t="e">
        <f>'Monetary Survey Counterparts'!#REF!</f>
        <v>#REF!</v>
      </c>
      <c r="D7" s="698" t="e">
        <f t="shared" si="0"/>
        <v>#REF!</v>
      </c>
      <c r="E7" s="681" t="e">
        <f>'Monetary Survey Counterparts'!#REF!</f>
        <v>#REF!</v>
      </c>
      <c r="F7" s="681" t="e">
        <f>'Monetary Survey Counterparts'!#REF!</f>
        <v>#REF!</v>
      </c>
      <c r="G7" s="681" t="e">
        <f>'Monetary Survey Counterparts'!#REF!</f>
        <v>#REF!</v>
      </c>
      <c r="H7" s="681" t="e">
        <f>-'Monetary Survey Counterparts'!#REF!</f>
        <v>#REF!</v>
      </c>
      <c r="I7" s="98" t="e">
        <f>'Monetary Survey Components'!#REF!</f>
        <v>#REF!</v>
      </c>
      <c r="J7" s="98" t="e">
        <f>'Monetary Survey Components'!#REF!</f>
        <v>#REF!</v>
      </c>
      <c r="K7" s="98" t="e">
        <f>'Monetary Survey Components'!#REF!</f>
        <v>#REF!</v>
      </c>
      <c r="L7" s="98" t="e">
        <f>'Monetary Survey Components'!#REF!</f>
        <v>#REF!</v>
      </c>
      <c r="M7" t="s">
        <v>221</v>
      </c>
      <c r="N7" t="s">
        <v>64</v>
      </c>
      <c r="O7" t="s">
        <v>65</v>
      </c>
      <c r="P7" t="s">
        <v>643</v>
      </c>
    </row>
    <row r="8" spans="1:19" ht="12.75" hidden="1" customHeight="1">
      <c r="A8" s="697" t="s">
        <v>1050</v>
      </c>
      <c r="B8" s="698" t="e">
        <f>C8+D8+H8</f>
        <v>#REF!</v>
      </c>
      <c r="C8" s="698" t="e">
        <f>'Monetary Survey Counterparts'!#REF!</f>
        <v>#REF!</v>
      </c>
      <c r="D8" s="698" t="e">
        <f t="shared" si="0"/>
        <v>#REF!</v>
      </c>
      <c r="E8" s="698" t="e">
        <f>'Monetary Survey Counterparts'!#REF!</f>
        <v>#REF!</v>
      </c>
      <c r="F8" s="698" t="e">
        <f>'Monetary Survey Counterparts'!#REF!</f>
        <v>#REF!</v>
      </c>
      <c r="G8" s="698" t="e">
        <f>'Monetary Survey Counterparts'!#REF!</f>
        <v>#REF!</v>
      </c>
      <c r="H8" s="720" t="e">
        <f>-'Monetary Survey Counterparts'!#REF!</f>
        <v>#REF!</v>
      </c>
      <c r="I8" s="98" t="e">
        <f>'Monetary Survey Components'!#REF!</f>
        <v>#REF!</v>
      </c>
      <c r="J8" s="117" t="e">
        <f>'Monetary Survey Components'!#REF!</f>
        <v>#REF!</v>
      </c>
      <c r="K8" s="98" t="e">
        <f>'Monetary Survey Components'!#REF!</f>
        <v>#REF!</v>
      </c>
      <c r="L8" s="110" t="e">
        <f>'Monetary Survey Components'!#REF!</f>
        <v>#REF!</v>
      </c>
      <c r="M8" s="117" t="e">
        <f>((I51/I6)^(1/6)-1)*100</f>
        <v>#REF!</v>
      </c>
      <c r="N8" s="117" t="e">
        <f>((J51/J6)^(1/6)-1)*100</f>
        <v>#REF!</v>
      </c>
      <c r="O8" s="117" t="e">
        <f>((K51/K6)^(1/6)-1)*100</f>
        <v>#REF!</v>
      </c>
      <c r="P8" s="117" t="e">
        <f>((L51/L6)^(1/6)-1)*100</f>
        <v>#REF!</v>
      </c>
      <c r="Q8" s="117"/>
    </row>
    <row r="9" spans="1:19" ht="12.75" hidden="1" customHeight="1">
      <c r="A9" s="697" t="e">
        <f>'Monetary Survey Components'!#REF!</f>
        <v>#REF!</v>
      </c>
      <c r="B9" s="698" t="e">
        <f t="shared" ref="B9:B43" si="2">C9+D9+H9</f>
        <v>#REF!</v>
      </c>
      <c r="C9" s="698" t="e">
        <f>'Monetary Survey Counterparts'!#REF!</f>
        <v>#REF!</v>
      </c>
      <c r="D9" s="698" t="e">
        <f t="shared" si="0"/>
        <v>#REF!</v>
      </c>
      <c r="E9" s="698" t="e">
        <f>'Monetary Survey Counterparts'!#REF!</f>
        <v>#REF!</v>
      </c>
      <c r="F9" s="698" t="e">
        <f>'Monetary Survey Counterparts'!#REF!</f>
        <v>#REF!</v>
      </c>
      <c r="G9" s="698" t="e">
        <f>'Monetary Survey Counterparts'!#REF!</f>
        <v>#REF!</v>
      </c>
      <c r="H9" s="720" t="e">
        <f>-'Monetary Survey Counterparts'!#REF!</f>
        <v>#REF!</v>
      </c>
      <c r="I9" s="98" t="e">
        <f>'Monetary Survey Components'!#REF!</f>
        <v>#REF!</v>
      </c>
      <c r="J9" s="117" t="e">
        <f>'Monetary Survey Components'!#REF!</f>
        <v>#REF!</v>
      </c>
      <c r="K9" s="98" t="e">
        <f>'Monetary Survey Components'!#REF!</f>
        <v>#REF!</v>
      </c>
      <c r="L9" s="110" t="e">
        <f>'Monetary Survey Components'!#REF!</f>
        <v>#REF!</v>
      </c>
    </row>
    <row r="10" spans="1:19" ht="12.75" hidden="1" customHeight="1">
      <c r="A10" s="697" t="e">
        <f>'Monetary Survey Components'!#REF!</f>
        <v>#REF!</v>
      </c>
      <c r="B10" s="698" t="e">
        <f t="shared" si="2"/>
        <v>#REF!</v>
      </c>
      <c r="C10" s="698" t="e">
        <f>'Monetary Survey Counterparts'!#REF!</f>
        <v>#REF!</v>
      </c>
      <c r="D10" s="698" t="e">
        <f t="shared" si="0"/>
        <v>#REF!</v>
      </c>
      <c r="E10" s="698" t="e">
        <f>'Monetary Survey Counterparts'!#REF!</f>
        <v>#REF!</v>
      </c>
      <c r="F10" s="698" t="e">
        <f>'Monetary Survey Counterparts'!#REF!</f>
        <v>#REF!</v>
      </c>
      <c r="G10" s="698" t="e">
        <f>'Monetary Survey Counterparts'!#REF!</f>
        <v>#REF!</v>
      </c>
      <c r="H10" s="720" t="e">
        <f>-'Monetary Survey Counterparts'!#REF!</f>
        <v>#REF!</v>
      </c>
      <c r="I10" s="98" t="e">
        <f>'Monetary Survey Components'!#REF!</f>
        <v>#REF!</v>
      </c>
      <c r="J10" s="117" t="e">
        <f>'Monetary Survey Components'!#REF!</f>
        <v>#REF!</v>
      </c>
      <c r="K10" s="98" t="e">
        <f>'Monetary Survey Components'!#REF!</f>
        <v>#REF!</v>
      </c>
      <c r="L10" s="110" t="e">
        <f>'Monetary Survey Components'!#REF!</f>
        <v>#REF!</v>
      </c>
    </row>
    <row r="11" spans="1:19" ht="12.75" hidden="1" customHeight="1">
      <c r="A11" s="697" t="e">
        <f>'Monetary Survey Components'!#REF!</f>
        <v>#REF!</v>
      </c>
      <c r="B11" s="698" t="e">
        <f t="shared" si="2"/>
        <v>#REF!</v>
      </c>
      <c r="C11" s="698" t="e">
        <f>'Monetary Survey Counterparts'!#REF!</f>
        <v>#REF!</v>
      </c>
      <c r="D11" s="698" t="e">
        <f t="shared" si="0"/>
        <v>#REF!</v>
      </c>
      <c r="E11" s="698" t="e">
        <f>'Monetary Survey Counterparts'!#REF!</f>
        <v>#REF!</v>
      </c>
      <c r="F11" s="698" t="e">
        <f>'Monetary Survey Counterparts'!#REF!</f>
        <v>#REF!</v>
      </c>
      <c r="G11" s="698" t="e">
        <f>'Monetary Survey Counterparts'!#REF!</f>
        <v>#REF!</v>
      </c>
      <c r="H11" s="720" t="e">
        <f>-'Monetary Survey Counterparts'!#REF!</f>
        <v>#REF!</v>
      </c>
      <c r="I11" s="98" t="e">
        <f>'Monetary Survey Components'!#REF!</f>
        <v>#REF!</v>
      </c>
      <c r="J11" s="117" t="e">
        <f>'Monetary Survey Components'!#REF!</f>
        <v>#REF!</v>
      </c>
      <c r="K11" s="98" t="e">
        <f>'Monetary Survey Components'!#REF!</f>
        <v>#REF!</v>
      </c>
      <c r="L11" s="110" t="e">
        <f>'Monetary Survey Components'!#REF!</f>
        <v>#REF!</v>
      </c>
    </row>
    <row r="12" spans="1:19" ht="12.75" hidden="1" customHeight="1">
      <c r="A12" s="697" t="e">
        <f>'Monetary Survey Components'!#REF!</f>
        <v>#REF!</v>
      </c>
      <c r="B12" s="698" t="e">
        <f t="shared" si="2"/>
        <v>#REF!</v>
      </c>
      <c r="C12" s="698" t="e">
        <f>'Monetary Survey Counterparts'!#REF!</f>
        <v>#REF!</v>
      </c>
      <c r="D12" s="698" t="e">
        <f t="shared" si="0"/>
        <v>#REF!</v>
      </c>
      <c r="E12" s="698" t="e">
        <f>'Monetary Survey Counterparts'!#REF!</f>
        <v>#REF!</v>
      </c>
      <c r="F12" s="698" t="e">
        <f>'Monetary Survey Counterparts'!#REF!</f>
        <v>#REF!</v>
      </c>
      <c r="G12" s="698" t="e">
        <f>'Monetary Survey Counterparts'!#REF!</f>
        <v>#REF!</v>
      </c>
      <c r="H12" s="720" t="e">
        <f>-'Monetary Survey Counterparts'!#REF!</f>
        <v>#REF!</v>
      </c>
      <c r="I12" s="98" t="e">
        <f>'Monetary Survey Components'!#REF!</f>
        <v>#REF!</v>
      </c>
      <c r="J12" s="117" t="e">
        <f>'Monetary Survey Components'!#REF!</f>
        <v>#REF!</v>
      </c>
      <c r="K12" s="98" t="e">
        <f>'Monetary Survey Components'!#REF!</f>
        <v>#REF!</v>
      </c>
      <c r="L12" s="110" t="e">
        <f>'Monetary Survey Components'!#REF!</f>
        <v>#REF!</v>
      </c>
    </row>
    <row r="13" spans="1:19" ht="12.75" hidden="1" customHeight="1">
      <c r="A13" s="697" t="e">
        <f>'Monetary Survey Components'!#REF!</f>
        <v>#REF!</v>
      </c>
      <c r="B13" s="698" t="e">
        <f t="shared" si="2"/>
        <v>#REF!</v>
      </c>
      <c r="C13" s="698" t="e">
        <f>'Monetary Survey Counterparts'!#REF!</f>
        <v>#REF!</v>
      </c>
      <c r="D13" s="698" t="e">
        <f t="shared" si="0"/>
        <v>#REF!</v>
      </c>
      <c r="E13" s="698" t="e">
        <f>'Monetary Survey Counterparts'!#REF!</f>
        <v>#REF!</v>
      </c>
      <c r="F13" s="698" t="e">
        <f>'Monetary Survey Counterparts'!#REF!</f>
        <v>#REF!</v>
      </c>
      <c r="G13" s="698" t="e">
        <f>'Monetary Survey Counterparts'!#REF!</f>
        <v>#REF!</v>
      </c>
      <c r="H13" s="720" t="e">
        <f>-'Monetary Survey Counterparts'!#REF!</f>
        <v>#REF!</v>
      </c>
      <c r="I13" s="98" t="e">
        <f>'Monetary Survey Components'!#REF!</f>
        <v>#REF!</v>
      </c>
      <c r="J13" s="117" t="e">
        <f>'Monetary Survey Components'!#REF!</f>
        <v>#REF!</v>
      </c>
      <c r="K13" s="98" t="e">
        <f>'Monetary Survey Components'!#REF!</f>
        <v>#REF!</v>
      </c>
      <c r="L13" s="110" t="e">
        <f>'Monetary Survey Components'!#REF!</f>
        <v>#REF!</v>
      </c>
    </row>
    <row r="14" spans="1:19" ht="12.75" hidden="1" customHeight="1">
      <c r="A14" s="697" t="e">
        <f>'Monetary Survey Components'!#REF!</f>
        <v>#REF!</v>
      </c>
      <c r="B14" s="698" t="e">
        <f t="shared" si="2"/>
        <v>#REF!</v>
      </c>
      <c r="C14" s="698" t="e">
        <f>'Monetary Survey Counterparts'!#REF!</f>
        <v>#REF!</v>
      </c>
      <c r="D14" s="698" t="e">
        <f t="shared" si="0"/>
        <v>#REF!</v>
      </c>
      <c r="E14" s="698" t="e">
        <f>'Monetary Survey Counterparts'!#REF!</f>
        <v>#REF!</v>
      </c>
      <c r="F14" s="698" t="e">
        <f>'Monetary Survey Counterparts'!#REF!</f>
        <v>#REF!</v>
      </c>
      <c r="G14" s="698" t="e">
        <f>'Monetary Survey Counterparts'!#REF!</f>
        <v>#REF!</v>
      </c>
      <c r="H14" s="720" t="e">
        <f>-'Monetary Survey Counterparts'!#REF!</f>
        <v>#REF!</v>
      </c>
      <c r="I14" s="98" t="e">
        <f>'Monetary Survey Components'!#REF!</f>
        <v>#REF!</v>
      </c>
      <c r="J14" s="117" t="e">
        <f>'Monetary Survey Components'!#REF!</f>
        <v>#REF!</v>
      </c>
      <c r="K14" s="98" t="e">
        <f>'Monetary Survey Components'!#REF!</f>
        <v>#REF!</v>
      </c>
      <c r="L14" s="110" t="e">
        <f>'Monetary Survey Components'!#REF!</f>
        <v>#REF!</v>
      </c>
    </row>
    <row r="15" spans="1:19" ht="12.75" hidden="1" customHeight="1">
      <c r="A15" s="697" t="e">
        <f>'Monetary Survey Components'!#REF!</f>
        <v>#REF!</v>
      </c>
      <c r="B15" s="698" t="e">
        <f t="shared" si="2"/>
        <v>#REF!</v>
      </c>
      <c r="C15" s="698" t="e">
        <f>'Monetary Survey Counterparts'!#REF!</f>
        <v>#REF!</v>
      </c>
      <c r="D15" s="698" t="e">
        <f t="shared" si="0"/>
        <v>#REF!</v>
      </c>
      <c r="E15" s="698" t="e">
        <f>'Monetary Survey Counterparts'!#REF!</f>
        <v>#REF!</v>
      </c>
      <c r="F15" s="698" t="e">
        <f>'Monetary Survey Counterparts'!#REF!</f>
        <v>#REF!</v>
      </c>
      <c r="G15" s="698" t="e">
        <f>'Monetary Survey Counterparts'!#REF!</f>
        <v>#REF!</v>
      </c>
      <c r="H15" s="720" t="e">
        <f>-'Monetary Survey Counterparts'!#REF!</f>
        <v>#REF!</v>
      </c>
      <c r="I15" s="98" t="e">
        <f>'Monetary Survey Components'!#REF!</f>
        <v>#REF!</v>
      </c>
      <c r="J15" s="117" t="e">
        <f>'Monetary Survey Components'!#REF!</f>
        <v>#REF!</v>
      </c>
      <c r="K15" s="98" t="e">
        <f>'Monetary Survey Components'!#REF!</f>
        <v>#REF!</v>
      </c>
      <c r="L15" s="110" t="e">
        <f>'Monetary Survey Components'!#REF!</f>
        <v>#REF!</v>
      </c>
    </row>
    <row r="16" spans="1:19" ht="12.75" hidden="1" customHeight="1">
      <c r="A16" s="697" t="e">
        <f>'Monetary Survey Components'!#REF!</f>
        <v>#REF!</v>
      </c>
      <c r="B16" s="698" t="e">
        <f t="shared" si="2"/>
        <v>#REF!</v>
      </c>
      <c r="C16" s="698" t="e">
        <f>'Monetary Survey Counterparts'!#REF!</f>
        <v>#REF!</v>
      </c>
      <c r="D16" s="698" t="e">
        <f t="shared" si="0"/>
        <v>#REF!</v>
      </c>
      <c r="E16" s="698" t="e">
        <f>'Monetary Survey Counterparts'!#REF!</f>
        <v>#REF!</v>
      </c>
      <c r="F16" s="698" t="e">
        <f>'Monetary Survey Counterparts'!#REF!</f>
        <v>#REF!</v>
      </c>
      <c r="G16" s="698" t="e">
        <f>'Monetary Survey Counterparts'!#REF!</f>
        <v>#REF!</v>
      </c>
      <c r="H16" s="720" t="e">
        <f>-'Monetary Survey Counterparts'!#REF!</f>
        <v>#REF!</v>
      </c>
      <c r="I16" s="98" t="e">
        <f>'Monetary Survey Components'!#REF!</f>
        <v>#REF!</v>
      </c>
      <c r="J16" s="117" t="e">
        <f>'Monetary Survey Components'!#REF!</f>
        <v>#REF!</v>
      </c>
      <c r="K16" s="98" t="e">
        <f>'Monetary Survey Components'!#REF!</f>
        <v>#REF!</v>
      </c>
      <c r="L16" s="110" t="e">
        <f>'Monetary Survey Components'!#REF!</f>
        <v>#REF!</v>
      </c>
    </row>
    <row r="17" spans="1:12" ht="12.75" hidden="1" customHeight="1">
      <c r="A17" s="697" t="e">
        <f>'Monetary Survey Components'!#REF!</f>
        <v>#REF!</v>
      </c>
      <c r="B17" s="698" t="e">
        <f t="shared" si="2"/>
        <v>#REF!</v>
      </c>
      <c r="C17" s="698" t="e">
        <f>'Monetary Survey Counterparts'!#REF!</f>
        <v>#REF!</v>
      </c>
      <c r="D17" s="698" t="e">
        <f t="shared" si="0"/>
        <v>#REF!</v>
      </c>
      <c r="E17" s="698" t="e">
        <f>'Monetary Survey Counterparts'!#REF!</f>
        <v>#REF!</v>
      </c>
      <c r="F17" s="698" t="e">
        <f>'Monetary Survey Counterparts'!#REF!</f>
        <v>#REF!</v>
      </c>
      <c r="G17" s="698" t="e">
        <f>'Monetary Survey Counterparts'!#REF!</f>
        <v>#REF!</v>
      </c>
      <c r="H17" s="720" t="e">
        <f>-'Monetary Survey Counterparts'!#REF!</f>
        <v>#REF!</v>
      </c>
      <c r="I17" s="98" t="e">
        <f>'Monetary Survey Components'!#REF!</f>
        <v>#REF!</v>
      </c>
      <c r="J17" s="117" t="e">
        <f>'Monetary Survey Components'!#REF!</f>
        <v>#REF!</v>
      </c>
      <c r="K17" s="98" t="e">
        <f>'Monetary Survey Components'!#REF!</f>
        <v>#REF!</v>
      </c>
      <c r="L17" s="110" t="e">
        <f>'Monetary Survey Components'!#REF!</f>
        <v>#REF!</v>
      </c>
    </row>
    <row r="18" spans="1:12" ht="12.75" hidden="1" customHeight="1">
      <c r="A18" s="697" t="e">
        <f>'Monetary Survey Components'!#REF!</f>
        <v>#REF!</v>
      </c>
      <c r="B18" s="698" t="e">
        <f t="shared" si="2"/>
        <v>#REF!</v>
      </c>
      <c r="C18" s="698" t="e">
        <f>'Monetary Survey Counterparts'!#REF!</f>
        <v>#REF!</v>
      </c>
      <c r="D18" s="698" t="e">
        <f t="shared" si="0"/>
        <v>#REF!</v>
      </c>
      <c r="E18" s="698" t="e">
        <f>'Monetary Survey Counterparts'!#REF!</f>
        <v>#REF!</v>
      </c>
      <c r="F18" s="698" t="e">
        <f>'Monetary Survey Counterparts'!#REF!</f>
        <v>#REF!</v>
      </c>
      <c r="G18" s="698" t="e">
        <f>'Monetary Survey Counterparts'!#REF!</f>
        <v>#REF!</v>
      </c>
      <c r="H18" s="720" t="e">
        <f>-'Monetary Survey Counterparts'!#REF!</f>
        <v>#REF!</v>
      </c>
      <c r="I18" s="98" t="e">
        <f>'Monetary Survey Components'!#REF!</f>
        <v>#REF!</v>
      </c>
      <c r="J18" s="117" t="e">
        <f>'Monetary Survey Components'!#REF!</f>
        <v>#REF!</v>
      </c>
      <c r="K18" s="98" t="e">
        <f>'Monetary Survey Components'!#REF!</f>
        <v>#REF!</v>
      </c>
      <c r="L18" s="110" t="e">
        <f>'Monetary Survey Components'!#REF!</f>
        <v>#REF!</v>
      </c>
    </row>
    <row r="19" spans="1:12" ht="12.75" hidden="1" customHeight="1">
      <c r="A19" s="697" t="e">
        <f>'Monetary Survey Components'!#REF!</f>
        <v>#REF!</v>
      </c>
      <c r="B19" s="698" t="e">
        <f t="shared" si="2"/>
        <v>#REF!</v>
      </c>
      <c r="C19" s="698" t="e">
        <f>'Monetary Survey Counterparts'!#REF!</f>
        <v>#REF!</v>
      </c>
      <c r="D19" s="698" t="e">
        <f t="shared" si="0"/>
        <v>#REF!</v>
      </c>
      <c r="E19" s="698" t="e">
        <f>'Monetary Survey Counterparts'!#REF!</f>
        <v>#REF!</v>
      </c>
      <c r="F19" s="698" t="e">
        <f>'Monetary Survey Counterparts'!#REF!</f>
        <v>#REF!</v>
      </c>
      <c r="G19" s="698" t="e">
        <f>'Monetary Survey Counterparts'!#REF!</f>
        <v>#REF!</v>
      </c>
      <c r="H19" s="720" t="e">
        <f>-'Monetary Survey Counterparts'!#REF!</f>
        <v>#REF!</v>
      </c>
      <c r="I19" s="98" t="e">
        <f>'Monetary Survey Components'!#REF!</f>
        <v>#REF!</v>
      </c>
      <c r="J19" s="117" t="e">
        <f>'Monetary Survey Components'!#REF!</f>
        <v>#REF!</v>
      </c>
      <c r="K19" s="98" t="e">
        <f>'Monetary Survey Components'!#REF!</f>
        <v>#REF!</v>
      </c>
      <c r="L19" s="110" t="e">
        <f>'Monetary Survey Components'!#REF!</f>
        <v>#REF!</v>
      </c>
    </row>
    <row r="20" spans="1:12" ht="12.75" hidden="1" customHeight="1">
      <c r="A20" s="697" t="e">
        <f>'Monetary Survey Components'!#REF!</f>
        <v>#REF!</v>
      </c>
      <c r="B20" s="698"/>
      <c r="C20" s="698"/>
      <c r="D20" s="698"/>
      <c r="E20" s="698"/>
      <c r="F20" s="698"/>
      <c r="G20" s="698"/>
      <c r="H20" s="720"/>
      <c r="I20" s="98"/>
      <c r="J20" s="117"/>
      <c r="K20" s="98"/>
      <c r="L20" s="110"/>
    </row>
    <row r="21" spans="1:12" ht="12.75" hidden="1" customHeight="1">
      <c r="A21" s="697" t="e">
        <f>'Monetary Survey Components'!#REF!</f>
        <v>#REF!</v>
      </c>
      <c r="B21" s="698" t="e">
        <f t="shared" si="2"/>
        <v>#REF!</v>
      </c>
      <c r="C21" s="698" t="e">
        <f>'Monetary Survey Counterparts'!#REF!</f>
        <v>#REF!</v>
      </c>
      <c r="D21" s="698" t="e">
        <f>SUM(E21:G21)</f>
        <v>#REF!</v>
      </c>
      <c r="E21" s="698" t="e">
        <f>'Monetary Survey Counterparts'!#REF!</f>
        <v>#REF!</v>
      </c>
      <c r="F21" s="698" t="e">
        <f>'Monetary Survey Counterparts'!#REF!</f>
        <v>#REF!</v>
      </c>
      <c r="G21" s="698" t="e">
        <f>'Monetary Survey Counterparts'!#REF!</f>
        <v>#REF!</v>
      </c>
      <c r="H21" s="720" t="e">
        <f>-'Monetary Survey Counterparts'!#REF!</f>
        <v>#REF!</v>
      </c>
      <c r="I21" s="98" t="e">
        <f>'Monetary Survey Components'!#REF!</f>
        <v>#REF!</v>
      </c>
      <c r="J21" s="117" t="e">
        <f>'Monetary Survey Components'!#REF!</f>
        <v>#REF!</v>
      </c>
      <c r="K21" s="98" t="e">
        <f>'Monetary Survey Components'!#REF!</f>
        <v>#REF!</v>
      </c>
      <c r="L21" s="110" t="e">
        <f>'Monetary Survey Components'!#REF!</f>
        <v>#REF!</v>
      </c>
    </row>
    <row r="22" spans="1:12" ht="12.75" hidden="1" customHeight="1">
      <c r="A22" s="697" t="e">
        <f>'Monetary Survey Components'!#REF!</f>
        <v>#REF!</v>
      </c>
      <c r="B22" s="698" t="e">
        <f t="shared" si="2"/>
        <v>#REF!</v>
      </c>
      <c r="C22" s="698" t="e">
        <f>'Monetary Survey Counterparts'!#REF!</f>
        <v>#REF!</v>
      </c>
      <c r="D22" s="698" t="e">
        <f t="shared" ref="D22:D43" si="3">SUM(E22:G22)</f>
        <v>#REF!</v>
      </c>
      <c r="E22" s="698" t="e">
        <f>'Monetary Survey Counterparts'!#REF!</f>
        <v>#REF!</v>
      </c>
      <c r="F22" s="698" t="e">
        <f>'Monetary Survey Counterparts'!#REF!</f>
        <v>#REF!</v>
      </c>
      <c r="G22" s="698" t="e">
        <f>'Monetary Survey Counterparts'!#REF!</f>
        <v>#REF!</v>
      </c>
      <c r="H22" s="720" t="e">
        <f>-'Monetary Survey Counterparts'!#REF!</f>
        <v>#REF!</v>
      </c>
      <c r="I22" s="98" t="e">
        <f>'Monetary Survey Components'!#REF!</f>
        <v>#REF!</v>
      </c>
      <c r="J22" s="117" t="e">
        <f>'Monetary Survey Components'!#REF!</f>
        <v>#REF!</v>
      </c>
      <c r="K22" s="98" t="e">
        <f>'Monetary Survey Components'!#REF!</f>
        <v>#REF!</v>
      </c>
      <c r="L22" s="110" t="e">
        <f>'Monetary Survey Components'!#REF!</f>
        <v>#REF!</v>
      </c>
    </row>
    <row r="23" spans="1:12" ht="12.75" hidden="1" customHeight="1">
      <c r="A23" s="697" t="e">
        <f>'Monetary Survey Components'!#REF!</f>
        <v>#REF!</v>
      </c>
      <c r="B23" s="698" t="e">
        <f t="shared" si="2"/>
        <v>#REF!</v>
      </c>
      <c r="C23" s="698" t="e">
        <f>'Monetary Survey Counterparts'!#REF!</f>
        <v>#REF!</v>
      </c>
      <c r="D23" s="698" t="e">
        <f t="shared" si="3"/>
        <v>#REF!</v>
      </c>
      <c r="E23" s="698" t="e">
        <f>'Monetary Survey Counterparts'!#REF!</f>
        <v>#REF!</v>
      </c>
      <c r="F23" s="698" t="e">
        <f>'Monetary Survey Counterparts'!#REF!</f>
        <v>#REF!</v>
      </c>
      <c r="G23" s="698" t="e">
        <f>'Monetary Survey Counterparts'!#REF!</f>
        <v>#REF!</v>
      </c>
      <c r="H23" s="720" t="e">
        <f>-'Monetary Survey Counterparts'!#REF!</f>
        <v>#REF!</v>
      </c>
      <c r="I23" s="98" t="e">
        <f>'Monetary Survey Components'!#REF!</f>
        <v>#REF!</v>
      </c>
      <c r="J23" s="117" t="e">
        <f>'Monetary Survey Components'!#REF!</f>
        <v>#REF!</v>
      </c>
      <c r="K23" s="98" t="e">
        <f>'Monetary Survey Components'!#REF!</f>
        <v>#REF!</v>
      </c>
      <c r="L23" s="110" t="e">
        <f>'Monetary Survey Components'!#REF!</f>
        <v>#REF!</v>
      </c>
    </row>
    <row r="24" spans="1:12" hidden="1">
      <c r="A24" s="697" t="e">
        <f>'Monetary Survey Components'!#REF!</f>
        <v>#REF!</v>
      </c>
      <c r="B24" s="698" t="e">
        <f t="shared" si="2"/>
        <v>#REF!</v>
      </c>
      <c r="C24" s="698" t="e">
        <f>'Monetary Survey Counterparts'!#REF!</f>
        <v>#REF!</v>
      </c>
      <c r="D24" s="698" t="e">
        <f t="shared" si="3"/>
        <v>#REF!</v>
      </c>
      <c r="E24" s="698" t="e">
        <f>'Monetary Survey Counterparts'!#REF!</f>
        <v>#REF!</v>
      </c>
      <c r="F24" s="698" t="e">
        <f>'Monetary Survey Counterparts'!#REF!</f>
        <v>#REF!</v>
      </c>
      <c r="G24" s="698" t="e">
        <f>'Monetary Survey Counterparts'!#REF!</f>
        <v>#REF!</v>
      </c>
      <c r="H24" s="720" t="e">
        <f>-'Monetary Survey Counterparts'!#REF!</f>
        <v>#REF!</v>
      </c>
      <c r="I24" s="98" t="e">
        <f>'Monetary Survey Components'!#REF!</f>
        <v>#REF!</v>
      </c>
      <c r="J24" s="117" t="e">
        <f>'Monetary Survey Components'!#REF!</f>
        <v>#REF!</v>
      </c>
      <c r="K24" s="98" t="e">
        <f>'Monetary Survey Components'!#REF!</f>
        <v>#REF!</v>
      </c>
      <c r="L24" s="110" t="e">
        <f>'Monetary Survey Components'!#REF!</f>
        <v>#REF!</v>
      </c>
    </row>
    <row r="25" spans="1:12" hidden="1">
      <c r="A25" s="697" t="e">
        <f>'Monetary Survey Components'!#REF!</f>
        <v>#REF!</v>
      </c>
      <c r="B25" s="698" t="e">
        <f t="shared" si="2"/>
        <v>#REF!</v>
      </c>
      <c r="C25" s="698" t="e">
        <f>'Monetary Survey Counterparts'!#REF!</f>
        <v>#REF!</v>
      </c>
      <c r="D25" s="698" t="e">
        <f t="shared" si="3"/>
        <v>#REF!</v>
      </c>
      <c r="E25" s="698" t="e">
        <f>'Monetary Survey Counterparts'!#REF!</f>
        <v>#REF!</v>
      </c>
      <c r="F25" s="698" t="e">
        <f>'Monetary Survey Counterparts'!#REF!</f>
        <v>#REF!</v>
      </c>
      <c r="G25" s="698" t="e">
        <f>'Monetary Survey Counterparts'!#REF!</f>
        <v>#REF!</v>
      </c>
      <c r="H25" s="720" t="e">
        <f>-'Monetary Survey Counterparts'!#REF!</f>
        <v>#REF!</v>
      </c>
      <c r="I25" s="98" t="e">
        <f>'Monetary Survey Components'!#REF!</f>
        <v>#REF!</v>
      </c>
      <c r="J25" s="117" t="e">
        <f>'Monetary Survey Components'!#REF!</f>
        <v>#REF!</v>
      </c>
      <c r="K25" s="98" t="e">
        <f>'Monetary Survey Components'!#REF!</f>
        <v>#REF!</v>
      </c>
      <c r="L25" s="110" t="e">
        <f>'Monetary Survey Components'!#REF!</f>
        <v>#REF!</v>
      </c>
    </row>
    <row r="26" spans="1:12" hidden="1">
      <c r="A26" s="697" t="e">
        <f>'Monetary Survey Components'!#REF!</f>
        <v>#REF!</v>
      </c>
      <c r="B26" s="698" t="e">
        <f t="shared" si="2"/>
        <v>#REF!</v>
      </c>
      <c r="C26" s="698" t="e">
        <f>'Monetary Survey Counterparts'!#REF!</f>
        <v>#REF!</v>
      </c>
      <c r="D26" s="698" t="e">
        <f t="shared" si="3"/>
        <v>#REF!</v>
      </c>
      <c r="E26" s="698" t="e">
        <f>'Monetary Survey Counterparts'!#REF!</f>
        <v>#REF!</v>
      </c>
      <c r="F26" s="698" t="e">
        <f>'Monetary Survey Counterparts'!#REF!</f>
        <v>#REF!</v>
      </c>
      <c r="G26" s="698" t="e">
        <f>'Monetary Survey Counterparts'!#REF!</f>
        <v>#REF!</v>
      </c>
      <c r="H26" s="720" t="e">
        <f>-'Monetary Survey Counterparts'!#REF!</f>
        <v>#REF!</v>
      </c>
      <c r="I26" s="98" t="e">
        <f>'Monetary Survey Components'!#REF!</f>
        <v>#REF!</v>
      </c>
      <c r="J26" s="117" t="e">
        <f>'Monetary Survey Components'!#REF!</f>
        <v>#REF!</v>
      </c>
      <c r="K26" s="98" t="e">
        <f>'Monetary Survey Components'!#REF!</f>
        <v>#REF!</v>
      </c>
      <c r="L26" s="110" t="e">
        <f>'Monetary Survey Components'!#REF!</f>
        <v>#REF!</v>
      </c>
    </row>
    <row r="27" spans="1:12" hidden="1">
      <c r="A27" s="697" t="e">
        <f>'Monetary Survey Components'!#REF!</f>
        <v>#REF!</v>
      </c>
      <c r="B27" s="698" t="e">
        <f t="shared" si="2"/>
        <v>#REF!</v>
      </c>
      <c r="C27" s="698" t="e">
        <f>'Monetary Survey Counterparts'!#REF!</f>
        <v>#REF!</v>
      </c>
      <c r="D27" s="698" t="e">
        <f t="shared" si="3"/>
        <v>#REF!</v>
      </c>
      <c r="E27" s="698" t="e">
        <f>'Monetary Survey Counterparts'!#REF!</f>
        <v>#REF!</v>
      </c>
      <c r="F27" s="698" t="e">
        <f>'Monetary Survey Counterparts'!#REF!</f>
        <v>#REF!</v>
      </c>
      <c r="G27" s="698" t="e">
        <f>'Monetary Survey Counterparts'!#REF!</f>
        <v>#REF!</v>
      </c>
      <c r="H27" s="720" t="e">
        <f>-'Monetary Survey Counterparts'!#REF!</f>
        <v>#REF!</v>
      </c>
      <c r="I27" s="98" t="e">
        <f>'Monetary Survey Components'!#REF!</f>
        <v>#REF!</v>
      </c>
      <c r="J27" s="117" t="e">
        <f>'Monetary Survey Components'!#REF!</f>
        <v>#REF!</v>
      </c>
      <c r="K27" s="98" t="e">
        <f>'Monetary Survey Components'!#REF!</f>
        <v>#REF!</v>
      </c>
      <c r="L27" s="110" t="e">
        <f>'Monetary Survey Components'!#REF!</f>
        <v>#REF!</v>
      </c>
    </row>
    <row r="28" spans="1:12" hidden="1">
      <c r="A28" s="697" t="e">
        <f>'Monetary Survey Components'!#REF!</f>
        <v>#REF!</v>
      </c>
      <c r="B28" s="698" t="e">
        <f t="shared" si="2"/>
        <v>#REF!</v>
      </c>
      <c r="C28" s="698" t="e">
        <f>'Monetary Survey Counterparts'!#REF!</f>
        <v>#REF!</v>
      </c>
      <c r="D28" s="698" t="e">
        <f t="shared" si="3"/>
        <v>#REF!</v>
      </c>
      <c r="E28" s="698" t="e">
        <f>'Monetary Survey Counterparts'!#REF!</f>
        <v>#REF!</v>
      </c>
      <c r="F28" s="698" t="e">
        <f>'Monetary Survey Counterparts'!#REF!</f>
        <v>#REF!</v>
      </c>
      <c r="G28" s="698" t="e">
        <f>'Monetary Survey Counterparts'!#REF!</f>
        <v>#REF!</v>
      </c>
      <c r="H28" s="720" t="e">
        <f>-'Monetary Survey Counterparts'!#REF!</f>
        <v>#REF!</v>
      </c>
      <c r="I28" s="98" t="e">
        <f>'Monetary Survey Components'!#REF!</f>
        <v>#REF!</v>
      </c>
      <c r="J28" s="117" t="e">
        <f>'Monetary Survey Components'!#REF!</f>
        <v>#REF!</v>
      </c>
      <c r="K28" s="98" t="e">
        <f>'Monetary Survey Components'!#REF!</f>
        <v>#REF!</v>
      </c>
      <c r="L28" s="110" t="e">
        <f>'Monetary Survey Components'!#REF!</f>
        <v>#REF!</v>
      </c>
    </row>
    <row r="29" spans="1:12" hidden="1">
      <c r="A29" s="697" t="e">
        <f>'Monetary Survey Components'!#REF!</f>
        <v>#REF!</v>
      </c>
      <c r="B29" s="698" t="e">
        <f t="shared" si="2"/>
        <v>#REF!</v>
      </c>
      <c r="C29" s="698" t="e">
        <f>'Monetary Survey Counterparts'!#REF!</f>
        <v>#REF!</v>
      </c>
      <c r="D29" s="698" t="e">
        <f t="shared" si="3"/>
        <v>#REF!</v>
      </c>
      <c r="E29" s="698" t="e">
        <f>'Monetary Survey Counterparts'!#REF!</f>
        <v>#REF!</v>
      </c>
      <c r="F29" s="698" t="e">
        <f>'Monetary Survey Counterparts'!#REF!</f>
        <v>#REF!</v>
      </c>
      <c r="G29" s="698" t="e">
        <f>'Monetary Survey Counterparts'!#REF!</f>
        <v>#REF!</v>
      </c>
      <c r="H29" s="720" t="e">
        <f>-'Monetary Survey Counterparts'!#REF!</f>
        <v>#REF!</v>
      </c>
      <c r="I29" s="98" t="e">
        <f>'Monetary Survey Components'!#REF!</f>
        <v>#REF!</v>
      </c>
      <c r="J29" s="117" t="e">
        <f>'Monetary Survey Components'!#REF!</f>
        <v>#REF!</v>
      </c>
      <c r="K29" s="98" t="e">
        <f>'Monetary Survey Components'!#REF!</f>
        <v>#REF!</v>
      </c>
      <c r="L29" s="110" t="e">
        <f>'Monetary Survey Components'!#REF!</f>
        <v>#REF!</v>
      </c>
    </row>
    <row r="30" spans="1:12" hidden="1">
      <c r="A30" s="697" t="e">
        <f>'Monetary Survey Components'!#REF!</f>
        <v>#REF!</v>
      </c>
      <c r="B30" s="698" t="e">
        <f t="shared" si="2"/>
        <v>#REF!</v>
      </c>
      <c r="C30" s="698" t="e">
        <f>'Monetary Survey Counterparts'!#REF!</f>
        <v>#REF!</v>
      </c>
      <c r="D30" s="698" t="e">
        <f t="shared" si="3"/>
        <v>#REF!</v>
      </c>
      <c r="E30" s="698" t="e">
        <f>'Monetary Survey Counterparts'!#REF!</f>
        <v>#REF!</v>
      </c>
      <c r="F30" s="698" t="e">
        <f>'Monetary Survey Counterparts'!#REF!</f>
        <v>#REF!</v>
      </c>
      <c r="G30" s="698" t="e">
        <f>'Monetary Survey Counterparts'!#REF!</f>
        <v>#REF!</v>
      </c>
      <c r="H30" s="720" t="e">
        <f>-'Monetary Survey Counterparts'!#REF!</f>
        <v>#REF!</v>
      </c>
      <c r="I30" s="98" t="e">
        <f>'Monetary Survey Components'!#REF!</f>
        <v>#REF!</v>
      </c>
      <c r="J30" s="117" t="e">
        <f>'Monetary Survey Components'!#REF!</f>
        <v>#REF!</v>
      </c>
      <c r="K30" s="98" t="e">
        <f>'Monetary Survey Components'!#REF!</f>
        <v>#REF!</v>
      </c>
      <c r="L30" s="110" t="e">
        <f>'Monetary Survey Components'!#REF!</f>
        <v>#REF!</v>
      </c>
    </row>
    <row r="31" spans="1:12" hidden="1">
      <c r="A31" s="697" t="e">
        <f>'Monetary Survey Components'!#REF!</f>
        <v>#REF!</v>
      </c>
      <c r="B31" s="698" t="e">
        <f t="shared" si="2"/>
        <v>#REF!</v>
      </c>
      <c r="C31" s="698" t="e">
        <f>'Monetary Survey Counterparts'!#REF!</f>
        <v>#REF!</v>
      </c>
      <c r="D31" s="698" t="e">
        <f t="shared" si="3"/>
        <v>#REF!</v>
      </c>
      <c r="E31" s="698" t="e">
        <f>'Monetary Survey Counterparts'!#REF!</f>
        <v>#REF!</v>
      </c>
      <c r="F31" s="698" t="e">
        <f>'Monetary Survey Counterparts'!#REF!</f>
        <v>#REF!</v>
      </c>
      <c r="G31" s="698" t="e">
        <f>'Monetary Survey Counterparts'!#REF!</f>
        <v>#REF!</v>
      </c>
      <c r="H31" s="720" t="e">
        <f>-'Monetary Survey Counterparts'!#REF!</f>
        <v>#REF!</v>
      </c>
      <c r="I31" s="98" t="e">
        <f>'Monetary Survey Components'!#REF!</f>
        <v>#REF!</v>
      </c>
      <c r="J31" s="117" t="e">
        <f>'Monetary Survey Components'!#REF!</f>
        <v>#REF!</v>
      </c>
      <c r="K31" s="98" t="e">
        <f>'Monetary Survey Components'!#REF!</f>
        <v>#REF!</v>
      </c>
      <c r="L31" s="110" t="e">
        <f>'Monetary Survey Components'!#REF!</f>
        <v>#REF!</v>
      </c>
    </row>
    <row r="32" spans="1:12" hidden="1">
      <c r="A32" s="697" t="e">
        <f>'Monetary Survey Components'!#REF!</f>
        <v>#REF!</v>
      </c>
      <c r="B32" s="698" t="e">
        <f t="shared" si="2"/>
        <v>#REF!</v>
      </c>
      <c r="C32" s="698" t="e">
        <f>'Monetary Survey Counterparts'!#REF!</f>
        <v>#REF!</v>
      </c>
      <c r="D32" s="698" t="e">
        <f t="shared" si="3"/>
        <v>#REF!</v>
      </c>
      <c r="E32" s="698" t="e">
        <f>'Monetary Survey Counterparts'!#REF!</f>
        <v>#REF!</v>
      </c>
      <c r="F32" s="698" t="e">
        <f>'Monetary Survey Counterparts'!#REF!</f>
        <v>#REF!</v>
      </c>
      <c r="G32" s="698" t="e">
        <f>'Monetary Survey Counterparts'!#REF!</f>
        <v>#REF!</v>
      </c>
      <c r="H32" s="720" t="e">
        <f>-'Monetary Survey Counterparts'!#REF!</f>
        <v>#REF!</v>
      </c>
      <c r="I32" s="98" t="e">
        <f>'Monetary Survey Components'!#REF!</f>
        <v>#REF!</v>
      </c>
      <c r="J32" s="117" t="e">
        <f>'Monetary Survey Components'!#REF!</f>
        <v>#REF!</v>
      </c>
      <c r="K32" s="98" t="e">
        <f>'Monetary Survey Components'!#REF!</f>
        <v>#REF!</v>
      </c>
      <c r="L32" s="110" t="e">
        <f>'Monetary Survey Components'!#REF!</f>
        <v>#REF!</v>
      </c>
    </row>
    <row r="33" spans="1:12" hidden="1">
      <c r="A33" s="697" t="str">
        <f>'Monetary Survey Components'!B10</f>
        <v>Jan</v>
      </c>
      <c r="B33" s="698"/>
      <c r="C33" s="698"/>
      <c r="D33" s="698"/>
      <c r="E33" s="698"/>
      <c r="F33" s="698"/>
      <c r="G33" s="698"/>
      <c r="H33" s="720"/>
      <c r="I33" s="59"/>
      <c r="K33" s="59"/>
      <c r="L33" s="108"/>
    </row>
    <row r="34" spans="1:12" hidden="1">
      <c r="A34" s="697" t="str">
        <f>'Monetary Survey Components'!B11</f>
        <v>Feb</v>
      </c>
      <c r="B34" s="698">
        <f t="shared" si="2"/>
        <v>4119.5</v>
      </c>
      <c r="C34" s="698">
        <f>'Monetary Survey Counterparts'!D10</f>
        <v>6088.14</v>
      </c>
      <c r="D34" s="698">
        <f t="shared" si="3"/>
        <v>1381.6</v>
      </c>
      <c r="E34" s="698">
        <f>'Monetary Survey Counterparts'!H10</f>
        <v>-393.03</v>
      </c>
      <c r="F34" s="698">
        <f>'Monetary Survey Counterparts'!I10</f>
        <v>481.14</v>
      </c>
      <c r="G34" s="698">
        <f>'Monetary Survey Counterparts'!J10</f>
        <v>1293.49</v>
      </c>
      <c r="H34" s="720">
        <f>-'Monetary Survey Counterparts'!K10</f>
        <v>-3350.2400000000002</v>
      </c>
      <c r="I34" s="98">
        <f>'Monetary Survey Components'!D11</f>
        <v>2075.0700000000002</v>
      </c>
      <c r="J34" s="117">
        <f>'Monetary Survey Components'!E11</f>
        <v>626.1</v>
      </c>
      <c r="K34" s="98">
        <f>'Monetary Survey Components'!F11</f>
        <v>1424.82</v>
      </c>
      <c r="L34" s="110">
        <f>'Monetary Survey Components'!I11</f>
        <v>2149.42</v>
      </c>
    </row>
    <row r="35" spans="1:12" hidden="1">
      <c r="A35" s="59" t="s">
        <v>162</v>
      </c>
      <c r="B35" s="698">
        <f t="shared" si="2"/>
        <v>4224.49</v>
      </c>
      <c r="C35" s="698">
        <f>'Monetary Survey Counterparts'!D11</f>
        <v>6232.79</v>
      </c>
      <c r="D35" s="698">
        <f t="shared" si="3"/>
        <v>1378.73</v>
      </c>
      <c r="E35" s="698">
        <f>'Monetary Survey Counterparts'!H11</f>
        <v>-402.64</v>
      </c>
      <c r="F35" s="698">
        <f>'Monetary Survey Counterparts'!I11</f>
        <v>481.14</v>
      </c>
      <c r="G35" s="698">
        <f>'Monetary Survey Counterparts'!J11</f>
        <v>1300.23</v>
      </c>
      <c r="H35" s="720">
        <f>-'Monetary Survey Counterparts'!K11</f>
        <v>-3387.03</v>
      </c>
      <c r="I35" s="98">
        <f>'Monetary Survey Components'!D12</f>
        <v>2072.41</v>
      </c>
      <c r="J35" s="117">
        <f>'Monetary Survey Components'!E12</f>
        <v>605.46</v>
      </c>
      <c r="K35" s="98">
        <f>'Monetary Survey Components'!F12</f>
        <v>1442.7800000000002</v>
      </c>
      <c r="L35" s="110">
        <f>'Monetary Survey Components'!I12</f>
        <v>2181.0800000000004</v>
      </c>
    </row>
    <row r="36" spans="1:12" hidden="1">
      <c r="A36" s="59" t="s">
        <v>163</v>
      </c>
      <c r="B36" s="698">
        <f t="shared" si="2"/>
        <v>4253.5</v>
      </c>
      <c r="C36" s="698">
        <f>'Monetary Survey Counterparts'!D12</f>
        <v>6033.01</v>
      </c>
      <c r="D36" s="698">
        <f t="shared" si="3"/>
        <v>1542.17</v>
      </c>
      <c r="E36" s="698">
        <f>'Monetary Survey Counterparts'!H12</f>
        <v>-345.71</v>
      </c>
      <c r="F36" s="698">
        <f>'Monetary Survey Counterparts'!I12</f>
        <v>484.07</v>
      </c>
      <c r="G36" s="698">
        <f>'Monetary Survey Counterparts'!J12</f>
        <v>1403.81</v>
      </c>
      <c r="H36" s="720">
        <f>-'Monetary Survey Counterparts'!K12</f>
        <v>-3321.6800000000003</v>
      </c>
      <c r="I36" s="98">
        <f>'Monetary Survey Components'!D13</f>
        <v>1788.39</v>
      </c>
      <c r="J36" s="117">
        <f>'Monetary Survey Components'!E13</f>
        <v>574.80999999999995</v>
      </c>
      <c r="K36" s="98">
        <f>'Monetary Survey Components'!F13</f>
        <v>1156.76</v>
      </c>
      <c r="L36" s="110">
        <f>'Monetary Survey Components'!I13</f>
        <v>2182.61</v>
      </c>
    </row>
    <row r="37" spans="1:12" hidden="1">
      <c r="A37" s="59" t="s">
        <v>164</v>
      </c>
      <c r="B37" s="698">
        <f t="shared" si="2"/>
        <v>3970.9999999999995</v>
      </c>
      <c r="C37" s="698">
        <f>'Monetary Survey Counterparts'!D13</f>
        <v>6255.67</v>
      </c>
      <c r="D37" s="698">
        <f t="shared" si="3"/>
        <v>1473.8899999999999</v>
      </c>
      <c r="E37" s="698">
        <f>'Monetary Survey Counterparts'!H13</f>
        <v>-310</v>
      </c>
      <c r="F37" s="698">
        <f>'Monetary Survey Counterparts'!I13</f>
        <v>484.32</v>
      </c>
      <c r="G37" s="698">
        <f>'Monetary Survey Counterparts'!J13</f>
        <v>1299.57</v>
      </c>
      <c r="H37" s="720">
        <f>-'Monetary Survey Counterparts'!K13</f>
        <v>-3758.56</v>
      </c>
      <c r="I37" s="98">
        <f>'Monetary Survey Components'!D14</f>
        <v>1822.99</v>
      </c>
      <c r="J37" s="117">
        <f>'Monetary Survey Components'!E14</f>
        <v>581.26</v>
      </c>
      <c r="K37" s="98">
        <f>'Monetary Survey Components'!F14</f>
        <v>1184.9099999999999</v>
      </c>
      <c r="L37" s="110">
        <f>'Monetary Survey Components'!I14</f>
        <v>2378.98</v>
      </c>
    </row>
    <row r="38" spans="1:12" hidden="1">
      <c r="A38" s="59" t="s">
        <v>165</v>
      </c>
      <c r="B38" s="698">
        <f>C38+D38+H38</f>
        <v>4201.9699999999993</v>
      </c>
      <c r="C38" s="698">
        <f>'Monetary Survey Counterparts'!D14</f>
        <v>6089.69</v>
      </c>
      <c r="D38" s="698">
        <f t="shared" si="3"/>
        <v>1513.8199999999997</v>
      </c>
      <c r="E38" s="698">
        <f>'Monetary Survey Counterparts'!H14</f>
        <v>-273.08</v>
      </c>
      <c r="F38" s="698">
        <f>'Monetary Survey Counterparts'!I14</f>
        <v>484.46</v>
      </c>
      <c r="G38" s="698">
        <f>'Monetary Survey Counterparts'!J14</f>
        <v>1302.4399999999998</v>
      </c>
      <c r="H38" s="720">
        <f>-'Monetary Survey Counterparts'!K14</f>
        <v>-3401.54</v>
      </c>
      <c r="I38" s="98">
        <f>'Monetary Survey Components'!D15</f>
        <v>1973.18</v>
      </c>
      <c r="J38" s="117">
        <f>'Monetary Survey Components'!E15</f>
        <v>616.97</v>
      </c>
      <c r="K38" s="98">
        <f>'Monetary Survey Components'!F15</f>
        <v>1331.85</v>
      </c>
      <c r="L38" s="110">
        <f>'Monetary Survey Components'!I15</f>
        <v>2304.4700000000003</v>
      </c>
    </row>
    <row r="39" spans="1:12" hidden="1">
      <c r="A39" s="59" t="s">
        <v>166</v>
      </c>
      <c r="B39" s="698">
        <f>C39+D39+H39</f>
        <v>4277.6499999999996</v>
      </c>
      <c r="C39" s="698">
        <f>'Monetary Survey Counterparts'!D15</f>
        <v>6233.16</v>
      </c>
      <c r="D39" s="698">
        <f t="shared" si="3"/>
        <v>1529.98</v>
      </c>
      <c r="E39" s="698">
        <f>'Monetary Survey Counterparts'!H15</f>
        <v>-277.89999999999998</v>
      </c>
      <c r="F39" s="698">
        <f>'Monetary Survey Counterparts'!I15</f>
        <v>497.06</v>
      </c>
      <c r="G39" s="698">
        <f>'Monetary Survey Counterparts'!J15</f>
        <v>1310.82</v>
      </c>
      <c r="H39" s="720">
        <f>-'Monetary Survey Counterparts'!K15</f>
        <v>-3485.49</v>
      </c>
      <c r="I39" s="98">
        <f>'Monetary Survey Components'!D16</f>
        <v>1859.45</v>
      </c>
      <c r="J39" s="117">
        <f>'Monetary Survey Components'!E16</f>
        <v>636.29</v>
      </c>
      <c r="K39" s="98">
        <f>'Monetary Survey Components'!F16</f>
        <v>1197.47</v>
      </c>
      <c r="L39" s="110">
        <f>'Monetary Survey Components'!I16</f>
        <v>2619.69</v>
      </c>
    </row>
    <row r="40" spans="1:12" hidden="1">
      <c r="A40" s="59" t="s">
        <v>167</v>
      </c>
      <c r="B40" s="698">
        <f>C40+D40+H40</f>
        <v>4479.1400000000012</v>
      </c>
      <c r="C40" s="698">
        <f>'Monetary Survey Counterparts'!D16</f>
        <v>6079.93</v>
      </c>
      <c r="D40" s="698">
        <f t="shared" si="3"/>
        <v>1689.18</v>
      </c>
      <c r="E40" s="698">
        <f>'Monetary Survey Counterparts'!H16</f>
        <v>-92.34</v>
      </c>
      <c r="F40" s="698">
        <f>'Monetary Survey Counterparts'!I16</f>
        <v>462.05</v>
      </c>
      <c r="G40" s="698">
        <f>'Monetary Survey Counterparts'!J16</f>
        <v>1319.47</v>
      </c>
      <c r="H40" s="720">
        <f>-'Monetary Survey Counterparts'!K16</f>
        <v>-3289.97</v>
      </c>
      <c r="I40" s="98">
        <f>'Monetary Survey Components'!D17</f>
        <v>2189.9499999999998</v>
      </c>
      <c r="J40" s="117">
        <f>'Monetary Survey Components'!E17</f>
        <v>616.69000000000005</v>
      </c>
      <c r="K40" s="98">
        <f>'Monetary Survey Components'!F17</f>
        <v>1547.3</v>
      </c>
      <c r="L40" s="110">
        <f>'Monetary Survey Components'!I17</f>
        <v>2661.66</v>
      </c>
    </row>
    <row r="41" spans="1:12" hidden="1">
      <c r="A41" s="59" t="s">
        <v>168</v>
      </c>
      <c r="B41" s="698">
        <f t="shared" si="2"/>
        <v>4851.6099999999997</v>
      </c>
      <c r="C41" s="698">
        <f>'Monetary Survey Counterparts'!D17</f>
        <v>5984.15</v>
      </c>
      <c r="D41" s="698">
        <f t="shared" si="3"/>
        <v>1818.02</v>
      </c>
      <c r="E41" s="698">
        <f>'Monetary Survey Counterparts'!H17</f>
        <v>9.9499999999999993</v>
      </c>
      <c r="F41" s="698">
        <f>'Monetary Survey Counterparts'!I17</f>
        <v>467.13</v>
      </c>
      <c r="G41" s="698">
        <f>'Monetary Survey Counterparts'!J17</f>
        <v>1340.94</v>
      </c>
      <c r="H41" s="720">
        <f>-'Monetary Survey Counterparts'!K17</f>
        <v>-2950.5600000000004</v>
      </c>
      <c r="I41" s="98">
        <f>'Monetary Survey Components'!D18</f>
        <v>2076.58</v>
      </c>
      <c r="J41" s="117">
        <f>'Monetary Survey Components'!E18</f>
        <v>645.69000000000005</v>
      </c>
      <c r="K41" s="98">
        <f>'Monetary Survey Components'!F18</f>
        <v>1404.83</v>
      </c>
      <c r="L41" s="110">
        <f>'Monetary Survey Components'!I18</f>
        <v>3227.9500000000003</v>
      </c>
    </row>
    <row r="42" spans="1:12" hidden="1">
      <c r="A42" s="59" t="s">
        <v>169</v>
      </c>
      <c r="B42" s="698">
        <f t="shared" si="2"/>
        <v>5304.53</v>
      </c>
      <c r="C42" s="698">
        <f>'Monetary Survey Counterparts'!D18</f>
        <v>6287.39</v>
      </c>
      <c r="D42" s="698">
        <f t="shared" si="3"/>
        <v>1942.45</v>
      </c>
      <c r="E42" s="698">
        <f>'Monetary Survey Counterparts'!H18</f>
        <v>43.63</v>
      </c>
      <c r="F42" s="698">
        <f>'Monetary Survey Counterparts'!I18</f>
        <v>478.06</v>
      </c>
      <c r="G42" s="698">
        <f>'Monetary Survey Counterparts'!J18</f>
        <v>1420.76</v>
      </c>
      <c r="H42" s="720">
        <f>-'Monetary Survey Counterparts'!K18</f>
        <v>-2925.3100000000004</v>
      </c>
      <c r="I42" s="98">
        <f>'Monetary Survey Components'!D19</f>
        <v>1934.86</v>
      </c>
      <c r="J42" s="117">
        <f>'Monetary Survey Components'!E19</f>
        <v>654.51</v>
      </c>
      <c r="K42" s="98">
        <f>'Monetary Survey Components'!F19</f>
        <v>1254.1399999999999</v>
      </c>
      <c r="L42" s="110">
        <f>'Monetary Survey Components'!I19</f>
        <v>3348.53</v>
      </c>
    </row>
    <row r="43" spans="1:12" hidden="1">
      <c r="A43" s="59" t="s">
        <v>170</v>
      </c>
      <c r="B43" s="698">
        <f t="shared" si="2"/>
        <v>5283.3899999999994</v>
      </c>
      <c r="C43" s="698">
        <f>'Monetary Survey Counterparts'!D19</f>
        <v>6635.53</v>
      </c>
      <c r="D43" s="698">
        <f t="shared" si="3"/>
        <v>1924.9199999999998</v>
      </c>
      <c r="E43" s="698">
        <f>'Monetary Survey Counterparts'!H19</f>
        <v>11.94</v>
      </c>
      <c r="F43" s="698">
        <f>'Monetary Survey Counterparts'!I19</f>
        <v>469.13</v>
      </c>
      <c r="G43" s="698">
        <f>'Monetary Survey Counterparts'!J19</f>
        <v>1443.85</v>
      </c>
      <c r="H43" s="720">
        <f>-'Monetary Survey Counterparts'!K19</f>
        <v>-3277.06</v>
      </c>
      <c r="I43" s="98">
        <f>'Monetary Survey Components'!D20</f>
        <v>2105.5700000000002</v>
      </c>
      <c r="J43" s="117">
        <f>'Monetary Survey Components'!E20</f>
        <v>662.96</v>
      </c>
      <c r="K43" s="98">
        <f>'Monetary Survey Components'!F20</f>
        <v>1414.74</v>
      </c>
      <c r="L43" s="110">
        <f>'Monetary Survey Components'!I20</f>
        <v>3455.48</v>
      </c>
    </row>
    <row r="44" spans="1:12" hidden="1">
      <c r="A44" s="59" t="s">
        <v>171</v>
      </c>
      <c r="B44" s="698">
        <f t="shared" ref="B44:B85" si="4">C44+D44+H44</f>
        <v>5561.0499999999993</v>
      </c>
      <c r="C44" s="698">
        <f>'Monetary Survey Counterparts'!D20</f>
        <v>6397.98</v>
      </c>
      <c r="D44" s="698">
        <f t="shared" ref="D44:D87" si="5">SUM(E44:G44)</f>
        <v>2529.17</v>
      </c>
      <c r="E44" s="698">
        <f>'Monetary Survey Counterparts'!H20</f>
        <v>557.79999999999995</v>
      </c>
      <c r="F44" s="698">
        <f>'Monetary Survey Counterparts'!I20</f>
        <v>469.01</v>
      </c>
      <c r="G44" s="698">
        <f>'Monetary Survey Counterparts'!J20</f>
        <v>1502.3600000000001</v>
      </c>
      <c r="H44" s="720">
        <f>-'Monetary Survey Counterparts'!K20</f>
        <v>-3366.1000000000004</v>
      </c>
      <c r="I44" s="98">
        <f>'Monetary Survey Components'!D21</f>
        <v>2196.46</v>
      </c>
      <c r="J44" s="117">
        <f>'Monetary Survey Components'!E21</f>
        <v>720.94</v>
      </c>
      <c r="K44" s="98">
        <f>'Monetary Survey Components'!F21</f>
        <v>1447.17</v>
      </c>
      <c r="L44" s="110">
        <f>'Monetary Survey Components'!I21</f>
        <v>3455.7000000000003</v>
      </c>
    </row>
    <row r="45" spans="1:12" hidden="1">
      <c r="A45" s="59" t="s">
        <v>148</v>
      </c>
      <c r="B45" s="698">
        <f t="shared" si="4"/>
        <v>5652.16</v>
      </c>
      <c r="C45" s="698">
        <f>'Monetary Survey Counterparts'!D21</f>
        <v>7341.81</v>
      </c>
      <c r="D45" s="698">
        <f t="shared" si="5"/>
        <v>1939.76</v>
      </c>
      <c r="E45" s="698">
        <f>'Monetary Survey Counterparts'!H21</f>
        <v>14.65</v>
      </c>
      <c r="F45" s="698">
        <f>'Monetary Survey Counterparts'!I21</f>
        <v>449.09</v>
      </c>
      <c r="G45" s="698">
        <f>'Monetary Survey Counterparts'!J21</f>
        <v>1476.02</v>
      </c>
      <c r="H45" s="720">
        <f>-'Monetary Survey Counterparts'!K21</f>
        <v>-3629.4100000000003</v>
      </c>
      <c r="I45" s="98">
        <f>'Monetary Survey Components'!D22</f>
        <v>0</v>
      </c>
      <c r="J45" s="117">
        <f>'Monetary Survey Components'!E22</f>
        <v>0</v>
      </c>
      <c r="K45" s="98">
        <f>'Monetary Survey Components'!F22</f>
        <v>0</v>
      </c>
      <c r="L45" s="110">
        <f>'Monetary Survey Components'!I22</f>
        <v>0</v>
      </c>
    </row>
    <row r="46" spans="1:12" hidden="1">
      <c r="A46" s="173" t="s">
        <v>685</v>
      </c>
      <c r="B46" s="698">
        <f t="shared" si="4"/>
        <v>5597.08</v>
      </c>
      <c r="C46" s="698">
        <f>'Monetary Survey Counterparts'!D23</f>
        <v>7295.33</v>
      </c>
      <c r="D46" s="698">
        <f t="shared" si="5"/>
        <v>1779.95</v>
      </c>
      <c r="E46" s="698">
        <f>'Monetary Survey Counterparts'!H23</f>
        <v>-225.37</v>
      </c>
      <c r="F46" s="698">
        <f>'Monetary Survey Counterparts'!I23</f>
        <v>449.14</v>
      </c>
      <c r="G46" s="698">
        <f>'Monetary Survey Counterparts'!J23</f>
        <v>1556.18</v>
      </c>
      <c r="H46" s="720">
        <f>-'Monetary Survey Counterparts'!K23</f>
        <v>-3478.2000000000003</v>
      </c>
      <c r="I46" s="98">
        <f>'Monetary Survey Components'!D24</f>
        <v>1931.45</v>
      </c>
      <c r="J46" s="117">
        <f>'Monetary Survey Components'!E24</f>
        <v>737.59</v>
      </c>
      <c r="K46" s="98">
        <f>'Monetary Survey Components'!F24</f>
        <v>1175.71</v>
      </c>
      <c r="L46" s="110">
        <f>'Monetary Survey Components'!I24</f>
        <v>3601.86</v>
      </c>
    </row>
    <row r="47" spans="1:12" hidden="1">
      <c r="A47" s="1095" t="s">
        <v>162</v>
      </c>
      <c r="B47" s="698">
        <f t="shared" si="4"/>
        <v>5533.3099999999995</v>
      </c>
      <c r="C47" s="698">
        <f>'Monetary Survey Counterparts'!D24</f>
        <v>7586.65</v>
      </c>
      <c r="D47" s="698">
        <f t="shared" si="5"/>
        <v>1920.06</v>
      </c>
      <c r="E47" s="698">
        <f>'Monetary Survey Counterparts'!H24</f>
        <v>-105.89</v>
      </c>
      <c r="F47" s="698">
        <f>'Monetary Survey Counterparts'!I24</f>
        <v>449.14</v>
      </c>
      <c r="G47" s="698">
        <f>'Monetary Survey Counterparts'!J24</f>
        <v>1576.81</v>
      </c>
      <c r="H47" s="720">
        <f>-'Monetary Survey Counterparts'!K24</f>
        <v>-3973.4</v>
      </c>
      <c r="I47" s="98">
        <f>'Monetary Survey Components'!D25</f>
        <v>1953.12</v>
      </c>
      <c r="J47" s="117">
        <f>'Monetary Survey Components'!E25</f>
        <v>710.31</v>
      </c>
      <c r="K47" s="98">
        <f>'Monetary Survey Components'!F25</f>
        <v>1224.57</v>
      </c>
      <c r="L47" s="110">
        <f>'Monetary Survey Components'!I25</f>
        <v>3510.1600000000003</v>
      </c>
    </row>
    <row r="48" spans="1:12" hidden="1">
      <c r="A48" s="1095" t="s">
        <v>163</v>
      </c>
      <c r="B48" s="698">
        <f t="shared" si="4"/>
        <v>5463.2800000000007</v>
      </c>
      <c r="C48" s="698">
        <f>'Monetary Survey Counterparts'!D25</f>
        <v>7862.89</v>
      </c>
      <c r="D48" s="698">
        <f t="shared" si="5"/>
        <v>1387.1399999999999</v>
      </c>
      <c r="E48" s="698">
        <f>'Monetary Survey Counterparts'!H25</f>
        <v>-659.2</v>
      </c>
      <c r="F48" s="698">
        <f>'Monetary Survey Counterparts'!I25</f>
        <v>449.55</v>
      </c>
      <c r="G48" s="698">
        <f>'Monetary Survey Counterparts'!J25</f>
        <v>1596.79</v>
      </c>
      <c r="H48" s="720">
        <f>-'Monetary Survey Counterparts'!K25</f>
        <v>-3786.75</v>
      </c>
      <c r="I48" s="98">
        <f>'Monetary Survey Components'!D26</f>
        <v>1913.55</v>
      </c>
      <c r="J48" s="117">
        <f>'Monetary Survey Components'!E26</f>
        <v>671.67</v>
      </c>
      <c r="K48" s="98">
        <f>'Monetary Survey Components'!F26</f>
        <v>1223.54</v>
      </c>
      <c r="L48" s="110">
        <f>'Monetary Survey Components'!I26</f>
        <v>3702.18</v>
      </c>
    </row>
    <row r="49" spans="1:12" hidden="1">
      <c r="A49" s="1095" t="s">
        <v>164</v>
      </c>
      <c r="B49" s="698">
        <f t="shared" si="4"/>
        <v>5615.73</v>
      </c>
      <c r="C49" s="698">
        <f>'Monetary Survey Counterparts'!D26</f>
        <v>8446.9699999999993</v>
      </c>
      <c r="D49" s="698">
        <f t="shared" si="5"/>
        <v>1171.8399999999999</v>
      </c>
      <c r="E49" s="698">
        <f>'Monetary Survey Counterparts'!H26</f>
        <v>-776.57</v>
      </c>
      <c r="F49" s="698">
        <f>'Monetary Survey Counterparts'!I26</f>
        <v>449.61</v>
      </c>
      <c r="G49" s="698">
        <f>'Monetary Survey Counterparts'!J26</f>
        <v>1498.8</v>
      </c>
      <c r="H49" s="720">
        <f>-'Monetary Survey Counterparts'!K26</f>
        <v>-4003.0800000000004</v>
      </c>
      <c r="I49" s="98">
        <f>'Monetary Survey Components'!D27</f>
        <v>1809.91</v>
      </c>
      <c r="J49" s="117">
        <f>'Monetary Survey Components'!E27</f>
        <v>556.67999999999995</v>
      </c>
      <c r="K49" s="98">
        <f>'Monetary Survey Components'!F27</f>
        <v>1234.0700000000002</v>
      </c>
      <c r="L49" s="110">
        <f>'Monetary Survey Components'!I27</f>
        <v>3771</v>
      </c>
    </row>
    <row r="50" spans="1:12" hidden="1">
      <c r="A50" s="1095" t="s">
        <v>165</v>
      </c>
      <c r="B50" s="698">
        <f t="shared" si="4"/>
        <v>5580.91</v>
      </c>
      <c r="C50" s="698">
        <f>'Monetary Survey Counterparts'!D27</f>
        <v>8244.89</v>
      </c>
      <c r="D50" s="698">
        <f t="shared" si="5"/>
        <v>1330.79</v>
      </c>
      <c r="E50" s="698">
        <f>'Monetary Survey Counterparts'!H27</f>
        <v>-568.14</v>
      </c>
      <c r="F50" s="698">
        <f>'Monetary Survey Counterparts'!I27</f>
        <v>449.64</v>
      </c>
      <c r="G50" s="698">
        <f>'Monetary Survey Counterparts'!J27</f>
        <v>1449.29</v>
      </c>
      <c r="H50" s="720">
        <f>-'Monetary Survey Counterparts'!K27</f>
        <v>-3994.77</v>
      </c>
      <c r="I50" s="98">
        <f>'Monetary Survey Components'!D28</f>
        <v>2500.16</v>
      </c>
      <c r="J50" s="117">
        <f>'Monetary Survey Components'!E28</f>
        <v>1050.28</v>
      </c>
      <c r="K50" s="98">
        <f>'Monetary Survey Components'!F28</f>
        <v>1327.08</v>
      </c>
      <c r="L50" s="110">
        <f>'Monetary Survey Components'!I28</f>
        <v>3562.9300000000003</v>
      </c>
    </row>
    <row r="51" spans="1:12" hidden="1">
      <c r="A51" s="1095" t="s">
        <v>147</v>
      </c>
      <c r="B51" s="698">
        <f t="shared" si="4"/>
        <v>6063.0899999999983</v>
      </c>
      <c r="C51" s="698">
        <f>'Monetary Survey Counterparts'!D28</f>
        <v>9087.98</v>
      </c>
      <c r="D51" s="698">
        <f t="shared" si="5"/>
        <v>1240.56</v>
      </c>
      <c r="E51" s="698">
        <f>'Monetary Survey Counterparts'!H28</f>
        <v>-648.51</v>
      </c>
      <c r="F51" s="698">
        <f>'Monetary Survey Counterparts'!I28</f>
        <v>459.37</v>
      </c>
      <c r="G51" s="698">
        <f>'Monetary Survey Counterparts'!J28</f>
        <v>1429.7</v>
      </c>
      <c r="H51" s="720">
        <f>-'Monetary Survey Counterparts'!K28</f>
        <v>-4265.4500000000007</v>
      </c>
      <c r="I51" s="98">
        <f>'Monetary Survey Components'!D29</f>
        <v>1995.38</v>
      </c>
      <c r="J51" s="117">
        <f>'Monetary Survey Components'!E29</f>
        <v>702.58</v>
      </c>
      <c r="K51" s="98">
        <f>'Monetary Survey Components'!F29</f>
        <v>1170.0999999999999</v>
      </c>
      <c r="L51" s="110">
        <f>'Monetary Survey Components'!I29</f>
        <v>3950.02</v>
      </c>
    </row>
    <row r="52" spans="1:12" hidden="1">
      <c r="A52" s="1095" t="s">
        <v>184</v>
      </c>
      <c r="B52" s="698">
        <f t="shared" si="4"/>
        <v>5945.4000000000005</v>
      </c>
      <c r="C52" s="698">
        <f>'Monetary Survey Counterparts'!D29</f>
        <v>9443.61</v>
      </c>
      <c r="D52" s="698">
        <f t="shared" si="5"/>
        <v>955.67000000000007</v>
      </c>
      <c r="E52" s="698">
        <f>'Monetary Survey Counterparts'!H29</f>
        <v>-930.56</v>
      </c>
      <c r="F52" s="698">
        <f>'Monetary Survey Counterparts'!I29</f>
        <v>429.67</v>
      </c>
      <c r="G52" s="698">
        <f>'Monetary Survey Counterparts'!J29</f>
        <v>1456.56</v>
      </c>
      <c r="H52" s="720">
        <f>-'Monetary Survey Counterparts'!K29</f>
        <v>-4453.88</v>
      </c>
      <c r="I52" s="98">
        <f>'Monetary Survey Components'!D30</f>
        <v>2310.2600000000002</v>
      </c>
      <c r="J52" s="117">
        <f>'Monetary Survey Components'!E30</f>
        <v>735.66</v>
      </c>
      <c r="K52" s="98">
        <f>'Monetary Survey Components'!F30</f>
        <v>1425.27</v>
      </c>
      <c r="L52" s="110">
        <f>'Monetary Survey Components'!I30</f>
        <v>3944</v>
      </c>
    </row>
    <row r="53" spans="1:12" hidden="1">
      <c r="A53" s="1095" t="s">
        <v>185</v>
      </c>
      <c r="B53" s="698">
        <f t="shared" si="4"/>
        <v>6254.2599999999993</v>
      </c>
      <c r="C53" s="698">
        <f>'Monetary Survey Counterparts'!D30</f>
        <v>9962.2099999999991</v>
      </c>
      <c r="D53" s="698">
        <f t="shared" si="5"/>
        <v>790.18000000000018</v>
      </c>
      <c r="E53" s="698">
        <f>'Monetary Survey Counterparts'!H30</f>
        <v>-1087.5</v>
      </c>
      <c r="F53" s="698">
        <f>'Monetary Survey Counterparts'!I30</f>
        <v>430.61</v>
      </c>
      <c r="G53" s="698">
        <f>'Monetary Survey Counterparts'!J30</f>
        <v>1447.0700000000002</v>
      </c>
      <c r="H53" s="720">
        <f>-'Monetary Survey Counterparts'!K30</f>
        <v>-4498.13</v>
      </c>
      <c r="I53" s="98">
        <f>'Monetary Survey Components'!D31</f>
        <v>2628.68</v>
      </c>
      <c r="J53" s="117">
        <f>'Monetary Survey Components'!E31</f>
        <v>843.47</v>
      </c>
      <c r="K53" s="98">
        <f>'Monetary Survey Components'!F31</f>
        <v>1635.93</v>
      </c>
      <c r="L53" s="110">
        <f>'Monetary Survey Components'!I31</f>
        <v>3881.99</v>
      </c>
    </row>
    <row r="54" spans="1:12" hidden="1">
      <c r="A54" s="1095" t="s">
        <v>605</v>
      </c>
      <c r="B54" s="698">
        <f t="shared" si="4"/>
        <v>6510.6699999999992</v>
      </c>
      <c r="C54" s="698">
        <f>'Monetary Survey Counterparts'!D31</f>
        <v>9997.64</v>
      </c>
      <c r="D54" s="698">
        <f t="shared" si="5"/>
        <v>652.64999999999986</v>
      </c>
      <c r="E54" s="698">
        <f>'Monetary Survey Counterparts'!H31</f>
        <v>-1227.46</v>
      </c>
      <c r="F54" s="698">
        <f>'Monetary Survey Counterparts'!I31</f>
        <v>440.78</v>
      </c>
      <c r="G54" s="698">
        <f>'Monetary Survey Counterparts'!J31</f>
        <v>1439.33</v>
      </c>
      <c r="H54" s="720">
        <f>-'Monetary Survey Counterparts'!K31</f>
        <v>-4139.62</v>
      </c>
      <c r="I54" s="98">
        <f>'Monetary Survey Components'!D32</f>
        <v>2852.62</v>
      </c>
      <c r="J54" s="117">
        <f>'Monetary Survey Components'!E32</f>
        <v>735.53</v>
      </c>
      <c r="K54" s="98">
        <f>'Monetary Survey Components'!F32</f>
        <v>1968.01</v>
      </c>
      <c r="L54" s="110">
        <f>'Monetary Survey Components'!I32</f>
        <v>4177.45</v>
      </c>
    </row>
    <row r="55" spans="1:12" hidden="1">
      <c r="A55" s="1095" t="s">
        <v>606</v>
      </c>
      <c r="B55" s="698">
        <f t="shared" si="4"/>
        <v>7030.0700000000006</v>
      </c>
      <c r="C55" s="698">
        <f>'Monetary Survey Counterparts'!D32</f>
        <v>11713.33</v>
      </c>
      <c r="D55" s="698">
        <f t="shared" si="5"/>
        <v>701.43999999999983</v>
      </c>
      <c r="E55" s="698">
        <f>'Monetary Survey Counterparts'!H32</f>
        <v>-1153.4000000000001</v>
      </c>
      <c r="F55" s="698">
        <f>'Monetary Survey Counterparts'!I32</f>
        <v>431.84</v>
      </c>
      <c r="G55" s="698">
        <f>'Monetary Survey Counterparts'!J32</f>
        <v>1423</v>
      </c>
      <c r="H55" s="720">
        <f>-'Monetary Survey Counterparts'!K32</f>
        <v>-5384.7</v>
      </c>
      <c r="I55" s="98">
        <f>'Monetary Survey Components'!D33</f>
        <v>2774</v>
      </c>
      <c r="J55" s="117">
        <f>'Monetary Survey Components'!E33</f>
        <v>804.8</v>
      </c>
      <c r="K55" s="98">
        <f>'Monetary Survey Components'!F33</f>
        <v>1819.9</v>
      </c>
      <c r="L55" s="110">
        <f>'Monetary Survey Components'!I33</f>
        <v>4096.22</v>
      </c>
    </row>
    <row r="56" spans="1:12" hidden="1">
      <c r="A56" s="1095" t="s">
        <v>607</v>
      </c>
      <c r="B56" s="698">
        <f t="shared" si="4"/>
        <v>6870.22</v>
      </c>
      <c r="C56" s="698">
        <f>'Monetary Survey Counterparts'!D33</f>
        <v>11346.97</v>
      </c>
      <c r="D56" s="698">
        <f t="shared" si="5"/>
        <v>405.86999999999989</v>
      </c>
      <c r="E56" s="698">
        <f>'Monetary Survey Counterparts'!H33</f>
        <v>-1458.89</v>
      </c>
      <c r="F56" s="698">
        <f>'Monetary Survey Counterparts'!I33</f>
        <v>431.58</v>
      </c>
      <c r="G56" s="698">
        <f>'Monetary Survey Counterparts'!J33</f>
        <v>1433.18</v>
      </c>
      <c r="H56" s="720">
        <f>-'Monetary Survey Counterparts'!K33</f>
        <v>-4882.62</v>
      </c>
      <c r="I56" s="98">
        <f>'Monetary Survey Components'!D34</f>
        <v>2791.99</v>
      </c>
      <c r="J56" s="117">
        <f>'Monetary Survey Components'!E34</f>
        <v>768.79</v>
      </c>
      <c r="K56" s="98">
        <f>'Monetary Survey Components'!F34</f>
        <v>1860.44</v>
      </c>
      <c r="L56" s="110">
        <f>'Monetary Survey Components'!I34</f>
        <v>3786.3199999999997</v>
      </c>
    </row>
    <row r="57" spans="1:12" hidden="1">
      <c r="A57" s="1095" t="s">
        <v>186</v>
      </c>
      <c r="B57" s="698">
        <f t="shared" si="4"/>
        <v>6578.3100000000013</v>
      </c>
      <c r="C57" s="698">
        <f>'Monetary Survey Counterparts'!D34</f>
        <v>10840.42</v>
      </c>
      <c r="D57" s="698">
        <f t="shared" si="5"/>
        <v>407.45000000000005</v>
      </c>
      <c r="E57" s="698">
        <f>'Monetary Survey Counterparts'!H34</f>
        <v>-1479.42</v>
      </c>
      <c r="F57" s="698">
        <f>'Monetary Survey Counterparts'!I34</f>
        <v>411.41</v>
      </c>
      <c r="G57" s="698">
        <f>'Monetary Survey Counterparts'!J34</f>
        <v>1475.46</v>
      </c>
      <c r="H57" s="720">
        <f>-'Monetary Survey Counterparts'!K34</f>
        <v>-4669.5599999999995</v>
      </c>
      <c r="I57" s="98">
        <f>'Monetary Survey Components'!D35</f>
        <v>0</v>
      </c>
      <c r="J57" s="117">
        <f>'Monetary Survey Components'!E35</f>
        <v>0</v>
      </c>
      <c r="K57" s="98">
        <f>'Monetary Survey Components'!F35</f>
        <v>0</v>
      </c>
      <c r="L57" s="110">
        <f>'Monetary Survey Components'!I35</f>
        <v>0</v>
      </c>
    </row>
    <row r="58" spans="1:12" hidden="1">
      <c r="A58" s="1400">
        <v>39083</v>
      </c>
      <c r="B58" s="698">
        <f t="shared" si="4"/>
        <v>6853.71</v>
      </c>
      <c r="C58" s="698">
        <f>'Monetary Survey Counterparts'!D36</f>
        <v>11988.14</v>
      </c>
      <c r="D58" s="698">
        <f t="shared" si="5"/>
        <v>-82.400000000000091</v>
      </c>
      <c r="E58" s="698">
        <f>'Monetary Survey Counterparts'!H36</f>
        <v>-1965.22</v>
      </c>
      <c r="F58" s="698">
        <f>'Monetary Survey Counterparts'!I36</f>
        <v>411.58</v>
      </c>
      <c r="G58" s="698">
        <f>'Monetary Survey Counterparts'!J36</f>
        <v>1471.24</v>
      </c>
      <c r="H58" s="720">
        <f>-'Monetary Survey Counterparts'!K36</f>
        <v>-5052.03</v>
      </c>
      <c r="I58" s="98">
        <f>'Monetary Survey Components'!D37</f>
        <v>2850.62</v>
      </c>
      <c r="J58" s="117">
        <f>'Monetary Survey Components'!E37</f>
        <v>743.38</v>
      </c>
      <c r="K58" s="98">
        <f>'Monetary Survey Components'!F37</f>
        <v>1944.5099999999998</v>
      </c>
      <c r="L58" s="110">
        <f>'Monetary Survey Components'!I37</f>
        <v>4025.7200000000003</v>
      </c>
    </row>
    <row r="59" spans="1:12" hidden="1">
      <c r="A59" s="1324" t="s">
        <v>162</v>
      </c>
      <c r="B59" s="698">
        <f t="shared" si="4"/>
        <v>6876.3399999999992</v>
      </c>
      <c r="C59" s="698">
        <f>'Monetary Survey Counterparts'!D37</f>
        <v>11291.72</v>
      </c>
      <c r="D59" s="698">
        <f t="shared" si="5"/>
        <v>155.40000000000009</v>
      </c>
      <c r="E59" s="698">
        <f>'Monetary Survey Counterparts'!H37</f>
        <v>-1720.18</v>
      </c>
      <c r="F59" s="698">
        <f>'Monetary Survey Counterparts'!I37</f>
        <v>411.64</v>
      </c>
      <c r="G59" s="698">
        <f>'Monetary Survey Counterparts'!J37</f>
        <v>1463.94</v>
      </c>
      <c r="H59" s="720">
        <f>-'Monetary Survey Counterparts'!K37</f>
        <v>-4570.78</v>
      </c>
      <c r="I59" s="98">
        <f>'Monetary Survey Components'!D38</f>
        <v>2878.94</v>
      </c>
      <c r="J59" s="117">
        <f>'Monetary Survey Components'!E38</f>
        <v>740.69</v>
      </c>
      <c r="K59" s="98">
        <f>'Monetary Survey Components'!F38</f>
        <v>1974.4</v>
      </c>
      <c r="L59" s="110">
        <f>'Monetary Survey Components'!I38</f>
        <v>4440.45</v>
      </c>
    </row>
    <row r="60" spans="1:12" hidden="1">
      <c r="A60" s="1324" t="s">
        <v>163</v>
      </c>
      <c r="B60" s="698">
        <f t="shared" si="4"/>
        <v>7319.39</v>
      </c>
      <c r="C60" s="698">
        <f>'Monetary Survey Counterparts'!D38</f>
        <v>11827.66</v>
      </c>
      <c r="D60" s="698">
        <f t="shared" si="5"/>
        <v>-77.980000000000018</v>
      </c>
      <c r="E60" s="698">
        <f>'Monetary Survey Counterparts'!H38</f>
        <v>-1957.54</v>
      </c>
      <c r="F60" s="698">
        <f>'Monetary Survey Counterparts'!I38</f>
        <v>420.52</v>
      </c>
      <c r="G60" s="698">
        <f>'Monetary Survey Counterparts'!J38</f>
        <v>1459.04</v>
      </c>
      <c r="H60" s="720">
        <f>-'Monetary Survey Counterparts'!K38</f>
        <v>-4430.29</v>
      </c>
      <c r="I60" s="98">
        <f>'Monetary Survey Components'!D39</f>
        <v>2609.9899999999998</v>
      </c>
      <c r="J60" s="117">
        <f>'Monetary Survey Components'!E39</f>
        <v>742.97</v>
      </c>
      <c r="K60" s="98">
        <f>'Monetary Survey Components'!F39</f>
        <v>1702.75</v>
      </c>
      <c r="L60" s="110">
        <f>'Monetary Survey Components'!I39</f>
        <v>4736.26</v>
      </c>
    </row>
    <row r="61" spans="1:12" hidden="1">
      <c r="A61" s="1324" t="s">
        <v>164</v>
      </c>
      <c r="B61" s="698">
        <f t="shared" si="4"/>
        <v>7346.25</v>
      </c>
      <c r="C61" s="698">
        <f>'Monetary Survey Counterparts'!D39</f>
        <v>11649.44</v>
      </c>
      <c r="D61" s="698">
        <f t="shared" si="5"/>
        <v>-169.46000000000004</v>
      </c>
      <c r="E61" s="698">
        <f>'Monetary Survey Counterparts'!H39</f>
        <v>-2011.69</v>
      </c>
      <c r="F61" s="698">
        <f>'Monetary Survey Counterparts'!I39</f>
        <v>410.93</v>
      </c>
      <c r="G61" s="698">
        <f>'Monetary Survey Counterparts'!J39</f>
        <v>1431.3</v>
      </c>
      <c r="H61" s="720">
        <f>-'Monetary Survey Counterparts'!K39</f>
        <v>-4133.7299999999996</v>
      </c>
      <c r="I61" s="98">
        <f>'Monetary Survey Components'!D40</f>
        <v>2836.45</v>
      </c>
      <c r="J61" s="117">
        <f>'Monetary Survey Components'!E40</f>
        <v>745.58</v>
      </c>
      <c r="K61" s="98">
        <f>'Monetary Survey Components'!F40</f>
        <v>1926.1</v>
      </c>
      <c r="L61" s="110">
        <f>'Monetary Survey Components'!I40</f>
        <v>4486.0999999999995</v>
      </c>
    </row>
    <row r="62" spans="1:12" hidden="1">
      <c r="A62" s="1324" t="s">
        <v>165</v>
      </c>
      <c r="B62" s="698">
        <f t="shared" si="4"/>
        <v>7322.5499999999993</v>
      </c>
      <c r="C62" s="698">
        <f>'Monetary Survey Counterparts'!D40</f>
        <v>11940.18</v>
      </c>
      <c r="D62" s="698">
        <f t="shared" si="5"/>
        <v>155.80000000000018</v>
      </c>
      <c r="E62" s="698">
        <f>'Monetary Survey Counterparts'!H40</f>
        <v>-1709.36</v>
      </c>
      <c r="F62" s="698">
        <f>'Monetary Survey Counterparts'!I40</f>
        <v>411.64</v>
      </c>
      <c r="G62" s="698">
        <f>'Monetary Survey Counterparts'!J40</f>
        <v>1453.52</v>
      </c>
      <c r="H62" s="720">
        <f>-'Monetary Survey Counterparts'!K40</f>
        <v>-4773.43</v>
      </c>
      <c r="I62" s="98">
        <f>'Monetary Survey Components'!D41</f>
        <v>2868.45</v>
      </c>
      <c r="J62" s="117">
        <f>'Monetary Survey Components'!E41</f>
        <v>852.82</v>
      </c>
      <c r="K62" s="98">
        <f>'Monetary Survey Components'!F41</f>
        <v>1832.63</v>
      </c>
      <c r="L62" s="110">
        <f>'Monetary Survey Components'!I41</f>
        <v>4490.7800000000007</v>
      </c>
    </row>
    <row r="63" spans="1:12" hidden="1">
      <c r="A63" s="1324" t="s">
        <v>147</v>
      </c>
      <c r="B63" s="698">
        <f t="shared" si="4"/>
        <v>7359.2300000000005</v>
      </c>
      <c r="C63" s="698">
        <f>'Monetary Survey Counterparts'!D41</f>
        <v>11335.81</v>
      </c>
      <c r="D63" s="698">
        <f t="shared" si="5"/>
        <v>377.93000000000006</v>
      </c>
      <c r="E63" s="698">
        <f>'Monetary Survey Counterparts'!H41</f>
        <v>-1485.3</v>
      </c>
      <c r="F63" s="698">
        <f>'Monetary Survey Counterparts'!I41</f>
        <v>390.98</v>
      </c>
      <c r="G63" s="698">
        <f>'Monetary Survey Counterparts'!J41</f>
        <v>1472.25</v>
      </c>
      <c r="H63" s="720">
        <f>-'Monetary Survey Counterparts'!K41</f>
        <v>-4354.5099999999993</v>
      </c>
      <c r="I63" s="98">
        <f>'Monetary Survey Components'!D42</f>
        <v>2872.16</v>
      </c>
      <c r="J63" s="117">
        <f>'Monetary Survey Components'!E42</f>
        <v>812.36</v>
      </c>
      <c r="K63" s="98">
        <f>'Monetary Survey Components'!F42</f>
        <v>1874.71</v>
      </c>
      <c r="L63" s="110">
        <f>'Monetary Survey Components'!I42</f>
        <v>4363.07</v>
      </c>
    </row>
    <row r="64" spans="1:12" hidden="1">
      <c r="A64" s="1324" t="s">
        <v>184</v>
      </c>
      <c r="B64" s="698">
        <f t="shared" si="4"/>
        <v>7235.2300000000005</v>
      </c>
      <c r="C64" s="698">
        <f>'Monetary Survey Counterparts'!D42</f>
        <v>12037.18</v>
      </c>
      <c r="D64" s="698">
        <f t="shared" si="5"/>
        <v>-38.400000000000091</v>
      </c>
      <c r="E64" s="698">
        <f>'Monetary Survey Counterparts'!H42</f>
        <v>-1926.47</v>
      </c>
      <c r="F64" s="698">
        <f>'Monetary Survey Counterparts'!I42</f>
        <v>391.27</v>
      </c>
      <c r="G64" s="698">
        <f>'Monetary Survey Counterparts'!J42</f>
        <v>1496.8</v>
      </c>
      <c r="H64" s="720">
        <f>-'Monetary Survey Counterparts'!K42</f>
        <v>-4763.55</v>
      </c>
      <c r="I64" s="98">
        <f>'Monetary Survey Components'!D43</f>
        <v>3009.13</v>
      </c>
      <c r="J64" s="117">
        <f>'Monetary Survey Components'!E43</f>
        <v>830.57</v>
      </c>
      <c r="K64" s="98">
        <f>'Monetary Survey Components'!F43</f>
        <v>1994.93</v>
      </c>
      <c r="L64" s="110">
        <f>'Monetary Survey Components'!I43</f>
        <v>5203.72</v>
      </c>
    </row>
    <row r="65" spans="1:12" hidden="1">
      <c r="A65" s="1324" t="s">
        <v>185</v>
      </c>
      <c r="B65" s="698">
        <f t="shared" si="4"/>
        <v>8212.85</v>
      </c>
      <c r="C65" s="698">
        <f>'Monetary Survey Counterparts'!D43</f>
        <v>12038.16</v>
      </c>
      <c r="D65" s="698">
        <f t="shared" si="5"/>
        <v>254.50000000000023</v>
      </c>
      <c r="E65" s="698">
        <f>'Monetary Survey Counterparts'!H43</f>
        <v>-1611.55</v>
      </c>
      <c r="F65" s="698">
        <f>'Monetary Survey Counterparts'!I43</f>
        <v>392.12</v>
      </c>
      <c r="G65" s="698">
        <f>'Monetary Survey Counterparts'!J43</f>
        <v>1473.93</v>
      </c>
      <c r="H65" s="720">
        <f>-'Monetary Survey Counterparts'!K43</f>
        <v>-4079.81</v>
      </c>
      <c r="I65" s="98">
        <f>'Monetary Survey Components'!D44</f>
        <v>3458.79</v>
      </c>
      <c r="J65" s="117">
        <f>'Monetary Survey Components'!E44</f>
        <v>831</v>
      </c>
      <c r="K65" s="98">
        <f>'Monetary Survey Components'!F44</f>
        <v>2440.92</v>
      </c>
      <c r="L65" s="110">
        <f>'Monetary Survey Components'!I44</f>
        <v>4742.09</v>
      </c>
    </row>
    <row r="66" spans="1:12" hidden="1">
      <c r="A66" s="1324" t="s">
        <v>605</v>
      </c>
      <c r="B66" s="698">
        <f t="shared" si="4"/>
        <v>8200.880000000001</v>
      </c>
      <c r="C66" s="698">
        <f>'Monetary Survey Counterparts'!D44</f>
        <v>12245.68</v>
      </c>
      <c r="D66" s="698">
        <f t="shared" si="5"/>
        <v>314.08999999999992</v>
      </c>
      <c r="E66" s="698">
        <f>'Monetary Survey Counterparts'!H44</f>
        <v>-1569.31</v>
      </c>
      <c r="F66" s="698">
        <f>'Monetary Survey Counterparts'!I44</f>
        <v>392.12</v>
      </c>
      <c r="G66" s="698">
        <f>'Monetary Survey Counterparts'!J44</f>
        <v>1491.28</v>
      </c>
      <c r="H66" s="720">
        <f>-'Monetary Survey Counterparts'!K44</f>
        <v>-4358.8899999999994</v>
      </c>
      <c r="I66" s="98">
        <f>'Monetary Survey Components'!D45</f>
        <v>3677.92</v>
      </c>
      <c r="J66" s="117">
        <f>'Monetary Survey Components'!E45</f>
        <v>875.67</v>
      </c>
      <c r="K66" s="98">
        <f>'Monetary Survey Components'!F45</f>
        <v>2623.91</v>
      </c>
      <c r="L66" s="110">
        <f>'Monetary Survey Components'!I45</f>
        <v>5363.07</v>
      </c>
    </row>
    <row r="67" spans="1:12" hidden="1">
      <c r="A67" s="1324" t="s">
        <v>606</v>
      </c>
      <c r="B67" s="698">
        <f t="shared" si="4"/>
        <v>9040.99</v>
      </c>
      <c r="C67" s="698">
        <f>'Monetary Survey Counterparts'!D45</f>
        <v>14334.58</v>
      </c>
      <c r="D67" s="698">
        <f t="shared" si="5"/>
        <v>-116.09000000000015</v>
      </c>
      <c r="E67" s="698">
        <f>'Monetary Survey Counterparts'!H45</f>
        <v>-1999.41</v>
      </c>
      <c r="F67" s="698">
        <f>'Monetary Survey Counterparts'!I45</f>
        <v>391.88</v>
      </c>
      <c r="G67" s="698">
        <f>'Monetary Survey Counterparts'!J45</f>
        <v>1491.44</v>
      </c>
      <c r="H67" s="720">
        <f>-'Monetary Survey Counterparts'!K45</f>
        <v>-5177.5</v>
      </c>
      <c r="I67" s="98">
        <f>'Monetary Survey Components'!D46</f>
        <v>3435.58</v>
      </c>
      <c r="J67" s="117">
        <f>'Monetary Survey Components'!E46</f>
        <v>893.13</v>
      </c>
      <c r="K67" s="98">
        <f>'Monetary Survey Components'!F46</f>
        <v>2364.15</v>
      </c>
      <c r="L67" s="110">
        <f>'Monetary Survey Components'!I46</f>
        <v>5263.28</v>
      </c>
    </row>
    <row r="68" spans="1:12" hidden="1">
      <c r="A68" s="1324" t="s">
        <v>607</v>
      </c>
      <c r="B68" s="698">
        <f t="shared" si="4"/>
        <v>8698.86</v>
      </c>
      <c r="C68" s="698">
        <f>'Monetary Survey Counterparts'!D46</f>
        <v>13289.5</v>
      </c>
      <c r="D68" s="698">
        <f t="shared" si="5"/>
        <v>-493.02</v>
      </c>
      <c r="E68" s="698">
        <f>'Monetary Survey Counterparts'!H46</f>
        <v>-2391.4499999999998</v>
      </c>
      <c r="F68" s="698">
        <f>'Monetary Survey Counterparts'!I46</f>
        <v>392.09</v>
      </c>
      <c r="G68" s="698">
        <f>'Monetary Survey Counterparts'!J46</f>
        <v>1506.34</v>
      </c>
      <c r="H68" s="720">
        <f>-'Monetary Survey Counterparts'!K46</f>
        <v>-4097.62</v>
      </c>
      <c r="I68" s="98">
        <f>'Monetary Survey Components'!D47</f>
        <v>3902.66</v>
      </c>
      <c r="J68" s="117">
        <f>'Monetary Survey Components'!E47</f>
        <v>969.15</v>
      </c>
      <c r="K68" s="98">
        <f>'Monetary Survey Components'!F47</f>
        <v>2754.93</v>
      </c>
      <c r="L68" s="110">
        <f>'Monetary Survey Components'!I47</f>
        <v>4740.7</v>
      </c>
    </row>
    <row r="69" spans="1:12" hidden="1">
      <c r="A69" s="1324" t="s">
        <v>186</v>
      </c>
      <c r="B69" s="698">
        <f t="shared" si="4"/>
        <v>8643.36</v>
      </c>
      <c r="C69" s="698">
        <f>'Monetary Survey Counterparts'!D47</f>
        <v>12895.62</v>
      </c>
      <c r="D69" s="698">
        <f t="shared" si="5"/>
        <v>-232.8599999999999</v>
      </c>
      <c r="E69" s="698">
        <f>'Monetary Survey Counterparts'!H47</f>
        <v>-2097.6799999999998</v>
      </c>
      <c r="F69" s="698">
        <f>'Monetary Survey Counterparts'!I47</f>
        <v>372.14</v>
      </c>
      <c r="G69" s="698">
        <f>'Monetary Survey Counterparts'!J47</f>
        <v>1492.68</v>
      </c>
      <c r="H69" s="720">
        <f>-'Monetary Survey Counterparts'!K47</f>
        <v>-4019.3999999999996</v>
      </c>
      <c r="I69" s="98">
        <f>'Monetary Survey Components'!D48</f>
        <v>0</v>
      </c>
      <c r="J69" s="117">
        <f>'Monetary Survey Components'!E48</f>
        <v>0</v>
      </c>
      <c r="K69" s="98">
        <f>'Monetary Survey Components'!F48</f>
        <v>0</v>
      </c>
      <c r="L69" s="110">
        <f>'Monetary Survey Components'!I48</f>
        <v>0</v>
      </c>
    </row>
    <row r="70" spans="1:12" hidden="1">
      <c r="A70" s="1400">
        <v>39455</v>
      </c>
      <c r="B70" s="698">
        <f t="shared" si="4"/>
        <v>8775.39</v>
      </c>
      <c r="C70" s="698">
        <f>'Monetary Survey Counterparts'!D49</f>
        <v>13762.4</v>
      </c>
      <c r="D70" s="698">
        <f t="shared" si="5"/>
        <v>-109.54999999999995</v>
      </c>
      <c r="E70" s="698">
        <f>'Monetary Survey Counterparts'!H49</f>
        <v>-1992.3</v>
      </c>
      <c r="F70" s="698">
        <f>'Monetary Survey Counterparts'!I49</f>
        <v>372.21</v>
      </c>
      <c r="G70" s="698">
        <f>'Monetary Survey Counterparts'!J49</f>
        <v>1510.54</v>
      </c>
      <c r="H70" s="720">
        <f>-'Monetary Survey Counterparts'!K49</f>
        <v>-4877.46</v>
      </c>
      <c r="I70" s="98">
        <f>'Monetary Survey Components'!D50</f>
        <v>3128.53</v>
      </c>
      <c r="J70" s="117">
        <f>'Monetary Survey Components'!E50</f>
        <v>977.52</v>
      </c>
      <c r="K70" s="98">
        <f>'Monetary Survey Components'!F50</f>
        <v>1970.0500000000002</v>
      </c>
      <c r="L70" s="110">
        <f>'Monetary Survey Components'!I50</f>
        <v>5383.09</v>
      </c>
    </row>
    <row r="71" spans="1:12" hidden="1">
      <c r="A71" s="1324" t="s">
        <v>162</v>
      </c>
      <c r="B71" s="698">
        <f t="shared" si="4"/>
        <v>8511.619999999999</v>
      </c>
      <c r="C71" s="698">
        <f>'Monetary Survey Counterparts'!D50</f>
        <v>13428.97</v>
      </c>
      <c r="D71" s="698">
        <f t="shared" si="5"/>
        <v>-387.26</v>
      </c>
      <c r="E71" s="698">
        <f>'Monetary Survey Counterparts'!H50</f>
        <v>-2246.4699999999998</v>
      </c>
      <c r="F71" s="698">
        <f>'Monetary Survey Counterparts'!I50</f>
        <v>372.14</v>
      </c>
      <c r="G71" s="698">
        <f>'Monetary Survey Counterparts'!J50</f>
        <v>1487.07</v>
      </c>
      <c r="H71" s="720">
        <f>-'Monetary Survey Counterparts'!K50</f>
        <v>-4530.09</v>
      </c>
      <c r="I71" s="98">
        <f>'Monetary Survey Components'!D51</f>
        <v>4117.21</v>
      </c>
      <c r="J71" s="117">
        <f>'Monetary Survey Components'!E51</f>
        <v>1040.68</v>
      </c>
      <c r="K71" s="98">
        <f>'Monetary Survey Components'!F51</f>
        <v>2979.48</v>
      </c>
      <c r="L71" s="110">
        <f>'Monetary Survey Components'!I51</f>
        <v>4949.46</v>
      </c>
    </row>
    <row r="72" spans="1:12" hidden="1">
      <c r="A72" s="1324" t="s">
        <v>163</v>
      </c>
      <c r="B72" s="698">
        <f t="shared" si="4"/>
        <v>9066.6699999999983</v>
      </c>
      <c r="C72" s="698">
        <f>'Monetary Survey Counterparts'!D51</f>
        <v>13319.74</v>
      </c>
      <c r="D72" s="698">
        <f t="shared" si="5"/>
        <v>-301.67999999999984</v>
      </c>
      <c r="E72" s="698">
        <f>'Monetary Survey Counterparts'!H51</f>
        <v>-2178.9699999999998</v>
      </c>
      <c r="F72" s="698">
        <f>'Monetary Survey Counterparts'!I51</f>
        <v>372.24</v>
      </c>
      <c r="G72" s="698">
        <f>'Monetary Survey Counterparts'!J51</f>
        <v>1505.05</v>
      </c>
      <c r="H72" s="720">
        <f>-'Monetary Survey Counterparts'!K51</f>
        <v>-3951.3900000000003</v>
      </c>
      <c r="I72" s="98">
        <f>'Monetary Survey Components'!D52</f>
        <v>3500.56</v>
      </c>
      <c r="J72" s="117">
        <f>'Monetary Survey Components'!E52</f>
        <v>991.28</v>
      </c>
      <c r="K72" s="98">
        <f>'Monetary Survey Components'!F52</f>
        <v>2412.1999999999998</v>
      </c>
      <c r="L72" s="110">
        <f>'Monetary Survey Components'!I52</f>
        <v>4857.59</v>
      </c>
    </row>
    <row r="73" spans="1:12" hidden="1">
      <c r="A73" s="1324" t="s">
        <v>164</v>
      </c>
      <c r="B73" s="698">
        <f t="shared" si="4"/>
        <v>8358.15</v>
      </c>
      <c r="C73" s="698">
        <f>'Monetary Survey Counterparts'!D52</f>
        <v>13425.97</v>
      </c>
      <c r="D73" s="698">
        <f t="shared" si="5"/>
        <v>-273.98</v>
      </c>
      <c r="E73" s="698">
        <f>'Monetary Survey Counterparts'!H52</f>
        <v>-2126.12</v>
      </c>
      <c r="F73" s="698">
        <f>'Monetary Survey Counterparts'!I52</f>
        <v>373.02</v>
      </c>
      <c r="G73" s="698">
        <f>'Monetary Survey Counterparts'!J52</f>
        <v>1479.12</v>
      </c>
      <c r="H73" s="720">
        <f>-'Monetary Survey Counterparts'!K52</f>
        <v>-4793.84</v>
      </c>
      <c r="I73" s="98">
        <f>'Monetary Survey Components'!D53</f>
        <v>3460.56</v>
      </c>
      <c r="J73" s="117">
        <f>'Monetary Survey Components'!E53</f>
        <v>1022.7</v>
      </c>
      <c r="K73" s="98">
        <f>'Monetary Survey Components'!F53</f>
        <v>2340.5100000000002</v>
      </c>
      <c r="L73" s="110">
        <f>'Monetary Survey Components'!I53</f>
        <v>4816.6499999999996</v>
      </c>
    </row>
    <row r="74" spans="1:12" hidden="1">
      <c r="A74" s="1324" t="s">
        <v>165</v>
      </c>
      <c r="B74" s="698">
        <f t="shared" si="4"/>
        <v>8277.2100000000009</v>
      </c>
      <c r="C74" s="698">
        <f>'Monetary Survey Counterparts'!D53</f>
        <v>13140.48</v>
      </c>
      <c r="D74" s="698">
        <f t="shared" si="5"/>
        <v>60.690000000000055</v>
      </c>
      <c r="E74" s="698">
        <f>'Monetary Survey Counterparts'!H53</f>
        <v>-1799.57</v>
      </c>
      <c r="F74" s="698">
        <f>'Monetary Survey Counterparts'!I53</f>
        <v>373.53</v>
      </c>
      <c r="G74" s="698">
        <f>'Monetary Survey Counterparts'!J53</f>
        <v>1486.73</v>
      </c>
      <c r="H74" s="720">
        <f>-'Monetary Survey Counterparts'!K53</f>
        <v>-4923.9599999999991</v>
      </c>
      <c r="I74" s="98">
        <f>'Monetary Survey Components'!D54</f>
        <v>3691.66</v>
      </c>
      <c r="J74" s="117">
        <f>'Monetary Survey Components'!E54</f>
        <v>1119.3900000000001</v>
      </c>
      <c r="K74" s="98">
        <f>'Monetary Survey Components'!F54</f>
        <v>2474.7600000000002</v>
      </c>
      <c r="L74" s="110">
        <f>'Monetary Survey Components'!I54</f>
        <v>5238.88</v>
      </c>
    </row>
    <row r="75" spans="1:12" hidden="1">
      <c r="A75" s="1324" t="s">
        <v>147</v>
      </c>
      <c r="B75" s="698">
        <f t="shared" si="4"/>
        <v>8930.5399999999991</v>
      </c>
      <c r="C75" s="698">
        <f>'Monetary Survey Counterparts'!D54</f>
        <v>13248.25</v>
      </c>
      <c r="D75" s="698">
        <f t="shared" si="5"/>
        <v>749.11999999999978</v>
      </c>
      <c r="E75" s="698">
        <f>'Monetary Survey Counterparts'!H54</f>
        <v>-1110.6300000000001</v>
      </c>
      <c r="F75" s="698">
        <f>'Monetary Survey Counterparts'!I54</f>
        <v>353.61</v>
      </c>
      <c r="G75" s="698">
        <f>'Monetary Survey Counterparts'!J54</f>
        <v>1506.1399999999999</v>
      </c>
      <c r="H75" s="720">
        <f>-'Monetary Survey Counterparts'!K54</f>
        <v>-5066.83</v>
      </c>
      <c r="I75" s="98">
        <f>'Monetary Survey Components'!D55</f>
        <v>3853.99</v>
      </c>
      <c r="J75" s="117">
        <f>'Monetary Survey Components'!E55</f>
        <v>1086.93</v>
      </c>
      <c r="K75" s="98">
        <f>'Monetary Survey Components'!F55</f>
        <v>2669.47</v>
      </c>
      <c r="L75" s="110">
        <f>'Monetary Survey Components'!I55</f>
        <v>5710.55</v>
      </c>
    </row>
    <row r="76" spans="1:12">
      <c r="A76" s="1324" t="s">
        <v>184</v>
      </c>
      <c r="B76" s="698">
        <f t="shared" si="4"/>
        <v>9564.5400000000009</v>
      </c>
      <c r="C76" s="698">
        <f>'Monetary Survey Counterparts'!D55</f>
        <v>13658.01</v>
      </c>
      <c r="D76" s="698">
        <f t="shared" si="5"/>
        <v>502.39999999999986</v>
      </c>
      <c r="E76" s="698">
        <f>'Monetary Survey Counterparts'!H55</f>
        <v>-1372.05</v>
      </c>
      <c r="F76" s="698">
        <f>'Monetary Survey Counterparts'!I55</f>
        <v>353.49</v>
      </c>
      <c r="G76" s="698">
        <f>'Monetary Survey Counterparts'!J55</f>
        <v>1520.9599999999998</v>
      </c>
      <c r="H76" s="720">
        <f>-'Monetary Survey Counterparts'!K55</f>
        <v>-4595.87</v>
      </c>
      <c r="I76" s="98">
        <f>'Monetary Survey Components'!D56</f>
        <v>3871.74</v>
      </c>
      <c r="J76" s="117">
        <f>'Monetary Survey Components'!E56</f>
        <v>1121.72</v>
      </c>
      <c r="K76" s="98">
        <f>'Monetary Survey Components'!F56</f>
        <v>2652.01</v>
      </c>
      <c r="L76" s="110">
        <f>'Monetary Survey Components'!I56</f>
        <v>5778.75</v>
      </c>
    </row>
    <row r="77" spans="1:12">
      <c r="A77" s="1324" t="s">
        <v>185</v>
      </c>
      <c r="B77" s="698">
        <f t="shared" si="4"/>
        <v>9650.489999999998</v>
      </c>
      <c r="C77" s="698">
        <f>'Monetary Survey Counterparts'!D56</f>
        <v>13829.91</v>
      </c>
      <c r="D77" s="698">
        <f t="shared" si="5"/>
        <v>880.86999999999989</v>
      </c>
      <c r="E77" s="698">
        <f>'Monetary Survey Counterparts'!H56</f>
        <v>-991.08</v>
      </c>
      <c r="F77" s="698">
        <f>'Monetary Survey Counterparts'!I56</f>
        <v>353.08</v>
      </c>
      <c r="G77" s="698">
        <f>'Monetary Survey Counterparts'!J56</f>
        <v>1518.87</v>
      </c>
      <c r="H77" s="720">
        <f>-'Monetary Survey Counterparts'!K56</f>
        <v>-5060.29</v>
      </c>
      <c r="I77" s="98">
        <f>'Monetary Survey Components'!D57</f>
        <v>4554.25</v>
      </c>
      <c r="J77" s="117">
        <f>'Monetary Survey Components'!E57</f>
        <v>1205.1500000000001</v>
      </c>
      <c r="K77" s="98">
        <f>'Monetary Survey Components'!F57</f>
        <v>3251.02</v>
      </c>
      <c r="L77" s="110">
        <f>'Monetary Survey Components'!I57</f>
        <v>5814.94</v>
      </c>
    </row>
    <row r="78" spans="1:12">
      <c r="A78" s="1324" t="s">
        <v>605</v>
      </c>
      <c r="B78" s="698">
        <f t="shared" si="4"/>
        <v>10369.19</v>
      </c>
      <c r="C78" s="698">
        <f>'Monetary Survey Counterparts'!D57</f>
        <v>14331.19</v>
      </c>
      <c r="D78" s="698">
        <f t="shared" si="5"/>
        <v>762.17000000000007</v>
      </c>
      <c r="E78" s="698">
        <f>'Monetary Survey Counterparts'!H57</f>
        <v>-1169.04</v>
      </c>
      <c r="F78" s="698">
        <f>'Monetary Survey Counterparts'!I57</f>
        <v>353.57</v>
      </c>
      <c r="G78" s="698">
        <f>'Monetary Survey Counterparts'!J57</f>
        <v>1577.64</v>
      </c>
      <c r="H78" s="720">
        <f>-'Monetary Survey Counterparts'!K57</f>
        <v>-4724.17</v>
      </c>
      <c r="I78" s="98">
        <f>'Monetary Survey Components'!D58</f>
        <v>4390.3999999999996</v>
      </c>
      <c r="J78" s="117">
        <f>'Monetary Survey Components'!E58</f>
        <v>1384.57</v>
      </c>
      <c r="K78" s="98">
        <f>'Monetary Survey Components'!F58</f>
        <v>2907.45</v>
      </c>
      <c r="L78" s="110">
        <f>'Monetary Survey Components'!I58</f>
        <v>5457.96</v>
      </c>
    </row>
    <row r="79" spans="1:12">
      <c r="A79" s="1324" t="s">
        <v>606</v>
      </c>
      <c r="B79" s="698">
        <f t="shared" si="4"/>
        <v>9848.36</v>
      </c>
      <c r="C79" s="698">
        <f>'Monetary Survey Counterparts'!D58</f>
        <v>14626.27</v>
      </c>
      <c r="D79" s="698">
        <f t="shared" si="5"/>
        <v>257.40000000000032</v>
      </c>
      <c r="E79" s="698">
        <f>'Monetary Survey Counterparts'!H58</f>
        <v>-1721.86</v>
      </c>
      <c r="F79" s="698">
        <f>'Monetary Survey Counterparts'!I58</f>
        <v>353.41</v>
      </c>
      <c r="G79" s="698">
        <f>'Monetary Survey Counterparts'!J58</f>
        <v>1625.8500000000001</v>
      </c>
      <c r="H79" s="720">
        <f>-'Monetary Survey Counterparts'!K58</f>
        <v>-5035.3100000000004</v>
      </c>
      <c r="I79" s="98">
        <f>'Monetary Survey Components'!D59</f>
        <v>4004.91</v>
      </c>
      <c r="J79" s="117">
        <f>'Monetary Survey Components'!E59</f>
        <v>1208.73</v>
      </c>
      <c r="K79" s="98">
        <f>'Monetary Survey Components'!F59</f>
        <v>2692.61</v>
      </c>
      <c r="L79" s="110">
        <f>'Monetary Survey Components'!I59</f>
        <v>6042.91</v>
      </c>
    </row>
    <row r="80" spans="1:12">
      <c r="A80" s="1324" t="s">
        <v>607</v>
      </c>
      <c r="B80" s="698">
        <f t="shared" si="4"/>
        <v>10047.82</v>
      </c>
      <c r="C80" s="698">
        <f>'Monetary Survey Counterparts'!D59</f>
        <v>15003.72</v>
      </c>
      <c r="D80" s="698">
        <f t="shared" si="5"/>
        <v>191.52999999999997</v>
      </c>
      <c r="E80" s="698">
        <f>'Monetary Survey Counterparts'!H59</f>
        <v>-1874.98</v>
      </c>
      <c r="F80" s="698">
        <f>'Monetary Survey Counterparts'!I59</f>
        <v>352.12</v>
      </c>
      <c r="G80" s="698">
        <f>'Monetary Survey Counterparts'!J59</f>
        <v>1714.39</v>
      </c>
      <c r="H80" s="720">
        <f>-'Monetary Survey Counterparts'!K59</f>
        <v>-5147.4299999999994</v>
      </c>
      <c r="I80" s="98">
        <f>'Monetary Survey Components'!D60</f>
        <v>4039.03</v>
      </c>
      <c r="J80" s="117">
        <f>'Monetary Survey Components'!E60</f>
        <v>1269.57</v>
      </c>
      <c r="K80" s="98">
        <f>'Monetary Survey Components'!F60</f>
        <v>2669.46</v>
      </c>
      <c r="L80" s="110">
        <f>'Monetary Survey Components'!I60</f>
        <v>5996.32</v>
      </c>
    </row>
    <row r="81" spans="1:12">
      <c r="A81" s="1324">
        <v>40155</v>
      </c>
      <c r="B81" s="698">
        <f t="shared" si="4"/>
        <v>0</v>
      </c>
      <c r="C81" s="698">
        <f>'Monetary Survey Counterparts'!D48</f>
        <v>0</v>
      </c>
      <c r="D81" s="698">
        <f t="shared" si="5"/>
        <v>0</v>
      </c>
      <c r="E81" s="698">
        <f>'Monetary Survey Counterparts'!H48</f>
        <v>0</v>
      </c>
      <c r="F81" s="698">
        <f>'Monetary Survey Counterparts'!I48</f>
        <v>0</v>
      </c>
      <c r="G81" s="698">
        <f>'Monetary Survey Counterparts'!J48</f>
        <v>0</v>
      </c>
      <c r="H81" s="720">
        <f>-'Monetary Survey Counterparts'!K48</f>
        <v>0</v>
      </c>
      <c r="I81" s="98">
        <f>'Monetary Survey Components'!D61</f>
        <v>0</v>
      </c>
      <c r="J81" s="117">
        <f>'Monetary Survey Components'!E61</f>
        <v>0</v>
      </c>
      <c r="K81" s="98">
        <f>'Monetary Survey Components'!F61</f>
        <v>0</v>
      </c>
      <c r="L81" s="110">
        <f>'Monetary Survey Components'!I61</f>
        <v>0</v>
      </c>
    </row>
    <row r="82" spans="1:12">
      <c r="A82" s="1400">
        <v>39822</v>
      </c>
      <c r="B82" s="698">
        <f t="shared" si="4"/>
        <v>9121.15</v>
      </c>
      <c r="C82" s="698">
        <f>'Monetary Survey Counterparts'!D62</f>
        <v>13142.74</v>
      </c>
      <c r="D82" s="698">
        <f t="shared" si="5"/>
        <v>705.31999999999971</v>
      </c>
      <c r="E82" s="698">
        <f>'Monetary Survey Counterparts'!H62</f>
        <v>-1558.4</v>
      </c>
      <c r="F82" s="698">
        <f>'Monetary Survey Counterparts'!I62</f>
        <v>333.33</v>
      </c>
      <c r="G82" s="698">
        <f>'Monetary Survey Counterparts'!J62</f>
        <v>1930.3899999999999</v>
      </c>
      <c r="H82" s="720">
        <f>-'Monetary Survey Counterparts'!K62</f>
        <v>-4726.91</v>
      </c>
      <c r="I82" s="98">
        <f>'Monetary Survey Components'!D63</f>
        <v>3803.86</v>
      </c>
      <c r="J82" s="117">
        <f>'Monetary Survey Components'!E63</f>
        <v>1318.54</v>
      </c>
      <c r="K82" s="98">
        <f>'Monetary Survey Components'!F63</f>
        <v>2397.5100000000002</v>
      </c>
      <c r="L82" s="110">
        <f>'Monetary Survey Components'!I63</f>
        <v>5148.2699999999995</v>
      </c>
    </row>
    <row r="83" spans="1:12">
      <c r="A83" s="1401" t="s">
        <v>162</v>
      </c>
      <c r="B83" s="698">
        <f t="shared" si="4"/>
        <v>8952.130000000001</v>
      </c>
      <c r="C83" s="698">
        <f>'Monetary Survey Counterparts'!D63</f>
        <v>12493.7</v>
      </c>
      <c r="D83" s="698">
        <f t="shared" si="5"/>
        <v>959.50000000000011</v>
      </c>
      <c r="E83" s="698">
        <f>'Monetary Survey Counterparts'!H63</f>
        <v>-1351.48</v>
      </c>
      <c r="F83" s="698">
        <f>'Monetary Survey Counterparts'!I63</f>
        <v>333.35</v>
      </c>
      <c r="G83" s="698">
        <f>'Monetary Survey Counterparts'!J63</f>
        <v>1977.63</v>
      </c>
      <c r="H83" s="720">
        <f>-'Monetary Survey Counterparts'!K63</f>
        <v>-4501.07</v>
      </c>
      <c r="I83" s="98">
        <f>'Monetary Survey Components'!D64</f>
        <v>4323.78</v>
      </c>
      <c r="J83" s="117">
        <f>'Monetary Survey Components'!E64</f>
        <v>1346.36</v>
      </c>
      <c r="K83" s="98">
        <f>'Monetary Survey Components'!F64</f>
        <v>2879.1</v>
      </c>
      <c r="L83" s="110">
        <f>'Monetary Survey Components'!I64</f>
        <v>5738.58</v>
      </c>
    </row>
    <row r="84" spans="1:12">
      <c r="A84" s="1401" t="s">
        <v>163</v>
      </c>
      <c r="B84" s="698">
        <f t="shared" si="4"/>
        <v>10062.36</v>
      </c>
      <c r="C84" s="698">
        <f>'Monetary Survey Counterparts'!D64</f>
        <v>13535.69</v>
      </c>
      <c r="D84" s="698">
        <f t="shared" si="5"/>
        <v>983.06999999999994</v>
      </c>
      <c r="E84" s="698">
        <f>'Monetary Survey Counterparts'!H64</f>
        <v>-1389.78</v>
      </c>
      <c r="F84" s="698">
        <f>'Monetary Survey Counterparts'!I64</f>
        <v>333.34</v>
      </c>
      <c r="G84" s="698">
        <f>'Monetary Survey Counterparts'!J64</f>
        <v>2039.51</v>
      </c>
      <c r="H84" s="720">
        <f>-'Monetary Survey Counterparts'!K64</f>
        <v>-4456.3999999999996</v>
      </c>
      <c r="I84" s="98">
        <f>'Monetary Survey Components'!D65</f>
        <v>4216.7299999999996</v>
      </c>
      <c r="J84" s="117">
        <f>'Monetary Survey Components'!E65</f>
        <v>1346.77</v>
      </c>
      <c r="K84" s="98">
        <f>'Monetary Survey Components'!F65</f>
        <v>2769.21</v>
      </c>
      <c r="L84" s="110">
        <f>'Monetary Survey Components'!I65</f>
        <v>5739.03</v>
      </c>
    </row>
    <row r="85" spans="1:12">
      <c r="A85" s="1401" t="s">
        <v>164</v>
      </c>
      <c r="B85" s="698">
        <f t="shared" si="4"/>
        <v>9955.7599999999984</v>
      </c>
      <c r="C85" s="698">
        <f>'Monetary Survey Counterparts'!D65</f>
        <v>13651.81</v>
      </c>
      <c r="D85" s="698">
        <f t="shared" si="5"/>
        <v>902.53999999999974</v>
      </c>
      <c r="E85" s="698">
        <f>'Monetary Survey Counterparts'!H65</f>
        <v>-1480.93</v>
      </c>
      <c r="F85" s="698">
        <f>'Monetary Survey Counterparts'!I65</f>
        <v>332.73</v>
      </c>
      <c r="G85" s="698">
        <f>'Monetary Survey Counterparts'!J65</f>
        <v>2050.7399999999998</v>
      </c>
      <c r="H85" s="720">
        <f>-'Monetary Survey Counterparts'!K65</f>
        <v>-4598.59</v>
      </c>
      <c r="I85" s="98">
        <f>'Monetary Survey Components'!D66</f>
        <v>4286.95</v>
      </c>
      <c r="J85" s="117">
        <f>'Monetary Survey Components'!E66</f>
        <v>1349.43</v>
      </c>
      <c r="K85" s="98">
        <f>'Monetary Survey Components'!F66</f>
        <v>2837.66</v>
      </c>
      <c r="L85" s="110">
        <f>'Monetary Survey Components'!I66</f>
        <v>5587.6500000000005</v>
      </c>
    </row>
    <row r="86" spans="1:12">
      <c r="A86" s="1401" t="s">
        <v>165</v>
      </c>
      <c r="B86" s="698">
        <f t="shared" ref="B86:B104" si="6">C86+D86+H86</f>
        <v>9874.5999999999985</v>
      </c>
      <c r="C86" s="698">
        <f>'Monetary Survey Counterparts'!D66</f>
        <v>13049.05</v>
      </c>
      <c r="D86" s="698">
        <f t="shared" si="5"/>
        <v>1527.9099999999999</v>
      </c>
      <c r="E86" s="698">
        <f>'Monetary Survey Counterparts'!H66</f>
        <v>-927.55</v>
      </c>
      <c r="F86" s="698">
        <f>'Monetary Survey Counterparts'!I66</f>
        <v>332.72</v>
      </c>
      <c r="G86" s="698">
        <f>'Monetary Survey Counterparts'!J66</f>
        <v>2122.7399999999998</v>
      </c>
      <c r="H86" s="720">
        <f>-'Monetary Survey Counterparts'!K66</f>
        <v>-4702.3599999999997</v>
      </c>
      <c r="I86" s="98">
        <f>'Monetary Survey Components'!D67</f>
        <v>4477.8599999999997</v>
      </c>
      <c r="J86" s="117">
        <f>'Monetary Survey Components'!E67</f>
        <v>1483.09</v>
      </c>
      <c r="K86" s="98">
        <f>'Monetary Survey Components'!F67</f>
        <v>2889.7</v>
      </c>
      <c r="L86" s="110">
        <f>'Monetary Survey Components'!I67</f>
        <v>4941.96</v>
      </c>
    </row>
    <row r="87" spans="1:12">
      <c r="A87" s="1401" t="s">
        <v>147</v>
      </c>
      <c r="B87" s="698">
        <f t="shared" si="6"/>
        <v>9419.82</v>
      </c>
      <c r="C87" s="698">
        <f>'Monetary Survey Counterparts'!D67</f>
        <v>12788.91</v>
      </c>
      <c r="D87" s="698">
        <f t="shared" si="5"/>
        <v>2014.1399999999999</v>
      </c>
      <c r="E87" s="698">
        <f>'Monetary Survey Counterparts'!H67</f>
        <v>-455.73</v>
      </c>
      <c r="F87" s="698">
        <f>'Monetary Survey Counterparts'!I67</f>
        <v>332.73</v>
      </c>
      <c r="G87" s="698">
        <f>'Monetary Survey Counterparts'!J67</f>
        <v>2137.14</v>
      </c>
      <c r="H87" s="720">
        <f>-'Monetary Survey Counterparts'!K67</f>
        <v>-5383.2300000000005</v>
      </c>
      <c r="I87" s="98">
        <f>'Monetary Survey Components'!D68</f>
        <v>4736.32</v>
      </c>
      <c r="J87" s="117">
        <f>'Monetary Survey Components'!E68</f>
        <v>1432.59</v>
      </c>
      <c r="K87" s="98">
        <f>'Monetary Survey Components'!F68</f>
        <v>3194.34</v>
      </c>
      <c r="L87" s="110">
        <f>'Monetary Survey Components'!I68</f>
        <v>5803.18</v>
      </c>
    </row>
    <row r="88" spans="1:12">
      <c r="A88" s="1401" t="s">
        <v>184</v>
      </c>
      <c r="B88" s="698">
        <f t="shared" si="6"/>
        <v>10539.499999999998</v>
      </c>
      <c r="C88" s="698">
        <f>'Monetary Survey Counterparts'!D68</f>
        <v>12043.21</v>
      </c>
      <c r="D88" s="698">
        <f t="shared" ref="D88:D104" si="7">SUM(E88:G88)</f>
        <v>2692.6499999999996</v>
      </c>
      <c r="E88" s="698">
        <f>'Monetary Survey Counterparts'!H68</f>
        <v>220.94</v>
      </c>
      <c r="F88" s="698">
        <f>'Monetary Survey Counterparts'!I68</f>
        <v>312.49</v>
      </c>
      <c r="G88" s="698">
        <f>'Monetary Survey Counterparts'!J68</f>
        <v>2159.2199999999998</v>
      </c>
      <c r="H88" s="720">
        <f>-'Monetary Survey Counterparts'!K68</f>
        <v>-4196.3600000000006</v>
      </c>
      <c r="I88" s="98">
        <f>'Monetary Survey Components'!D69</f>
        <v>4756.3399999999992</v>
      </c>
      <c r="J88" s="117">
        <f>'Monetary Survey Components'!E69</f>
        <v>1408.25</v>
      </c>
      <c r="K88" s="98">
        <f>'Monetary Survey Components'!F69</f>
        <v>3230.06</v>
      </c>
      <c r="L88" s="110">
        <f>'Monetary Survey Components'!I69</f>
        <v>5750.88</v>
      </c>
    </row>
    <row r="89" spans="1:12">
      <c r="A89" s="1401" t="s">
        <v>168</v>
      </c>
      <c r="B89" s="698">
        <f t="shared" si="6"/>
        <v>10507.219999999998</v>
      </c>
      <c r="C89" s="698">
        <f>'Monetary Survey Counterparts'!D69</f>
        <v>12966.119999999999</v>
      </c>
      <c r="D89" s="698">
        <f t="shared" si="7"/>
        <v>2331.5</v>
      </c>
      <c r="E89" s="698">
        <f>'Monetary Survey Counterparts'!H69</f>
        <v>-224.88</v>
      </c>
      <c r="F89" s="698">
        <f>'Monetary Survey Counterparts'!I69</f>
        <v>309.73</v>
      </c>
      <c r="G89" s="698">
        <f>'Monetary Survey Counterparts'!J69</f>
        <v>2246.65</v>
      </c>
      <c r="H89" s="720">
        <f>-'Monetary Survey Counterparts'!K69</f>
        <v>-4790.4000000000005</v>
      </c>
      <c r="I89" s="98">
        <f>'Monetary Survey Components'!D70</f>
        <v>4452.5</v>
      </c>
      <c r="J89" s="117">
        <f>'Monetary Survey Components'!E70</f>
        <v>1407.53</v>
      </c>
      <c r="K89" s="98">
        <f>'Monetary Survey Components'!F70</f>
        <v>3005.65</v>
      </c>
      <c r="L89" s="110">
        <f>'Monetary Survey Components'!I70</f>
        <v>5908.4400000000005</v>
      </c>
    </row>
    <row r="90" spans="1:12">
      <c r="A90" s="1401" t="s">
        <v>169</v>
      </c>
      <c r="B90" s="698">
        <f t="shared" si="6"/>
        <v>10360.939999999997</v>
      </c>
      <c r="C90" s="698">
        <f>'Monetary Survey Counterparts'!D70</f>
        <v>13092.109999999999</v>
      </c>
      <c r="D90" s="698">
        <f t="shared" si="7"/>
        <v>2186.79</v>
      </c>
      <c r="E90" s="698">
        <f>'Monetary Survey Counterparts'!H70</f>
        <v>-437.07</v>
      </c>
      <c r="F90" s="698">
        <f>'Monetary Survey Counterparts'!I70</f>
        <v>316.95999999999998</v>
      </c>
      <c r="G90" s="698">
        <f>'Monetary Survey Counterparts'!J70</f>
        <v>2306.9</v>
      </c>
      <c r="H90" s="720">
        <f>-'Monetary Survey Counterparts'!K70</f>
        <v>-4917.9600000000009</v>
      </c>
      <c r="I90" s="98">
        <f>'Monetary Survey Components'!D71</f>
        <v>5168.1399999999994</v>
      </c>
      <c r="J90" s="117">
        <f>'Monetary Survey Components'!E71</f>
        <v>1441.23</v>
      </c>
      <c r="K90" s="98">
        <f>'Monetary Survey Components'!F71</f>
        <v>3678.4700000000003</v>
      </c>
      <c r="L90" s="110">
        <f>'Monetary Survey Components'!I71</f>
        <v>5551.63</v>
      </c>
    </row>
    <row r="91" spans="1:12">
      <c r="A91" s="1401" t="s">
        <v>170</v>
      </c>
      <c r="B91" s="698">
        <f t="shared" si="6"/>
        <v>10719.77</v>
      </c>
      <c r="C91" s="698">
        <f>'Monetary Survey Counterparts'!D71</f>
        <v>13745.07</v>
      </c>
      <c r="D91" s="698">
        <f t="shared" si="7"/>
        <v>1572.78</v>
      </c>
      <c r="E91" s="698">
        <f>'Monetary Survey Counterparts'!H71</f>
        <v>-1073.49</v>
      </c>
      <c r="F91" s="698">
        <f>'Monetary Survey Counterparts'!I71</f>
        <v>310.92</v>
      </c>
      <c r="G91" s="698">
        <f>'Monetary Survey Counterparts'!J71</f>
        <v>2335.35</v>
      </c>
      <c r="H91" s="720">
        <f>-'Monetary Survey Counterparts'!K71</f>
        <v>-4598.0800000000008</v>
      </c>
      <c r="I91" s="98">
        <f>'Monetary Survey Components'!D72</f>
        <v>4694.4800000000005</v>
      </c>
      <c r="J91" s="117">
        <f>'Monetary Survey Components'!E72</f>
        <v>1596.94</v>
      </c>
      <c r="K91" s="98">
        <f>'Monetary Survey Components'!F72</f>
        <v>3009.17</v>
      </c>
      <c r="L91" s="110">
        <f>'Monetary Survey Components'!I72</f>
        <v>5539.62</v>
      </c>
    </row>
    <row r="92" spans="1:12">
      <c r="A92" s="1401" t="s">
        <v>171</v>
      </c>
      <c r="B92" s="698">
        <f t="shared" si="6"/>
        <v>10234.11</v>
      </c>
      <c r="C92" s="698">
        <f>'Monetary Survey Counterparts'!D72</f>
        <v>13842.93</v>
      </c>
      <c r="D92" s="698">
        <f t="shared" si="7"/>
        <v>1636.6</v>
      </c>
      <c r="E92" s="698">
        <f>'Monetary Survey Counterparts'!H72</f>
        <v>-1066.99</v>
      </c>
      <c r="F92" s="698">
        <f>'Monetary Survey Counterparts'!I72</f>
        <v>311.08999999999997</v>
      </c>
      <c r="G92" s="698">
        <f>'Monetary Survey Counterparts'!J72</f>
        <v>2392.5</v>
      </c>
      <c r="H92" s="720">
        <f>-'Monetary Survey Counterparts'!K72</f>
        <v>-5245.42</v>
      </c>
      <c r="I92" s="98">
        <f>'Monetary Survey Components'!D73</f>
        <v>4934.4599999999991</v>
      </c>
      <c r="J92" s="117">
        <f>'Monetary Survey Components'!E73</f>
        <v>1609.85</v>
      </c>
      <c r="K92" s="98">
        <f>'Monetary Survey Components'!F73</f>
        <v>3238.21</v>
      </c>
      <c r="L92" s="110">
        <f>'Monetary Survey Components'!I73</f>
        <v>5867.59</v>
      </c>
    </row>
    <row r="93" spans="1:12">
      <c r="A93" s="1401" t="s">
        <v>148</v>
      </c>
      <c r="B93" s="698">
        <f t="shared" si="6"/>
        <v>10802.05</v>
      </c>
      <c r="C93" s="698">
        <f>'Monetary Survey Counterparts'!D73</f>
        <v>14823.3</v>
      </c>
      <c r="D93" s="698">
        <f t="shared" si="7"/>
        <v>1485.6599999999999</v>
      </c>
      <c r="E93" s="698">
        <f>'Monetary Survey Counterparts'!H73</f>
        <v>-1255.6600000000001</v>
      </c>
      <c r="F93" s="698">
        <f>'Monetary Survey Counterparts'!I73</f>
        <v>315.18</v>
      </c>
      <c r="G93" s="698">
        <f>'Monetary Survey Counterparts'!J73</f>
        <v>2426.14</v>
      </c>
      <c r="H93" s="720">
        <f>-'Monetary Survey Counterparts'!K73</f>
        <v>-5506.91</v>
      </c>
      <c r="I93" s="98">
        <f>'Monetary Survey Components'!D74</f>
        <v>0</v>
      </c>
      <c r="J93" s="117">
        <f>'Monetary Survey Components'!E74</f>
        <v>0</v>
      </c>
      <c r="K93" s="98">
        <f>'Monetary Survey Components'!F74</f>
        <v>0</v>
      </c>
      <c r="L93" s="110">
        <f>'Monetary Survey Components'!I74</f>
        <v>0</v>
      </c>
    </row>
    <row r="94" spans="1:12">
      <c r="A94" s="1400">
        <v>40188</v>
      </c>
      <c r="B94" s="698">
        <f t="shared" si="6"/>
        <v>10521.74</v>
      </c>
      <c r="C94" s="698">
        <f>'Monetary Survey Counterparts'!D75</f>
        <v>14557.37</v>
      </c>
      <c r="D94" s="698">
        <f t="shared" si="7"/>
        <v>1308.5399999999995</v>
      </c>
      <c r="E94" s="698">
        <f>'Monetary Survey Counterparts'!H75</f>
        <v>-1310.92</v>
      </c>
      <c r="F94" s="698">
        <f>'Monetary Survey Counterparts'!I75</f>
        <v>379.39</v>
      </c>
      <c r="G94" s="698">
        <f>'Monetary Survey Counterparts'!J75</f>
        <v>2240.0699999999997</v>
      </c>
      <c r="H94" s="720">
        <f>-'Monetary Survey Counterparts'!K75</f>
        <v>-5344.17</v>
      </c>
      <c r="I94" s="98">
        <f>'Monetary Survey Components'!D76</f>
        <v>5155.3100000000004</v>
      </c>
      <c r="J94" s="117">
        <f>'Monetary Survey Components'!E76</f>
        <v>1615.46</v>
      </c>
      <c r="K94" s="98">
        <f>'Monetary Survey Components'!F76</f>
        <v>3535.8100000000004</v>
      </c>
      <c r="L94" s="110">
        <f>'Monetary Survey Components'!I76</f>
        <v>6142.18</v>
      </c>
    </row>
    <row r="95" spans="1:12">
      <c r="A95" s="1400" t="s">
        <v>162</v>
      </c>
      <c r="B95" s="698">
        <f t="shared" si="6"/>
        <v>11297.489999999998</v>
      </c>
      <c r="C95" s="698">
        <f>'Monetary Survey Counterparts'!D76</f>
        <v>15208.84</v>
      </c>
      <c r="D95" s="698">
        <f t="shared" si="7"/>
        <v>1678.9599999999996</v>
      </c>
      <c r="E95" s="698">
        <f>'Monetary Survey Counterparts'!H76</f>
        <v>-1023.27</v>
      </c>
      <c r="F95" s="698">
        <f>'Monetary Survey Counterparts'!I76</f>
        <v>291.89</v>
      </c>
      <c r="G95" s="698">
        <f>'Monetary Survey Counterparts'!J76</f>
        <v>2410.3399999999997</v>
      </c>
      <c r="H95" s="720">
        <f>-'Monetary Survey Counterparts'!K76</f>
        <v>-5590.31</v>
      </c>
      <c r="I95" s="98">
        <f>'Monetary Survey Components'!D77</f>
        <v>4820.6000000000004</v>
      </c>
      <c r="J95" s="117">
        <f>'Monetary Survey Components'!E77</f>
        <v>1614.65</v>
      </c>
      <c r="K95" s="98">
        <f>'Monetary Survey Components'!F77</f>
        <v>3137.85</v>
      </c>
      <c r="L95" s="110">
        <f>'Monetary Survey Components'!I77</f>
        <v>6207.59</v>
      </c>
    </row>
    <row r="96" spans="1:12">
      <c r="A96" s="1400" t="s">
        <v>163</v>
      </c>
      <c r="B96" s="698">
        <f t="shared" si="6"/>
        <v>11028.19</v>
      </c>
      <c r="C96" s="698">
        <f>'Monetary Survey Counterparts'!D77</f>
        <v>14632.09</v>
      </c>
      <c r="D96" s="698">
        <f t="shared" si="7"/>
        <v>2082.9499999999998</v>
      </c>
      <c r="E96" s="698">
        <f>'Monetary Survey Counterparts'!H77</f>
        <v>-748.82</v>
      </c>
      <c r="F96" s="698">
        <f>'Monetary Survey Counterparts'!I77</f>
        <v>297.31</v>
      </c>
      <c r="G96" s="698">
        <f>'Monetary Survey Counterparts'!J77</f>
        <v>2534.46</v>
      </c>
      <c r="H96" s="720">
        <f>-'Monetary Survey Counterparts'!K77</f>
        <v>-5686.85</v>
      </c>
      <c r="I96" s="98">
        <f>'Monetary Survey Components'!D78</f>
        <v>4746.37</v>
      </c>
      <c r="J96" s="117">
        <f>'Monetary Survey Components'!E78</f>
        <v>1494.23</v>
      </c>
      <c r="K96" s="98">
        <f>'Monetary Survey Components'!F78</f>
        <v>3143.81</v>
      </c>
      <c r="L96" s="110">
        <f>'Monetary Survey Components'!I78</f>
        <v>5831.79</v>
      </c>
    </row>
    <row r="97" spans="1:12">
      <c r="A97" s="1400" t="s">
        <v>164</v>
      </c>
      <c r="B97" s="698">
        <f t="shared" si="6"/>
        <v>10578.16</v>
      </c>
      <c r="C97" s="698">
        <f>'Monetary Survey Counterparts'!D78</f>
        <v>14500.04</v>
      </c>
      <c r="D97" s="698">
        <f t="shared" si="7"/>
        <v>1564.0700000000002</v>
      </c>
      <c r="E97" s="698">
        <f>'Monetary Survey Counterparts'!H78</f>
        <v>-1269.01</v>
      </c>
      <c r="F97" s="698">
        <f>'Monetary Survey Counterparts'!I78</f>
        <v>291.55</v>
      </c>
      <c r="G97" s="698">
        <f>'Monetary Survey Counterparts'!J78</f>
        <v>2541.5300000000002</v>
      </c>
      <c r="H97" s="720">
        <f>-'Monetary Survey Counterparts'!K78</f>
        <v>-5485.95</v>
      </c>
      <c r="I97" s="98">
        <f>'Monetary Survey Components'!D79</f>
        <v>5055.46</v>
      </c>
      <c r="J97" s="117">
        <f>'Monetary Survey Components'!E79</f>
        <v>1512.41</v>
      </c>
      <c r="K97" s="98">
        <f>'Monetary Survey Components'!F79</f>
        <v>3409.6</v>
      </c>
      <c r="L97" s="110">
        <f>'Monetary Survey Components'!I79</f>
        <v>6400.76</v>
      </c>
    </row>
    <row r="98" spans="1:12">
      <c r="A98" s="1400" t="s">
        <v>165</v>
      </c>
      <c r="B98" s="698">
        <f t="shared" si="6"/>
        <v>11456.199999999999</v>
      </c>
      <c r="C98" s="698">
        <f>'Monetary Survey Counterparts'!D79</f>
        <v>14928.34</v>
      </c>
      <c r="D98" s="698">
        <f t="shared" si="7"/>
        <v>1958.0299999999997</v>
      </c>
      <c r="E98" s="698">
        <f>'Monetary Survey Counterparts'!H79</f>
        <v>-926.52</v>
      </c>
      <c r="F98" s="698">
        <f>'Monetary Survey Counterparts'!I79</f>
        <v>292.02</v>
      </c>
      <c r="G98" s="698">
        <f>'Monetary Survey Counterparts'!J79</f>
        <v>2592.5299999999997</v>
      </c>
      <c r="H98" s="720">
        <f>-'Monetary Survey Counterparts'!K79</f>
        <v>-5430.17</v>
      </c>
      <c r="I98" s="98">
        <f>'Monetary Survey Components'!D80</f>
        <v>5019.4500000000007</v>
      </c>
      <c r="J98" s="117">
        <f>'Monetary Survey Components'!E80</f>
        <v>1600.19</v>
      </c>
      <c r="K98" s="98">
        <f>'Monetary Survey Components'!F80</f>
        <v>3313.59</v>
      </c>
      <c r="L98" s="110">
        <f>'Monetary Survey Components'!I80</f>
        <v>6057.44</v>
      </c>
    </row>
    <row r="99" spans="1:12">
      <c r="A99" s="1400" t="s">
        <v>166</v>
      </c>
      <c r="B99" s="698">
        <f t="shared" si="6"/>
        <v>11076.899999999998</v>
      </c>
      <c r="C99" s="698">
        <f>'Monetary Survey Counterparts'!D80</f>
        <v>14348.48</v>
      </c>
      <c r="D99" s="698">
        <f t="shared" si="7"/>
        <v>2276.73</v>
      </c>
      <c r="E99" s="698">
        <f>'Monetary Survey Counterparts'!H80</f>
        <v>-744.49</v>
      </c>
      <c r="F99" s="698">
        <f>'Monetary Survey Counterparts'!I80</f>
        <v>292.33999999999997</v>
      </c>
      <c r="G99" s="698">
        <f>'Monetary Survey Counterparts'!J80</f>
        <v>2728.88</v>
      </c>
      <c r="H99" s="720">
        <f>-'Monetary Survey Counterparts'!K80</f>
        <v>-5548.31</v>
      </c>
      <c r="I99" s="98">
        <f>'Monetary Survey Components'!D81</f>
        <v>6287.45</v>
      </c>
      <c r="J99" s="117">
        <f>'Monetary Survey Components'!E81</f>
        <v>1583.55</v>
      </c>
      <c r="K99" s="98">
        <f>'Monetary Survey Components'!F81</f>
        <v>4599.41</v>
      </c>
      <c r="L99" s="110">
        <f>'Monetary Survey Components'!I81</f>
        <v>5940.74</v>
      </c>
    </row>
    <row r="100" spans="1:12">
      <c r="A100" s="1400" t="s">
        <v>167</v>
      </c>
      <c r="B100" s="698">
        <f t="shared" si="6"/>
        <v>12228.18</v>
      </c>
      <c r="C100" s="698">
        <f>'Monetary Survey Counterparts'!D81</f>
        <v>14817.24</v>
      </c>
      <c r="D100" s="698">
        <f t="shared" si="7"/>
        <v>2265.98</v>
      </c>
      <c r="E100" s="698">
        <f>'Monetary Survey Counterparts'!H81</f>
        <v>-726.71</v>
      </c>
      <c r="F100" s="698">
        <f>'Monetary Survey Counterparts'!I81</f>
        <v>272.08</v>
      </c>
      <c r="G100" s="698">
        <f>'Monetary Survey Counterparts'!J81</f>
        <v>2720.61</v>
      </c>
      <c r="H100" s="720">
        <f>-'Monetary Survey Counterparts'!K81</f>
        <v>-4855.0400000000009</v>
      </c>
      <c r="I100" s="98">
        <f>'Monetary Survey Components'!D82</f>
        <v>5245.29</v>
      </c>
      <c r="J100" s="117">
        <f>'Monetary Survey Components'!E82</f>
        <v>1538.42</v>
      </c>
      <c r="K100" s="98">
        <f>'Monetary Survey Components'!F82</f>
        <v>3589.56</v>
      </c>
      <c r="L100" s="110">
        <f>'Monetary Survey Components'!I82</f>
        <v>5757.6100000000006</v>
      </c>
    </row>
    <row r="101" spans="1:12">
      <c r="A101" s="1400" t="s">
        <v>168</v>
      </c>
      <c r="B101" s="698">
        <f t="shared" si="6"/>
        <v>11002.89</v>
      </c>
      <c r="C101" s="698">
        <f>'Monetary Survey Counterparts'!D82</f>
        <v>14129.11</v>
      </c>
      <c r="D101" s="698">
        <f t="shared" si="7"/>
        <v>2409.0299999999997</v>
      </c>
      <c r="E101" s="698">
        <f>'Monetary Survey Counterparts'!H82</f>
        <v>-630.79999999999995</v>
      </c>
      <c r="F101" s="698">
        <f>'Monetary Survey Counterparts'!I82</f>
        <v>272.3</v>
      </c>
      <c r="G101" s="698">
        <f>'Monetary Survey Counterparts'!J82</f>
        <v>2767.5299999999997</v>
      </c>
      <c r="H101" s="720">
        <f>-'Monetary Survey Counterparts'!K82</f>
        <v>-5535.2500000000009</v>
      </c>
      <c r="I101" s="98">
        <f>'Monetary Survey Components'!D83</f>
        <v>5263.1900000000005</v>
      </c>
      <c r="J101" s="117">
        <f>'Monetary Survey Components'!E83</f>
        <v>1546.19</v>
      </c>
      <c r="K101" s="98">
        <f>'Monetary Survey Components'!F83</f>
        <v>3621.33</v>
      </c>
      <c r="L101" s="110">
        <f>'Monetary Survey Components'!I83</f>
        <v>5832.18</v>
      </c>
    </row>
    <row r="102" spans="1:12">
      <c r="A102" s="1400" t="s">
        <v>169</v>
      </c>
      <c r="B102" s="698">
        <f t="shared" si="6"/>
        <v>11095.369999999999</v>
      </c>
      <c r="C102" s="698">
        <f>'Monetary Survey Counterparts'!D83</f>
        <v>14270.35</v>
      </c>
      <c r="D102" s="698">
        <f t="shared" si="7"/>
        <v>2433.0100000000002</v>
      </c>
      <c r="E102" s="698">
        <f>'Monetary Survey Counterparts'!H83</f>
        <v>-712.46</v>
      </c>
      <c r="F102" s="698">
        <f>'Monetary Survey Counterparts'!I83</f>
        <v>277.74</v>
      </c>
      <c r="G102" s="698">
        <f>'Monetary Survey Counterparts'!J83</f>
        <v>2867.73</v>
      </c>
      <c r="H102" s="720">
        <f>-'Monetary Survey Counterparts'!K83</f>
        <v>-5607.9900000000007</v>
      </c>
      <c r="I102" s="98">
        <f>'Monetary Survey Components'!D84</f>
        <v>6130.96</v>
      </c>
      <c r="J102" s="117">
        <f>'Monetary Survey Components'!E84</f>
        <v>1585.69</v>
      </c>
      <c r="K102" s="98">
        <f>'Monetary Survey Components'!F84</f>
        <v>4461.99</v>
      </c>
      <c r="L102" s="110">
        <f>'Monetary Survey Components'!I84</f>
        <v>6009.67</v>
      </c>
    </row>
    <row r="103" spans="1:12">
      <c r="A103" s="1400" t="s">
        <v>170</v>
      </c>
      <c r="B103" s="698">
        <f t="shared" si="6"/>
        <v>12140.64</v>
      </c>
      <c r="C103" s="698">
        <f>'Monetary Survey Counterparts'!D84</f>
        <v>15281.01</v>
      </c>
      <c r="D103" s="698">
        <f t="shared" si="7"/>
        <v>2223.77</v>
      </c>
      <c r="E103" s="698">
        <f>'Monetary Survey Counterparts'!H84</f>
        <v>-988.49</v>
      </c>
      <c r="F103" s="698">
        <f>'Monetary Survey Counterparts'!I84</f>
        <v>360.95</v>
      </c>
      <c r="G103" s="698">
        <f>'Monetary Survey Counterparts'!J84</f>
        <v>2851.31</v>
      </c>
      <c r="H103" s="720">
        <f>-'Monetary Survey Counterparts'!K84</f>
        <v>-5364.14</v>
      </c>
      <c r="I103" s="98">
        <f>'Monetary Survey Components'!D85</f>
        <v>9273.67</v>
      </c>
      <c r="J103" s="117">
        <f>'Monetary Survey Components'!E85</f>
        <v>1570.66</v>
      </c>
      <c r="K103" s="98">
        <f>'Monetary Survey Components'!F85</f>
        <v>7588.71</v>
      </c>
      <c r="L103" s="110">
        <f>'Monetary Survey Components'!I85</f>
        <v>6345</v>
      </c>
    </row>
    <row r="104" spans="1:12" s="1524" customFormat="1">
      <c r="A104" s="1400" t="s">
        <v>171</v>
      </c>
      <c r="B104" s="698">
        <f t="shared" si="6"/>
        <v>15618.679999999998</v>
      </c>
      <c r="C104" s="698">
        <f>'Monetary Survey Counterparts'!D85</f>
        <v>15453.98</v>
      </c>
      <c r="D104" s="698">
        <f t="shared" si="7"/>
        <v>2235.2299999999996</v>
      </c>
      <c r="E104" s="698">
        <f>'Monetary Survey Counterparts'!H85</f>
        <v>-1041.1600000000001</v>
      </c>
      <c r="F104" s="698">
        <f>'Monetary Survey Counterparts'!I85</f>
        <v>271.92</v>
      </c>
      <c r="G104" s="698">
        <f>'Monetary Survey Counterparts'!J85</f>
        <v>3004.47</v>
      </c>
      <c r="H104" s="720">
        <f>-'Monetary Survey Counterparts'!K85</f>
        <v>-2070.5300000000002</v>
      </c>
      <c r="I104" s="98">
        <f>'Monetary Survey Components'!D86</f>
        <v>7143.4</v>
      </c>
      <c r="J104" s="117">
        <f>'Monetary Survey Components'!E86</f>
        <v>1648.29</v>
      </c>
      <c r="K104" s="98">
        <f>'Monetary Survey Components'!F86</f>
        <v>5322.78</v>
      </c>
      <c r="L104" s="110">
        <f>'Monetary Survey Components'!I86</f>
        <v>6732.2699999999995</v>
      </c>
    </row>
    <row r="105" spans="1:12" s="1650" customFormat="1">
      <c r="A105" s="1400" t="s">
        <v>148</v>
      </c>
      <c r="B105" s="698">
        <f t="shared" ref="B105:B110" si="8">C105+D105+H105</f>
        <v>13875.660000000003</v>
      </c>
      <c r="C105" s="698">
        <f>'Monetary Survey Counterparts'!D86</f>
        <v>17303.730000000003</v>
      </c>
      <c r="D105" s="698">
        <f t="shared" ref="D105:D110" si="9">SUM(E105:G105)</f>
        <v>2945.2999999999997</v>
      </c>
      <c r="E105" s="698">
        <f>'Monetary Survey Counterparts'!H86</f>
        <v>-455.91</v>
      </c>
      <c r="F105" s="698">
        <f>'Monetary Survey Counterparts'!I86</f>
        <v>251.97</v>
      </c>
      <c r="G105" s="698">
        <f>'Monetary Survey Counterparts'!J86</f>
        <v>3149.24</v>
      </c>
      <c r="H105" s="720">
        <f>-'Monetary Survey Counterparts'!K86</f>
        <v>-6373.37</v>
      </c>
      <c r="I105" s="98">
        <f>'Monetary Survey Components'!D87</f>
        <v>0</v>
      </c>
      <c r="J105" s="117">
        <f>'Monetary Survey Components'!E87</f>
        <v>0</v>
      </c>
      <c r="K105" s="98">
        <f>'Monetary Survey Components'!F87</f>
        <v>0</v>
      </c>
      <c r="L105" s="110">
        <f>'Monetary Survey Components'!I87</f>
        <v>0</v>
      </c>
    </row>
    <row r="106" spans="1:12" s="1650" customFormat="1">
      <c r="A106" s="1400">
        <v>40554</v>
      </c>
      <c r="B106" s="698">
        <f t="shared" si="8"/>
        <v>14578.770193389999</v>
      </c>
      <c r="C106" s="698">
        <f>'Monetary Survey Counterparts'!D88</f>
        <v>16787.431910120002</v>
      </c>
      <c r="D106" s="698">
        <f t="shared" si="9"/>
        <v>4467.7472220900008</v>
      </c>
      <c r="E106" s="698">
        <f>'Monetary Survey Counterparts'!H88</f>
        <v>761.70800000000008</v>
      </c>
      <c r="F106" s="698">
        <f>'Monetary Survey Counterparts'!I88</f>
        <v>569.57593896000003</v>
      </c>
      <c r="G106" s="698">
        <f>'Monetary Survey Counterparts'!J88</f>
        <v>3136.4632831300005</v>
      </c>
      <c r="H106" s="720">
        <f>-'Monetary Survey Counterparts'!K88</f>
        <v>-6676.4089388200046</v>
      </c>
      <c r="I106" s="98">
        <f>'Monetary Survey Components'!D89</f>
        <v>7143.9133135499997</v>
      </c>
      <c r="J106" s="117">
        <f>'Monetary Survey Components'!E89</f>
        <v>1750.19737007</v>
      </c>
      <c r="K106" s="98">
        <f>'Monetary Survey Components'!F89</f>
        <v>5393.7159434799996</v>
      </c>
      <c r="L106" s="110">
        <f>'Monetary Survey Components'!I89</f>
        <v>6937.3540160099992</v>
      </c>
    </row>
    <row r="107" spans="1:12" s="1650" customFormat="1">
      <c r="A107" s="1400" t="s">
        <v>162</v>
      </c>
      <c r="B107" s="698">
        <f t="shared" si="8"/>
        <v>14081.267668499999</v>
      </c>
      <c r="C107" s="698">
        <f>'Monetary Survey Counterparts'!D89</f>
        <v>16066.64925889</v>
      </c>
      <c r="D107" s="698">
        <f t="shared" si="9"/>
        <v>4565.9243260399999</v>
      </c>
      <c r="E107" s="698">
        <f>'Monetary Survey Counterparts'!H89</f>
        <v>801.19399999999996</v>
      </c>
      <c r="F107" s="698">
        <f>'Monetary Survey Counterparts'!I89</f>
        <v>571.44386765000002</v>
      </c>
      <c r="G107" s="698">
        <f>'Monetary Survey Counterparts'!J89</f>
        <v>3193.28645839</v>
      </c>
      <c r="H107" s="720">
        <f>-'Monetary Survey Counterparts'!K89</f>
        <v>-6551.3059164300012</v>
      </c>
      <c r="I107" s="98">
        <f>'Monetary Survey Components'!D90</f>
        <v>7062.2141319699995</v>
      </c>
      <c r="J107" s="117">
        <f>'Monetary Survey Components'!E90</f>
        <v>1711.39276473</v>
      </c>
      <c r="K107" s="98">
        <f>'Monetary Survey Components'!F90</f>
        <v>5350.8213672399997</v>
      </c>
      <c r="L107" s="110">
        <f>'Monetary Survey Components'!I90</f>
        <v>7112.3685377599995</v>
      </c>
    </row>
    <row r="108" spans="1:12" s="1650" customFormat="1">
      <c r="A108" s="1400" t="s">
        <v>163</v>
      </c>
      <c r="B108" s="698">
        <f t="shared" si="8"/>
        <v>14174.579575829997</v>
      </c>
      <c r="C108" s="698">
        <f>'Monetary Survey Counterparts'!D90</f>
        <v>15660.179761289999</v>
      </c>
      <c r="D108" s="698">
        <f t="shared" si="9"/>
        <v>4886.1112141000003</v>
      </c>
      <c r="E108" s="698">
        <f>'Monetary Survey Counterparts'!H90</f>
        <v>1055.9889010799998</v>
      </c>
      <c r="F108" s="698">
        <f>'Monetary Survey Counterparts'!I90</f>
        <v>577.70166158999996</v>
      </c>
      <c r="G108" s="698">
        <f>'Monetary Survey Counterparts'!J90</f>
        <v>3252.4206514300004</v>
      </c>
      <c r="H108" s="720">
        <f>-'Monetary Survey Counterparts'!K90</f>
        <v>-6371.7113995600002</v>
      </c>
      <c r="I108" s="98">
        <f>'Monetary Survey Components'!D91</f>
        <v>7632.5782238899992</v>
      </c>
      <c r="J108" s="117">
        <f>'Monetary Survey Components'!E91</f>
        <v>1613.7985066000001</v>
      </c>
      <c r="K108" s="98">
        <f>'Monetary Survey Components'!F91</f>
        <v>6018.7797172899991</v>
      </c>
      <c r="L108" s="110">
        <f>'Monetary Survey Components'!I91</f>
        <v>7928.2024299599998</v>
      </c>
    </row>
    <row r="109" spans="1:12" s="1650" customFormat="1">
      <c r="A109" s="1400" t="s">
        <v>164</v>
      </c>
      <c r="B109" s="698">
        <f t="shared" si="8"/>
        <v>15560.784412409997</v>
      </c>
      <c r="C109" s="698">
        <f>'Monetary Survey Counterparts'!D91</f>
        <v>17790.538244799998</v>
      </c>
      <c r="D109" s="698">
        <f t="shared" si="9"/>
        <v>4563.1673449200007</v>
      </c>
      <c r="E109" s="698">
        <f>'Monetary Survey Counterparts'!H91</f>
        <v>690.30755879000003</v>
      </c>
      <c r="F109" s="698">
        <f>'Monetary Survey Counterparts'!I91</f>
        <v>620.66824699000006</v>
      </c>
      <c r="G109" s="698">
        <f>'Monetary Survey Counterparts'!J91</f>
        <v>3252.1915391400007</v>
      </c>
      <c r="H109" s="720">
        <f>-'Monetary Survey Counterparts'!K91</f>
        <v>-6792.9211773099996</v>
      </c>
      <c r="I109" s="98">
        <f>'Monetary Survey Components'!D92</f>
        <v>8069.1888151499988</v>
      </c>
      <c r="J109" s="117">
        <f>'Monetary Survey Components'!E92</f>
        <v>1607.90494367</v>
      </c>
      <c r="K109" s="98">
        <f>'Monetary Survey Components'!F92</f>
        <v>6461.2838714799991</v>
      </c>
      <c r="L109" s="110">
        <f>'Monetary Survey Components'!I92</f>
        <v>8281.6161482000007</v>
      </c>
    </row>
    <row r="110" spans="1:12" s="1650" customFormat="1">
      <c r="A110" s="1400" t="s">
        <v>165</v>
      </c>
      <c r="B110" s="698">
        <f t="shared" si="8"/>
        <v>16350.809864780003</v>
      </c>
      <c r="C110" s="698">
        <f>'Monetary Survey Counterparts'!D92</f>
        <v>16553.10882917</v>
      </c>
      <c r="D110" s="698">
        <f t="shared" si="9"/>
        <v>5015.5618647200008</v>
      </c>
      <c r="E110" s="698">
        <f>'Monetary Survey Counterparts'!H92</f>
        <v>967.05470616999992</v>
      </c>
      <c r="F110" s="698">
        <f>'Monetary Survey Counterparts'!I92</f>
        <v>729.67711061</v>
      </c>
      <c r="G110" s="698">
        <f>'Monetary Survey Counterparts'!J92</f>
        <v>3318.8300479400004</v>
      </c>
      <c r="H110" s="720">
        <f>-'Monetary Survey Counterparts'!K92</f>
        <v>-5217.8608291099999</v>
      </c>
      <c r="I110" s="98">
        <f>'Monetary Survey Components'!D93</f>
        <v>7502.5334454000003</v>
      </c>
      <c r="J110" s="117">
        <f>'Monetary Survey Components'!E93</f>
        <v>1699.00336236</v>
      </c>
      <c r="K110" s="98">
        <f>'Monetary Survey Components'!F93</f>
        <v>5803.5300830400001</v>
      </c>
      <c r="L110" s="110">
        <f>'Monetary Survey Components'!I93</f>
        <v>8402.1229645300009</v>
      </c>
    </row>
    <row r="111" spans="1:12" s="1650" customFormat="1">
      <c r="A111" s="1400"/>
      <c r="B111" s="698"/>
      <c r="C111" s="698"/>
      <c r="D111" s="698"/>
      <c r="E111" s="698"/>
      <c r="F111" s="698"/>
      <c r="G111" s="698"/>
      <c r="H111" s="1660"/>
      <c r="I111" s="98"/>
      <c r="J111" s="117"/>
      <c r="K111" s="98"/>
      <c r="L111" s="98"/>
    </row>
    <row r="112" spans="1:12" ht="15.75" customHeight="1">
      <c r="A112" s="4533"/>
      <c r="B112" s="4533"/>
      <c r="C112" s="4533"/>
      <c r="D112" s="4533"/>
      <c r="E112" s="4533"/>
      <c r="F112" s="4533"/>
      <c r="G112" s="4533"/>
      <c r="H112" s="4533"/>
      <c r="I112" s="4533"/>
      <c r="J112" s="4533"/>
      <c r="K112" s="4533"/>
    </row>
    <row r="113" spans="1:13" ht="12.75" customHeight="1">
      <c r="A113" s="4526" t="s">
        <v>227</v>
      </c>
      <c r="B113" s="682" t="s">
        <v>61</v>
      </c>
      <c r="C113" s="219"/>
      <c r="D113" s="219"/>
      <c r="E113" s="219"/>
      <c r="F113" s="109"/>
      <c r="G113" s="676" t="s">
        <v>18</v>
      </c>
      <c r="H113" s="219"/>
      <c r="I113" s="106"/>
      <c r="J113" s="683"/>
      <c r="K113" s="693" t="s">
        <v>19</v>
      </c>
    </row>
    <row r="114" spans="1:13" ht="12.75" customHeight="1">
      <c r="A114" s="4527"/>
      <c r="B114" s="684" t="s">
        <v>220</v>
      </c>
      <c r="C114" s="685" t="s">
        <v>406</v>
      </c>
      <c r="D114" s="678" t="s">
        <v>76</v>
      </c>
      <c r="E114" s="703" t="s">
        <v>62</v>
      </c>
      <c r="F114" s="704" t="s">
        <v>408</v>
      </c>
      <c r="G114" s="686" t="s">
        <v>406</v>
      </c>
      <c r="H114" s="678" t="s">
        <v>76</v>
      </c>
      <c r="I114" s="219" t="s">
        <v>62</v>
      </c>
      <c r="J114" s="687" t="s">
        <v>408</v>
      </c>
      <c r="K114" s="694" t="s">
        <v>220</v>
      </c>
    </row>
    <row r="115" spans="1:13" ht="12.75" customHeight="1">
      <c r="A115" s="677"/>
      <c r="B115" s="688">
        <v>12</v>
      </c>
      <c r="C115" s="686">
        <v>13</v>
      </c>
      <c r="D115" s="686">
        <v>14</v>
      </c>
      <c r="E115" s="702">
        <v>15</v>
      </c>
      <c r="F115" s="687">
        <v>16</v>
      </c>
      <c r="G115" s="678" t="s">
        <v>66</v>
      </c>
      <c r="H115" s="678" t="s">
        <v>67</v>
      </c>
      <c r="I115" s="678" t="s">
        <v>68</v>
      </c>
      <c r="J115" s="679" t="s">
        <v>69</v>
      </c>
      <c r="K115" s="689" t="s">
        <v>26</v>
      </c>
    </row>
    <row r="116" spans="1:13">
      <c r="A116" s="697" t="s">
        <v>645</v>
      </c>
      <c r="B116" s="1277" t="e">
        <f>B7-B6</f>
        <v>#REF!</v>
      </c>
      <c r="C116" s="1277" t="e">
        <f>C7-C6</f>
        <v>#REF!</v>
      </c>
      <c r="D116" s="1277" t="e">
        <f>(D7-G7)-(D6-G6)</f>
        <v>#REF!</v>
      </c>
      <c r="E116" s="1277" t="e">
        <f>G7-G6</f>
        <v>#REF!</v>
      </c>
      <c r="F116" s="1277" t="e">
        <f>H7-H6</f>
        <v>#REF!</v>
      </c>
      <c r="G116" s="681" t="e">
        <f t="shared" ref="G116:G136" si="10">C116/B6*100</f>
        <v>#REF!</v>
      </c>
      <c r="H116" s="710" t="e">
        <f t="shared" ref="H116:H136" si="11">D116/B6*100</f>
        <v>#REF!</v>
      </c>
      <c r="I116" s="710" t="e">
        <f t="shared" ref="I116:I136" si="12">E116/B6*100</f>
        <v>#REF!</v>
      </c>
      <c r="J116" s="710" t="e">
        <f t="shared" ref="J116:J136" si="13">F116/B6*100</f>
        <v>#REF!</v>
      </c>
      <c r="K116" s="712" t="e">
        <f>G116+H116+I116+J116</f>
        <v>#REF!</v>
      </c>
    </row>
    <row r="117" spans="1:13" ht="13.5" customHeight="1">
      <c r="A117" s="697" t="s">
        <v>646</v>
      </c>
      <c r="B117" s="681" t="e">
        <f>B13-B7</f>
        <v>#REF!</v>
      </c>
      <c r="C117" s="681" t="e">
        <f>C13-C7</f>
        <v>#REF!</v>
      </c>
      <c r="D117" s="681" t="e">
        <f>(D13-G13)-(D7-G7)</f>
        <v>#REF!</v>
      </c>
      <c r="E117" s="681" t="e">
        <f>G13-G7</f>
        <v>#REF!</v>
      </c>
      <c r="F117" s="681" t="e">
        <f>H13-H7</f>
        <v>#REF!</v>
      </c>
      <c r="G117" s="681" t="e">
        <f t="shared" si="10"/>
        <v>#REF!</v>
      </c>
      <c r="H117" s="710" t="e">
        <f t="shared" si="11"/>
        <v>#REF!</v>
      </c>
      <c r="I117" s="710" t="e">
        <f t="shared" si="12"/>
        <v>#REF!</v>
      </c>
      <c r="J117" s="710" t="e">
        <f t="shared" si="13"/>
        <v>#REF!</v>
      </c>
      <c r="K117" s="712" t="e">
        <f>G117+H117+I117+J117</f>
        <v>#REF!</v>
      </c>
    </row>
    <row r="118" spans="1:13" ht="12.75" hidden="1" customHeight="1">
      <c r="A118" s="709" t="s">
        <v>1240</v>
      </c>
      <c r="B118" s="710" t="e">
        <f>B21-B8</f>
        <v>#REF!</v>
      </c>
      <c r="C118" s="710" t="e">
        <f>C21-C8</f>
        <v>#REF!</v>
      </c>
      <c r="D118" s="710" t="e">
        <f>(D21-G21)-(D8-G8)</f>
        <v>#REF!</v>
      </c>
      <c r="E118" s="711" t="e">
        <f>G21-G8</f>
        <v>#REF!</v>
      </c>
      <c r="F118" s="711" t="e">
        <f>H21-H8</f>
        <v>#REF!</v>
      </c>
      <c r="G118" s="710" t="e">
        <f t="shared" si="10"/>
        <v>#REF!</v>
      </c>
      <c r="H118" s="710" t="e">
        <f t="shared" si="11"/>
        <v>#REF!</v>
      </c>
      <c r="I118" s="710" t="e">
        <f t="shared" si="12"/>
        <v>#REF!</v>
      </c>
      <c r="J118" s="710" t="e">
        <f t="shared" si="13"/>
        <v>#REF!</v>
      </c>
      <c r="K118" s="712" t="e">
        <f>G118+H118+I118+J118</f>
        <v>#REF!</v>
      </c>
    </row>
    <row r="119" spans="1:13" ht="12.75" hidden="1" customHeight="1">
      <c r="A119" s="709" t="s">
        <v>162</v>
      </c>
      <c r="B119" s="710" t="e">
        <f t="shared" ref="B119:C128" si="14">B22-B9</f>
        <v>#REF!</v>
      </c>
      <c r="C119" s="710" t="e">
        <f t="shared" si="14"/>
        <v>#REF!</v>
      </c>
      <c r="D119" s="710" t="e">
        <f t="shared" ref="D119:D128" si="15">(D22-G22)-(D9-G9)</f>
        <v>#REF!</v>
      </c>
      <c r="E119" s="711" t="e">
        <f t="shared" ref="E119:E128" si="16">G22-G9</f>
        <v>#REF!</v>
      </c>
      <c r="F119" s="711" t="e">
        <f t="shared" ref="F119:F128" si="17">H22-H9</f>
        <v>#REF!</v>
      </c>
      <c r="G119" s="710" t="e">
        <f t="shared" si="10"/>
        <v>#REF!</v>
      </c>
      <c r="H119" s="710" t="e">
        <f t="shared" si="11"/>
        <v>#REF!</v>
      </c>
      <c r="I119" s="710" t="e">
        <f t="shared" si="12"/>
        <v>#REF!</v>
      </c>
      <c r="J119" s="710" t="e">
        <f t="shared" si="13"/>
        <v>#REF!</v>
      </c>
      <c r="K119" s="712" t="e">
        <f t="shared" ref="K119:K145" si="18">G119+H119+I119+J119</f>
        <v>#REF!</v>
      </c>
    </row>
    <row r="120" spans="1:13" ht="12.75" hidden="1" customHeight="1">
      <c r="A120" s="709" t="s">
        <v>163</v>
      </c>
      <c r="B120" s="710" t="e">
        <f t="shared" si="14"/>
        <v>#REF!</v>
      </c>
      <c r="C120" s="710" t="e">
        <f t="shared" si="14"/>
        <v>#REF!</v>
      </c>
      <c r="D120" s="710" t="e">
        <f t="shared" si="15"/>
        <v>#REF!</v>
      </c>
      <c r="E120" s="711" t="e">
        <f t="shared" si="16"/>
        <v>#REF!</v>
      </c>
      <c r="F120" s="711" t="e">
        <f t="shared" si="17"/>
        <v>#REF!</v>
      </c>
      <c r="G120" s="710" t="e">
        <f t="shared" si="10"/>
        <v>#REF!</v>
      </c>
      <c r="H120" s="710" t="e">
        <f t="shared" si="11"/>
        <v>#REF!</v>
      </c>
      <c r="I120" s="710" t="e">
        <f t="shared" si="12"/>
        <v>#REF!</v>
      </c>
      <c r="J120" s="710" t="e">
        <f t="shared" si="13"/>
        <v>#REF!</v>
      </c>
      <c r="K120" s="712" t="e">
        <f t="shared" si="18"/>
        <v>#REF!</v>
      </c>
    </row>
    <row r="121" spans="1:13" ht="12.75" hidden="1" customHeight="1">
      <c r="A121" s="709" t="s">
        <v>164</v>
      </c>
      <c r="B121" s="710" t="e">
        <f t="shared" si="14"/>
        <v>#REF!</v>
      </c>
      <c r="C121" s="710" t="e">
        <f t="shared" si="14"/>
        <v>#REF!</v>
      </c>
      <c r="D121" s="710" t="e">
        <f t="shared" si="15"/>
        <v>#REF!</v>
      </c>
      <c r="E121" s="711" t="e">
        <f t="shared" si="16"/>
        <v>#REF!</v>
      </c>
      <c r="F121" s="711" t="e">
        <f t="shared" si="17"/>
        <v>#REF!</v>
      </c>
      <c r="G121" s="710" t="e">
        <f t="shared" si="10"/>
        <v>#REF!</v>
      </c>
      <c r="H121" s="710" t="e">
        <f t="shared" si="11"/>
        <v>#REF!</v>
      </c>
      <c r="I121" s="710" t="e">
        <f t="shared" si="12"/>
        <v>#REF!</v>
      </c>
      <c r="J121" s="710" t="e">
        <f t="shared" si="13"/>
        <v>#REF!</v>
      </c>
      <c r="K121" s="712" t="e">
        <f t="shared" si="18"/>
        <v>#REF!</v>
      </c>
    </row>
    <row r="122" spans="1:13" ht="12.75" hidden="1" customHeight="1">
      <c r="A122" s="709" t="s">
        <v>165</v>
      </c>
      <c r="B122" s="710" t="e">
        <f t="shared" si="14"/>
        <v>#REF!</v>
      </c>
      <c r="C122" s="710" t="e">
        <f t="shared" si="14"/>
        <v>#REF!</v>
      </c>
      <c r="D122" s="710" t="e">
        <f t="shared" si="15"/>
        <v>#REF!</v>
      </c>
      <c r="E122" s="711" t="e">
        <f t="shared" si="16"/>
        <v>#REF!</v>
      </c>
      <c r="F122" s="711" t="e">
        <f t="shared" si="17"/>
        <v>#REF!</v>
      </c>
      <c r="G122" s="710" t="e">
        <f t="shared" si="10"/>
        <v>#REF!</v>
      </c>
      <c r="H122" s="710" t="e">
        <f t="shared" si="11"/>
        <v>#REF!</v>
      </c>
      <c r="I122" s="710" t="e">
        <f t="shared" si="12"/>
        <v>#REF!</v>
      </c>
      <c r="J122" s="710" t="e">
        <f t="shared" si="13"/>
        <v>#REF!</v>
      </c>
      <c r="K122" s="712" t="e">
        <f t="shared" si="18"/>
        <v>#REF!</v>
      </c>
    </row>
    <row r="123" spans="1:13">
      <c r="A123" s="709" t="s">
        <v>640</v>
      </c>
      <c r="B123" s="710" t="e">
        <f t="shared" si="14"/>
        <v>#REF!</v>
      </c>
      <c r="C123" s="710" t="e">
        <f t="shared" si="14"/>
        <v>#REF!</v>
      </c>
      <c r="D123" s="710" t="e">
        <f t="shared" si="15"/>
        <v>#REF!</v>
      </c>
      <c r="E123" s="711" t="e">
        <f t="shared" si="16"/>
        <v>#REF!</v>
      </c>
      <c r="F123" s="711" t="e">
        <f t="shared" si="17"/>
        <v>#REF!</v>
      </c>
      <c r="G123" s="710" t="e">
        <f t="shared" si="10"/>
        <v>#REF!</v>
      </c>
      <c r="H123" s="710" t="e">
        <f t="shared" si="11"/>
        <v>#REF!</v>
      </c>
      <c r="I123" s="710" t="e">
        <f t="shared" si="12"/>
        <v>#REF!</v>
      </c>
      <c r="J123" s="710" t="e">
        <f t="shared" si="13"/>
        <v>#REF!</v>
      </c>
      <c r="K123" s="712" t="e">
        <f t="shared" si="18"/>
        <v>#REF!</v>
      </c>
    </row>
    <row r="124" spans="1:13" ht="12.75" hidden="1" customHeight="1">
      <c r="A124" s="709" t="s">
        <v>997</v>
      </c>
      <c r="B124" s="710" t="e">
        <f t="shared" si="14"/>
        <v>#REF!</v>
      </c>
      <c r="C124" s="710" t="e">
        <f t="shared" si="14"/>
        <v>#REF!</v>
      </c>
      <c r="D124" s="710" t="e">
        <f t="shared" si="15"/>
        <v>#REF!</v>
      </c>
      <c r="E124" s="711" t="e">
        <f t="shared" si="16"/>
        <v>#REF!</v>
      </c>
      <c r="F124" s="711" t="e">
        <f t="shared" si="17"/>
        <v>#REF!</v>
      </c>
      <c r="G124" s="710" t="e">
        <f t="shared" si="10"/>
        <v>#REF!</v>
      </c>
      <c r="H124" s="710" t="e">
        <f t="shared" si="11"/>
        <v>#REF!</v>
      </c>
      <c r="I124" s="710" t="e">
        <f t="shared" si="12"/>
        <v>#REF!</v>
      </c>
      <c r="J124" s="710" t="e">
        <f t="shared" si="13"/>
        <v>#REF!</v>
      </c>
      <c r="K124" s="712" t="e">
        <f t="shared" si="18"/>
        <v>#REF!</v>
      </c>
    </row>
    <row r="125" spans="1:13" s="700" customFormat="1" ht="12.75" hidden="1" customHeight="1">
      <c r="A125" s="713" t="s">
        <v>158</v>
      </c>
      <c r="B125" s="714" t="e">
        <f t="shared" si="14"/>
        <v>#REF!</v>
      </c>
      <c r="C125" s="714" t="e">
        <f t="shared" si="14"/>
        <v>#REF!</v>
      </c>
      <c r="D125" s="710" t="e">
        <f t="shared" si="15"/>
        <v>#REF!</v>
      </c>
      <c r="E125" s="711" t="e">
        <f t="shared" si="16"/>
        <v>#REF!</v>
      </c>
      <c r="F125" s="711" t="e">
        <f t="shared" si="17"/>
        <v>#REF!</v>
      </c>
      <c r="G125" s="710" t="e">
        <f t="shared" si="10"/>
        <v>#REF!</v>
      </c>
      <c r="H125" s="710" t="e">
        <f t="shared" si="11"/>
        <v>#REF!</v>
      </c>
      <c r="I125" s="710" t="e">
        <f t="shared" si="12"/>
        <v>#REF!</v>
      </c>
      <c r="J125" s="710" t="e">
        <f t="shared" si="13"/>
        <v>#REF!</v>
      </c>
      <c r="K125" s="712" t="e">
        <f t="shared" si="18"/>
        <v>#REF!</v>
      </c>
    </row>
    <row r="126" spans="1:13" s="700" customFormat="1" ht="12.75" hidden="1" customHeight="1">
      <c r="A126" s="921" t="s">
        <v>738</v>
      </c>
      <c r="B126" s="714" t="e">
        <f t="shared" si="14"/>
        <v>#REF!</v>
      </c>
      <c r="C126" s="714" t="e">
        <f t="shared" si="14"/>
        <v>#REF!</v>
      </c>
      <c r="D126" s="710" t="e">
        <f t="shared" si="15"/>
        <v>#REF!</v>
      </c>
      <c r="E126" s="711" t="e">
        <f t="shared" si="16"/>
        <v>#REF!</v>
      </c>
      <c r="F126" s="711" t="e">
        <f t="shared" si="17"/>
        <v>#REF!</v>
      </c>
      <c r="G126" s="710" t="e">
        <f t="shared" si="10"/>
        <v>#REF!</v>
      </c>
      <c r="H126" s="710" t="e">
        <f t="shared" si="11"/>
        <v>#REF!</v>
      </c>
      <c r="I126" s="710" t="e">
        <f t="shared" si="12"/>
        <v>#REF!</v>
      </c>
      <c r="J126" s="710" t="e">
        <f t="shared" si="13"/>
        <v>#REF!</v>
      </c>
      <c r="K126" s="712" t="e">
        <f t="shared" si="18"/>
        <v>#REF!</v>
      </c>
    </row>
    <row r="127" spans="1:13" s="700" customFormat="1" ht="12.75" hidden="1" customHeight="1">
      <c r="A127" s="713" t="s">
        <v>170</v>
      </c>
      <c r="B127" s="714" t="e">
        <f t="shared" si="14"/>
        <v>#REF!</v>
      </c>
      <c r="C127" s="714" t="e">
        <f t="shared" si="14"/>
        <v>#REF!</v>
      </c>
      <c r="D127" s="710" t="e">
        <f t="shared" si="15"/>
        <v>#REF!</v>
      </c>
      <c r="E127" s="711" t="e">
        <f t="shared" si="16"/>
        <v>#REF!</v>
      </c>
      <c r="F127" s="711" t="e">
        <f t="shared" si="17"/>
        <v>#REF!</v>
      </c>
      <c r="G127" s="710" t="e">
        <f t="shared" si="10"/>
        <v>#REF!</v>
      </c>
      <c r="H127" s="710" t="e">
        <f t="shared" si="11"/>
        <v>#REF!</v>
      </c>
      <c r="I127" s="710" t="e">
        <f t="shared" si="12"/>
        <v>#REF!</v>
      </c>
      <c r="J127" s="710" t="e">
        <f t="shared" si="13"/>
        <v>#REF!</v>
      </c>
      <c r="K127" s="712" t="e">
        <f t="shared" si="18"/>
        <v>#REF!</v>
      </c>
    </row>
    <row r="128" spans="1:13" s="700" customFormat="1" ht="12.75" hidden="1" customHeight="1">
      <c r="A128" s="715" t="s">
        <v>171</v>
      </c>
      <c r="B128" s="714" t="e">
        <f t="shared" si="14"/>
        <v>#REF!</v>
      </c>
      <c r="C128" s="714" t="e">
        <f t="shared" si="14"/>
        <v>#REF!</v>
      </c>
      <c r="D128" s="710" t="e">
        <f t="shared" si="15"/>
        <v>#REF!</v>
      </c>
      <c r="E128" s="711" t="e">
        <f t="shared" si="16"/>
        <v>#REF!</v>
      </c>
      <c r="F128" s="711" t="e">
        <f t="shared" si="17"/>
        <v>#REF!</v>
      </c>
      <c r="G128" s="710" t="e">
        <f t="shared" si="10"/>
        <v>#REF!</v>
      </c>
      <c r="H128" s="710" t="e">
        <f t="shared" si="11"/>
        <v>#REF!</v>
      </c>
      <c r="I128" s="710" t="e">
        <f t="shared" si="12"/>
        <v>#REF!</v>
      </c>
      <c r="J128" s="710" t="e">
        <f t="shared" si="13"/>
        <v>#REF!</v>
      </c>
      <c r="K128" s="712" t="e">
        <f t="shared" si="18"/>
        <v>#REF!</v>
      </c>
      <c r="M128" s="1279" t="e">
        <f>K116-J694</f>
        <v>#REF!</v>
      </c>
    </row>
    <row r="129" spans="1:13" s="700" customFormat="1" ht="12.75" hidden="1" customHeight="1">
      <c r="A129" s="1280">
        <v>2004</v>
      </c>
      <c r="B129" s="714" t="e">
        <f t="shared" ref="B129:C131" si="19">B32-B19</f>
        <v>#REF!</v>
      </c>
      <c r="C129" s="714" t="e">
        <f t="shared" si="19"/>
        <v>#REF!</v>
      </c>
      <c r="D129" s="710" t="e">
        <f t="shared" ref="D129:D136" si="20">(D32-G32)-(D19-G19)</f>
        <v>#REF!</v>
      </c>
      <c r="E129" s="711" t="e">
        <f t="shared" ref="E129:F136" si="21">G32-G19</f>
        <v>#REF!</v>
      </c>
      <c r="F129" s="711" t="e">
        <f t="shared" si="21"/>
        <v>#REF!</v>
      </c>
      <c r="G129" s="710" t="e">
        <f t="shared" si="10"/>
        <v>#REF!</v>
      </c>
      <c r="H129" s="710" t="e">
        <f t="shared" si="11"/>
        <v>#REF!</v>
      </c>
      <c r="I129" s="710" t="e">
        <f t="shared" si="12"/>
        <v>#REF!</v>
      </c>
      <c r="J129" s="710" t="e">
        <f t="shared" si="13"/>
        <v>#REF!</v>
      </c>
      <c r="K129" s="712" t="e">
        <f t="shared" si="18"/>
        <v>#REF!</v>
      </c>
      <c r="M129" s="1279" t="e">
        <f>J695-K117</f>
        <v>#REF!</v>
      </c>
    </row>
    <row r="130" spans="1:13" ht="12.75" hidden="1" customHeight="1">
      <c r="A130" s="112">
        <v>2005</v>
      </c>
      <c r="B130" s="714">
        <f t="shared" si="19"/>
        <v>0</v>
      </c>
      <c r="C130" s="714">
        <f t="shared" si="19"/>
        <v>0</v>
      </c>
      <c r="D130" s="710">
        <f t="shared" si="20"/>
        <v>0</v>
      </c>
      <c r="E130" s="711">
        <f t="shared" si="21"/>
        <v>0</v>
      </c>
      <c r="F130" s="711">
        <f t="shared" si="21"/>
        <v>0</v>
      </c>
      <c r="G130" s="710" t="e">
        <f t="shared" si="10"/>
        <v>#DIV/0!</v>
      </c>
      <c r="H130" s="710" t="e">
        <f t="shared" si="11"/>
        <v>#DIV/0!</v>
      </c>
      <c r="I130" s="710" t="e">
        <f t="shared" si="12"/>
        <v>#DIV/0!</v>
      </c>
      <c r="J130" s="710" t="e">
        <f t="shared" si="13"/>
        <v>#DIV/0!</v>
      </c>
      <c r="K130" s="712" t="e">
        <f t="shared" si="18"/>
        <v>#DIV/0!</v>
      </c>
    </row>
    <row r="131" spans="1:13" ht="22.5" hidden="1" customHeight="1">
      <c r="A131" s="112" t="s">
        <v>75</v>
      </c>
      <c r="B131" s="681" t="e">
        <f t="shared" si="19"/>
        <v>#REF!</v>
      </c>
      <c r="C131" s="681" t="e">
        <f t="shared" si="19"/>
        <v>#REF!</v>
      </c>
      <c r="D131" s="681" t="e">
        <f t="shared" si="20"/>
        <v>#REF!</v>
      </c>
      <c r="E131" s="701" t="e">
        <f t="shared" si="21"/>
        <v>#REF!</v>
      </c>
      <c r="F131" s="701" t="e">
        <f t="shared" si="21"/>
        <v>#REF!</v>
      </c>
      <c r="G131" s="681" t="e">
        <f t="shared" si="10"/>
        <v>#REF!</v>
      </c>
      <c r="H131" s="681" t="e">
        <f t="shared" si="11"/>
        <v>#REF!</v>
      </c>
      <c r="I131" s="681" t="e">
        <f t="shared" si="12"/>
        <v>#REF!</v>
      </c>
      <c r="J131" s="710" t="e">
        <f t="shared" si="13"/>
        <v>#REF!</v>
      </c>
      <c r="K131" s="712" t="e">
        <f t="shared" si="18"/>
        <v>#REF!</v>
      </c>
    </row>
    <row r="132" spans="1:13" ht="12.75" hidden="1" customHeight="1">
      <c r="A132" s="112"/>
      <c r="B132" s="681" t="e">
        <f t="shared" ref="B132:C136" si="22">B35-B22</f>
        <v>#REF!</v>
      </c>
      <c r="C132" s="681" t="e">
        <f t="shared" si="22"/>
        <v>#REF!</v>
      </c>
      <c r="D132" s="681" t="e">
        <f t="shared" si="20"/>
        <v>#REF!</v>
      </c>
      <c r="E132" s="701" t="e">
        <f t="shared" si="21"/>
        <v>#REF!</v>
      </c>
      <c r="F132" s="701" t="e">
        <f t="shared" si="21"/>
        <v>#REF!</v>
      </c>
      <c r="G132" s="681" t="e">
        <f t="shared" si="10"/>
        <v>#REF!</v>
      </c>
      <c r="H132" s="681" t="e">
        <f t="shared" si="11"/>
        <v>#REF!</v>
      </c>
      <c r="I132" s="681" t="e">
        <f t="shared" si="12"/>
        <v>#REF!</v>
      </c>
      <c r="J132" s="710" t="e">
        <f t="shared" si="13"/>
        <v>#REF!</v>
      </c>
      <c r="K132" s="712" t="e">
        <f t="shared" si="18"/>
        <v>#REF!</v>
      </c>
    </row>
    <row r="133" spans="1:13" ht="12.75" hidden="1" customHeight="1">
      <c r="A133" s="112"/>
      <c r="B133" s="681" t="e">
        <f t="shared" si="22"/>
        <v>#REF!</v>
      </c>
      <c r="C133" s="681" t="e">
        <f t="shared" si="22"/>
        <v>#REF!</v>
      </c>
      <c r="D133" s="681" t="e">
        <f t="shared" si="20"/>
        <v>#REF!</v>
      </c>
      <c r="E133" s="701" t="e">
        <f t="shared" si="21"/>
        <v>#REF!</v>
      </c>
      <c r="F133" s="701" t="e">
        <f t="shared" si="21"/>
        <v>#REF!</v>
      </c>
      <c r="G133" s="681" t="e">
        <f t="shared" si="10"/>
        <v>#REF!</v>
      </c>
      <c r="H133" s="681" t="e">
        <f t="shared" si="11"/>
        <v>#REF!</v>
      </c>
      <c r="I133" s="681" t="e">
        <f t="shared" si="12"/>
        <v>#REF!</v>
      </c>
      <c r="J133" s="710" t="e">
        <f t="shared" si="13"/>
        <v>#REF!</v>
      </c>
      <c r="K133" s="712" t="e">
        <f t="shared" si="18"/>
        <v>#REF!</v>
      </c>
    </row>
    <row r="134" spans="1:13" ht="12.75" hidden="1" customHeight="1">
      <c r="A134" s="112"/>
      <c r="B134" s="681" t="e">
        <f t="shared" si="22"/>
        <v>#REF!</v>
      </c>
      <c r="C134" s="681" t="e">
        <f t="shared" si="22"/>
        <v>#REF!</v>
      </c>
      <c r="D134" s="681" t="e">
        <f t="shared" si="20"/>
        <v>#REF!</v>
      </c>
      <c r="E134" s="701" t="e">
        <f t="shared" si="21"/>
        <v>#REF!</v>
      </c>
      <c r="F134" s="701" t="e">
        <f t="shared" si="21"/>
        <v>#REF!</v>
      </c>
      <c r="G134" s="681" t="e">
        <f t="shared" si="10"/>
        <v>#REF!</v>
      </c>
      <c r="H134" s="681" t="e">
        <f t="shared" si="11"/>
        <v>#REF!</v>
      </c>
      <c r="I134" s="681" t="e">
        <f t="shared" si="12"/>
        <v>#REF!</v>
      </c>
      <c r="J134" s="710" t="e">
        <f t="shared" si="13"/>
        <v>#REF!</v>
      </c>
      <c r="K134" s="712" t="e">
        <f t="shared" si="18"/>
        <v>#REF!</v>
      </c>
    </row>
    <row r="135" spans="1:13" ht="12.75" hidden="1" customHeight="1">
      <c r="A135" s="112"/>
      <c r="B135" s="681" t="e">
        <f t="shared" si="22"/>
        <v>#REF!</v>
      </c>
      <c r="C135" s="681" t="e">
        <f t="shared" si="22"/>
        <v>#REF!</v>
      </c>
      <c r="D135" s="681" t="e">
        <f t="shared" si="20"/>
        <v>#REF!</v>
      </c>
      <c r="E135" s="701" t="e">
        <f t="shared" si="21"/>
        <v>#REF!</v>
      </c>
      <c r="F135" s="701" t="e">
        <f t="shared" si="21"/>
        <v>#REF!</v>
      </c>
      <c r="G135" s="681" t="e">
        <f t="shared" si="10"/>
        <v>#REF!</v>
      </c>
      <c r="H135" s="681" t="e">
        <f t="shared" si="11"/>
        <v>#REF!</v>
      </c>
      <c r="I135" s="681" t="e">
        <f t="shared" si="12"/>
        <v>#REF!</v>
      </c>
      <c r="J135" s="710" t="e">
        <f t="shared" si="13"/>
        <v>#REF!</v>
      </c>
      <c r="K135" s="712" t="e">
        <f t="shared" si="18"/>
        <v>#REF!</v>
      </c>
    </row>
    <row r="136" spans="1:13" ht="12.75" hidden="1" customHeight="1">
      <c r="A136" s="112"/>
      <c r="B136" s="681" t="e">
        <f t="shared" si="22"/>
        <v>#REF!</v>
      </c>
      <c r="C136" s="681" t="e">
        <f t="shared" si="22"/>
        <v>#REF!</v>
      </c>
      <c r="D136" s="681" t="e">
        <f t="shared" si="20"/>
        <v>#REF!</v>
      </c>
      <c r="E136" s="701" t="e">
        <f t="shared" si="21"/>
        <v>#REF!</v>
      </c>
      <c r="F136" s="701" t="e">
        <f t="shared" si="21"/>
        <v>#REF!</v>
      </c>
      <c r="G136" s="681" t="e">
        <f t="shared" si="10"/>
        <v>#REF!</v>
      </c>
      <c r="H136" s="681" t="e">
        <f t="shared" si="11"/>
        <v>#REF!</v>
      </c>
      <c r="I136" s="681" t="e">
        <f t="shared" si="12"/>
        <v>#REF!</v>
      </c>
      <c r="J136" s="710" t="e">
        <f t="shared" si="13"/>
        <v>#REF!</v>
      </c>
      <c r="K136" s="712" t="e">
        <f t="shared" si="18"/>
        <v>#REF!</v>
      </c>
    </row>
    <row r="137" spans="1:13" ht="12.75" hidden="1" customHeight="1">
      <c r="A137" s="112" t="s">
        <v>162</v>
      </c>
      <c r="B137" s="681" t="e">
        <f t="shared" ref="B137:C143" si="23">B35-B22</f>
        <v>#REF!</v>
      </c>
      <c r="C137" s="681" t="e">
        <f t="shared" si="23"/>
        <v>#REF!</v>
      </c>
      <c r="D137" s="681" t="e">
        <f t="shared" ref="D137:D142" si="24">(D35-G35)-(D22-G22)</f>
        <v>#REF!</v>
      </c>
      <c r="E137" s="701" t="e">
        <f t="shared" ref="E137:F141" si="25">G35-G22</f>
        <v>#REF!</v>
      </c>
      <c r="F137" s="681" t="e">
        <f t="shared" si="25"/>
        <v>#REF!</v>
      </c>
      <c r="G137" s="681" t="e">
        <f t="shared" ref="G137:G147" si="26">C137/B22*100</f>
        <v>#REF!</v>
      </c>
      <c r="H137" s="681" t="e">
        <f t="shared" ref="H137:H147" si="27">D137/B22*100</f>
        <v>#REF!</v>
      </c>
      <c r="I137" s="681" t="e">
        <f t="shared" ref="I137:I147" si="28">E137/B22*100</f>
        <v>#REF!</v>
      </c>
      <c r="J137" s="710" t="e">
        <f t="shared" ref="J137:J147" si="29">F137/B22*100</f>
        <v>#REF!</v>
      </c>
      <c r="K137" s="712" t="e">
        <f t="shared" si="18"/>
        <v>#REF!</v>
      </c>
    </row>
    <row r="138" spans="1:13" ht="12.75" hidden="1" customHeight="1">
      <c r="A138" s="112" t="s">
        <v>163</v>
      </c>
      <c r="B138" s="681" t="e">
        <f t="shared" si="23"/>
        <v>#REF!</v>
      </c>
      <c r="C138" s="681" t="e">
        <f t="shared" si="23"/>
        <v>#REF!</v>
      </c>
      <c r="D138" s="681" t="e">
        <f t="shared" si="24"/>
        <v>#REF!</v>
      </c>
      <c r="E138" s="681" t="e">
        <f t="shared" si="25"/>
        <v>#REF!</v>
      </c>
      <c r="F138" s="681" t="e">
        <f t="shared" si="25"/>
        <v>#REF!</v>
      </c>
      <c r="G138" s="681" t="e">
        <f t="shared" si="26"/>
        <v>#REF!</v>
      </c>
      <c r="H138" s="681" t="e">
        <f t="shared" si="27"/>
        <v>#REF!</v>
      </c>
      <c r="I138" s="681" t="e">
        <f t="shared" si="28"/>
        <v>#REF!</v>
      </c>
      <c r="J138" s="710" t="e">
        <f t="shared" si="29"/>
        <v>#REF!</v>
      </c>
      <c r="K138" s="712" t="e">
        <f t="shared" si="18"/>
        <v>#REF!</v>
      </c>
    </row>
    <row r="139" spans="1:13" ht="12.75" hidden="1" customHeight="1">
      <c r="A139" s="112" t="s">
        <v>164</v>
      </c>
      <c r="B139" s="681" t="e">
        <f t="shared" si="23"/>
        <v>#REF!</v>
      </c>
      <c r="C139" s="681" t="e">
        <f t="shared" si="23"/>
        <v>#REF!</v>
      </c>
      <c r="D139" s="681" t="e">
        <f t="shared" si="24"/>
        <v>#REF!</v>
      </c>
      <c r="E139" s="681" t="e">
        <f t="shared" si="25"/>
        <v>#REF!</v>
      </c>
      <c r="F139" s="681" t="e">
        <f t="shared" si="25"/>
        <v>#REF!</v>
      </c>
      <c r="G139" s="681" t="e">
        <f t="shared" si="26"/>
        <v>#REF!</v>
      </c>
      <c r="H139" s="681" t="e">
        <f t="shared" si="27"/>
        <v>#REF!</v>
      </c>
      <c r="I139" s="681" t="e">
        <f t="shared" si="28"/>
        <v>#REF!</v>
      </c>
      <c r="J139" s="710" t="e">
        <f t="shared" si="29"/>
        <v>#REF!</v>
      </c>
      <c r="K139" s="712" t="e">
        <f t="shared" si="18"/>
        <v>#REF!</v>
      </c>
    </row>
    <row r="140" spans="1:13" ht="12.75" hidden="1" customHeight="1">
      <c r="A140" s="112" t="s">
        <v>165</v>
      </c>
      <c r="B140" s="681" t="e">
        <f t="shared" ref="B140:B147" si="30">B38-B25</f>
        <v>#REF!</v>
      </c>
      <c r="C140" s="681" t="e">
        <f t="shared" si="23"/>
        <v>#REF!</v>
      </c>
      <c r="D140" s="681" t="e">
        <f t="shared" si="24"/>
        <v>#REF!</v>
      </c>
      <c r="E140" s="681" t="e">
        <f t="shared" si="25"/>
        <v>#REF!</v>
      </c>
      <c r="F140" s="681" t="e">
        <f t="shared" si="25"/>
        <v>#REF!</v>
      </c>
      <c r="G140" s="681" t="e">
        <f t="shared" si="26"/>
        <v>#REF!</v>
      </c>
      <c r="H140" s="681" t="e">
        <f t="shared" si="27"/>
        <v>#REF!</v>
      </c>
      <c r="I140" s="681" t="e">
        <f t="shared" si="28"/>
        <v>#REF!</v>
      </c>
      <c r="J140" s="710" t="e">
        <f t="shared" si="29"/>
        <v>#REF!</v>
      </c>
      <c r="K140" s="712" t="e">
        <f t="shared" si="18"/>
        <v>#REF!</v>
      </c>
    </row>
    <row r="141" spans="1:13" ht="12.75" hidden="1" customHeight="1">
      <c r="A141" s="112" t="s">
        <v>641</v>
      </c>
      <c r="B141" s="681" t="e">
        <f t="shared" si="30"/>
        <v>#REF!</v>
      </c>
      <c r="C141" s="681" t="e">
        <f t="shared" si="23"/>
        <v>#REF!</v>
      </c>
      <c r="D141" s="681" t="e">
        <f t="shared" si="24"/>
        <v>#REF!</v>
      </c>
      <c r="E141" s="681" t="e">
        <f t="shared" si="25"/>
        <v>#REF!</v>
      </c>
      <c r="F141" s="681" t="e">
        <f t="shared" si="25"/>
        <v>#REF!</v>
      </c>
      <c r="G141" s="681" t="e">
        <f t="shared" si="26"/>
        <v>#REF!</v>
      </c>
      <c r="H141" s="681" t="e">
        <f t="shared" si="27"/>
        <v>#REF!</v>
      </c>
      <c r="I141" s="681" t="e">
        <f t="shared" si="28"/>
        <v>#REF!</v>
      </c>
      <c r="J141" s="710" t="e">
        <f t="shared" si="29"/>
        <v>#REF!</v>
      </c>
      <c r="K141" s="712" t="e">
        <f t="shared" si="18"/>
        <v>#REF!</v>
      </c>
    </row>
    <row r="142" spans="1:13" ht="12.75" hidden="1" customHeight="1">
      <c r="A142" s="112" t="s">
        <v>167</v>
      </c>
      <c r="B142" s="681" t="e">
        <f t="shared" si="30"/>
        <v>#REF!</v>
      </c>
      <c r="C142" s="681" t="e">
        <f t="shared" si="23"/>
        <v>#REF!</v>
      </c>
      <c r="D142" s="681" t="e">
        <f t="shared" si="24"/>
        <v>#REF!</v>
      </c>
      <c r="E142" s="681" t="e">
        <f t="shared" ref="E142:F145" si="31">G40-G27</f>
        <v>#REF!</v>
      </c>
      <c r="F142" s="681" t="e">
        <f t="shared" si="31"/>
        <v>#REF!</v>
      </c>
      <c r="G142" s="681" t="e">
        <f t="shared" si="26"/>
        <v>#REF!</v>
      </c>
      <c r="H142" s="681" t="e">
        <f t="shared" si="27"/>
        <v>#REF!</v>
      </c>
      <c r="I142" s="681" t="e">
        <f t="shared" si="28"/>
        <v>#REF!</v>
      </c>
      <c r="J142" s="710" t="e">
        <f t="shared" si="29"/>
        <v>#REF!</v>
      </c>
      <c r="K142" s="712" t="e">
        <f t="shared" si="18"/>
        <v>#REF!</v>
      </c>
    </row>
    <row r="143" spans="1:13" ht="12.75" hidden="1" customHeight="1">
      <c r="A143" s="112" t="s">
        <v>168</v>
      </c>
      <c r="B143" s="681" t="e">
        <f t="shared" si="30"/>
        <v>#REF!</v>
      </c>
      <c r="C143" s="681" t="e">
        <f t="shared" si="23"/>
        <v>#REF!</v>
      </c>
      <c r="D143" s="681" t="e">
        <f>(D41-G41)-(D28-G28)</f>
        <v>#REF!</v>
      </c>
      <c r="E143" s="681" t="e">
        <f t="shared" si="31"/>
        <v>#REF!</v>
      </c>
      <c r="F143" s="681" t="e">
        <f t="shared" si="31"/>
        <v>#REF!</v>
      </c>
      <c r="G143" s="681" t="e">
        <f t="shared" si="26"/>
        <v>#REF!</v>
      </c>
      <c r="H143" s="681" t="e">
        <f t="shared" si="27"/>
        <v>#REF!</v>
      </c>
      <c r="I143" s="681" t="e">
        <f t="shared" si="28"/>
        <v>#REF!</v>
      </c>
      <c r="J143" s="710" t="e">
        <f t="shared" si="29"/>
        <v>#REF!</v>
      </c>
      <c r="K143" s="712" t="e">
        <f t="shared" si="18"/>
        <v>#REF!</v>
      </c>
    </row>
    <row r="144" spans="1:13" ht="12.75" hidden="1" customHeight="1">
      <c r="A144" s="112" t="s">
        <v>169</v>
      </c>
      <c r="B144" s="681" t="e">
        <f t="shared" si="30"/>
        <v>#REF!</v>
      </c>
      <c r="C144" s="681" t="e">
        <f>C42-C29</f>
        <v>#REF!</v>
      </c>
      <c r="D144" s="681" t="e">
        <f>(D42-G42)-(D29-G29)</f>
        <v>#REF!</v>
      </c>
      <c r="E144" s="681" t="e">
        <f t="shared" si="31"/>
        <v>#REF!</v>
      </c>
      <c r="F144" s="681" t="e">
        <f t="shared" si="31"/>
        <v>#REF!</v>
      </c>
      <c r="G144" s="681" t="e">
        <f t="shared" si="26"/>
        <v>#REF!</v>
      </c>
      <c r="H144" s="681" t="e">
        <f t="shared" si="27"/>
        <v>#REF!</v>
      </c>
      <c r="I144" s="681" t="e">
        <f t="shared" si="28"/>
        <v>#REF!</v>
      </c>
      <c r="J144" s="710" t="e">
        <f t="shared" si="29"/>
        <v>#REF!</v>
      </c>
      <c r="K144" s="712" t="e">
        <f t="shared" si="18"/>
        <v>#REF!</v>
      </c>
    </row>
    <row r="145" spans="1:12" ht="12.75" hidden="1" customHeight="1">
      <c r="A145" s="112" t="s">
        <v>170</v>
      </c>
      <c r="B145" s="681" t="e">
        <f t="shared" si="30"/>
        <v>#REF!</v>
      </c>
      <c r="C145" s="681" t="e">
        <f>C43-C30</f>
        <v>#REF!</v>
      </c>
      <c r="D145" s="681" t="e">
        <f>(D43-G43)-(D30-G30)</f>
        <v>#REF!</v>
      </c>
      <c r="E145" s="681" t="e">
        <f t="shared" si="31"/>
        <v>#REF!</v>
      </c>
      <c r="F145" s="681" t="e">
        <f t="shared" si="31"/>
        <v>#REF!</v>
      </c>
      <c r="G145" s="681" t="e">
        <f t="shared" si="26"/>
        <v>#REF!</v>
      </c>
      <c r="H145" s="681" t="e">
        <f t="shared" si="27"/>
        <v>#REF!</v>
      </c>
      <c r="I145" s="681" t="e">
        <f t="shared" si="28"/>
        <v>#REF!</v>
      </c>
      <c r="J145" s="710" t="e">
        <f t="shared" si="29"/>
        <v>#REF!</v>
      </c>
      <c r="K145" s="712" t="e">
        <f t="shared" si="18"/>
        <v>#REF!</v>
      </c>
    </row>
    <row r="146" spans="1:12" ht="12.75" hidden="1" customHeight="1">
      <c r="A146" s="112" t="s">
        <v>171</v>
      </c>
      <c r="B146" s="681" t="e">
        <f t="shared" si="30"/>
        <v>#REF!</v>
      </c>
      <c r="C146" s="681" t="e">
        <f>C44-C31</f>
        <v>#REF!</v>
      </c>
      <c r="D146" s="681" t="e">
        <f>(D44-G44)-(D31-G31)</f>
        <v>#REF!</v>
      </c>
      <c r="E146" s="681" t="e">
        <f>G44-G31</f>
        <v>#REF!</v>
      </c>
      <c r="F146" s="681" t="e">
        <f>H44-H31</f>
        <v>#REF!</v>
      </c>
      <c r="G146" s="681" t="e">
        <f t="shared" si="26"/>
        <v>#REF!</v>
      </c>
      <c r="H146" s="681" t="e">
        <f t="shared" si="27"/>
        <v>#REF!</v>
      </c>
      <c r="I146" s="681" t="e">
        <f t="shared" si="28"/>
        <v>#REF!</v>
      </c>
      <c r="J146" s="710" t="e">
        <f t="shared" si="29"/>
        <v>#REF!</v>
      </c>
      <c r="K146" s="712" t="e">
        <f t="shared" ref="K146:K189" si="32">G146+H146+I146+J146</f>
        <v>#REF!</v>
      </c>
    </row>
    <row r="147" spans="1:12" ht="12.75" hidden="1" customHeight="1">
      <c r="A147" s="112">
        <v>2005</v>
      </c>
      <c r="B147" s="681" t="e">
        <f t="shared" si="30"/>
        <v>#REF!</v>
      </c>
      <c r="C147" s="681" t="e">
        <f>C45-C32</f>
        <v>#REF!</v>
      </c>
      <c r="D147" s="681" t="e">
        <f>(D45-G45)-(D32-G32)</f>
        <v>#REF!</v>
      </c>
      <c r="E147" s="681" t="e">
        <f>G45-G32</f>
        <v>#REF!</v>
      </c>
      <c r="F147" s="681" t="e">
        <f>H45-H32</f>
        <v>#REF!</v>
      </c>
      <c r="G147" s="681" t="e">
        <f t="shared" si="26"/>
        <v>#REF!</v>
      </c>
      <c r="H147" s="681" t="e">
        <f t="shared" si="27"/>
        <v>#REF!</v>
      </c>
      <c r="I147" s="681" t="e">
        <f t="shared" si="28"/>
        <v>#REF!</v>
      </c>
      <c r="J147" s="710" t="e">
        <f t="shared" si="29"/>
        <v>#REF!</v>
      </c>
      <c r="K147" s="712" t="e">
        <f t="shared" si="32"/>
        <v>#REF!</v>
      </c>
    </row>
    <row r="148" spans="1:12" ht="12.75" hidden="1" customHeight="1">
      <c r="A148" s="112" t="s">
        <v>685</v>
      </c>
      <c r="B148" s="681">
        <f t="shared" ref="B148:C165" si="33">B46-B34</f>
        <v>1477.58</v>
      </c>
      <c r="C148" s="681">
        <f t="shared" si="33"/>
        <v>1207.1899999999996</v>
      </c>
      <c r="D148" s="681">
        <f t="shared" ref="D148:D172" si="34">(D46-G46)-(D34-G34)</f>
        <v>135.66000000000008</v>
      </c>
      <c r="E148" s="681">
        <f t="shared" ref="E148:E172" si="35">G46-G34</f>
        <v>262.69000000000005</v>
      </c>
      <c r="F148" s="681">
        <f t="shared" ref="F148:F172" si="36">H46-H34</f>
        <v>-127.96000000000004</v>
      </c>
      <c r="G148" s="681">
        <f t="shared" ref="G148:G179" si="37">C148/B34*100</f>
        <v>29.304284500546174</v>
      </c>
      <c r="H148" s="681">
        <f t="shared" ref="H148:H179" si="38">D148/B34*100</f>
        <v>3.2931180968564164</v>
      </c>
      <c r="I148" s="681">
        <f t="shared" ref="I148:I179" si="39">E148/B34*100</f>
        <v>6.3767447505765285</v>
      </c>
      <c r="J148" s="710">
        <f t="shared" ref="J148:J179" si="40">F148/B34*100</f>
        <v>-3.1062022090059482</v>
      </c>
      <c r="K148" s="712">
        <f t="shared" si="32"/>
        <v>35.86794513897317</v>
      </c>
      <c r="L148" s="112"/>
    </row>
    <row r="149" spans="1:12" ht="12.75" hidden="1" customHeight="1">
      <c r="A149" s="1189" t="s">
        <v>82</v>
      </c>
      <c r="B149" s="681">
        <f t="shared" si="33"/>
        <v>1308.8199999999997</v>
      </c>
      <c r="C149" s="681">
        <f t="shared" si="33"/>
        <v>1353.8599999999997</v>
      </c>
      <c r="D149" s="681">
        <f t="shared" si="34"/>
        <v>264.75</v>
      </c>
      <c r="E149" s="681">
        <f t="shared" si="35"/>
        <v>276.57999999999993</v>
      </c>
      <c r="F149" s="681">
        <f t="shared" si="36"/>
        <v>-586.36999999999989</v>
      </c>
      <c r="G149" s="681">
        <f t="shared" si="37"/>
        <v>32.047892171599408</v>
      </c>
      <c r="H149" s="681">
        <f t="shared" si="38"/>
        <v>6.2670286827522377</v>
      </c>
      <c r="I149" s="681">
        <f t="shared" si="39"/>
        <v>6.5470624856491533</v>
      </c>
      <c r="J149" s="710">
        <f t="shared" si="40"/>
        <v>-13.880255368103603</v>
      </c>
      <c r="K149" s="712">
        <f t="shared" si="32"/>
        <v>30.9817279718972</v>
      </c>
      <c r="L149" s="1171"/>
    </row>
    <row r="150" spans="1:12" ht="12.75" hidden="1" customHeight="1">
      <c r="A150" s="1189" t="s">
        <v>83</v>
      </c>
      <c r="B150" s="681">
        <f t="shared" si="33"/>
        <v>1209.7800000000007</v>
      </c>
      <c r="C150" s="681">
        <f t="shared" si="33"/>
        <v>1829.88</v>
      </c>
      <c r="D150" s="681">
        <f t="shared" si="34"/>
        <v>-348.01000000000022</v>
      </c>
      <c r="E150" s="681">
        <f t="shared" si="35"/>
        <v>192.98000000000002</v>
      </c>
      <c r="F150" s="681">
        <f t="shared" si="36"/>
        <v>-465.06999999999971</v>
      </c>
      <c r="G150" s="681">
        <f t="shared" si="37"/>
        <v>43.020571294228283</v>
      </c>
      <c r="H150" s="681">
        <f t="shared" si="38"/>
        <v>-8.1817326907252905</v>
      </c>
      <c r="I150" s="681">
        <f t="shared" si="39"/>
        <v>4.5369695544845428</v>
      </c>
      <c r="J150" s="710">
        <f t="shared" si="40"/>
        <v>-10.93381920771129</v>
      </c>
      <c r="K150" s="712">
        <f t="shared" si="32"/>
        <v>28.441988950276247</v>
      </c>
      <c r="L150" s="1171"/>
    </row>
    <row r="151" spans="1:12" ht="12.75" hidden="1" customHeight="1">
      <c r="A151" s="1189" t="s">
        <v>591</v>
      </c>
      <c r="B151" s="681">
        <f t="shared" si="33"/>
        <v>1644.73</v>
      </c>
      <c r="C151" s="681">
        <f t="shared" si="33"/>
        <v>2191.2999999999993</v>
      </c>
      <c r="D151" s="681">
        <f t="shared" si="34"/>
        <v>-501.28</v>
      </c>
      <c r="E151" s="681">
        <f t="shared" si="35"/>
        <v>199.23000000000002</v>
      </c>
      <c r="F151" s="681">
        <f t="shared" si="36"/>
        <v>-244.52000000000044</v>
      </c>
      <c r="G151" s="681">
        <f t="shared" si="37"/>
        <v>55.182573659027945</v>
      </c>
      <c r="H151" s="681">
        <f t="shared" si="38"/>
        <v>-12.623520523797533</v>
      </c>
      <c r="I151" s="681">
        <f t="shared" si="39"/>
        <v>5.0171241500881401</v>
      </c>
      <c r="J151" s="710">
        <f t="shared" si="40"/>
        <v>-6.1576429111055262</v>
      </c>
      <c r="K151" s="712">
        <f t="shared" si="32"/>
        <v>41.418534374213024</v>
      </c>
      <c r="L151" s="1171"/>
    </row>
    <row r="152" spans="1:12" ht="12.75" hidden="1" customHeight="1">
      <c r="A152" s="1189" t="s">
        <v>33</v>
      </c>
      <c r="B152" s="681">
        <f t="shared" si="33"/>
        <v>1378.9400000000005</v>
      </c>
      <c r="C152" s="681">
        <f t="shared" si="33"/>
        <v>2155.1999999999998</v>
      </c>
      <c r="D152" s="681">
        <f t="shared" si="34"/>
        <v>-329.87999999999988</v>
      </c>
      <c r="E152" s="681">
        <f t="shared" si="35"/>
        <v>146.85000000000014</v>
      </c>
      <c r="F152" s="681">
        <f t="shared" si="36"/>
        <v>-593.23</v>
      </c>
      <c r="G152" s="681">
        <f t="shared" si="37"/>
        <v>51.290228154889263</v>
      </c>
      <c r="H152" s="681">
        <f t="shared" si="38"/>
        <v>-7.8506034074493609</v>
      </c>
      <c r="I152" s="681">
        <f t="shared" si="39"/>
        <v>3.4947893488054453</v>
      </c>
      <c r="J152" s="710">
        <f t="shared" si="40"/>
        <v>-14.117901841279213</v>
      </c>
      <c r="K152" s="712">
        <f t="shared" si="32"/>
        <v>32.816512254966135</v>
      </c>
      <c r="L152" s="1171"/>
    </row>
    <row r="153" spans="1:12" ht="12.75" hidden="1" customHeight="1">
      <c r="A153" s="1281" t="s">
        <v>647</v>
      </c>
      <c r="B153" s="681">
        <f t="shared" si="33"/>
        <v>1785.4399999999987</v>
      </c>
      <c r="C153" s="681">
        <f t="shared" si="33"/>
        <v>2854.8199999999997</v>
      </c>
      <c r="D153" s="681">
        <f t="shared" si="34"/>
        <v>-408.30000000000018</v>
      </c>
      <c r="E153" s="681">
        <f t="shared" si="35"/>
        <v>118.88000000000011</v>
      </c>
      <c r="F153" s="681">
        <f t="shared" si="36"/>
        <v>-779.96000000000095</v>
      </c>
      <c r="G153" s="681">
        <f t="shared" si="37"/>
        <v>66.738045422135983</v>
      </c>
      <c r="H153" s="681">
        <f t="shared" si="38"/>
        <v>-9.5449604338830962</v>
      </c>
      <c r="I153" s="681">
        <f t="shared" si="39"/>
        <v>2.7790959989714006</v>
      </c>
      <c r="J153" s="710">
        <f t="shared" si="40"/>
        <v>-18.233375802134375</v>
      </c>
      <c r="K153" s="712">
        <f t="shared" si="32"/>
        <v>41.738805185089909</v>
      </c>
    </row>
    <row r="154" spans="1:12" ht="12.75" hidden="1" customHeight="1">
      <c r="A154" s="1189" t="s">
        <v>1226</v>
      </c>
      <c r="B154" s="681">
        <f t="shared" si="33"/>
        <v>1466.2599999999993</v>
      </c>
      <c r="C154" s="681">
        <f t="shared" si="33"/>
        <v>3363.6800000000003</v>
      </c>
      <c r="D154" s="681">
        <f t="shared" si="34"/>
        <v>-870.59999999999991</v>
      </c>
      <c r="E154" s="681">
        <f t="shared" si="35"/>
        <v>137.08999999999992</v>
      </c>
      <c r="F154" s="681">
        <f t="shared" si="36"/>
        <v>-1163.9100000000003</v>
      </c>
      <c r="G154" s="681">
        <f t="shared" si="37"/>
        <v>75.096558714396053</v>
      </c>
      <c r="H154" s="681">
        <f t="shared" si="38"/>
        <v>-19.436766879356298</v>
      </c>
      <c r="I154" s="681">
        <f t="shared" si="39"/>
        <v>3.0606321749264342</v>
      </c>
      <c r="J154" s="710">
        <f t="shared" si="40"/>
        <v>-25.985122143982998</v>
      </c>
      <c r="K154" s="712">
        <f t="shared" si="32"/>
        <v>32.735301865983189</v>
      </c>
    </row>
    <row r="155" spans="1:12" ht="12.75" hidden="1" customHeight="1">
      <c r="A155" s="1189" t="s">
        <v>168</v>
      </c>
      <c r="B155" s="681">
        <f t="shared" si="33"/>
        <v>1402.6499999999996</v>
      </c>
      <c r="C155" s="681">
        <f t="shared" si="33"/>
        <v>3978.0599999999995</v>
      </c>
      <c r="D155" s="681">
        <f t="shared" si="34"/>
        <v>-1133.9699999999998</v>
      </c>
      <c r="E155" s="681">
        <f t="shared" si="35"/>
        <v>106.13000000000011</v>
      </c>
      <c r="F155" s="681">
        <f t="shared" si="36"/>
        <v>-1547.5699999999997</v>
      </c>
      <c r="G155" s="681">
        <f t="shared" si="37"/>
        <v>81.99463683189704</v>
      </c>
      <c r="H155" s="681">
        <f t="shared" si="38"/>
        <v>-23.373065848244188</v>
      </c>
      <c r="I155" s="681">
        <f t="shared" si="39"/>
        <v>2.187521255830541</v>
      </c>
      <c r="J155" s="710">
        <f t="shared" si="40"/>
        <v>-31.898070949643515</v>
      </c>
      <c r="K155" s="712">
        <f t="shared" si="32"/>
        <v>28.911021289839876</v>
      </c>
    </row>
    <row r="156" spans="1:12" ht="12.75" hidden="1" customHeight="1">
      <c r="A156" s="1189" t="s">
        <v>43</v>
      </c>
      <c r="B156" s="681">
        <f t="shared" si="33"/>
        <v>1206.1399999999994</v>
      </c>
      <c r="C156" s="681">
        <f t="shared" si="33"/>
        <v>3710.2499999999991</v>
      </c>
      <c r="D156" s="681">
        <f t="shared" si="34"/>
        <v>-1308.3700000000001</v>
      </c>
      <c r="E156" s="681">
        <f t="shared" si="35"/>
        <v>18.569999999999936</v>
      </c>
      <c r="F156" s="681">
        <f t="shared" si="36"/>
        <v>-1214.3099999999995</v>
      </c>
      <c r="G156" s="681">
        <f t="shared" si="37"/>
        <v>69.944933858419105</v>
      </c>
      <c r="H156" s="681">
        <f t="shared" si="38"/>
        <v>-24.665144697079668</v>
      </c>
      <c r="I156" s="681">
        <f t="shared" si="39"/>
        <v>0.35007814075893506</v>
      </c>
      <c r="J156" s="710">
        <f t="shared" si="40"/>
        <v>-22.89194330129153</v>
      </c>
      <c r="K156" s="712">
        <f t="shared" si="32"/>
        <v>22.737924000806846</v>
      </c>
    </row>
    <row r="157" spans="1:12" ht="12.75" hidden="1" customHeight="1">
      <c r="A157" s="1189" t="s">
        <v>170</v>
      </c>
      <c r="B157" s="681">
        <f t="shared" si="33"/>
        <v>1746.6800000000012</v>
      </c>
      <c r="C157" s="681">
        <f t="shared" si="33"/>
        <v>5077.8</v>
      </c>
      <c r="D157" s="681">
        <f t="shared" si="34"/>
        <v>-1202.6300000000001</v>
      </c>
      <c r="E157" s="681">
        <f t="shared" si="35"/>
        <v>-20.849999999999909</v>
      </c>
      <c r="F157" s="681">
        <f t="shared" si="36"/>
        <v>-2107.64</v>
      </c>
      <c r="G157" s="681">
        <f t="shared" si="37"/>
        <v>96.108748360427697</v>
      </c>
      <c r="H157" s="681">
        <f t="shared" si="38"/>
        <v>-22.762468793710102</v>
      </c>
      <c r="I157" s="681">
        <f t="shared" si="39"/>
        <v>-0.3946329913180725</v>
      </c>
      <c r="J157" s="710">
        <f t="shared" si="40"/>
        <v>-39.8918118859293</v>
      </c>
      <c r="K157" s="712">
        <f t="shared" si="32"/>
        <v>33.059834689470222</v>
      </c>
    </row>
    <row r="158" spans="1:12" ht="12.75" hidden="1" customHeight="1">
      <c r="A158" s="1189" t="s">
        <v>1277</v>
      </c>
      <c r="B158" s="681">
        <f t="shared" si="33"/>
        <v>1309.170000000001</v>
      </c>
      <c r="C158" s="681">
        <f t="shared" si="33"/>
        <v>4948.99</v>
      </c>
      <c r="D158" s="681">
        <f t="shared" si="34"/>
        <v>-2054.12</v>
      </c>
      <c r="E158" s="681">
        <f t="shared" si="35"/>
        <v>-69.180000000000064</v>
      </c>
      <c r="F158" s="681">
        <f t="shared" si="36"/>
        <v>-1516.5199999999995</v>
      </c>
      <c r="G158" s="681">
        <f t="shared" si="37"/>
        <v>88.993805126729669</v>
      </c>
      <c r="H158" s="681">
        <f t="shared" si="38"/>
        <v>-36.937628685230308</v>
      </c>
      <c r="I158" s="681">
        <f t="shared" si="39"/>
        <v>-1.2440096744319882</v>
      </c>
      <c r="J158" s="710">
        <f t="shared" si="40"/>
        <v>-27.270389584700727</v>
      </c>
      <c r="K158" s="712">
        <f t="shared" si="32"/>
        <v>23.541777182366648</v>
      </c>
    </row>
    <row r="159" spans="1:12" ht="12.75" hidden="1" customHeight="1">
      <c r="A159" s="1189" t="s">
        <v>1052</v>
      </c>
      <c r="B159" s="681">
        <f t="shared" si="33"/>
        <v>926.15000000000146</v>
      </c>
      <c r="C159" s="681">
        <f t="shared" si="33"/>
        <v>3498.6099999999997</v>
      </c>
      <c r="D159" s="681">
        <f t="shared" si="34"/>
        <v>-1531.75</v>
      </c>
      <c r="E159" s="681">
        <f t="shared" si="35"/>
        <v>-0.55999999999994543</v>
      </c>
      <c r="F159" s="681">
        <f t="shared" si="36"/>
        <v>-1040.1499999999992</v>
      </c>
      <c r="G159" s="681">
        <f t="shared" si="37"/>
        <v>61.89863698126026</v>
      </c>
      <c r="H159" s="681">
        <f t="shared" si="38"/>
        <v>-27.100259016022193</v>
      </c>
      <c r="I159" s="681">
        <f t="shared" si="39"/>
        <v>-9.9077166959170553E-3</v>
      </c>
      <c r="J159" s="710">
        <f t="shared" si="40"/>
        <v>-18.402699145105576</v>
      </c>
      <c r="K159" s="712">
        <f t="shared" si="32"/>
        <v>16.385771103436571</v>
      </c>
    </row>
    <row r="160" spans="1:12" ht="12.75" hidden="1" customHeight="1">
      <c r="A160" s="1189" t="s">
        <v>1292</v>
      </c>
      <c r="B160" s="681">
        <f t="shared" si="33"/>
        <v>1256.6300000000001</v>
      </c>
      <c r="C160" s="681">
        <f t="shared" si="33"/>
        <v>4692.8099999999995</v>
      </c>
      <c r="D160" s="681">
        <f t="shared" si="34"/>
        <v>-1777.41</v>
      </c>
      <c r="E160" s="681">
        <f t="shared" si="35"/>
        <v>-84.940000000000055</v>
      </c>
      <c r="F160" s="681">
        <f t="shared" si="36"/>
        <v>-1573.8299999999995</v>
      </c>
      <c r="G160" s="681">
        <f t="shared" si="37"/>
        <v>83.843897174955501</v>
      </c>
      <c r="H160" s="681">
        <f t="shared" si="38"/>
        <v>-31.756022783308442</v>
      </c>
      <c r="I160" s="681">
        <f t="shared" si="39"/>
        <v>-1.5175770223044882</v>
      </c>
      <c r="J160" s="710">
        <f t="shared" si="40"/>
        <v>-28.118769072444909</v>
      </c>
      <c r="K160" s="712">
        <f t="shared" si="32"/>
        <v>22.451528296897667</v>
      </c>
    </row>
    <row r="161" spans="1:11" ht="12.75" hidden="1" customHeight="1">
      <c r="A161" s="1189" t="s">
        <v>945</v>
      </c>
      <c r="B161" s="681">
        <f t="shared" si="33"/>
        <v>1343.0299999999997</v>
      </c>
      <c r="C161" s="681">
        <f t="shared" si="33"/>
        <v>3705.0699999999997</v>
      </c>
      <c r="D161" s="681">
        <f t="shared" si="34"/>
        <v>-1651.79</v>
      </c>
      <c r="E161" s="681">
        <f t="shared" si="35"/>
        <v>-112.86999999999989</v>
      </c>
      <c r="F161" s="681">
        <f t="shared" si="36"/>
        <v>-597.37999999999965</v>
      </c>
      <c r="G161" s="681">
        <f t="shared" si="37"/>
        <v>66.959378744368209</v>
      </c>
      <c r="H161" s="681">
        <f t="shared" si="38"/>
        <v>-29.851752386907659</v>
      </c>
      <c r="I161" s="681">
        <f t="shared" si="39"/>
        <v>-2.0398278787922579</v>
      </c>
      <c r="J161" s="710">
        <f t="shared" si="40"/>
        <v>-10.796069621980328</v>
      </c>
      <c r="K161" s="712">
        <f t="shared" si="32"/>
        <v>24.271728856687957</v>
      </c>
    </row>
    <row r="162" spans="1:11" ht="12.75" hidden="1" customHeight="1">
      <c r="A162" s="1189" t="s">
        <v>572</v>
      </c>
      <c r="B162" s="681">
        <f t="shared" si="33"/>
        <v>1856.1099999999997</v>
      </c>
      <c r="C162" s="681">
        <f t="shared" si="33"/>
        <v>3964.7699999999995</v>
      </c>
      <c r="D162" s="681">
        <f t="shared" si="34"/>
        <v>-1327.37</v>
      </c>
      <c r="E162" s="681">
        <f t="shared" si="35"/>
        <v>-137.75</v>
      </c>
      <c r="F162" s="681">
        <f t="shared" si="36"/>
        <v>-643.54</v>
      </c>
      <c r="G162" s="681">
        <f t="shared" si="37"/>
        <v>72.571239255538771</v>
      </c>
      <c r="H162" s="681">
        <f t="shared" si="38"/>
        <v>-24.296210335183254</v>
      </c>
      <c r="I162" s="681">
        <f t="shared" si="39"/>
        <v>-2.5213790982706357</v>
      </c>
      <c r="J162" s="710">
        <f t="shared" si="40"/>
        <v>-11.779370634490634</v>
      </c>
      <c r="K162" s="712">
        <f t="shared" si="32"/>
        <v>33.974279187594249</v>
      </c>
    </row>
    <row r="163" spans="1:11" ht="12.75" hidden="1" customHeight="1">
      <c r="A163" s="1189" t="s">
        <v>282</v>
      </c>
      <c r="B163" s="681">
        <f t="shared" si="33"/>
        <v>1730.5200000000004</v>
      </c>
      <c r="C163" s="681">
        <f t="shared" si="33"/>
        <v>3202.4700000000012</v>
      </c>
      <c r="D163" s="681">
        <f t="shared" si="34"/>
        <v>-1273.8</v>
      </c>
      <c r="E163" s="681">
        <f t="shared" si="35"/>
        <v>-67.5</v>
      </c>
      <c r="F163" s="681">
        <f t="shared" si="36"/>
        <v>-130.64999999999918</v>
      </c>
      <c r="G163" s="681">
        <f t="shared" si="37"/>
        <v>57.026780133660296</v>
      </c>
      <c r="H163" s="681">
        <f t="shared" si="38"/>
        <v>-22.682714446741564</v>
      </c>
      <c r="I163" s="681">
        <f t="shared" si="39"/>
        <v>-1.2019808644646377</v>
      </c>
      <c r="J163" s="710">
        <f t="shared" si="40"/>
        <v>-2.3265007398859847</v>
      </c>
      <c r="K163" s="712">
        <f t="shared" si="32"/>
        <v>30.815584082568108</v>
      </c>
    </row>
    <row r="164" spans="1:11" ht="12.75" hidden="1" customHeight="1">
      <c r="A164" s="1189" t="s">
        <v>165</v>
      </c>
      <c r="B164" s="681">
        <f t="shared" si="33"/>
        <v>1741.6399999999994</v>
      </c>
      <c r="C164" s="681">
        <f t="shared" si="33"/>
        <v>3695.2900000000009</v>
      </c>
      <c r="D164" s="681">
        <f t="shared" si="34"/>
        <v>-1179.2199999999998</v>
      </c>
      <c r="E164" s="681">
        <f t="shared" si="35"/>
        <v>4.2300000000000182</v>
      </c>
      <c r="F164" s="681">
        <f t="shared" si="36"/>
        <v>-778.66000000000031</v>
      </c>
      <c r="G164" s="681">
        <f t="shared" si="37"/>
        <v>66.213036942004095</v>
      </c>
      <c r="H164" s="681">
        <f t="shared" si="38"/>
        <v>-21.129529055297429</v>
      </c>
      <c r="I164" s="681">
        <f t="shared" si="39"/>
        <v>7.5794090927823937E-2</v>
      </c>
      <c r="J164" s="710">
        <f t="shared" si="40"/>
        <v>-13.952204927153463</v>
      </c>
      <c r="K164" s="712">
        <f t="shared" si="32"/>
        <v>31.207097050481028</v>
      </c>
    </row>
    <row r="165" spans="1:11" ht="12.75" hidden="1" customHeight="1">
      <c r="A165" s="1189" t="s">
        <v>166</v>
      </c>
      <c r="B165" s="681">
        <f t="shared" si="33"/>
        <v>1296.1400000000021</v>
      </c>
      <c r="C165" s="681">
        <f t="shared" si="33"/>
        <v>2247.83</v>
      </c>
      <c r="D165" s="681">
        <f t="shared" si="34"/>
        <v>-905.17999999999984</v>
      </c>
      <c r="E165" s="681">
        <f t="shared" si="35"/>
        <v>42.549999999999955</v>
      </c>
      <c r="F165" s="681">
        <f t="shared" si="36"/>
        <v>-89.059999999998581</v>
      </c>
      <c r="G165" s="681">
        <f t="shared" si="37"/>
        <v>37.074000221009427</v>
      </c>
      <c r="H165" s="681">
        <f t="shared" si="38"/>
        <v>-14.929351205408464</v>
      </c>
      <c r="I165" s="681">
        <f t="shared" si="39"/>
        <v>0.70178737244540268</v>
      </c>
      <c r="J165" s="710">
        <f t="shared" si="40"/>
        <v>-1.4688879762629057</v>
      </c>
      <c r="K165" s="712">
        <f t="shared" si="32"/>
        <v>21.377548411783458</v>
      </c>
    </row>
    <row r="166" spans="1:11" ht="12.75" hidden="1" customHeight="1">
      <c r="A166" s="1189" t="s">
        <v>167</v>
      </c>
      <c r="B166" s="681">
        <f t="shared" ref="B166:C172" si="41">B64-B52</f>
        <v>1289.83</v>
      </c>
      <c r="C166" s="681">
        <f t="shared" si="41"/>
        <v>2593.5699999999997</v>
      </c>
      <c r="D166" s="681">
        <f t="shared" si="34"/>
        <v>-1034.3100000000002</v>
      </c>
      <c r="E166" s="681">
        <f t="shared" si="35"/>
        <v>40.240000000000009</v>
      </c>
      <c r="F166" s="681">
        <f t="shared" si="36"/>
        <v>-309.67000000000007</v>
      </c>
      <c r="G166" s="681">
        <f t="shared" si="37"/>
        <v>43.623137215326125</v>
      </c>
      <c r="H166" s="681">
        <f t="shared" si="38"/>
        <v>-17.396810979917248</v>
      </c>
      <c r="I166" s="681">
        <f t="shared" si="39"/>
        <v>0.6768257812762809</v>
      </c>
      <c r="J166" s="710">
        <f t="shared" si="40"/>
        <v>-5.2085646045682381</v>
      </c>
      <c r="K166" s="712">
        <f t="shared" si="32"/>
        <v>21.69458741211692</v>
      </c>
    </row>
    <row r="167" spans="1:11" ht="12.75" hidden="1" customHeight="1">
      <c r="A167" s="1189" t="s">
        <v>168</v>
      </c>
      <c r="B167" s="681">
        <f t="shared" si="41"/>
        <v>1958.5900000000011</v>
      </c>
      <c r="C167" s="681">
        <f t="shared" si="41"/>
        <v>2075.9500000000007</v>
      </c>
      <c r="D167" s="681">
        <f t="shared" si="34"/>
        <v>-562.53999999999985</v>
      </c>
      <c r="E167" s="681">
        <f t="shared" si="35"/>
        <v>26.8599999999999</v>
      </c>
      <c r="F167" s="681">
        <f t="shared" si="36"/>
        <v>418.32000000000016</v>
      </c>
      <c r="G167" s="681">
        <f t="shared" si="37"/>
        <v>33.192575940239152</v>
      </c>
      <c r="H167" s="681">
        <f t="shared" si="38"/>
        <v>-8.9945093424321971</v>
      </c>
      <c r="I167" s="681">
        <f t="shared" si="39"/>
        <v>0.42946727510528671</v>
      </c>
      <c r="J167" s="710">
        <f t="shared" si="40"/>
        <v>6.6885610767700765</v>
      </c>
      <c r="K167" s="712">
        <f t="shared" si="32"/>
        <v>31.316094949682316</v>
      </c>
    </row>
    <row r="168" spans="1:11" ht="12.75" hidden="1" customHeight="1">
      <c r="A168" s="1189" t="s">
        <v>169</v>
      </c>
      <c r="B168" s="681">
        <f t="shared" si="41"/>
        <v>1690.2100000000019</v>
      </c>
      <c r="C168" s="681">
        <f t="shared" si="41"/>
        <v>2248.0400000000009</v>
      </c>
      <c r="D168" s="681">
        <f t="shared" si="34"/>
        <v>-390.51</v>
      </c>
      <c r="E168" s="681">
        <f t="shared" si="35"/>
        <v>51.950000000000045</v>
      </c>
      <c r="F168" s="681">
        <f t="shared" si="36"/>
        <v>-219.26999999999953</v>
      </c>
      <c r="G168" s="681">
        <f t="shared" si="37"/>
        <v>34.528550825030315</v>
      </c>
      <c r="H168" s="681">
        <f t="shared" si="38"/>
        <v>-5.998000205815992</v>
      </c>
      <c r="I168" s="681">
        <f t="shared" si="39"/>
        <v>0.79792095129994378</v>
      </c>
      <c r="J168" s="710">
        <f t="shared" si="40"/>
        <v>-3.3678561499814852</v>
      </c>
      <c r="K168" s="712">
        <f t="shared" si="32"/>
        <v>25.960615420532783</v>
      </c>
    </row>
    <row r="169" spans="1:11" ht="12.75" hidden="1" customHeight="1">
      <c r="A169" s="1189" t="s">
        <v>444</v>
      </c>
      <c r="B169" s="681">
        <f t="shared" si="41"/>
        <v>2010.9199999999992</v>
      </c>
      <c r="C169" s="681">
        <f t="shared" si="41"/>
        <v>2621.25</v>
      </c>
      <c r="D169" s="681">
        <f t="shared" si="34"/>
        <v>-885.97</v>
      </c>
      <c r="E169" s="681">
        <f t="shared" si="35"/>
        <v>68.440000000000055</v>
      </c>
      <c r="F169" s="681">
        <f t="shared" si="36"/>
        <v>207.19999999999982</v>
      </c>
      <c r="G169" s="681">
        <f t="shared" si="37"/>
        <v>37.286257462585723</v>
      </c>
      <c r="H169" s="681">
        <f t="shared" si="38"/>
        <v>-12.602577214736128</v>
      </c>
      <c r="I169" s="681">
        <f t="shared" si="39"/>
        <v>0.97353226923771807</v>
      </c>
      <c r="J169" s="710">
        <f t="shared" si="40"/>
        <v>2.9473390734373881</v>
      </c>
      <c r="K169" s="712">
        <f t="shared" si="32"/>
        <v>28.6045515905247</v>
      </c>
    </row>
    <row r="170" spans="1:11" ht="12.75" hidden="1" customHeight="1">
      <c r="A170" s="1189" t="s">
        <v>171</v>
      </c>
      <c r="B170" s="681">
        <f t="shared" si="41"/>
        <v>1828.6400000000003</v>
      </c>
      <c r="C170" s="681">
        <f t="shared" si="41"/>
        <v>1942.5300000000007</v>
      </c>
      <c r="D170" s="681">
        <f t="shared" si="34"/>
        <v>-972.04999999999973</v>
      </c>
      <c r="E170" s="681">
        <f t="shared" si="35"/>
        <v>73.159999999999854</v>
      </c>
      <c r="F170" s="681">
        <f t="shared" si="36"/>
        <v>785</v>
      </c>
      <c r="G170" s="681">
        <f t="shared" si="37"/>
        <v>28.27464040452854</v>
      </c>
      <c r="H170" s="681">
        <f t="shared" si="38"/>
        <v>-14.148746328356292</v>
      </c>
      <c r="I170" s="681">
        <f t="shared" si="39"/>
        <v>1.0648858406281001</v>
      </c>
      <c r="J170" s="710">
        <f t="shared" si="40"/>
        <v>11.426126092031987</v>
      </c>
      <c r="K170" s="712">
        <f t="shared" si="32"/>
        <v>26.616906008832338</v>
      </c>
    </row>
    <row r="171" spans="1:11" ht="12.75" hidden="1" customHeight="1">
      <c r="A171" s="1189" t="s">
        <v>593</v>
      </c>
      <c r="B171" s="681">
        <f t="shared" si="41"/>
        <v>2065.0499999999993</v>
      </c>
      <c r="C171" s="681">
        <f t="shared" si="41"/>
        <v>2055.2000000000007</v>
      </c>
      <c r="D171" s="681">
        <f t="shared" si="34"/>
        <v>-657.53</v>
      </c>
      <c r="E171" s="681">
        <f t="shared" si="35"/>
        <v>17.220000000000027</v>
      </c>
      <c r="F171" s="681">
        <f t="shared" si="36"/>
        <v>650.15999999999985</v>
      </c>
      <c r="G171" s="681">
        <f t="shared" si="37"/>
        <v>31.242066731424945</v>
      </c>
      <c r="H171" s="681">
        <f t="shared" si="38"/>
        <v>-9.9954243567116752</v>
      </c>
      <c r="I171" s="681">
        <f t="shared" si="39"/>
        <v>0.26176936021561803</v>
      </c>
      <c r="J171" s="710">
        <f t="shared" si="40"/>
        <v>9.8833895027750245</v>
      </c>
      <c r="K171" s="712">
        <f t="shared" si="32"/>
        <v>31.391801237703909</v>
      </c>
    </row>
    <row r="172" spans="1:11" hidden="1">
      <c r="A172" s="1189" t="s">
        <v>96</v>
      </c>
      <c r="B172" s="681">
        <f t="shared" si="41"/>
        <v>1921.6799999999994</v>
      </c>
      <c r="C172" s="681">
        <f t="shared" si="41"/>
        <v>1774.2600000000002</v>
      </c>
      <c r="D172" s="681">
        <f t="shared" si="34"/>
        <v>-66.449999999999818</v>
      </c>
      <c r="E172" s="681">
        <f t="shared" si="35"/>
        <v>39.299999999999955</v>
      </c>
      <c r="F172" s="681">
        <f t="shared" si="36"/>
        <v>174.56999999999971</v>
      </c>
      <c r="G172" s="681">
        <f t="shared" si="37"/>
        <v>25.887584972226723</v>
      </c>
      <c r="H172" s="681">
        <f t="shared" si="38"/>
        <v>-0.9695478799073759</v>
      </c>
      <c r="I172" s="681">
        <f t="shared" si="39"/>
        <v>0.5734120644147469</v>
      </c>
      <c r="J172" s="710">
        <f t="shared" si="40"/>
        <v>2.547087635747642</v>
      </c>
      <c r="K172" s="712">
        <f t="shared" si="32"/>
        <v>28.038536792481732</v>
      </c>
    </row>
    <row r="173" spans="1:11" hidden="1">
      <c r="A173" s="1189" t="s">
        <v>776</v>
      </c>
      <c r="B173" s="681">
        <f t="shared" ref="B173:C180" si="42">B71-B59</f>
        <v>1635.2799999999997</v>
      </c>
      <c r="C173" s="681">
        <f t="shared" si="42"/>
        <v>2137.25</v>
      </c>
      <c r="D173" s="681">
        <f t="shared" ref="D173:D189" si="43">(D71-G71)-(D59-G59)</f>
        <v>-565.79</v>
      </c>
      <c r="E173" s="681">
        <f t="shared" ref="E173:F189" si="44">G71-G59</f>
        <v>23.129999999999882</v>
      </c>
      <c r="F173" s="681">
        <f t="shared" si="44"/>
        <v>40.6899999999996</v>
      </c>
      <c r="G173" s="681">
        <f t="shared" si="37"/>
        <v>31.081214715968091</v>
      </c>
      <c r="H173" s="681">
        <f t="shared" si="38"/>
        <v>-8.2280690018236449</v>
      </c>
      <c r="I173" s="681">
        <f t="shared" si="39"/>
        <v>0.33637080190915347</v>
      </c>
      <c r="J173" s="710">
        <f t="shared" si="40"/>
        <v>0.59173921010304331</v>
      </c>
      <c r="K173" s="712">
        <f t="shared" si="32"/>
        <v>23.781255726156644</v>
      </c>
    </row>
    <row r="174" spans="1:11" hidden="1">
      <c r="A174" s="1189" t="s">
        <v>681</v>
      </c>
      <c r="B174" s="681">
        <f t="shared" si="42"/>
        <v>1747.2799999999979</v>
      </c>
      <c r="C174" s="681">
        <f t="shared" si="42"/>
        <v>1492.08</v>
      </c>
      <c r="D174" s="681">
        <f t="shared" si="43"/>
        <v>-269.70999999999981</v>
      </c>
      <c r="E174" s="681">
        <f t="shared" si="44"/>
        <v>46.009999999999991</v>
      </c>
      <c r="F174" s="681">
        <f t="shared" si="44"/>
        <v>478.89999999999964</v>
      </c>
      <c r="G174" s="681">
        <f t="shared" si="37"/>
        <v>20.385305332821449</v>
      </c>
      <c r="H174" s="681">
        <f t="shared" si="38"/>
        <v>-3.6848699140228867</v>
      </c>
      <c r="I174" s="681">
        <f t="shared" si="39"/>
        <v>0.62860429625966086</v>
      </c>
      <c r="J174" s="710">
        <f t="shared" si="40"/>
        <v>6.542894968023286</v>
      </c>
      <c r="K174" s="712">
        <f t="shared" si="32"/>
        <v>23.871934683081509</v>
      </c>
    </row>
    <row r="175" spans="1:11" hidden="1">
      <c r="A175" s="1189" t="s">
        <v>29</v>
      </c>
      <c r="B175" s="681">
        <f t="shared" si="42"/>
        <v>1011.8999999999996</v>
      </c>
      <c r="C175" s="681">
        <f t="shared" si="42"/>
        <v>1776.5299999999988</v>
      </c>
      <c r="D175" s="681">
        <f t="shared" si="43"/>
        <v>-152.33999999999992</v>
      </c>
      <c r="E175" s="681">
        <f t="shared" si="44"/>
        <v>47.819999999999936</v>
      </c>
      <c r="F175" s="681">
        <f t="shared" si="44"/>
        <v>-660.11000000000058</v>
      </c>
      <c r="G175" s="681">
        <f t="shared" si="37"/>
        <v>24.182814361068555</v>
      </c>
      <c r="H175" s="681">
        <f t="shared" si="38"/>
        <v>-2.0737110770801417</v>
      </c>
      <c r="I175" s="681">
        <f t="shared" si="39"/>
        <v>0.65094435936702311</v>
      </c>
      <c r="J175" s="710">
        <f t="shared" si="40"/>
        <v>-8.9856729623957889</v>
      </c>
      <c r="K175" s="712">
        <f t="shared" si="32"/>
        <v>13.774374680959649</v>
      </c>
    </row>
    <row r="176" spans="1:11" hidden="1">
      <c r="A176" s="1189" t="s">
        <v>831</v>
      </c>
      <c r="B176" s="681">
        <f t="shared" si="42"/>
        <v>954.66000000000167</v>
      </c>
      <c r="C176" s="681">
        <f t="shared" si="42"/>
        <v>1200.2999999999993</v>
      </c>
      <c r="D176" s="681">
        <f t="shared" si="43"/>
        <v>-128.32000000000016</v>
      </c>
      <c r="E176" s="681">
        <f t="shared" si="44"/>
        <v>33.210000000000036</v>
      </c>
      <c r="F176" s="681">
        <f t="shared" si="44"/>
        <v>-150.52999999999884</v>
      </c>
      <c r="G176" s="681">
        <f t="shared" si="37"/>
        <v>16.391830714710032</v>
      </c>
      <c r="H176" s="681">
        <f t="shared" si="38"/>
        <v>-1.7523949990099101</v>
      </c>
      <c r="I176" s="681">
        <f t="shared" si="39"/>
        <v>0.45353053239650176</v>
      </c>
      <c r="J176" s="710">
        <f t="shared" si="40"/>
        <v>-2.0557046384114668</v>
      </c>
      <c r="K176" s="712">
        <f t="shared" si="32"/>
        <v>13.037261609685157</v>
      </c>
    </row>
    <row r="177" spans="1:11" hidden="1">
      <c r="A177" s="1189" t="s">
        <v>750</v>
      </c>
      <c r="B177" s="681">
        <f t="shared" si="42"/>
        <v>1571.3099999999986</v>
      </c>
      <c r="C177" s="681">
        <f t="shared" si="42"/>
        <v>1912.4400000000005</v>
      </c>
      <c r="D177" s="681">
        <f t="shared" si="43"/>
        <v>337.29999999999984</v>
      </c>
      <c r="E177" s="681">
        <f t="shared" si="44"/>
        <v>33.889999999999873</v>
      </c>
      <c r="F177" s="681">
        <f t="shared" si="44"/>
        <v>-712.32000000000062</v>
      </c>
      <c r="G177" s="681">
        <f t="shared" si="37"/>
        <v>25.98695787466896</v>
      </c>
      <c r="H177" s="681">
        <f t="shared" si="38"/>
        <v>4.5833599439071726</v>
      </c>
      <c r="I177" s="681">
        <f t="shared" si="39"/>
        <v>0.4605101348918279</v>
      </c>
      <c r="J177" s="710">
        <f t="shared" si="40"/>
        <v>-9.6792735109515604</v>
      </c>
      <c r="K177" s="712">
        <f t="shared" si="32"/>
        <v>21.351554442516399</v>
      </c>
    </row>
    <row r="178" spans="1:11" hidden="1">
      <c r="A178" s="1189" t="s">
        <v>473</v>
      </c>
      <c r="B178" s="681">
        <f t="shared" si="42"/>
        <v>2329.3100000000004</v>
      </c>
      <c r="C178" s="681">
        <f t="shared" si="42"/>
        <v>1620.83</v>
      </c>
      <c r="D178" s="681">
        <f t="shared" si="43"/>
        <v>516.6400000000001</v>
      </c>
      <c r="E178" s="681">
        <f t="shared" si="44"/>
        <v>24.159999999999854</v>
      </c>
      <c r="F178" s="681">
        <f t="shared" si="44"/>
        <v>167.68000000000029</v>
      </c>
      <c r="G178" s="681">
        <f t="shared" si="37"/>
        <v>22.401913968180693</v>
      </c>
      <c r="H178" s="681">
        <f t="shared" si="38"/>
        <v>7.140616124159151</v>
      </c>
      <c r="I178" s="681">
        <f t="shared" si="39"/>
        <v>0.33392165833014087</v>
      </c>
      <c r="J178" s="710">
        <f t="shared" si="40"/>
        <v>2.3175489929138435</v>
      </c>
      <c r="K178" s="712">
        <f t="shared" si="32"/>
        <v>32.194000743583828</v>
      </c>
    </row>
    <row r="179" spans="1:11" hidden="1">
      <c r="A179" s="1189" t="s">
        <v>1165</v>
      </c>
      <c r="B179" s="681">
        <f t="shared" si="42"/>
        <v>1437.6399999999976</v>
      </c>
      <c r="C179" s="681">
        <f t="shared" si="42"/>
        <v>1791.75</v>
      </c>
      <c r="D179" s="681">
        <f t="shared" si="43"/>
        <v>581.42999999999984</v>
      </c>
      <c r="E179" s="681">
        <f t="shared" si="44"/>
        <v>44.939999999999827</v>
      </c>
      <c r="F179" s="681">
        <f t="shared" si="44"/>
        <v>-980.48</v>
      </c>
      <c r="G179" s="681">
        <f t="shared" si="37"/>
        <v>21.816421826771464</v>
      </c>
      <c r="H179" s="681">
        <f t="shared" si="38"/>
        <v>7.0795156370809131</v>
      </c>
      <c r="I179" s="681">
        <f t="shared" si="39"/>
        <v>0.54719129169532899</v>
      </c>
      <c r="J179" s="710">
        <f t="shared" si="40"/>
        <v>-11.938364879426752</v>
      </c>
      <c r="K179" s="712">
        <f t="shared" si="32"/>
        <v>17.504763876120954</v>
      </c>
    </row>
    <row r="180" spans="1:11" hidden="1">
      <c r="A180" s="1189" t="s">
        <v>402</v>
      </c>
      <c r="B180" s="681">
        <f t="shared" si="42"/>
        <v>2168.3099999999995</v>
      </c>
      <c r="C180" s="681">
        <f t="shared" si="42"/>
        <v>2085.5100000000002</v>
      </c>
      <c r="D180" s="681">
        <f t="shared" si="43"/>
        <v>361.72</v>
      </c>
      <c r="E180" s="681">
        <f t="shared" si="44"/>
        <v>86.360000000000127</v>
      </c>
      <c r="F180" s="681">
        <f t="shared" si="44"/>
        <v>-365.28000000000065</v>
      </c>
      <c r="G180" s="681">
        <f t="shared" ref="G180:G208" si="45">C180/B66*100</f>
        <v>25.430319673010697</v>
      </c>
      <c r="H180" s="681">
        <f t="shared" ref="H180:H208" si="46">D180/B66*100</f>
        <v>4.410746163826321</v>
      </c>
      <c r="I180" s="681">
        <f t="shared" ref="I180:I208" si="47">E180/B66*100</f>
        <v>1.0530577206348601</v>
      </c>
      <c r="J180" s="710">
        <f t="shared" ref="J180:J208" si="48">F180/B66*100</f>
        <v>-4.4541561393411513</v>
      </c>
      <c r="K180" s="712">
        <f t="shared" si="32"/>
        <v>26.439967418130728</v>
      </c>
    </row>
    <row r="181" spans="1:11" hidden="1">
      <c r="A181" s="1189" t="s">
        <v>606</v>
      </c>
      <c r="B181" s="681">
        <f t="shared" ref="B181:C183" si="49">B79-B67</f>
        <v>807.3700000000008</v>
      </c>
      <c r="C181" s="681">
        <f t="shared" si="49"/>
        <v>291.69000000000051</v>
      </c>
      <c r="D181" s="681">
        <f t="shared" si="43"/>
        <v>239.08000000000038</v>
      </c>
      <c r="E181" s="681">
        <f t="shared" si="44"/>
        <v>134.41000000000008</v>
      </c>
      <c r="F181" s="681">
        <f t="shared" si="44"/>
        <v>142.1899999999996</v>
      </c>
      <c r="G181" s="681">
        <f t="shared" si="45"/>
        <v>3.2263059687047604</v>
      </c>
      <c r="H181" s="681">
        <f t="shared" si="46"/>
        <v>2.6444006685108641</v>
      </c>
      <c r="I181" s="681">
        <f t="shared" si="47"/>
        <v>1.4866734727059767</v>
      </c>
      <c r="J181" s="710">
        <f t="shared" si="48"/>
        <v>1.5727259957150665</v>
      </c>
      <c r="K181" s="712">
        <f t="shared" si="32"/>
        <v>8.9301061056366677</v>
      </c>
    </row>
    <row r="182" spans="1:11" hidden="1">
      <c r="A182" s="1189" t="s">
        <v>607</v>
      </c>
      <c r="B182" s="681">
        <f t="shared" si="49"/>
        <v>1348.9599999999991</v>
      </c>
      <c r="C182" s="681">
        <f t="shared" si="49"/>
        <v>1714.2199999999993</v>
      </c>
      <c r="D182" s="681">
        <f t="shared" si="43"/>
        <v>476.49999999999977</v>
      </c>
      <c r="E182" s="681">
        <f t="shared" si="44"/>
        <v>208.05000000000018</v>
      </c>
      <c r="F182" s="681">
        <f t="shared" si="44"/>
        <v>-1049.8099999999995</v>
      </c>
      <c r="G182" s="681">
        <f t="shared" si="45"/>
        <v>19.706260360552982</v>
      </c>
      <c r="H182" s="681">
        <f t="shared" si="46"/>
        <v>5.4777292656738901</v>
      </c>
      <c r="I182" s="681">
        <f t="shared" si="47"/>
        <v>2.3916927045612892</v>
      </c>
      <c r="J182" s="710">
        <f t="shared" si="48"/>
        <v>-12.068362980896341</v>
      </c>
      <c r="K182" s="712">
        <f t="shared" si="32"/>
        <v>15.507319349891821</v>
      </c>
    </row>
    <row r="183" spans="1:11" hidden="1">
      <c r="A183" s="1189" t="s">
        <v>401</v>
      </c>
      <c r="B183" s="681">
        <f t="shared" si="49"/>
        <v>-8643.36</v>
      </c>
      <c r="C183" s="681">
        <f t="shared" si="49"/>
        <v>-12895.62</v>
      </c>
      <c r="D183" s="681">
        <f t="shared" si="43"/>
        <v>1725.54</v>
      </c>
      <c r="E183" s="681">
        <f t="shared" si="44"/>
        <v>-1492.68</v>
      </c>
      <c r="F183" s="681">
        <f t="shared" si="44"/>
        <v>4019.3999999999996</v>
      </c>
      <c r="G183" s="681">
        <f t="shared" si="45"/>
        <v>-149.19684011773199</v>
      </c>
      <c r="H183" s="681">
        <f t="shared" si="46"/>
        <v>19.9637640917421</v>
      </c>
      <c r="I183" s="681">
        <f t="shared" si="47"/>
        <v>-17.269672904981395</v>
      </c>
      <c r="J183" s="710">
        <f t="shared" si="48"/>
        <v>46.502748930971279</v>
      </c>
      <c r="K183" s="712">
        <f t="shared" si="32"/>
        <v>-100.00000000000003</v>
      </c>
    </row>
    <row r="184" spans="1:11" hidden="1">
      <c r="A184" s="1189" t="s">
        <v>939</v>
      </c>
      <c r="B184" s="681">
        <f t="shared" ref="B184:C189" si="50">B82-B70</f>
        <v>345.76000000000022</v>
      </c>
      <c r="C184" s="681">
        <f t="shared" si="50"/>
        <v>-619.65999999999985</v>
      </c>
      <c r="D184" s="681">
        <f t="shared" si="43"/>
        <v>395.01999999999975</v>
      </c>
      <c r="E184" s="681">
        <f t="shared" si="44"/>
        <v>419.84999999999991</v>
      </c>
      <c r="F184" s="681">
        <f t="shared" si="44"/>
        <v>150.55000000000018</v>
      </c>
      <c r="G184" s="681">
        <f t="shared" si="45"/>
        <v>-7.0613385843820025</v>
      </c>
      <c r="H184" s="681">
        <f t="shared" si="46"/>
        <v>4.501452357103215</v>
      </c>
      <c r="I184" s="681">
        <f t="shared" si="47"/>
        <v>4.7844027444934065</v>
      </c>
      <c r="J184" s="710">
        <f t="shared" si="48"/>
        <v>1.7155932670798699</v>
      </c>
      <c r="K184" s="712">
        <f t="shared" si="32"/>
        <v>3.940109784294489</v>
      </c>
    </row>
    <row r="185" spans="1:11" hidden="1">
      <c r="A185" s="1189" t="s">
        <v>162</v>
      </c>
      <c r="B185" s="681">
        <f t="shared" si="50"/>
        <v>440.51000000000204</v>
      </c>
      <c r="C185" s="681">
        <f t="shared" si="50"/>
        <v>-935.26999999999862</v>
      </c>
      <c r="D185" s="681">
        <f t="shared" si="43"/>
        <v>856.19999999999993</v>
      </c>
      <c r="E185" s="681">
        <f t="shared" si="44"/>
        <v>490.56000000000017</v>
      </c>
      <c r="F185" s="681">
        <f t="shared" si="44"/>
        <v>29.020000000000437</v>
      </c>
      <c r="G185" s="681">
        <f t="shared" si="45"/>
        <v>-10.988155016318853</v>
      </c>
      <c r="H185" s="681">
        <f t="shared" si="46"/>
        <v>10.05918967247128</v>
      </c>
      <c r="I185" s="681">
        <f t="shared" si="47"/>
        <v>5.7634151900578292</v>
      </c>
      <c r="J185" s="710">
        <f t="shared" si="48"/>
        <v>0.34094567191674957</v>
      </c>
      <c r="K185" s="712">
        <f t="shared" si="32"/>
        <v>5.1753955181270062</v>
      </c>
    </row>
    <row r="186" spans="1:11" hidden="1">
      <c r="A186" s="1189" t="s">
        <v>92</v>
      </c>
      <c r="B186" s="681">
        <f t="shared" si="50"/>
        <v>995.69000000000233</v>
      </c>
      <c r="C186" s="681">
        <f t="shared" si="50"/>
        <v>215.95000000000073</v>
      </c>
      <c r="D186" s="681">
        <f t="shared" si="43"/>
        <v>750.28999999999974</v>
      </c>
      <c r="E186" s="681">
        <f t="shared" si="44"/>
        <v>534.46</v>
      </c>
      <c r="F186" s="681">
        <f t="shared" si="44"/>
        <v>-505.00999999999931</v>
      </c>
      <c r="G186" s="681">
        <f t="shared" si="45"/>
        <v>2.3818005949262604</v>
      </c>
      <c r="H186" s="681">
        <f t="shared" si="46"/>
        <v>8.2752543105682665</v>
      </c>
      <c r="I186" s="681">
        <f t="shared" si="47"/>
        <v>5.8947772445671909</v>
      </c>
      <c r="J186" s="710">
        <f t="shared" si="48"/>
        <v>-5.5699611875142629</v>
      </c>
      <c r="K186" s="712">
        <f t="shared" si="32"/>
        <v>10.981870962547454</v>
      </c>
    </row>
    <row r="187" spans="1:11" hidden="1">
      <c r="A187" s="1189" t="s">
        <v>1367</v>
      </c>
      <c r="B187" s="681">
        <f t="shared" si="50"/>
        <v>1597.6099999999988</v>
      </c>
      <c r="C187" s="681">
        <f t="shared" si="50"/>
        <v>225.84000000000015</v>
      </c>
      <c r="D187" s="681">
        <f t="shared" si="43"/>
        <v>604.89999999999986</v>
      </c>
      <c r="E187" s="681">
        <f t="shared" si="44"/>
        <v>571.61999999999989</v>
      </c>
      <c r="F187" s="681">
        <f t="shared" si="44"/>
        <v>195.25</v>
      </c>
      <c r="G187" s="681">
        <f t="shared" si="45"/>
        <v>2.7020333446994869</v>
      </c>
      <c r="H187" s="681">
        <f t="shared" si="46"/>
        <v>7.2372474770134527</v>
      </c>
      <c r="I187" s="681">
        <f t="shared" si="47"/>
        <v>6.8390732398916025</v>
      </c>
      <c r="J187" s="710">
        <f t="shared" si="48"/>
        <v>2.3360432631623027</v>
      </c>
      <c r="K187" s="712">
        <f t="shared" si="32"/>
        <v>19.114397324766845</v>
      </c>
    </row>
    <row r="188" spans="1:11" hidden="1">
      <c r="A188" s="1189" t="s">
        <v>878</v>
      </c>
      <c r="B188" s="681">
        <f t="shared" ref="B188:B210" si="51">B86-B74</f>
        <v>1597.3899999999976</v>
      </c>
      <c r="C188" s="681">
        <f t="shared" si="50"/>
        <v>-91.430000000000291</v>
      </c>
      <c r="D188" s="681">
        <f t="shared" si="43"/>
        <v>831.21</v>
      </c>
      <c r="E188" s="681">
        <f t="shared" si="44"/>
        <v>636.00999999999976</v>
      </c>
      <c r="F188" s="681">
        <f t="shared" si="44"/>
        <v>221.59999999999945</v>
      </c>
      <c r="G188" s="681">
        <f t="shared" si="45"/>
        <v>-1.1045992550630017</v>
      </c>
      <c r="H188" s="681">
        <f t="shared" si="46"/>
        <v>10.042151884511808</v>
      </c>
      <c r="I188" s="681">
        <f t="shared" si="47"/>
        <v>7.6838693231173272</v>
      </c>
      <c r="J188" s="710">
        <f t="shared" si="48"/>
        <v>2.6772306127306114</v>
      </c>
      <c r="K188" s="712">
        <f t="shared" si="32"/>
        <v>19.298652565296745</v>
      </c>
    </row>
    <row r="189" spans="1:11" hidden="1">
      <c r="A189" s="1189" t="s">
        <v>1384</v>
      </c>
      <c r="B189" s="681">
        <f t="shared" si="51"/>
        <v>489.28000000000065</v>
      </c>
      <c r="C189" s="681">
        <f t="shared" si="50"/>
        <v>-459.34000000000015</v>
      </c>
      <c r="D189" s="681">
        <f t="shared" si="43"/>
        <v>634.0200000000001</v>
      </c>
      <c r="E189" s="681">
        <f t="shared" si="44"/>
        <v>631</v>
      </c>
      <c r="F189" s="681">
        <f t="shared" si="44"/>
        <v>-316.40000000000055</v>
      </c>
      <c r="G189" s="681">
        <f t="shared" si="45"/>
        <v>-5.1434739668597889</v>
      </c>
      <c r="H189" s="681">
        <f t="shared" si="46"/>
        <v>7.099458711343325</v>
      </c>
      <c r="I189" s="681">
        <f t="shared" si="47"/>
        <v>7.0656421672149738</v>
      </c>
      <c r="J189" s="710">
        <f t="shared" si="48"/>
        <v>-3.5428988616589878</v>
      </c>
      <c r="K189" s="712">
        <f t="shared" si="32"/>
        <v>5.4787280500395221</v>
      </c>
    </row>
    <row r="190" spans="1:11" hidden="1">
      <c r="A190" s="1189" t="s">
        <v>1385</v>
      </c>
      <c r="B190" s="681">
        <f t="shared" si="51"/>
        <v>974.95999999999731</v>
      </c>
      <c r="C190" s="681">
        <f t="shared" ref="C190:C212" si="52">C88-C76</f>
        <v>-1614.8000000000011</v>
      </c>
      <c r="D190" s="681">
        <f t="shared" ref="D190:D206" si="53">(D88-G88)-(D76-G76)</f>
        <v>1551.9899999999998</v>
      </c>
      <c r="E190" s="681">
        <f t="shared" ref="E190:F206" si="54">G88-G76</f>
        <v>638.26</v>
      </c>
      <c r="F190" s="681">
        <f t="shared" si="54"/>
        <v>399.50999999999931</v>
      </c>
      <c r="G190" s="681">
        <f t="shared" si="45"/>
        <v>-16.883195637218318</v>
      </c>
      <c r="H190" s="681">
        <f t="shared" si="46"/>
        <v>16.226499131165738</v>
      </c>
      <c r="I190" s="681">
        <f t="shared" si="47"/>
        <v>6.6731907650550886</v>
      </c>
      <c r="J190" s="710">
        <f t="shared" si="48"/>
        <v>4.1769912614720548</v>
      </c>
      <c r="K190" s="712">
        <f t="shared" ref="K190:K206" si="55">G190+H190+I190+J190</f>
        <v>10.193485520474564</v>
      </c>
    </row>
    <row r="191" spans="1:11" hidden="1">
      <c r="A191" s="1189" t="s">
        <v>1386</v>
      </c>
      <c r="B191" s="681">
        <f t="shared" si="51"/>
        <v>856.72999999999956</v>
      </c>
      <c r="C191" s="681">
        <f t="shared" si="52"/>
        <v>-863.79000000000087</v>
      </c>
      <c r="D191" s="681">
        <f t="shared" si="53"/>
        <v>722.84999999999991</v>
      </c>
      <c r="E191" s="681">
        <f t="shared" si="54"/>
        <v>727.7800000000002</v>
      </c>
      <c r="F191" s="681">
        <f t="shared" si="54"/>
        <v>269.88999999999942</v>
      </c>
      <c r="G191" s="681">
        <f t="shared" si="45"/>
        <v>-8.9507372164522323</v>
      </c>
      <c r="H191" s="681">
        <f t="shared" si="46"/>
        <v>7.4902932389961556</v>
      </c>
      <c r="I191" s="681">
        <f t="shared" si="47"/>
        <v>7.5413787279195192</v>
      </c>
      <c r="J191" s="710">
        <f t="shared" si="48"/>
        <v>2.7966455589301629</v>
      </c>
      <c r="K191" s="712">
        <f t="shared" si="55"/>
        <v>8.8775803093936059</v>
      </c>
    </row>
    <row r="192" spans="1:11" hidden="1">
      <c r="A192" s="1189" t="s">
        <v>1001</v>
      </c>
      <c r="B192" s="681">
        <f t="shared" si="51"/>
        <v>-8.250000000003638</v>
      </c>
      <c r="C192" s="681">
        <f t="shared" si="52"/>
        <v>-1239.0800000000017</v>
      </c>
      <c r="D192" s="681">
        <f t="shared" si="53"/>
        <v>695.3599999999999</v>
      </c>
      <c r="E192" s="681">
        <f t="shared" si="54"/>
        <v>729.26</v>
      </c>
      <c r="F192" s="681">
        <f t="shared" si="54"/>
        <v>-193.79000000000087</v>
      </c>
      <c r="G192" s="681">
        <f t="shared" si="45"/>
        <v>-11.949631552705677</v>
      </c>
      <c r="H192" s="681">
        <f t="shared" si="46"/>
        <v>6.7060204316827052</v>
      </c>
      <c r="I192" s="681">
        <f t="shared" si="47"/>
        <v>7.0329505004730359</v>
      </c>
      <c r="J192" s="710">
        <f t="shared" si="48"/>
        <v>-1.8689020068105693</v>
      </c>
      <c r="K192" s="712">
        <f t="shared" si="55"/>
        <v>-7.9562627360505012E-2</v>
      </c>
    </row>
    <row r="193" spans="1:11">
      <c r="A193" s="1189" t="s">
        <v>1413</v>
      </c>
      <c r="B193" s="681">
        <f t="shared" si="51"/>
        <v>871.40999999999985</v>
      </c>
      <c r="C193" s="681">
        <f t="shared" si="52"/>
        <v>-881.20000000000073</v>
      </c>
      <c r="D193" s="681">
        <f t="shared" si="53"/>
        <v>605.87999999999988</v>
      </c>
      <c r="E193" s="681">
        <f t="shared" si="54"/>
        <v>709.49999999999977</v>
      </c>
      <c r="F193" s="681">
        <f t="shared" si="54"/>
        <v>437.22999999999956</v>
      </c>
      <c r="G193" s="681">
        <f t="shared" si="45"/>
        <v>-8.9476826598540331</v>
      </c>
      <c r="H193" s="681">
        <f t="shared" si="46"/>
        <v>6.1520902972677671</v>
      </c>
      <c r="I193" s="681">
        <f t="shared" si="47"/>
        <v>7.2042451738157389</v>
      </c>
      <c r="J193" s="710">
        <f t="shared" si="48"/>
        <v>4.4396224345982427</v>
      </c>
      <c r="K193" s="712">
        <f t="shared" si="55"/>
        <v>8.8482752458277147</v>
      </c>
    </row>
    <row r="194" spans="1:11">
      <c r="A194" s="1189" t="s">
        <v>1414</v>
      </c>
      <c r="B194" s="681">
        <f t="shared" si="51"/>
        <v>186.29000000000087</v>
      </c>
      <c r="C194" s="681">
        <f t="shared" si="52"/>
        <v>-1160.7899999999991</v>
      </c>
      <c r="D194" s="681">
        <f t="shared" si="53"/>
        <v>766.96</v>
      </c>
      <c r="E194" s="681">
        <f t="shared" si="54"/>
        <v>678.1099999999999</v>
      </c>
      <c r="F194" s="681">
        <f t="shared" si="54"/>
        <v>-97.990000000000691</v>
      </c>
      <c r="G194" s="681">
        <f t="shared" si="45"/>
        <v>-11.552655202820105</v>
      </c>
      <c r="H194" s="681">
        <f t="shared" si="46"/>
        <v>7.6330985228636665</v>
      </c>
      <c r="I194" s="681">
        <f t="shared" si="47"/>
        <v>6.7488271087658811</v>
      </c>
      <c r="J194" s="710">
        <f t="shared" si="48"/>
        <v>-0.97523641944223427</v>
      </c>
      <c r="K194" s="712">
        <f t="shared" si="55"/>
        <v>1.8540340093672081</v>
      </c>
    </row>
    <row r="195" spans="1:11">
      <c r="A195" s="1189" t="s">
        <v>148</v>
      </c>
      <c r="B195" s="681">
        <f t="shared" si="51"/>
        <v>10802.05</v>
      </c>
      <c r="C195" s="681">
        <f t="shared" si="52"/>
        <v>14823.3</v>
      </c>
      <c r="D195" s="681">
        <f t="shared" si="53"/>
        <v>-940.48</v>
      </c>
      <c r="E195" s="681">
        <f t="shared" si="54"/>
        <v>2426.14</v>
      </c>
      <c r="F195" s="681">
        <f t="shared" si="54"/>
        <v>-5506.91</v>
      </c>
      <c r="G195" s="681" t="e">
        <f t="shared" si="45"/>
        <v>#DIV/0!</v>
      </c>
      <c r="H195" s="681" t="e">
        <f t="shared" si="46"/>
        <v>#DIV/0!</v>
      </c>
      <c r="I195" s="681" t="e">
        <f t="shared" si="47"/>
        <v>#DIV/0!</v>
      </c>
      <c r="J195" s="710" t="e">
        <f t="shared" si="48"/>
        <v>#DIV/0!</v>
      </c>
      <c r="K195" s="712" t="e">
        <f t="shared" si="55"/>
        <v>#DIV/0!</v>
      </c>
    </row>
    <row r="196" spans="1:11">
      <c r="A196" s="1189" t="s">
        <v>1412</v>
      </c>
      <c r="B196" s="681">
        <f t="shared" si="51"/>
        <v>1400.5900000000001</v>
      </c>
      <c r="C196" s="681">
        <f t="shared" si="52"/>
        <v>1414.630000000001</v>
      </c>
      <c r="D196" s="681">
        <f t="shared" si="53"/>
        <v>293.53999999999996</v>
      </c>
      <c r="E196" s="681">
        <f t="shared" si="54"/>
        <v>309.67999999999984</v>
      </c>
      <c r="F196" s="681">
        <f t="shared" si="54"/>
        <v>-617.26000000000022</v>
      </c>
      <c r="G196" s="681">
        <f t="shared" si="45"/>
        <v>15.509338186522545</v>
      </c>
      <c r="H196" s="681">
        <f t="shared" si="46"/>
        <v>3.2182345427933976</v>
      </c>
      <c r="I196" s="681">
        <f t="shared" si="47"/>
        <v>3.3951859140568885</v>
      </c>
      <c r="J196" s="710">
        <f t="shared" si="48"/>
        <v>-6.7673484154958548</v>
      </c>
      <c r="K196" s="712">
        <f t="shared" si="55"/>
        <v>15.355410227876975</v>
      </c>
    </row>
    <row r="197" spans="1:11">
      <c r="A197" s="1189" t="s">
        <v>162</v>
      </c>
      <c r="B197" s="681">
        <f t="shared" si="51"/>
        <v>2345.3599999999969</v>
      </c>
      <c r="C197" s="681">
        <f t="shared" si="52"/>
        <v>2715.1399999999994</v>
      </c>
      <c r="D197" s="681">
        <f t="shared" si="53"/>
        <v>286.74999999999989</v>
      </c>
      <c r="E197" s="681">
        <f t="shared" si="54"/>
        <v>432.70999999999958</v>
      </c>
      <c r="F197" s="681">
        <f t="shared" si="54"/>
        <v>-1089.2400000000007</v>
      </c>
      <c r="G197" s="681">
        <f t="shared" si="45"/>
        <v>30.329541684492956</v>
      </c>
      <c r="H197" s="681">
        <f t="shared" si="46"/>
        <v>3.2031483010188619</v>
      </c>
      <c r="I197" s="681">
        <f t="shared" si="47"/>
        <v>4.833598260972523</v>
      </c>
      <c r="J197" s="710">
        <f t="shared" si="48"/>
        <v>-12.167383628253841</v>
      </c>
      <c r="K197" s="712">
        <f t="shared" si="55"/>
        <v>26.198904618230497</v>
      </c>
    </row>
    <row r="198" spans="1:11">
      <c r="A198" s="1189" t="s">
        <v>163</v>
      </c>
      <c r="B198" s="681">
        <f t="shared" si="51"/>
        <v>965.82999999999993</v>
      </c>
      <c r="C198" s="681">
        <f t="shared" si="52"/>
        <v>1096.3999999999996</v>
      </c>
      <c r="D198" s="681">
        <f t="shared" si="53"/>
        <v>604.92999999999984</v>
      </c>
      <c r="E198" s="681">
        <f t="shared" si="54"/>
        <v>494.95000000000005</v>
      </c>
      <c r="F198" s="681">
        <f t="shared" si="54"/>
        <v>-1230.4500000000007</v>
      </c>
      <c r="G198" s="681">
        <f t="shared" si="45"/>
        <v>10.896052218366263</v>
      </c>
      <c r="H198" s="681">
        <f t="shared" si="46"/>
        <v>6.0118103506533238</v>
      </c>
      <c r="I198" s="681">
        <f t="shared" si="47"/>
        <v>4.9188261998179357</v>
      </c>
      <c r="J198" s="710">
        <f t="shared" si="48"/>
        <v>-12.228244666261203</v>
      </c>
      <c r="K198" s="712">
        <f t="shared" si="55"/>
        <v>9.5984441025763179</v>
      </c>
    </row>
    <row r="199" spans="1:11">
      <c r="A199" s="1189" t="s">
        <v>164</v>
      </c>
      <c r="B199" s="681">
        <f t="shared" si="51"/>
        <v>622.40000000000146</v>
      </c>
      <c r="C199" s="681">
        <f t="shared" si="52"/>
        <v>848.23000000000138</v>
      </c>
      <c r="D199" s="681">
        <f t="shared" si="53"/>
        <v>170.74</v>
      </c>
      <c r="E199" s="681">
        <f t="shared" si="54"/>
        <v>490.79000000000042</v>
      </c>
      <c r="F199" s="681">
        <f t="shared" si="54"/>
        <v>-887.35999999999967</v>
      </c>
      <c r="G199" s="681">
        <f t="shared" si="45"/>
        <v>8.5199924465837018</v>
      </c>
      <c r="H199" s="681">
        <f t="shared" si="46"/>
        <v>1.714987102943422</v>
      </c>
      <c r="I199" s="681">
        <f t="shared" si="47"/>
        <v>4.9297090327609396</v>
      </c>
      <c r="J199" s="710">
        <f t="shared" si="48"/>
        <v>-8.9130312502511089</v>
      </c>
      <c r="K199" s="712">
        <f t="shared" si="55"/>
        <v>6.2516573320369542</v>
      </c>
    </row>
    <row r="200" spans="1:11">
      <c r="A200" s="1189" t="s">
        <v>165</v>
      </c>
      <c r="B200" s="681">
        <f t="shared" si="51"/>
        <v>1581.6000000000004</v>
      </c>
      <c r="C200" s="681">
        <f t="shared" si="52"/>
        <v>1879.2900000000009</v>
      </c>
      <c r="D200" s="681">
        <f t="shared" si="53"/>
        <v>-39.670000000000073</v>
      </c>
      <c r="E200" s="681">
        <f t="shared" si="54"/>
        <v>469.78999999999996</v>
      </c>
      <c r="F200" s="681">
        <f t="shared" si="54"/>
        <v>-727.8100000000004</v>
      </c>
      <c r="G200" s="681">
        <f t="shared" si="45"/>
        <v>19.031555708585675</v>
      </c>
      <c r="H200" s="681">
        <f t="shared" si="46"/>
        <v>-0.40173779191055919</v>
      </c>
      <c r="I200" s="681">
        <f t="shared" si="47"/>
        <v>4.7575597998906289</v>
      </c>
      <c r="J200" s="710">
        <f t="shared" si="48"/>
        <v>-7.3705264010694158</v>
      </c>
      <c r="K200" s="712">
        <f t="shared" si="55"/>
        <v>16.016851315496329</v>
      </c>
    </row>
    <row r="201" spans="1:11">
      <c r="A201" s="1189" t="s">
        <v>166</v>
      </c>
      <c r="B201" s="681">
        <f t="shared" si="51"/>
        <v>1657.0799999999981</v>
      </c>
      <c r="C201" s="681">
        <f t="shared" si="52"/>
        <v>1559.5699999999997</v>
      </c>
      <c r="D201" s="681">
        <f t="shared" si="53"/>
        <v>-329.15000000000009</v>
      </c>
      <c r="E201" s="681">
        <f t="shared" si="54"/>
        <v>591.74000000000024</v>
      </c>
      <c r="F201" s="681">
        <f t="shared" si="54"/>
        <v>-165.07999999999993</v>
      </c>
      <c r="G201" s="681">
        <f t="shared" si="45"/>
        <v>16.556261159979698</v>
      </c>
      <c r="H201" s="681">
        <f t="shared" si="46"/>
        <v>-3.4942281275013762</v>
      </c>
      <c r="I201" s="681">
        <f t="shared" si="47"/>
        <v>6.2818610122061802</v>
      </c>
      <c r="J201" s="710">
        <f t="shared" si="48"/>
        <v>-1.7524751003734671</v>
      </c>
      <c r="K201" s="712">
        <f t="shared" si="55"/>
        <v>17.591418944311037</v>
      </c>
    </row>
    <row r="202" spans="1:11">
      <c r="A202" s="1189" t="s">
        <v>167</v>
      </c>
      <c r="B202" s="681">
        <f t="shared" si="51"/>
        <v>1688.6800000000021</v>
      </c>
      <c r="C202" s="681">
        <f t="shared" si="52"/>
        <v>2774.0300000000007</v>
      </c>
      <c r="D202" s="681">
        <f t="shared" si="53"/>
        <v>-988.06</v>
      </c>
      <c r="E202" s="681">
        <f t="shared" si="54"/>
        <v>561.39000000000033</v>
      </c>
      <c r="F202" s="681">
        <f t="shared" si="54"/>
        <v>-658.68000000000029</v>
      </c>
      <c r="G202" s="681">
        <f t="shared" si="45"/>
        <v>26.320318800702129</v>
      </c>
      <c r="H202" s="681">
        <f t="shared" si="46"/>
        <v>-9.3748280278950631</v>
      </c>
      <c r="I202" s="681">
        <f t="shared" si="47"/>
        <v>5.3265335167702492</v>
      </c>
      <c r="J202" s="710">
        <f t="shared" si="48"/>
        <v>-6.2496323354997907</v>
      </c>
      <c r="K202" s="712">
        <f t="shared" si="55"/>
        <v>16.022391954077527</v>
      </c>
    </row>
    <row r="203" spans="1:11">
      <c r="A203" s="1615" t="s">
        <v>1442</v>
      </c>
      <c r="B203" s="681">
        <f t="shared" si="51"/>
        <v>495.67000000000189</v>
      </c>
      <c r="C203" s="681">
        <f t="shared" si="52"/>
        <v>1162.9900000000016</v>
      </c>
      <c r="D203" s="681">
        <f t="shared" si="53"/>
        <v>-443.34999999999991</v>
      </c>
      <c r="E203" s="681">
        <f t="shared" si="54"/>
        <v>520.87999999999965</v>
      </c>
      <c r="F203" s="681">
        <f t="shared" si="54"/>
        <v>-744.85000000000036</v>
      </c>
      <c r="G203" s="681">
        <f t="shared" si="45"/>
        <v>11.068484337436562</v>
      </c>
      <c r="H203" s="681">
        <f t="shared" si="46"/>
        <v>-4.2194795578659248</v>
      </c>
      <c r="I203" s="681">
        <f t="shared" si="47"/>
        <v>4.9573531343209698</v>
      </c>
      <c r="J203" s="710">
        <f t="shared" si="48"/>
        <v>-7.0889350370507183</v>
      </c>
      <c r="K203" s="712">
        <f t="shared" si="55"/>
        <v>4.7174228768408879</v>
      </c>
    </row>
    <row r="204" spans="1:11">
      <c r="A204" s="1189" t="s">
        <v>169</v>
      </c>
      <c r="B204" s="681">
        <f t="shared" si="51"/>
        <v>734.43000000000211</v>
      </c>
      <c r="C204" s="681">
        <f t="shared" si="52"/>
        <v>1178.2400000000016</v>
      </c>
      <c r="D204" s="681">
        <f t="shared" si="53"/>
        <v>-314.60999999999967</v>
      </c>
      <c r="E204" s="681">
        <f t="shared" si="54"/>
        <v>560.82999999999993</v>
      </c>
      <c r="F204" s="681">
        <f t="shared" si="54"/>
        <v>-690.02999999999975</v>
      </c>
      <c r="G204" s="681">
        <f t="shared" si="45"/>
        <v>11.371941155918304</v>
      </c>
      <c r="H204" s="681">
        <f t="shared" si="46"/>
        <v>-3.0365005491779682</v>
      </c>
      <c r="I204" s="681">
        <f t="shared" si="47"/>
        <v>5.4129258542178613</v>
      </c>
      <c r="J204" s="710">
        <f t="shared" si="48"/>
        <v>-6.6599169573417081</v>
      </c>
      <c r="K204" s="712">
        <f t="shared" si="55"/>
        <v>7.088449503616487</v>
      </c>
    </row>
    <row r="205" spans="1:11">
      <c r="A205" s="1189" t="s">
        <v>170</v>
      </c>
      <c r="B205" s="681">
        <f t="shared" si="51"/>
        <v>1420.869999999999</v>
      </c>
      <c r="C205" s="681">
        <f t="shared" si="52"/>
        <v>1535.9400000000005</v>
      </c>
      <c r="D205" s="681">
        <f t="shared" si="53"/>
        <v>135.02999999999997</v>
      </c>
      <c r="E205" s="681">
        <f t="shared" si="54"/>
        <v>515.96</v>
      </c>
      <c r="F205" s="681">
        <f t="shared" si="54"/>
        <v>-766.05999999999949</v>
      </c>
      <c r="G205" s="681">
        <f t="shared" si="45"/>
        <v>14.328105920182994</v>
      </c>
      <c r="H205" s="681">
        <f t="shared" si="46"/>
        <v>1.2596352347111923</v>
      </c>
      <c r="I205" s="681">
        <f t="shared" si="47"/>
        <v>4.8131629689816107</v>
      </c>
      <c r="J205" s="710">
        <f t="shared" si="48"/>
        <v>-7.1462354136329367</v>
      </c>
      <c r="K205" s="712">
        <f t="shared" si="55"/>
        <v>13.254668710242861</v>
      </c>
    </row>
    <row r="206" spans="1:11" s="1524" customFormat="1">
      <c r="A206" s="1189" t="s">
        <v>171</v>
      </c>
      <c r="B206" s="681">
        <f t="shared" si="51"/>
        <v>5384.5699999999979</v>
      </c>
      <c r="C206" s="681">
        <f t="shared" si="52"/>
        <v>1611.0499999999993</v>
      </c>
      <c r="D206" s="681">
        <f t="shared" si="53"/>
        <v>-13.340000000000146</v>
      </c>
      <c r="E206" s="681">
        <f t="shared" si="54"/>
        <v>611.9699999999998</v>
      </c>
      <c r="F206" s="681">
        <f t="shared" si="54"/>
        <v>3174.89</v>
      </c>
      <c r="G206" s="681">
        <f t="shared" si="45"/>
        <v>15.741964860647375</v>
      </c>
      <c r="H206" s="681">
        <f t="shared" si="46"/>
        <v>-0.13034841329632127</v>
      </c>
      <c r="I206" s="681">
        <f t="shared" si="47"/>
        <v>5.9797090318552346</v>
      </c>
      <c r="J206" s="710">
        <f t="shared" si="48"/>
        <v>31.022629227162884</v>
      </c>
      <c r="K206" s="712">
        <f t="shared" si="55"/>
        <v>52.613954706369171</v>
      </c>
    </row>
    <row r="207" spans="1:11" s="1650" customFormat="1">
      <c r="A207" s="1189" t="s">
        <v>148</v>
      </c>
      <c r="B207" s="681">
        <f t="shared" si="51"/>
        <v>3073.6100000000042</v>
      </c>
      <c r="C207" s="681">
        <f t="shared" si="52"/>
        <v>2480.4300000000039</v>
      </c>
      <c r="D207" s="681">
        <f t="shared" ref="D207:D212" si="56">(D105-G105)-(D93-G93)</f>
        <v>736.54</v>
      </c>
      <c r="E207" s="681">
        <f t="shared" ref="E207:F212" si="57">G105-G93</f>
        <v>723.09999999999991</v>
      </c>
      <c r="F207" s="681">
        <f t="shared" si="57"/>
        <v>-866.46</v>
      </c>
      <c r="G207" s="681">
        <f t="shared" si="45"/>
        <v>22.962585805472145</v>
      </c>
      <c r="H207" s="681">
        <f t="shared" si="46"/>
        <v>6.8185205585976743</v>
      </c>
      <c r="I207" s="681">
        <f t="shared" si="47"/>
        <v>6.6940997310695654</v>
      </c>
      <c r="J207" s="710">
        <f t="shared" si="48"/>
        <v>-8.0212552247027205</v>
      </c>
      <c r="K207" s="712">
        <f t="shared" ref="K207:K212" si="58">G207+H207+I207+J207</f>
        <v>28.453950870436664</v>
      </c>
    </row>
    <row r="208" spans="1:11" s="1650" customFormat="1">
      <c r="A208" s="1615" t="s">
        <v>1477</v>
      </c>
      <c r="B208" s="681">
        <f t="shared" si="51"/>
        <v>4057.0301933899991</v>
      </c>
      <c r="C208" s="681">
        <f t="shared" si="52"/>
        <v>2230.0619101200009</v>
      </c>
      <c r="D208" s="681">
        <f t="shared" si="56"/>
        <v>2262.8139389600005</v>
      </c>
      <c r="E208" s="681">
        <f t="shared" si="57"/>
        <v>896.39328313000078</v>
      </c>
      <c r="F208" s="681">
        <f t="shared" si="57"/>
        <v>-1332.2389388200045</v>
      </c>
      <c r="G208" s="681">
        <f t="shared" si="45"/>
        <v>21.19480152636352</v>
      </c>
      <c r="H208" s="681">
        <f t="shared" si="46"/>
        <v>21.506081113580077</v>
      </c>
      <c r="I208" s="681">
        <f t="shared" si="47"/>
        <v>8.5194395901248345</v>
      </c>
      <c r="J208" s="710">
        <f t="shared" si="48"/>
        <v>-12.661773991944342</v>
      </c>
      <c r="K208" s="712">
        <f t="shared" si="58"/>
        <v>38.558548238124089</v>
      </c>
    </row>
    <row r="209" spans="1:15" s="1650" customFormat="1">
      <c r="A209" s="1615" t="s">
        <v>162</v>
      </c>
      <c r="B209" s="681">
        <f t="shared" si="51"/>
        <v>2783.7776685000008</v>
      </c>
      <c r="C209" s="681">
        <f t="shared" si="52"/>
        <v>857.80925888999991</v>
      </c>
      <c r="D209" s="681">
        <f t="shared" si="56"/>
        <v>2104.01786765</v>
      </c>
      <c r="E209" s="681">
        <f t="shared" si="57"/>
        <v>782.94645839000032</v>
      </c>
      <c r="F209" s="681">
        <f t="shared" si="57"/>
        <v>-960.99591643000076</v>
      </c>
      <c r="G209" s="681">
        <f>C209/B95*100</f>
        <v>7.5929189482796628</v>
      </c>
      <c r="H209" s="681">
        <f>D209/B95*100</f>
        <v>18.623763930306648</v>
      </c>
      <c r="I209" s="681">
        <f>E209/B95*100</f>
        <v>6.9302690986227962</v>
      </c>
      <c r="J209" s="710">
        <f>F209/B95*100</f>
        <v>-8.5062780885842866</v>
      </c>
      <c r="K209" s="712">
        <f t="shared" si="58"/>
        <v>24.640673888624818</v>
      </c>
    </row>
    <row r="210" spans="1:15" s="1650" customFormat="1">
      <c r="A210" s="1615" t="s">
        <v>163</v>
      </c>
      <c r="B210" s="681">
        <f t="shared" si="51"/>
        <v>3146.3895758299968</v>
      </c>
      <c r="C210" s="681">
        <f t="shared" si="52"/>
        <v>1028.0897612899989</v>
      </c>
      <c r="D210" s="681">
        <f t="shared" si="56"/>
        <v>2085.2005626700002</v>
      </c>
      <c r="E210" s="681">
        <f t="shared" si="57"/>
        <v>717.96065143000033</v>
      </c>
      <c r="F210" s="681">
        <f t="shared" si="57"/>
        <v>-684.86139955999988</v>
      </c>
      <c r="G210" s="681">
        <f>C210/B96*100</f>
        <v>9.3223798401188116</v>
      </c>
      <c r="H210" s="681">
        <f>D210/B96*100</f>
        <v>18.907912927416014</v>
      </c>
      <c r="I210" s="681">
        <f>E210/B96*100</f>
        <v>6.5102310662946525</v>
      </c>
      <c r="J210" s="710">
        <f>F210/B96*100</f>
        <v>-6.2100979359260213</v>
      </c>
      <c r="K210" s="712">
        <f t="shared" si="58"/>
        <v>28.530425897903456</v>
      </c>
    </row>
    <row r="211" spans="1:15" s="1650" customFormat="1">
      <c r="A211" s="1615" t="s">
        <v>164</v>
      </c>
      <c r="B211" s="681">
        <f>B109-B97</f>
        <v>4982.6244124099976</v>
      </c>
      <c r="C211" s="681">
        <f t="shared" si="52"/>
        <v>3290.4982447999973</v>
      </c>
      <c r="D211" s="681">
        <f t="shared" si="56"/>
        <v>2288.43580578</v>
      </c>
      <c r="E211" s="681">
        <f t="shared" si="57"/>
        <v>710.66153914000051</v>
      </c>
      <c r="F211" s="681">
        <f t="shared" si="57"/>
        <v>-1306.9711773099998</v>
      </c>
      <c r="G211" s="681">
        <f>C211/B97*100</f>
        <v>31.10652745657087</v>
      </c>
      <c r="H211" s="681">
        <f>D211/B97*100</f>
        <v>21.633590395494114</v>
      </c>
      <c r="I211" s="681">
        <f>E211/B97*100</f>
        <v>6.7181961620924673</v>
      </c>
      <c r="J211" s="710">
        <f>F211/B97*100</f>
        <v>-12.355373498888273</v>
      </c>
      <c r="K211" s="712">
        <f t="shared" si="58"/>
        <v>47.102940515269182</v>
      </c>
    </row>
    <row r="212" spans="1:15" s="1650" customFormat="1">
      <c r="A212" s="1615" t="s">
        <v>165</v>
      </c>
      <c r="B212" s="681">
        <f>B110-B98</f>
        <v>4894.6098647800045</v>
      </c>
      <c r="C212" s="681">
        <f t="shared" si="52"/>
        <v>1624.7688291699997</v>
      </c>
      <c r="D212" s="681">
        <f t="shared" si="56"/>
        <v>2331.2318167800004</v>
      </c>
      <c r="E212" s="681">
        <f t="shared" si="57"/>
        <v>726.3000479400007</v>
      </c>
      <c r="F212" s="681">
        <f t="shared" si="57"/>
        <v>212.30917089000013</v>
      </c>
      <c r="G212" s="681">
        <f>C212/B98*100</f>
        <v>14.182441203627731</v>
      </c>
      <c r="H212" s="681">
        <f>D212/B98*100</f>
        <v>20.349084485082319</v>
      </c>
      <c r="I212" s="681">
        <f>E212/B98*100</f>
        <v>6.3397989555000853</v>
      </c>
      <c r="J212" s="710">
        <f>F212/B98*100</f>
        <v>1.8532250736718996</v>
      </c>
      <c r="K212" s="712">
        <f t="shared" si="58"/>
        <v>42.724549717882034</v>
      </c>
    </row>
    <row r="213" spans="1:15">
      <c r="A213" s="1189"/>
      <c r="B213" s="681"/>
      <c r="C213" s="681"/>
      <c r="D213" s="681"/>
      <c r="E213" s="681"/>
      <c r="F213" s="681"/>
      <c r="G213" s="681"/>
      <c r="H213" s="681"/>
      <c r="I213" s="681"/>
      <c r="J213" s="710">
        <f>F213/B99*100</f>
        <v>0</v>
      </c>
      <c r="K213" s="710"/>
    </row>
    <row r="214" spans="1:15" ht="12.75" customHeight="1">
      <c r="A214" s="4525" t="s">
        <v>217</v>
      </c>
      <c r="B214" s="4493" t="s">
        <v>220</v>
      </c>
      <c r="C214" s="4493"/>
      <c r="D214" s="4493"/>
      <c r="E214" s="4493"/>
      <c r="F214" s="4493"/>
      <c r="G214" s="4493"/>
      <c r="H214" s="4493"/>
      <c r="I214" s="4493"/>
      <c r="J214" s="4493"/>
    </row>
    <row r="215" spans="1:15" ht="12.75" customHeight="1">
      <c r="A215" s="4525"/>
      <c r="B215" s="4521" t="s">
        <v>152</v>
      </c>
      <c r="C215" s="4521" t="s">
        <v>223</v>
      </c>
      <c r="D215" s="4493" t="s">
        <v>222</v>
      </c>
      <c r="E215" s="4493"/>
      <c r="F215" s="4493"/>
      <c r="G215" s="4493"/>
      <c r="H215" s="4493"/>
      <c r="I215" s="4493"/>
      <c r="J215" s="4493"/>
      <c r="K215" s="714"/>
      <c r="L215" s="714"/>
      <c r="M215" s="714"/>
      <c r="N215" s="714"/>
      <c r="O215" s="714" t="e">
        <f>(K116+K117+K123+K141+K153)/5</f>
        <v>#REF!</v>
      </c>
    </row>
    <row r="216" spans="1:15" ht="12.75" customHeight="1">
      <c r="A216" s="4525"/>
      <c r="B216" s="4522"/>
      <c r="C216" s="4522"/>
      <c r="D216" s="4521" t="s">
        <v>152</v>
      </c>
      <c r="E216" s="4493" t="s">
        <v>224</v>
      </c>
      <c r="F216" s="4493"/>
      <c r="G216" s="4493"/>
      <c r="H216" s="4493"/>
      <c r="I216" s="4493"/>
      <c r="J216" s="4521" t="s">
        <v>410</v>
      </c>
    </row>
    <row r="217" spans="1:15" ht="12.75" customHeight="1">
      <c r="A217" s="4525"/>
      <c r="B217" s="4522"/>
      <c r="C217" s="4522"/>
      <c r="D217" s="4522"/>
      <c r="E217" s="4521" t="s">
        <v>152</v>
      </c>
      <c r="F217" s="4493" t="s">
        <v>225</v>
      </c>
      <c r="G217" s="4493"/>
      <c r="H217" s="4493"/>
      <c r="I217" s="4521" t="s">
        <v>409</v>
      </c>
      <c r="J217" s="4522"/>
      <c r="L217" s="701"/>
    </row>
    <row r="218" spans="1:15" ht="25.5">
      <c r="A218" s="4525"/>
      <c r="B218" s="4523"/>
      <c r="C218" s="4523"/>
      <c r="D218" s="4523"/>
      <c r="E218" s="4523"/>
      <c r="F218" s="1235" t="s">
        <v>152</v>
      </c>
      <c r="G218" s="1325" t="s">
        <v>256</v>
      </c>
      <c r="H218" s="1325" t="s">
        <v>463</v>
      </c>
      <c r="I218" s="4523"/>
      <c r="J218" s="4523"/>
      <c r="K218" s="217"/>
    </row>
    <row r="219" spans="1:15" ht="12.75" customHeight="1">
      <c r="A219" s="1184"/>
      <c r="B219" s="4517" t="s">
        <v>153</v>
      </c>
      <c r="C219" s="4518"/>
      <c r="D219" s="4518"/>
      <c r="E219" s="4518"/>
      <c r="F219" s="4518"/>
      <c r="G219" s="4518"/>
      <c r="H219" s="4518"/>
      <c r="I219" s="4518"/>
      <c r="J219" s="4519"/>
      <c r="K219" s="217"/>
    </row>
    <row r="220" spans="1:15" ht="12.75" hidden="1" customHeight="1">
      <c r="A220" s="560">
        <v>1997</v>
      </c>
      <c r="B220" s="562"/>
      <c r="C220" s="563"/>
      <c r="D220" s="563"/>
      <c r="E220" s="563"/>
      <c r="F220" s="563"/>
      <c r="G220" s="563"/>
      <c r="H220" s="563"/>
      <c r="I220" s="563"/>
      <c r="J220" s="564"/>
      <c r="K220" s="217"/>
    </row>
    <row r="221" spans="1:15" ht="12.75" hidden="1" customHeight="1">
      <c r="A221" s="561" t="s">
        <v>161</v>
      </c>
      <c r="B221" s="565">
        <f t="shared" ref="B221:B232" si="59">C221+D221</f>
        <v>4119.5</v>
      </c>
      <c r="C221" s="563">
        <v>6088.14</v>
      </c>
      <c r="D221" s="557">
        <f t="shared" ref="D221:D232" si="60">E221-J221</f>
        <v>-1968.6400000000003</v>
      </c>
      <c r="E221" s="557">
        <f t="shared" ref="E221:E232" si="61">I221+F221</f>
        <v>1381.6</v>
      </c>
      <c r="F221" s="557">
        <f t="shared" ref="F221:F232" si="62">G221+H221</f>
        <v>88.110000000000014</v>
      </c>
      <c r="G221" s="566">
        <v>-393.03</v>
      </c>
      <c r="H221" s="567">
        <v>481.14</v>
      </c>
      <c r="I221" s="563">
        <f>1082.04+211.45</f>
        <v>1293.49</v>
      </c>
      <c r="J221" s="564">
        <f>3021.34+372.4-43.5</f>
        <v>3350.2400000000002</v>
      </c>
      <c r="K221" s="217"/>
    </row>
    <row r="222" spans="1:15" ht="12.75" hidden="1" customHeight="1">
      <c r="A222" s="561" t="s">
        <v>162</v>
      </c>
      <c r="B222" s="565">
        <f t="shared" si="59"/>
        <v>4224.49</v>
      </c>
      <c r="C222" s="563">
        <v>6232.79</v>
      </c>
      <c r="D222" s="557">
        <f t="shared" si="60"/>
        <v>-2008.3000000000002</v>
      </c>
      <c r="E222" s="557">
        <f t="shared" si="61"/>
        <v>1378.73</v>
      </c>
      <c r="F222" s="557">
        <f t="shared" si="62"/>
        <v>78.5</v>
      </c>
      <c r="G222" s="566">
        <v>-402.64</v>
      </c>
      <c r="H222" s="567">
        <v>481.14</v>
      </c>
      <c r="I222" s="563">
        <f>1086.47+213.76</f>
        <v>1300.23</v>
      </c>
      <c r="J222" s="564">
        <f>3037.65+392.88-43.5</f>
        <v>3387.03</v>
      </c>
      <c r="K222" s="217"/>
    </row>
    <row r="223" spans="1:15" ht="12.75" hidden="1" customHeight="1">
      <c r="A223" s="561" t="s">
        <v>163</v>
      </c>
      <c r="B223" s="565">
        <f t="shared" si="59"/>
        <v>4253.5</v>
      </c>
      <c r="C223" s="563">
        <v>6033.01</v>
      </c>
      <c r="D223" s="557">
        <f t="shared" si="60"/>
        <v>-1779.5100000000002</v>
      </c>
      <c r="E223" s="557">
        <f t="shared" si="61"/>
        <v>1542.17</v>
      </c>
      <c r="F223" s="557">
        <f t="shared" si="62"/>
        <v>138.36000000000001</v>
      </c>
      <c r="G223" s="566">
        <v>-345.71</v>
      </c>
      <c r="H223" s="567">
        <v>484.07</v>
      </c>
      <c r="I223" s="563">
        <f>1195.19+208.62</f>
        <v>1403.81</v>
      </c>
      <c r="J223" s="564">
        <f>3041.03+294.15-13.5</f>
        <v>3321.6800000000003</v>
      </c>
      <c r="K223" s="217"/>
    </row>
    <row r="224" spans="1:15" ht="12.75" hidden="1" customHeight="1">
      <c r="A224" s="561" t="s">
        <v>164</v>
      </c>
      <c r="B224" s="565">
        <f t="shared" si="59"/>
        <v>3971</v>
      </c>
      <c r="C224" s="563">
        <v>6255.67</v>
      </c>
      <c r="D224" s="557">
        <f t="shared" si="60"/>
        <v>-2284.67</v>
      </c>
      <c r="E224" s="557">
        <f t="shared" si="61"/>
        <v>1473.8899999999999</v>
      </c>
      <c r="F224" s="557">
        <f t="shared" si="62"/>
        <v>174.32</v>
      </c>
      <c r="G224" s="566">
        <v>-310</v>
      </c>
      <c r="H224" s="567">
        <v>484.32</v>
      </c>
      <c r="I224" s="563">
        <f>1083.11+216.46</f>
        <v>1299.57</v>
      </c>
      <c r="J224" s="564">
        <f>3474.5+289.06-5</f>
        <v>3758.56</v>
      </c>
      <c r="K224" s="217"/>
    </row>
    <row r="225" spans="1:11">
      <c r="A225" s="561" t="s">
        <v>165</v>
      </c>
      <c r="B225" s="565">
        <f t="shared" si="59"/>
        <v>4201.9699999999993</v>
      </c>
      <c r="C225" s="563">
        <v>6089.69</v>
      </c>
      <c r="D225" s="557">
        <f t="shared" si="60"/>
        <v>-1887.7200000000003</v>
      </c>
      <c r="E225" s="557">
        <f t="shared" si="61"/>
        <v>1513.8199999999997</v>
      </c>
      <c r="F225" s="557">
        <f t="shared" si="62"/>
        <v>211.38</v>
      </c>
      <c r="G225" s="566">
        <v>-273.08</v>
      </c>
      <c r="H225" s="567">
        <v>484.46</v>
      </c>
      <c r="I225" s="563">
        <f>1085.11+217.33</f>
        <v>1302.4399999999998</v>
      </c>
      <c r="J225" s="564">
        <f>3179.69+226.85-5</f>
        <v>3401.54</v>
      </c>
      <c r="K225" s="217"/>
    </row>
    <row r="226" spans="1:11" ht="12.75" hidden="1" customHeight="1">
      <c r="A226" s="561" t="s">
        <v>166</v>
      </c>
      <c r="B226" s="565">
        <f t="shared" si="59"/>
        <v>4277.6499999999996</v>
      </c>
      <c r="C226" s="563">
        <v>6233.16</v>
      </c>
      <c r="D226" s="557">
        <f t="shared" si="60"/>
        <v>-1955.5099999999998</v>
      </c>
      <c r="E226" s="557">
        <f t="shared" si="61"/>
        <v>1529.98</v>
      </c>
      <c r="F226" s="557">
        <f t="shared" si="62"/>
        <v>219.16000000000003</v>
      </c>
      <c r="G226" s="566">
        <v>-277.89999999999998</v>
      </c>
      <c r="H226" s="567">
        <v>497.06</v>
      </c>
      <c r="I226" s="563">
        <f>1097.06+213.76</f>
        <v>1310.82</v>
      </c>
      <c r="J226" s="564">
        <f>3250.77+239.72-5</f>
        <v>3485.49</v>
      </c>
      <c r="K226" s="217"/>
    </row>
    <row r="227" spans="1:11" ht="12.75" hidden="1" customHeight="1">
      <c r="A227" s="561" t="s">
        <v>167</v>
      </c>
      <c r="B227" s="565">
        <f t="shared" si="59"/>
        <v>4479.1400000000003</v>
      </c>
      <c r="C227" s="563">
        <v>6079.93</v>
      </c>
      <c r="D227" s="557">
        <f t="shared" si="60"/>
        <v>-1600.7899999999997</v>
      </c>
      <c r="E227" s="557">
        <f t="shared" si="61"/>
        <v>1689.18</v>
      </c>
      <c r="F227" s="557">
        <f t="shared" si="62"/>
        <v>369.71000000000004</v>
      </c>
      <c r="G227" s="566">
        <v>-92.34</v>
      </c>
      <c r="H227" s="567">
        <v>462.05</v>
      </c>
      <c r="I227" s="563">
        <f>1113.76+205.71</f>
        <v>1319.47</v>
      </c>
      <c r="J227" s="564">
        <f>3018.27+276.7-5</f>
        <v>3289.97</v>
      </c>
      <c r="K227" s="217"/>
    </row>
    <row r="228" spans="1:11" ht="12.75" hidden="1" customHeight="1">
      <c r="A228" s="561" t="s">
        <v>168</v>
      </c>
      <c r="B228" s="565">
        <f t="shared" si="59"/>
        <v>4851.6099999999988</v>
      </c>
      <c r="C228" s="563">
        <v>5984.15</v>
      </c>
      <c r="D228" s="557">
        <f t="shared" si="60"/>
        <v>-1132.5400000000004</v>
      </c>
      <c r="E228" s="557">
        <f t="shared" si="61"/>
        <v>1818.02</v>
      </c>
      <c r="F228" s="557">
        <f t="shared" si="62"/>
        <v>477.08</v>
      </c>
      <c r="G228" s="566">
        <v>9.9499999999999993</v>
      </c>
      <c r="H228" s="567">
        <v>467.13</v>
      </c>
      <c r="I228" s="563">
        <f>1127.47+213.47</f>
        <v>1340.94</v>
      </c>
      <c r="J228" s="564">
        <f>2763.82+191.74-5</f>
        <v>2950.5600000000004</v>
      </c>
      <c r="K228" s="217"/>
    </row>
    <row r="229" spans="1:11" ht="12.75" hidden="1" customHeight="1">
      <c r="A229" s="561" t="s">
        <v>169</v>
      </c>
      <c r="B229" s="565">
        <f t="shared" si="59"/>
        <v>5304.53</v>
      </c>
      <c r="C229" s="563">
        <v>6287.39</v>
      </c>
      <c r="D229" s="557">
        <f t="shared" si="60"/>
        <v>-982.86000000000035</v>
      </c>
      <c r="E229" s="557">
        <f t="shared" si="61"/>
        <v>1942.45</v>
      </c>
      <c r="F229" s="557">
        <f t="shared" si="62"/>
        <v>521.69000000000005</v>
      </c>
      <c r="G229" s="566">
        <v>43.63</v>
      </c>
      <c r="H229" s="567">
        <v>478.06</v>
      </c>
      <c r="I229" s="563">
        <f>1201.6+219.16</f>
        <v>1420.76</v>
      </c>
      <c r="J229" s="564">
        <f>2757.78+172.53-5</f>
        <v>2925.3100000000004</v>
      </c>
      <c r="K229" s="217"/>
    </row>
    <row r="230" spans="1:11" ht="12.75" hidden="1" customHeight="1">
      <c r="A230" s="561" t="s">
        <v>170</v>
      </c>
      <c r="B230" s="565">
        <f t="shared" si="59"/>
        <v>5283.3899999999994</v>
      </c>
      <c r="C230" s="563">
        <v>6635.53</v>
      </c>
      <c r="D230" s="557">
        <f t="shared" si="60"/>
        <v>-1352.14</v>
      </c>
      <c r="E230" s="557">
        <f t="shared" si="61"/>
        <v>1924.9199999999998</v>
      </c>
      <c r="F230" s="557">
        <f t="shared" si="62"/>
        <v>481.07</v>
      </c>
      <c r="G230" s="566">
        <v>11.94</v>
      </c>
      <c r="H230" s="567">
        <v>469.13</v>
      </c>
      <c r="I230" s="563">
        <f>1230.97+212.88</f>
        <v>1443.85</v>
      </c>
      <c r="J230" s="564">
        <f>3274.07+7.99-5</f>
        <v>3277.06</v>
      </c>
      <c r="K230" s="217"/>
    </row>
    <row r="231" spans="1:11" ht="12.75" hidden="1" customHeight="1">
      <c r="A231" s="561" t="s">
        <v>171</v>
      </c>
      <c r="B231" s="565">
        <f t="shared" si="59"/>
        <v>5561.0499999999993</v>
      </c>
      <c r="C231" s="563">
        <v>6397.98</v>
      </c>
      <c r="D231" s="557">
        <f t="shared" si="60"/>
        <v>-836.93000000000029</v>
      </c>
      <c r="E231" s="557">
        <f t="shared" si="61"/>
        <v>2529.17</v>
      </c>
      <c r="F231" s="557">
        <f t="shared" si="62"/>
        <v>1026.81</v>
      </c>
      <c r="G231" s="566">
        <v>557.79999999999995</v>
      </c>
      <c r="H231" s="567">
        <v>469.01</v>
      </c>
      <c r="I231" s="563">
        <f>1279.24+223.12</f>
        <v>1502.3600000000001</v>
      </c>
      <c r="J231" s="564">
        <f>3367.59+3.51-5</f>
        <v>3366.1000000000004</v>
      </c>
      <c r="K231" s="217"/>
    </row>
    <row r="232" spans="1:11" ht="12.75" hidden="1" customHeight="1">
      <c r="A232" s="560">
        <v>1997</v>
      </c>
      <c r="B232" s="565">
        <f t="shared" si="59"/>
        <v>5652.16</v>
      </c>
      <c r="C232" s="563">
        <v>7341.81</v>
      </c>
      <c r="D232" s="557">
        <f t="shared" si="60"/>
        <v>-1689.6500000000003</v>
      </c>
      <c r="E232" s="557">
        <f t="shared" si="61"/>
        <v>1939.76</v>
      </c>
      <c r="F232" s="557">
        <f t="shared" si="62"/>
        <v>463.73999999999995</v>
      </c>
      <c r="G232" s="559">
        <v>14.65</v>
      </c>
      <c r="H232" s="568">
        <v>449.09</v>
      </c>
      <c r="I232" s="563">
        <f>1252.26+223.76</f>
        <v>1476.02</v>
      </c>
      <c r="J232" s="564">
        <f>3623.82+10.59-5</f>
        <v>3629.4100000000003</v>
      </c>
      <c r="K232" s="217"/>
    </row>
    <row r="233" spans="1:11" ht="12.75" hidden="1" customHeight="1">
      <c r="A233" s="560">
        <v>1998</v>
      </c>
      <c r="B233" s="565"/>
      <c r="C233" s="563"/>
      <c r="D233" s="557"/>
      <c r="E233" s="557"/>
      <c r="F233" s="557"/>
      <c r="G233" s="563"/>
      <c r="H233" s="563"/>
      <c r="I233" s="563"/>
      <c r="J233" s="564"/>
      <c r="K233" s="217"/>
    </row>
    <row r="234" spans="1:11" ht="12.75" hidden="1" customHeight="1">
      <c r="A234" s="561" t="s">
        <v>161</v>
      </c>
      <c r="B234" s="565">
        <f t="shared" ref="B234:B245" si="63">C234+D234</f>
        <v>5597.08</v>
      </c>
      <c r="C234" s="563">
        <v>7295.33</v>
      </c>
      <c r="D234" s="557">
        <f t="shared" ref="D234:D245" si="64">E234-J234</f>
        <v>-1698.2500000000002</v>
      </c>
      <c r="E234" s="557">
        <f t="shared" ref="E234:E245" si="65">I234+F234</f>
        <v>1779.95</v>
      </c>
      <c r="F234" s="557">
        <f t="shared" ref="F234:F245" si="66">G234+H234</f>
        <v>223.76999999999998</v>
      </c>
      <c r="G234" s="566">
        <v>-225.37</v>
      </c>
      <c r="H234" s="566">
        <v>449.14</v>
      </c>
      <c r="I234" s="563">
        <f>1279.21+276.97</f>
        <v>1556.18</v>
      </c>
      <c r="J234" s="564">
        <f>3465.78+17.42-5</f>
        <v>3478.2000000000003</v>
      </c>
      <c r="K234" s="217"/>
    </row>
    <row r="235" spans="1:11" ht="12.75" hidden="1" customHeight="1">
      <c r="A235" s="561" t="s">
        <v>162</v>
      </c>
      <c r="B235" s="565">
        <f t="shared" si="63"/>
        <v>5533.3099999999995</v>
      </c>
      <c r="C235" s="563">
        <v>7586.65</v>
      </c>
      <c r="D235" s="557">
        <f t="shared" si="64"/>
        <v>-2053.34</v>
      </c>
      <c r="E235" s="557">
        <f t="shared" si="65"/>
        <v>1920.06</v>
      </c>
      <c r="F235" s="557">
        <f t="shared" si="66"/>
        <v>343.25</v>
      </c>
      <c r="G235" s="566">
        <v>-105.89</v>
      </c>
      <c r="H235" s="566">
        <v>449.14</v>
      </c>
      <c r="I235" s="563">
        <f>1299.84+276.97</f>
        <v>1576.81</v>
      </c>
      <c r="J235" s="564">
        <f>3950.55+27.85-5</f>
        <v>3973.4</v>
      </c>
      <c r="K235" s="217"/>
    </row>
    <row r="236" spans="1:11" ht="12.75" hidden="1" customHeight="1">
      <c r="A236" s="561" t="s">
        <v>163</v>
      </c>
      <c r="B236" s="565">
        <f t="shared" si="63"/>
        <v>5463.2800000000007</v>
      </c>
      <c r="C236" s="563">
        <v>7862.89</v>
      </c>
      <c r="D236" s="557">
        <f t="shared" si="64"/>
        <v>-2399.61</v>
      </c>
      <c r="E236" s="557">
        <f t="shared" si="65"/>
        <v>1387.1399999999999</v>
      </c>
      <c r="F236" s="557">
        <f t="shared" si="66"/>
        <v>-209.65000000000003</v>
      </c>
      <c r="G236" s="566">
        <v>-659.2</v>
      </c>
      <c r="H236" s="566">
        <v>449.55</v>
      </c>
      <c r="I236" s="563">
        <f>1310.43+286.36</f>
        <v>1596.79</v>
      </c>
      <c r="J236" s="564">
        <f>3750.57+41.18-5</f>
        <v>3786.75</v>
      </c>
    </row>
    <row r="237" spans="1:11" ht="12.75" hidden="1" customHeight="1">
      <c r="A237" s="561" t="s">
        <v>164</v>
      </c>
      <c r="B237" s="565">
        <f t="shared" si="63"/>
        <v>5615.7299999999987</v>
      </c>
      <c r="C237" s="563">
        <v>8446.9699999999993</v>
      </c>
      <c r="D237" s="557">
        <f t="shared" si="64"/>
        <v>-2831.2400000000007</v>
      </c>
      <c r="E237" s="557">
        <f t="shared" si="65"/>
        <v>1171.8399999999999</v>
      </c>
      <c r="F237" s="557">
        <f t="shared" si="66"/>
        <v>-326.96000000000004</v>
      </c>
      <c r="G237" s="566">
        <v>-776.57</v>
      </c>
      <c r="H237" s="566">
        <v>449.61</v>
      </c>
      <c r="I237" s="563">
        <f>1248.77+250.03</f>
        <v>1498.8</v>
      </c>
      <c r="J237" s="564">
        <f>3968.26+39.82-5</f>
        <v>4003.0800000000004</v>
      </c>
    </row>
    <row r="238" spans="1:11">
      <c r="A238" s="561" t="s">
        <v>165</v>
      </c>
      <c r="B238" s="565">
        <f t="shared" si="63"/>
        <v>5580.91</v>
      </c>
      <c r="C238" s="563">
        <v>8244.89</v>
      </c>
      <c r="D238" s="557">
        <f t="shared" si="64"/>
        <v>-2663.98</v>
      </c>
      <c r="E238" s="557">
        <f t="shared" si="65"/>
        <v>1330.79</v>
      </c>
      <c r="F238" s="557">
        <f t="shared" si="66"/>
        <v>-118.5</v>
      </c>
      <c r="G238" s="566">
        <v>-568.14</v>
      </c>
      <c r="H238" s="566">
        <v>449.64</v>
      </c>
      <c r="I238" s="563">
        <f>1240.71+208.58</f>
        <v>1449.29</v>
      </c>
      <c r="J238" s="564">
        <f>3957.1+42.67-5</f>
        <v>3994.77</v>
      </c>
    </row>
    <row r="239" spans="1:11" ht="12.75" hidden="1" customHeight="1">
      <c r="A239" s="561" t="s">
        <v>166</v>
      </c>
      <c r="B239" s="565">
        <f t="shared" si="63"/>
        <v>6063.0899999999983</v>
      </c>
      <c r="C239" s="563">
        <v>9087.98</v>
      </c>
      <c r="D239" s="557">
        <f t="shared" si="64"/>
        <v>-3024.8900000000008</v>
      </c>
      <c r="E239" s="557">
        <f t="shared" si="65"/>
        <v>1240.56</v>
      </c>
      <c r="F239" s="557">
        <f t="shared" si="66"/>
        <v>-189.14</v>
      </c>
      <c r="G239" s="566">
        <v>-648.51</v>
      </c>
      <c r="H239" s="566">
        <v>459.37</v>
      </c>
      <c r="I239" s="563">
        <f>1242.14+187.56</f>
        <v>1429.7</v>
      </c>
      <c r="J239" s="564">
        <f>4258.1+12.35-5</f>
        <v>4265.4500000000007</v>
      </c>
    </row>
    <row r="240" spans="1:11" ht="12.75" hidden="1" customHeight="1">
      <c r="A240" s="561" t="s">
        <v>167</v>
      </c>
      <c r="B240" s="565">
        <f t="shared" si="63"/>
        <v>5945.4000000000005</v>
      </c>
      <c r="C240" s="563">
        <v>9443.61</v>
      </c>
      <c r="D240" s="557">
        <f t="shared" si="64"/>
        <v>-3498.21</v>
      </c>
      <c r="E240" s="557">
        <f t="shared" si="65"/>
        <v>955.67000000000007</v>
      </c>
      <c r="F240" s="557">
        <f t="shared" si="66"/>
        <v>-500.88999999999993</v>
      </c>
      <c r="G240" s="566">
        <v>-930.56</v>
      </c>
      <c r="H240" s="566">
        <v>429.67</v>
      </c>
      <c r="I240" s="563">
        <f>1243.93+212.63</f>
        <v>1456.56</v>
      </c>
      <c r="J240" s="564">
        <f>4429.56+29.32-5</f>
        <v>4453.88</v>
      </c>
    </row>
    <row r="241" spans="1:10" ht="12.75" hidden="1" customHeight="1">
      <c r="A241" s="561" t="s">
        <v>168</v>
      </c>
      <c r="B241" s="565">
        <f t="shared" si="63"/>
        <v>6254.2599999999993</v>
      </c>
      <c r="C241" s="563">
        <v>9962.2099999999991</v>
      </c>
      <c r="D241" s="557">
        <f t="shared" si="64"/>
        <v>-3707.95</v>
      </c>
      <c r="E241" s="557">
        <f t="shared" si="65"/>
        <v>790.18000000000018</v>
      </c>
      <c r="F241" s="557">
        <f t="shared" si="66"/>
        <v>-656.89</v>
      </c>
      <c r="G241" s="566">
        <v>-1087.5</v>
      </c>
      <c r="H241" s="566">
        <v>430.61</v>
      </c>
      <c r="I241" s="563">
        <f>1263.18+183.89</f>
        <v>1447.0700000000002</v>
      </c>
      <c r="J241" s="564">
        <f>4488.67+14.46-5</f>
        <v>4498.13</v>
      </c>
    </row>
    <row r="242" spans="1:10" ht="12.75" hidden="1" customHeight="1">
      <c r="A242" s="561" t="s">
        <v>169</v>
      </c>
      <c r="B242" s="565">
        <f t="shared" si="63"/>
        <v>6510.6699999999992</v>
      </c>
      <c r="C242" s="563">
        <v>9997.64</v>
      </c>
      <c r="D242" s="557">
        <f t="shared" si="64"/>
        <v>-3486.9700000000003</v>
      </c>
      <c r="E242" s="557">
        <f t="shared" si="65"/>
        <v>652.64999999999986</v>
      </c>
      <c r="F242" s="557">
        <f t="shared" si="66"/>
        <v>-786.68000000000006</v>
      </c>
      <c r="G242" s="566">
        <v>-1227.46</v>
      </c>
      <c r="H242" s="566">
        <v>440.78</v>
      </c>
      <c r="I242" s="563">
        <f>1256.55+182.78</f>
        <v>1439.33</v>
      </c>
      <c r="J242" s="564">
        <f>4083.05+59.57-3</f>
        <v>4139.62</v>
      </c>
    </row>
    <row r="243" spans="1:10" ht="12.75" hidden="1" customHeight="1">
      <c r="A243" s="561" t="s">
        <v>170</v>
      </c>
      <c r="B243" s="565">
        <f t="shared" si="63"/>
        <v>7030.07</v>
      </c>
      <c r="C243" s="563">
        <v>11713.33</v>
      </c>
      <c r="D243" s="557">
        <f t="shared" si="64"/>
        <v>-4683.26</v>
      </c>
      <c r="E243" s="557">
        <f t="shared" si="65"/>
        <v>701.43999999999983</v>
      </c>
      <c r="F243" s="557">
        <f t="shared" si="66"/>
        <v>-721.56000000000017</v>
      </c>
      <c r="G243" s="566">
        <v>-1153.4000000000001</v>
      </c>
      <c r="H243" s="566">
        <v>431.84</v>
      </c>
      <c r="I243" s="563">
        <f>1233.89+189.11</f>
        <v>1423</v>
      </c>
      <c r="J243" s="564">
        <f>5328.13+59.57-3</f>
        <v>5384.7</v>
      </c>
    </row>
    <row r="244" spans="1:10" ht="12.75" hidden="1" customHeight="1">
      <c r="A244" s="561" t="s">
        <v>171</v>
      </c>
      <c r="B244" s="565">
        <f t="shared" si="63"/>
        <v>6870.2199999999993</v>
      </c>
      <c r="C244" s="563">
        <v>11346.97</v>
      </c>
      <c r="D244" s="557">
        <f t="shared" si="64"/>
        <v>-4476.75</v>
      </c>
      <c r="E244" s="557">
        <f t="shared" si="65"/>
        <v>405.86999999999989</v>
      </c>
      <c r="F244" s="557">
        <f t="shared" si="66"/>
        <v>-1027.3100000000002</v>
      </c>
      <c r="G244" s="566">
        <v>-1458.89</v>
      </c>
      <c r="H244" s="566">
        <v>431.58</v>
      </c>
      <c r="I244" s="563">
        <f>1266.52+166.66</f>
        <v>1433.18</v>
      </c>
      <c r="J244" s="564">
        <f>4770.84+114.78-3</f>
        <v>4882.62</v>
      </c>
    </row>
    <row r="245" spans="1:10" ht="12.75" hidden="1" customHeight="1">
      <c r="A245" s="560">
        <v>1998</v>
      </c>
      <c r="B245" s="565">
        <f t="shared" si="63"/>
        <v>6578.31</v>
      </c>
      <c r="C245" s="563">
        <v>10840.42</v>
      </c>
      <c r="D245" s="557">
        <f t="shared" si="64"/>
        <v>-4262.1099999999997</v>
      </c>
      <c r="E245" s="557">
        <f t="shared" si="65"/>
        <v>407.45000000000005</v>
      </c>
      <c r="F245" s="557">
        <f t="shared" si="66"/>
        <v>-1068.01</v>
      </c>
      <c r="G245" s="566">
        <v>-1479.42</v>
      </c>
      <c r="H245" s="566">
        <v>411.41</v>
      </c>
      <c r="I245" s="563">
        <f>1301.42+174.04</f>
        <v>1475.46</v>
      </c>
      <c r="J245" s="564">
        <f>4538.48+134.08-3</f>
        <v>4669.5599999999995</v>
      </c>
    </row>
    <row r="246" spans="1:10" ht="12.75" hidden="1" customHeight="1">
      <c r="A246" s="560">
        <v>1999</v>
      </c>
      <c r="B246" s="565"/>
      <c r="C246" s="563"/>
      <c r="D246" s="557"/>
      <c r="E246" s="557"/>
      <c r="F246" s="557"/>
      <c r="G246" s="563"/>
      <c r="H246" s="563"/>
      <c r="I246" s="563"/>
      <c r="J246" s="564"/>
    </row>
    <row r="247" spans="1:10" ht="12.75" hidden="1" customHeight="1">
      <c r="A247" s="561" t="s">
        <v>161</v>
      </c>
      <c r="B247" s="565">
        <f t="shared" ref="B247:B258" si="67">C247+D247</f>
        <v>6853.7099999999991</v>
      </c>
      <c r="C247" s="563">
        <v>11988.14</v>
      </c>
      <c r="D247" s="557">
        <f t="shared" ref="D247:D258" si="68">E247-J247</f>
        <v>-5134.43</v>
      </c>
      <c r="E247" s="557">
        <f t="shared" ref="E247:E258" si="69">I247+F247</f>
        <v>-82.400000000000091</v>
      </c>
      <c r="F247" s="557">
        <f t="shared" ref="F247:F258" si="70">G247+H247</f>
        <v>-1553.64</v>
      </c>
      <c r="G247" s="563">
        <v>-1965.22</v>
      </c>
      <c r="H247" s="563">
        <v>411.58</v>
      </c>
      <c r="I247" s="563">
        <f>1297.69+173.55</f>
        <v>1471.24</v>
      </c>
      <c r="J247" s="564">
        <f>4920.95+134.08-3</f>
        <v>5052.03</v>
      </c>
    </row>
    <row r="248" spans="1:10" ht="12.75" hidden="1" customHeight="1">
      <c r="A248" s="561" t="s">
        <v>162</v>
      </c>
      <c r="B248" s="565">
        <f t="shared" si="67"/>
        <v>6876.34</v>
      </c>
      <c r="C248" s="563">
        <v>11291.72</v>
      </c>
      <c r="D248" s="557">
        <f t="shared" si="68"/>
        <v>-4415.3799999999992</v>
      </c>
      <c r="E248" s="557">
        <f t="shared" si="69"/>
        <v>155.40000000000009</v>
      </c>
      <c r="F248" s="557">
        <f t="shared" si="70"/>
        <v>-1308.54</v>
      </c>
      <c r="G248" s="563">
        <v>-1720.18</v>
      </c>
      <c r="H248" s="563">
        <v>411.64</v>
      </c>
      <c r="I248" s="563">
        <f>1296.51+167.43</f>
        <v>1463.94</v>
      </c>
      <c r="J248" s="564">
        <f>4429.83+143.95-3</f>
        <v>4570.78</v>
      </c>
    </row>
    <row r="249" spans="1:10" ht="12.75" hidden="1" customHeight="1">
      <c r="A249" s="561" t="s">
        <v>163</v>
      </c>
      <c r="B249" s="565">
        <f t="shared" si="67"/>
        <v>7319.3899999999994</v>
      </c>
      <c r="C249" s="563">
        <v>11827.66</v>
      </c>
      <c r="D249" s="557">
        <f t="shared" si="68"/>
        <v>-4508.2700000000004</v>
      </c>
      <c r="E249" s="557">
        <f t="shared" si="69"/>
        <v>-77.980000000000018</v>
      </c>
      <c r="F249" s="557">
        <f t="shared" si="70"/>
        <v>-1537.02</v>
      </c>
      <c r="G249" s="563">
        <v>-1957.54</v>
      </c>
      <c r="H249" s="563">
        <v>420.52</v>
      </c>
      <c r="I249" s="563">
        <f>1287.54+171.5</f>
        <v>1459.04</v>
      </c>
      <c r="J249" s="564">
        <f>4280.47+152.82-3</f>
        <v>4430.29</v>
      </c>
    </row>
    <row r="250" spans="1:10">
      <c r="A250" s="561" t="s">
        <v>164</v>
      </c>
      <c r="B250" s="565">
        <f t="shared" si="67"/>
        <v>7346.2500000000009</v>
      </c>
      <c r="C250" s="563">
        <v>11649.44</v>
      </c>
      <c r="D250" s="557">
        <f t="shared" si="68"/>
        <v>-4303.1899999999996</v>
      </c>
      <c r="E250" s="557">
        <f t="shared" si="69"/>
        <v>-169.46000000000004</v>
      </c>
      <c r="F250" s="557">
        <f t="shared" si="70"/>
        <v>-1600.76</v>
      </c>
      <c r="G250" s="563">
        <v>-2011.69</v>
      </c>
      <c r="H250" s="563">
        <v>410.93</v>
      </c>
      <c r="I250" s="563">
        <f>1268.6+162.7</f>
        <v>1431.3</v>
      </c>
      <c r="J250" s="564">
        <f>3983.91+152.82-3</f>
        <v>4133.7299999999996</v>
      </c>
    </row>
    <row r="251" spans="1:10">
      <c r="A251" s="561" t="s">
        <v>165</v>
      </c>
      <c r="B251" s="565">
        <f t="shared" si="67"/>
        <v>7322.55</v>
      </c>
      <c r="C251" s="563">
        <v>11940.18</v>
      </c>
      <c r="D251" s="557">
        <f t="shared" si="68"/>
        <v>-4617.63</v>
      </c>
      <c r="E251" s="557">
        <f t="shared" si="69"/>
        <v>155.80000000000018</v>
      </c>
      <c r="F251" s="557">
        <f t="shared" si="70"/>
        <v>-1297.7199999999998</v>
      </c>
      <c r="G251" s="563">
        <v>-1709.36</v>
      </c>
      <c r="H251" s="563">
        <v>411.64</v>
      </c>
      <c r="I251" s="563">
        <f>1291.86+161.66</f>
        <v>1453.52</v>
      </c>
      <c r="J251" s="564">
        <f>4688.62+87.81-3</f>
        <v>4773.43</v>
      </c>
    </row>
    <row r="252" spans="1:10">
      <c r="A252" s="561" t="s">
        <v>166</v>
      </c>
      <c r="B252" s="565">
        <f t="shared" si="67"/>
        <v>7359.2300000000005</v>
      </c>
      <c r="C252" s="563">
        <v>11335.81</v>
      </c>
      <c r="D252" s="557">
        <f t="shared" si="68"/>
        <v>-3976.579999999999</v>
      </c>
      <c r="E252" s="557">
        <f t="shared" si="69"/>
        <v>377.93000000000006</v>
      </c>
      <c r="F252" s="557">
        <f t="shared" si="70"/>
        <v>-1094.32</v>
      </c>
      <c r="G252" s="563">
        <v>-1485.3</v>
      </c>
      <c r="H252" s="563">
        <v>390.98</v>
      </c>
      <c r="I252" s="563">
        <f>1306.52+165.73</f>
        <v>1472.25</v>
      </c>
      <c r="J252" s="564">
        <f>4331.73+25.78-3</f>
        <v>4354.5099999999993</v>
      </c>
    </row>
    <row r="253" spans="1:10">
      <c r="A253" s="561" t="s">
        <v>167</v>
      </c>
      <c r="B253" s="565">
        <f t="shared" si="67"/>
        <v>7235.23</v>
      </c>
      <c r="C253" s="563">
        <v>12037.18</v>
      </c>
      <c r="D253" s="557">
        <f t="shared" si="68"/>
        <v>-4801.9500000000007</v>
      </c>
      <c r="E253" s="557">
        <f t="shared" si="69"/>
        <v>-38.400000000000091</v>
      </c>
      <c r="F253" s="557">
        <f t="shared" si="70"/>
        <v>-1535.2</v>
      </c>
      <c r="G253" s="563">
        <v>-1926.47</v>
      </c>
      <c r="H253" s="563">
        <v>391.27</v>
      </c>
      <c r="I253" s="563">
        <f>1337.98+158.82</f>
        <v>1496.8</v>
      </c>
      <c r="J253" s="564">
        <f>4740.77+25.78-3</f>
        <v>4763.55</v>
      </c>
    </row>
    <row r="254" spans="1:10">
      <c r="A254" s="561" t="s">
        <v>168</v>
      </c>
      <c r="B254" s="565">
        <f t="shared" si="67"/>
        <v>8212.85</v>
      </c>
      <c r="C254" s="563">
        <v>12038.16</v>
      </c>
      <c r="D254" s="557">
        <f t="shared" si="68"/>
        <v>-3825.3099999999995</v>
      </c>
      <c r="E254" s="557">
        <f t="shared" si="69"/>
        <v>254.50000000000023</v>
      </c>
      <c r="F254" s="557">
        <f t="shared" si="70"/>
        <v>-1219.4299999999998</v>
      </c>
      <c r="G254" s="563">
        <v>-1611.55</v>
      </c>
      <c r="H254" s="563">
        <v>392.12</v>
      </c>
      <c r="I254" s="563">
        <f>1321.41+152.52</f>
        <v>1473.93</v>
      </c>
      <c r="J254" s="564">
        <f>4046.85+35.96-3</f>
        <v>4079.81</v>
      </c>
    </row>
    <row r="255" spans="1:10">
      <c r="A255" s="561" t="s">
        <v>169</v>
      </c>
      <c r="B255" s="565">
        <f t="shared" si="67"/>
        <v>8200.880000000001</v>
      </c>
      <c r="C255" s="563">
        <v>12245.68</v>
      </c>
      <c r="D255" s="557">
        <f t="shared" si="68"/>
        <v>-4044.7999999999993</v>
      </c>
      <c r="E255" s="557">
        <f t="shared" si="69"/>
        <v>314.08999999999992</v>
      </c>
      <c r="F255" s="557">
        <f t="shared" si="70"/>
        <v>-1177.19</v>
      </c>
      <c r="G255" s="563">
        <v>-1569.31</v>
      </c>
      <c r="H255" s="563">
        <v>392.12</v>
      </c>
      <c r="I255" s="563">
        <f>1337.53+153.75</f>
        <v>1491.28</v>
      </c>
      <c r="J255" s="564">
        <f>4294.19+67.7-3</f>
        <v>4358.8899999999994</v>
      </c>
    </row>
    <row r="256" spans="1:10">
      <c r="A256" s="561" t="s">
        <v>170</v>
      </c>
      <c r="B256" s="565">
        <f t="shared" si="67"/>
        <v>9040.99</v>
      </c>
      <c r="C256" s="563">
        <v>14334.58</v>
      </c>
      <c r="D256" s="557">
        <f t="shared" si="68"/>
        <v>-5293.59</v>
      </c>
      <c r="E256" s="557">
        <f t="shared" si="69"/>
        <v>-116.09000000000015</v>
      </c>
      <c r="F256" s="557">
        <f t="shared" si="70"/>
        <v>-1607.5300000000002</v>
      </c>
      <c r="G256" s="563">
        <v>-1999.41</v>
      </c>
      <c r="H256" s="563">
        <v>391.88</v>
      </c>
      <c r="I256" s="563">
        <f>1347.48+143.96</f>
        <v>1491.44</v>
      </c>
      <c r="J256" s="564">
        <f>5112.8+67.7-3</f>
        <v>5177.5</v>
      </c>
    </row>
    <row r="257" spans="1:10">
      <c r="A257" s="561" t="s">
        <v>171</v>
      </c>
      <c r="B257" s="565">
        <f t="shared" si="67"/>
        <v>8698.86</v>
      </c>
      <c r="C257" s="563">
        <v>13289.5</v>
      </c>
      <c r="D257" s="557">
        <f t="shared" si="68"/>
        <v>-4590.6399999999994</v>
      </c>
      <c r="E257" s="557">
        <f t="shared" si="69"/>
        <v>-493.02</v>
      </c>
      <c r="F257" s="557">
        <f t="shared" si="70"/>
        <v>-1999.36</v>
      </c>
      <c r="G257" s="563">
        <v>-2391.4499999999998</v>
      </c>
      <c r="H257" s="563">
        <v>392.09</v>
      </c>
      <c r="I257" s="563">
        <f>1364.62+141.72</f>
        <v>1506.34</v>
      </c>
      <c r="J257" s="564">
        <f>4043.67+56.95-3</f>
        <v>4097.62</v>
      </c>
    </row>
    <row r="258" spans="1:10">
      <c r="A258" s="560">
        <v>1999</v>
      </c>
      <c r="B258" s="565">
        <f t="shared" si="67"/>
        <v>8643.36</v>
      </c>
      <c r="C258" s="563">
        <v>12895.62</v>
      </c>
      <c r="D258" s="557">
        <f t="shared" si="68"/>
        <v>-4252.2599999999993</v>
      </c>
      <c r="E258" s="557">
        <f t="shared" si="69"/>
        <v>-232.8599999999999</v>
      </c>
      <c r="F258" s="557">
        <f t="shared" si="70"/>
        <v>-1725.54</v>
      </c>
      <c r="G258" s="563">
        <v>-2097.6799999999998</v>
      </c>
      <c r="H258" s="563">
        <v>372.14</v>
      </c>
      <c r="I258" s="563">
        <f>1352.53+140.15</f>
        <v>1492.68</v>
      </c>
      <c r="J258" s="564">
        <f>3996.18+26.22-3</f>
        <v>4019.3999999999996</v>
      </c>
    </row>
    <row r="259" spans="1:10">
      <c r="A259" s="122">
        <v>2000</v>
      </c>
      <c r="B259" s="565"/>
      <c r="C259" s="555"/>
      <c r="D259" s="557"/>
      <c r="E259" s="557"/>
      <c r="F259" s="557"/>
      <c r="G259" s="555"/>
      <c r="H259" s="555"/>
      <c r="I259" s="555"/>
      <c r="J259" s="558"/>
    </row>
    <row r="260" spans="1:10">
      <c r="A260" s="561" t="s">
        <v>161</v>
      </c>
      <c r="B260" s="565">
        <f t="shared" ref="B260:B297" si="71">C260+D260</f>
        <v>8775.39</v>
      </c>
      <c r="C260" s="555">
        <v>13762.4</v>
      </c>
      <c r="D260" s="557">
        <f t="shared" ref="D260:D297" si="72">E260-J260</f>
        <v>-4987.01</v>
      </c>
      <c r="E260" s="557">
        <f t="shared" ref="E260:E297" si="73">I260+F260</f>
        <v>-109.54999999999995</v>
      </c>
      <c r="F260" s="557">
        <f t="shared" ref="F260:F297" si="74">G260+H260</f>
        <v>-1620.09</v>
      </c>
      <c r="G260" s="555">
        <v>-1992.3</v>
      </c>
      <c r="H260" s="555">
        <v>372.21</v>
      </c>
      <c r="I260" s="555">
        <f>1360.85+149.69</f>
        <v>1510.54</v>
      </c>
      <c r="J260" s="558">
        <f>4854.24+26.22-3</f>
        <v>4877.46</v>
      </c>
    </row>
    <row r="261" spans="1:10">
      <c r="A261" s="561" t="s">
        <v>162</v>
      </c>
      <c r="B261" s="565">
        <f t="shared" si="71"/>
        <v>8511.619999999999</v>
      </c>
      <c r="C261" s="555">
        <v>13428.97</v>
      </c>
      <c r="D261" s="557">
        <f t="shared" si="72"/>
        <v>-4917.3500000000004</v>
      </c>
      <c r="E261" s="557">
        <f t="shared" si="73"/>
        <v>-387.26</v>
      </c>
      <c r="F261" s="557">
        <f t="shared" si="74"/>
        <v>-1874.33</v>
      </c>
      <c r="G261" s="555">
        <v>-2246.4699999999998</v>
      </c>
      <c r="H261" s="555">
        <v>372.14</v>
      </c>
      <c r="I261" s="555">
        <f>1342.31+144.76</f>
        <v>1487.07</v>
      </c>
      <c r="J261" s="558">
        <f>4470.49+62.6-3</f>
        <v>4530.09</v>
      </c>
    </row>
    <row r="262" spans="1:10">
      <c r="A262" s="561" t="s">
        <v>163</v>
      </c>
      <c r="B262" s="565">
        <f t="shared" si="71"/>
        <v>9066.67</v>
      </c>
      <c r="C262" s="555">
        <v>13319.74</v>
      </c>
      <c r="D262" s="557">
        <f t="shared" si="72"/>
        <v>-4253.07</v>
      </c>
      <c r="E262" s="557">
        <f t="shared" si="73"/>
        <v>-301.67999999999984</v>
      </c>
      <c r="F262" s="557">
        <f t="shared" si="74"/>
        <v>-1806.7299999999998</v>
      </c>
      <c r="G262" s="555">
        <v>-2178.9699999999998</v>
      </c>
      <c r="H262" s="555">
        <v>372.24</v>
      </c>
      <c r="I262" s="555">
        <f>1361.35+143.7</f>
        <v>1505.05</v>
      </c>
      <c r="J262" s="558">
        <f>3831.55+122.84-3</f>
        <v>3951.3900000000003</v>
      </c>
    </row>
    <row r="263" spans="1:10">
      <c r="A263" s="561" t="s">
        <v>164</v>
      </c>
      <c r="B263" s="565">
        <f t="shared" si="71"/>
        <v>8358.15</v>
      </c>
      <c r="C263" s="555">
        <v>13425.97</v>
      </c>
      <c r="D263" s="557">
        <f t="shared" si="72"/>
        <v>-5067.82</v>
      </c>
      <c r="E263" s="557">
        <f t="shared" si="73"/>
        <v>-273.98</v>
      </c>
      <c r="F263" s="557">
        <f t="shared" si="74"/>
        <v>-1753.1</v>
      </c>
      <c r="G263" s="555">
        <v>-2126.12</v>
      </c>
      <c r="H263" s="555">
        <v>373.02</v>
      </c>
      <c r="I263" s="555">
        <f>1338.52+140.6</f>
        <v>1479.12</v>
      </c>
      <c r="J263" s="558">
        <f>4674.02+122.84-3.02</f>
        <v>4793.84</v>
      </c>
    </row>
    <row r="264" spans="1:10">
      <c r="A264" s="561" t="s">
        <v>165</v>
      </c>
      <c r="B264" s="565">
        <f t="shared" si="71"/>
        <v>8277.2100000000009</v>
      </c>
      <c r="C264" s="555">
        <v>13140.48</v>
      </c>
      <c r="D264" s="557">
        <f t="shared" si="72"/>
        <v>-4863.2699999999986</v>
      </c>
      <c r="E264" s="557">
        <f t="shared" si="73"/>
        <v>60.690000000000055</v>
      </c>
      <c r="F264" s="557">
        <f t="shared" si="74"/>
        <v>-1426.04</v>
      </c>
      <c r="G264" s="555">
        <v>-1799.57</v>
      </c>
      <c r="H264" s="555">
        <v>373.53</v>
      </c>
      <c r="I264" s="555">
        <f>1349.78+136.95</f>
        <v>1486.73</v>
      </c>
      <c r="J264" s="558">
        <f>4769.98+157.04-3.06</f>
        <v>4923.9599999999991</v>
      </c>
    </row>
    <row r="265" spans="1:10">
      <c r="A265" s="561" t="s">
        <v>166</v>
      </c>
      <c r="B265" s="565">
        <f t="shared" si="71"/>
        <v>8930.5400000000009</v>
      </c>
      <c r="C265" s="555">
        <v>13248.25</v>
      </c>
      <c r="D265" s="557">
        <f t="shared" si="72"/>
        <v>-4317.71</v>
      </c>
      <c r="E265" s="557">
        <f t="shared" si="73"/>
        <v>749.11999999999978</v>
      </c>
      <c r="F265" s="557">
        <f t="shared" si="74"/>
        <v>-757.0200000000001</v>
      </c>
      <c r="G265" s="555">
        <v>-1110.6300000000001</v>
      </c>
      <c r="H265" s="555">
        <v>353.61</v>
      </c>
      <c r="I265" s="555">
        <f>1360.04+146.1</f>
        <v>1506.1399999999999</v>
      </c>
      <c r="J265" s="558">
        <f>4980.61+89.22-3</f>
        <v>5066.83</v>
      </c>
    </row>
    <row r="266" spans="1:10">
      <c r="A266" s="561" t="s">
        <v>167</v>
      </c>
      <c r="B266" s="565">
        <f t="shared" si="71"/>
        <v>9564.5400000000009</v>
      </c>
      <c r="C266" s="555">
        <v>13658.01</v>
      </c>
      <c r="D266" s="557">
        <f t="shared" si="72"/>
        <v>-4093.4700000000003</v>
      </c>
      <c r="E266" s="557">
        <f t="shared" si="73"/>
        <v>502.39999999999986</v>
      </c>
      <c r="F266" s="557">
        <f t="shared" si="74"/>
        <v>-1018.56</v>
      </c>
      <c r="G266" s="555">
        <v>-1372.05</v>
      </c>
      <c r="H266" s="555">
        <v>353.49</v>
      </c>
      <c r="I266" s="555">
        <f>1384.37+136.59</f>
        <v>1520.9599999999998</v>
      </c>
      <c r="J266" s="558">
        <f>4510.29+88.58-3</f>
        <v>4595.87</v>
      </c>
    </row>
    <row r="267" spans="1:10">
      <c r="A267" s="561" t="s">
        <v>168</v>
      </c>
      <c r="B267" s="565">
        <f t="shared" si="71"/>
        <v>9650.49</v>
      </c>
      <c r="C267" s="555">
        <v>13829.91</v>
      </c>
      <c r="D267" s="557">
        <f t="shared" si="72"/>
        <v>-4179.42</v>
      </c>
      <c r="E267" s="557">
        <f t="shared" si="73"/>
        <v>880.86999999999989</v>
      </c>
      <c r="F267" s="557">
        <f t="shared" si="74"/>
        <v>-638</v>
      </c>
      <c r="G267" s="555">
        <v>-991.08</v>
      </c>
      <c r="H267" s="555">
        <v>353.08</v>
      </c>
      <c r="I267" s="555">
        <f>1389.3+129.57</f>
        <v>1518.87</v>
      </c>
      <c r="J267" s="558">
        <f>5043.16+20.13-3</f>
        <v>5060.29</v>
      </c>
    </row>
    <row r="268" spans="1:10">
      <c r="A268" s="561" t="s">
        <v>169</v>
      </c>
      <c r="B268" s="565">
        <f t="shared" si="71"/>
        <v>10369.19</v>
      </c>
      <c r="C268" s="555">
        <v>14331.19</v>
      </c>
      <c r="D268" s="557">
        <f t="shared" si="72"/>
        <v>-3962</v>
      </c>
      <c r="E268" s="557">
        <f t="shared" si="73"/>
        <v>762.17000000000007</v>
      </c>
      <c r="F268" s="557">
        <f t="shared" si="74"/>
        <v>-815.47</v>
      </c>
      <c r="G268" s="555">
        <v>-1169.04</v>
      </c>
      <c r="H268" s="555">
        <v>353.57</v>
      </c>
      <c r="I268" s="555">
        <f>1444.16+133.48</f>
        <v>1577.64</v>
      </c>
      <c r="J268" s="558">
        <f>4717.95+9.22-3</f>
        <v>4724.17</v>
      </c>
    </row>
    <row r="269" spans="1:10">
      <c r="A269" s="561" t="s">
        <v>170</v>
      </c>
      <c r="B269" s="565">
        <f t="shared" si="71"/>
        <v>9848.36</v>
      </c>
      <c r="C269" s="555">
        <v>14626.27</v>
      </c>
      <c r="D269" s="557">
        <f t="shared" si="72"/>
        <v>-4777.91</v>
      </c>
      <c r="E269" s="557">
        <f t="shared" si="73"/>
        <v>257.40000000000032</v>
      </c>
      <c r="F269" s="557">
        <f t="shared" si="74"/>
        <v>-1368.4499999999998</v>
      </c>
      <c r="G269" s="555">
        <v>-1721.86</v>
      </c>
      <c r="H269" s="555">
        <v>353.41</v>
      </c>
      <c r="I269" s="555">
        <f>1499.2+126.65</f>
        <v>1625.8500000000001</v>
      </c>
      <c r="J269" s="558">
        <f>5029.09+9.22-3</f>
        <v>5035.3100000000004</v>
      </c>
    </row>
    <row r="270" spans="1:10">
      <c r="A270" s="561" t="s">
        <v>171</v>
      </c>
      <c r="B270" s="565">
        <f t="shared" si="71"/>
        <v>10047.82</v>
      </c>
      <c r="C270" s="555">
        <v>15003.72</v>
      </c>
      <c r="D270" s="557">
        <f t="shared" si="72"/>
        <v>-4955.8999999999996</v>
      </c>
      <c r="E270" s="557">
        <f t="shared" si="73"/>
        <v>191.52999999999997</v>
      </c>
      <c r="F270" s="557">
        <f t="shared" si="74"/>
        <v>-1522.8600000000001</v>
      </c>
      <c r="G270" s="555">
        <v>-1874.98</v>
      </c>
      <c r="H270" s="555">
        <v>352.12</v>
      </c>
      <c r="I270" s="555">
        <f>1587.45+126.94</f>
        <v>1714.39</v>
      </c>
      <c r="J270" s="558">
        <f>5141.28+9.15-3</f>
        <v>5147.4299999999994</v>
      </c>
    </row>
    <row r="271" spans="1:10">
      <c r="A271" s="122">
        <v>2000</v>
      </c>
      <c r="B271" s="131">
        <f t="shared" si="71"/>
        <v>10035.34</v>
      </c>
      <c r="C271" s="99">
        <v>15073.68</v>
      </c>
      <c r="D271" s="99">
        <f t="shared" si="72"/>
        <v>-5038.34</v>
      </c>
      <c r="E271" s="99">
        <f t="shared" si="73"/>
        <v>584.29999999999995</v>
      </c>
      <c r="F271" s="99">
        <f t="shared" si="74"/>
        <v>-1166.71</v>
      </c>
      <c r="G271" s="99">
        <v>-1499.35</v>
      </c>
      <c r="H271" s="99">
        <v>332.64</v>
      </c>
      <c r="I271" s="123">
        <f>1624.33+126.68</f>
        <v>1751.01</v>
      </c>
      <c r="J271" s="99">
        <f>5510.37+115.27-3</f>
        <v>5622.64</v>
      </c>
    </row>
    <row r="272" spans="1:10">
      <c r="A272" s="127">
        <v>2001</v>
      </c>
      <c r="B272" s="128"/>
      <c r="C272" s="128"/>
      <c r="D272" s="128"/>
      <c r="E272" s="128"/>
      <c r="F272" s="128"/>
      <c r="G272" s="128"/>
      <c r="H272" s="128"/>
      <c r="I272" s="128"/>
      <c r="J272" s="128"/>
    </row>
    <row r="273" spans="1:10">
      <c r="A273" s="124" t="s">
        <v>161</v>
      </c>
      <c r="B273" s="99">
        <f t="shared" si="71"/>
        <v>9121.15</v>
      </c>
      <c r="C273" s="99">
        <v>13142.74</v>
      </c>
      <c r="D273" s="99">
        <f t="shared" si="72"/>
        <v>-4021.59</v>
      </c>
      <c r="E273" s="99">
        <f t="shared" si="73"/>
        <v>705.31999999999971</v>
      </c>
      <c r="F273" s="99">
        <f t="shared" si="74"/>
        <v>-1225.0700000000002</v>
      </c>
      <c r="G273" s="99">
        <v>-1558.4</v>
      </c>
      <c r="H273" s="99">
        <v>333.33</v>
      </c>
      <c r="I273" s="99">
        <f>1812.26+118.13</f>
        <v>1930.3899999999999</v>
      </c>
      <c r="J273" s="99">
        <f>4604.46+125.45-3</f>
        <v>4726.91</v>
      </c>
    </row>
    <row r="274" spans="1:10">
      <c r="A274" s="124" t="s">
        <v>162</v>
      </c>
      <c r="B274" s="129">
        <f t="shared" si="71"/>
        <v>8952.130000000001</v>
      </c>
      <c r="C274" s="129">
        <v>12493.7</v>
      </c>
      <c r="D274" s="129">
        <f t="shared" si="72"/>
        <v>-3541.5699999999997</v>
      </c>
      <c r="E274" s="129">
        <f t="shared" si="73"/>
        <v>959.50000000000011</v>
      </c>
      <c r="F274" s="129">
        <f t="shared" si="74"/>
        <v>-1018.13</v>
      </c>
      <c r="G274" s="129">
        <v>-1351.48</v>
      </c>
      <c r="H274" s="129">
        <v>333.35</v>
      </c>
      <c r="I274" s="129">
        <f>1859.49+118.14</f>
        <v>1977.63</v>
      </c>
      <c r="J274" s="129">
        <f>4378.62+125.45-3</f>
        <v>4501.07</v>
      </c>
    </row>
    <row r="275" spans="1:10">
      <c r="A275" s="124" t="s">
        <v>163</v>
      </c>
      <c r="B275" s="129">
        <f t="shared" si="71"/>
        <v>10062.36</v>
      </c>
      <c r="C275" s="129">
        <v>13535.69</v>
      </c>
      <c r="D275" s="129">
        <f t="shared" si="72"/>
        <v>-3473.33</v>
      </c>
      <c r="E275" s="129">
        <f t="shared" si="73"/>
        <v>983.06999999999994</v>
      </c>
      <c r="F275" s="129">
        <f t="shared" si="74"/>
        <v>-1056.44</v>
      </c>
      <c r="G275" s="129">
        <v>-1389.78</v>
      </c>
      <c r="H275" s="129">
        <v>333.34</v>
      </c>
      <c r="I275" s="129">
        <f>1912.34+127.17</f>
        <v>2039.51</v>
      </c>
      <c r="J275" s="129">
        <f>4442.12+17.28-3</f>
        <v>4456.3999999999996</v>
      </c>
    </row>
    <row r="276" spans="1:10">
      <c r="A276" s="124" t="s">
        <v>164</v>
      </c>
      <c r="B276" s="129">
        <f t="shared" si="71"/>
        <v>9955.7599999999984</v>
      </c>
      <c r="C276" s="129">
        <v>13651.81</v>
      </c>
      <c r="D276" s="129">
        <f t="shared" si="72"/>
        <v>-3696.05</v>
      </c>
      <c r="E276" s="129">
        <f t="shared" si="73"/>
        <v>902.53999999999974</v>
      </c>
      <c r="F276" s="129">
        <f t="shared" si="74"/>
        <v>-1148.2</v>
      </c>
      <c r="G276" s="129">
        <v>-1480.93</v>
      </c>
      <c r="H276" s="129">
        <v>332.73</v>
      </c>
      <c r="I276" s="129">
        <f>1934.05+116.69</f>
        <v>2050.7399999999998</v>
      </c>
      <c r="J276" s="129">
        <f>4585.04+17.28-3.73</f>
        <v>4598.59</v>
      </c>
    </row>
    <row r="277" spans="1:10">
      <c r="A277" s="124" t="s">
        <v>165</v>
      </c>
      <c r="B277" s="129" t="e">
        <f t="shared" si="71"/>
        <v>#REF!</v>
      </c>
      <c r="C277" s="129">
        <v>13049.05</v>
      </c>
      <c r="D277" s="129" t="e">
        <f t="shared" si="72"/>
        <v>#REF!</v>
      </c>
      <c r="E277" s="129" t="e">
        <f t="shared" si="73"/>
        <v>#REF!</v>
      </c>
      <c r="F277" s="129">
        <f t="shared" si="74"/>
        <v>-594.82999999999993</v>
      </c>
      <c r="G277" s="129">
        <v>-927.55</v>
      </c>
      <c r="H277" s="129">
        <v>332.72</v>
      </c>
      <c r="I277" s="129" t="e">
        <f>#REF!+#REF!</f>
        <v>#REF!</v>
      </c>
      <c r="J277" s="129" t="e">
        <f>#REF!+#REF!-#REF!</f>
        <v>#REF!</v>
      </c>
    </row>
    <row r="278" spans="1:10">
      <c r="A278" s="1273" t="s">
        <v>166</v>
      </c>
      <c r="B278" s="1274" t="e">
        <f t="shared" si="71"/>
        <v>#REF!</v>
      </c>
      <c r="C278" s="1274">
        <v>12788.91</v>
      </c>
      <c r="D278" s="1274" t="e">
        <f t="shared" si="72"/>
        <v>#REF!</v>
      </c>
      <c r="E278" s="1274" t="e">
        <f t="shared" si="73"/>
        <v>#REF!</v>
      </c>
      <c r="F278" s="1274" t="e">
        <f t="shared" si="74"/>
        <v>#REF!</v>
      </c>
      <c r="G278" s="1274" t="e">
        <f>#REF!</f>
        <v>#REF!</v>
      </c>
      <c r="H278" s="1274" t="e">
        <f>#REF!</f>
        <v>#REF!</v>
      </c>
      <c r="I278" s="1274" t="e">
        <f>#REF!+#REF!</f>
        <v>#REF!</v>
      </c>
      <c r="J278" s="1274" t="e">
        <f>#REF!+#REF!-#REF!</f>
        <v>#REF!</v>
      </c>
    </row>
    <row r="279" spans="1:10">
      <c r="A279" s="124" t="s">
        <v>167</v>
      </c>
      <c r="B279" s="129" t="e">
        <f t="shared" si="71"/>
        <v>#REF!</v>
      </c>
      <c r="C279" s="129">
        <v>12043.21</v>
      </c>
      <c r="D279" s="129" t="e">
        <f t="shared" si="72"/>
        <v>#REF!</v>
      </c>
      <c r="E279" s="129" t="e">
        <f t="shared" si="73"/>
        <v>#REF!</v>
      </c>
      <c r="F279" s="129" t="e">
        <f t="shared" si="74"/>
        <v>#REF!</v>
      </c>
      <c r="G279" s="129" t="e">
        <f>#REF!</f>
        <v>#REF!</v>
      </c>
      <c r="H279" s="129" t="e">
        <f>#REF!</f>
        <v>#REF!</v>
      </c>
      <c r="I279" s="129" t="e">
        <f>#REF!+#REF!</f>
        <v>#REF!</v>
      </c>
      <c r="J279" s="129" t="e">
        <f>#REF!+#REF!-#REF!</f>
        <v>#REF!</v>
      </c>
    </row>
    <row r="280" spans="1:10">
      <c r="A280" s="124" t="s">
        <v>168</v>
      </c>
      <c r="B280" s="129" t="e">
        <f t="shared" si="71"/>
        <v>#REF!</v>
      </c>
      <c r="C280" s="129" t="e">
        <f>#REF!</f>
        <v>#REF!</v>
      </c>
      <c r="D280" s="129" t="e">
        <f t="shared" si="72"/>
        <v>#REF!</v>
      </c>
      <c r="E280" s="129" t="e">
        <f t="shared" si="73"/>
        <v>#REF!</v>
      </c>
      <c r="F280" s="129" t="e">
        <f t="shared" si="74"/>
        <v>#REF!</v>
      </c>
      <c r="G280" s="129" t="e">
        <f>#REF!</f>
        <v>#REF!</v>
      </c>
      <c r="H280" s="129" t="e">
        <f>#REF!</f>
        <v>#REF!</v>
      </c>
      <c r="I280" s="129" t="e">
        <f>#REF!+#REF!</f>
        <v>#REF!</v>
      </c>
      <c r="J280" s="129" t="e">
        <f>#REF!+#REF!-#REF!</f>
        <v>#REF!</v>
      </c>
    </row>
    <row r="281" spans="1:10">
      <c r="A281" s="124" t="s">
        <v>169</v>
      </c>
      <c r="B281" s="129" t="e">
        <f t="shared" si="71"/>
        <v>#REF!</v>
      </c>
      <c r="C281" s="129" t="e">
        <f>#REF!</f>
        <v>#REF!</v>
      </c>
      <c r="D281" s="129" t="e">
        <f t="shared" si="72"/>
        <v>#REF!</v>
      </c>
      <c r="E281" s="129" t="e">
        <f>I281+F281</f>
        <v>#REF!</v>
      </c>
      <c r="F281" s="129" t="e">
        <f t="shared" si="74"/>
        <v>#REF!</v>
      </c>
      <c r="G281" s="129" t="e">
        <f>#REF!</f>
        <v>#REF!</v>
      </c>
      <c r="H281" s="129" t="e">
        <f>#REF!</f>
        <v>#REF!</v>
      </c>
      <c r="I281" s="129" t="e">
        <f>#REF!+#REF!</f>
        <v>#REF!</v>
      </c>
      <c r="J281" s="129" t="e">
        <f>#REF!+#REF!-#REF!</f>
        <v>#REF!</v>
      </c>
    </row>
    <row r="282" spans="1:10">
      <c r="A282" s="124" t="s">
        <v>170</v>
      </c>
      <c r="B282" s="129" t="e">
        <f t="shared" si="71"/>
        <v>#REF!</v>
      </c>
      <c r="C282" s="129" t="e">
        <f>#REF!</f>
        <v>#REF!</v>
      </c>
      <c r="D282" s="129" t="e">
        <f t="shared" si="72"/>
        <v>#REF!</v>
      </c>
      <c r="E282" s="129" t="e">
        <f>I282+F282</f>
        <v>#REF!</v>
      </c>
      <c r="F282" s="129" t="e">
        <f t="shared" si="74"/>
        <v>#REF!</v>
      </c>
      <c r="G282" s="129" t="e">
        <f>#REF!</f>
        <v>#REF!</v>
      </c>
      <c r="H282" s="129" t="e">
        <f>#REF!</f>
        <v>#REF!</v>
      </c>
      <c r="I282" s="129" t="e">
        <f>#REF!+#REF!</f>
        <v>#REF!</v>
      </c>
      <c r="J282" s="129" t="e">
        <f>#REF!+#REF!-#REF!</f>
        <v>#REF!</v>
      </c>
    </row>
    <row r="283" spans="1:10">
      <c r="A283" s="124" t="s">
        <v>171</v>
      </c>
      <c r="B283" s="129" t="e">
        <f>C283+D283</f>
        <v>#REF!</v>
      </c>
      <c r="C283" s="129" t="e">
        <f>#REF!</f>
        <v>#REF!</v>
      </c>
      <c r="D283" s="129" t="e">
        <f>E283-J283</f>
        <v>#REF!</v>
      </c>
      <c r="E283" s="129" t="e">
        <f>I283+F283</f>
        <v>#REF!</v>
      </c>
      <c r="F283" s="129" t="e">
        <f>G283+H283</f>
        <v>#REF!</v>
      </c>
      <c r="G283" s="129" t="e">
        <f>#REF!</f>
        <v>#REF!</v>
      </c>
      <c r="H283" s="129" t="e">
        <f>#REF!</f>
        <v>#REF!</v>
      </c>
      <c r="I283" s="129" t="e">
        <f>#REF!+#REF!</f>
        <v>#REF!</v>
      </c>
      <c r="J283" s="129" t="e">
        <f>#REF!+#REF!-#REF!</f>
        <v>#REF!</v>
      </c>
    </row>
    <row r="284" spans="1:10">
      <c r="A284" s="1272">
        <v>2001</v>
      </c>
      <c r="B284" s="1181" t="e">
        <f>C284+D284</f>
        <v>#REF!</v>
      </c>
      <c r="C284" s="1181" t="e">
        <f>#REF!</f>
        <v>#REF!</v>
      </c>
      <c r="D284" s="1181" t="e">
        <f>E284-J284</f>
        <v>#REF!</v>
      </c>
      <c r="E284" s="1181" t="e">
        <f>I284+F284</f>
        <v>#REF!</v>
      </c>
      <c r="F284" s="1181" t="e">
        <f>G284+H284</f>
        <v>#REF!</v>
      </c>
      <c r="G284" s="1181" t="e">
        <f>#REF!</f>
        <v>#REF!</v>
      </c>
      <c r="H284" s="1181" t="e">
        <f>#REF!</f>
        <v>#REF!</v>
      </c>
      <c r="I284" s="1181" t="e">
        <f>#REF!+#REF!</f>
        <v>#REF!</v>
      </c>
      <c r="J284" s="1181" t="e">
        <f>#REF!+#REF!-#REF!</f>
        <v>#REF!</v>
      </c>
    </row>
    <row r="285" spans="1:10">
      <c r="A285" s="1176">
        <v>2002</v>
      </c>
      <c r="B285" s="1181"/>
      <c r="C285" s="1181"/>
      <c r="D285" s="1181"/>
      <c r="E285" s="1181"/>
      <c r="F285" s="1181"/>
      <c r="G285" s="1181"/>
      <c r="H285" s="1181"/>
      <c r="I285" s="1181"/>
      <c r="J285" s="1182"/>
    </row>
    <row r="286" spans="1:10">
      <c r="A286" s="124" t="s">
        <v>161</v>
      </c>
      <c r="B286" s="1180">
        <f t="shared" si="71"/>
        <v>10521.74</v>
      </c>
      <c r="C286" s="1180">
        <v>14557.37</v>
      </c>
      <c r="D286" s="1180">
        <f t="shared" si="72"/>
        <v>-4035.6300000000006</v>
      </c>
      <c r="E286" s="1180">
        <f t="shared" si="73"/>
        <v>1308.5399999999995</v>
      </c>
      <c r="F286" s="1180">
        <f t="shared" si="74"/>
        <v>-931.53000000000009</v>
      </c>
      <c r="G286" s="1180">
        <v>-1310.92</v>
      </c>
      <c r="H286" s="1180">
        <v>379.39</v>
      </c>
      <c r="I286" s="1180">
        <f>2127.97+112.1</f>
        <v>2240.0699999999997</v>
      </c>
      <c r="J286" s="1180">
        <f>5336.42+11.48-3.73</f>
        <v>5344.17</v>
      </c>
    </row>
    <row r="287" spans="1:10">
      <c r="A287" s="124" t="s">
        <v>162</v>
      </c>
      <c r="B287" s="1180">
        <f t="shared" si="71"/>
        <v>11297.49</v>
      </c>
      <c r="C287" s="1180">
        <v>15208.84</v>
      </c>
      <c r="D287" s="1180">
        <f t="shared" si="72"/>
        <v>-3911.3500000000008</v>
      </c>
      <c r="E287" s="1180">
        <f t="shared" si="73"/>
        <v>1678.9599999999996</v>
      </c>
      <c r="F287" s="1180">
        <f t="shared" si="74"/>
        <v>-731.38</v>
      </c>
      <c r="G287" s="1180">
        <v>-1023.27</v>
      </c>
      <c r="H287" s="1180">
        <v>291.89</v>
      </c>
      <c r="I287" s="1180">
        <f>2339.39+70.95</f>
        <v>2410.3399999999997</v>
      </c>
      <c r="J287" s="1180">
        <f>5582.56+11.48-3.73</f>
        <v>5590.31</v>
      </c>
    </row>
    <row r="288" spans="1:10">
      <c r="A288" s="124" t="s">
        <v>163</v>
      </c>
      <c r="B288" s="1180">
        <f t="shared" si="71"/>
        <v>11028.189999999999</v>
      </c>
      <c r="C288" s="1180">
        <v>14632.09</v>
      </c>
      <c r="D288" s="1180">
        <f t="shared" si="72"/>
        <v>-3603.9000000000005</v>
      </c>
      <c r="E288" s="1180">
        <f t="shared" si="73"/>
        <v>2082.9499999999998</v>
      </c>
      <c r="F288" s="1180">
        <f t="shared" si="74"/>
        <v>-451.51000000000005</v>
      </c>
      <c r="G288" s="1180">
        <v>-748.82</v>
      </c>
      <c r="H288" s="1180">
        <v>297.31</v>
      </c>
      <c r="I288" s="1180">
        <f>2397.84+136.62</f>
        <v>2534.46</v>
      </c>
      <c r="J288" s="1180">
        <f>5715.03-24.45-3.73</f>
        <v>5686.85</v>
      </c>
    </row>
    <row r="289" spans="1:10">
      <c r="A289" s="124" t="s">
        <v>164</v>
      </c>
      <c r="B289" s="1180">
        <f t="shared" si="71"/>
        <v>10578.160000000002</v>
      </c>
      <c r="C289" s="1180">
        <v>14500.04</v>
      </c>
      <c r="D289" s="1180">
        <f t="shared" si="72"/>
        <v>-3921.8799999999997</v>
      </c>
      <c r="E289" s="1180">
        <f t="shared" si="73"/>
        <v>1564.0700000000002</v>
      </c>
      <c r="F289" s="1180">
        <f t="shared" si="74"/>
        <v>-977.46</v>
      </c>
      <c r="G289" s="1180">
        <v>-1269.01</v>
      </c>
      <c r="H289" s="1180">
        <v>291.55</v>
      </c>
      <c r="I289" s="1180">
        <f>2433.28+108.25</f>
        <v>2541.5300000000002</v>
      </c>
      <c r="J289" s="1180">
        <f>5478.98+10.7-3.73</f>
        <v>5485.95</v>
      </c>
    </row>
    <row r="290" spans="1:10">
      <c r="A290" s="124" t="s">
        <v>165</v>
      </c>
      <c r="B290" s="1180" t="e">
        <f t="shared" si="71"/>
        <v>#REF!</v>
      </c>
      <c r="C290" s="1180">
        <v>14928.34</v>
      </c>
      <c r="D290" s="1180" t="e">
        <f t="shared" si="72"/>
        <v>#REF!</v>
      </c>
      <c r="E290" s="1180" t="e">
        <f t="shared" si="73"/>
        <v>#REF!</v>
      </c>
      <c r="F290" s="1180">
        <f t="shared" si="74"/>
        <v>-634.5</v>
      </c>
      <c r="G290" s="1180">
        <v>-926.52</v>
      </c>
      <c r="H290" s="1180">
        <v>292.02</v>
      </c>
      <c r="I290" s="1180" t="e">
        <f>#REF!+#REF!</f>
        <v>#REF!</v>
      </c>
      <c r="J290" s="1180" t="e">
        <f>#REF!+#REF!-#REF!</f>
        <v>#REF!</v>
      </c>
    </row>
    <row r="291" spans="1:10">
      <c r="A291" s="124" t="s">
        <v>166</v>
      </c>
      <c r="B291" s="1180" t="e">
        <f t="shared" si="71"/>
        <v>#REF!</v>
      </c>
      <c r="C291" s="1180">
        <v>14348.48</v>
      </c>
      <c r="D291" s="1180" t="e">
        <f t="shared" si="72"/>
        <v>#REF!</v>
      </c>
      <c r="E291" s="1180" t="e">
        <f t="shared" si="73"/>
        <v>#REF!</v>
      </c>
      <c r="F291" s="1180" t="e">
        <f t="shared" si="74"/>
        <v>#REF!</v>
      </c>
      <c r="G291" s="1180" t="e">
        <f>#REF!</f>
        <v>#REF!</v>
      </c>
      <c r="H291" s="1180" t="e">
        <f>#REF!</f>
        <v>#REF!</v>
      </c>
      <c r="I291" s="1180" t="e">
        <f>#REF!+#REF!</f>
        <v>#REF!</v>
      </c>
      <c r="J291" s="1180" t="e">
        <f>#REF!+#REF!-#REF!</f>
        <v>#REF!</v>
      </c>
    </row>
    <row r="292" spans="1:10">
      <c r="A292" s="124" t="s">
        <v>167</v>
      </c>
      <c r="B292" s="1180" t="e">
        <f t="shared" si="71"/>
        <v>#REF!</v>
      </c>
      <c r="C292" s="1180">
        <v>14817.24</v>
      </c>
      <c r="D292" s="1180" t="e">
        <f t="shared" si="72"/>
        <v>#REF!</v>
      </c>
      <c r="E292" s="1180" t="e">
        <f t="shared" si="73"/>
        <v>#REF!</v>
      </c>
      <c r="F292" s="1180" t="e">
        <f t="shared" si="74"/>
        <v>#REF!</v>
      </c>
      <c r="G292" s="1180" t="e">
        <f>#REF!</f>
        <v>#REF!</v>
      </c>
      <c r="H292" s="1180" t="e">
        <f>#REF!</f>
        <v>#REF!</v>
      </c>
      <c r="I292" s="1180" t="e">
        <f>#REF!+#REF!</f>
        <v>#REF!</v>
      </c>
      <c r="J292" s="1180" t="e">
        <f>#REF!+#REF!-#REF!</f>
        <v>#REF!</v>
      </c>
    </row>
    <row r="293" spans="1:10">
      <c r="A293" s="124" t="s">
        <v>168</v>
      </c>
      <c r="B293" s="1180" t="e">
        <f t="shared" si="71"/>
        <v>#REF!</v>
      </c>
      <c r="C293" s="1180" t="e">
        <f>#REF!</f>
        <v>#REF!</v>
      </c>
      <c r="D293" s="1180" t="e">
        <f t="shared" si="72"/>
        <v>#REF!</v>
      </c>
      <c r="E293" s="1180" t="e">
        <f t="shared" si="73"/>
        <v>#REF!</v>
      </c>
      <c r="F293" s="1180" t="e">
        <f t="shared" si="74"/>
        <v>#REF!</v>
      </c>
      <c r="G293" s="1180" t="e">
        <f>#REF!</f>
        <v>#REF!</v>
      </c>
      <c r="H293" s="1180" t="e">
        <f>#REF!</f>
        <v>#REF!</v>
      </c>
      <c r="I293" s="1180" t="e">
        <f>#REF!+#REF!</f>
        <v>#REF!</v>
      </c>
      <c r="J293" s="1180" t="e">
        <f>#REF!+#REF!-#REF!</f>
        <v>#REF!</v>
      </c>
    </row>
    <row r="294" spans="1:10">
      <c r="A294" s="124" t="s">
        <v>169</v>
      </c>
      <c r="B294" s="1180" t="e">
        <f t="shared" si="71"/>
        <v>#REF!</v>
      </c>
      <c r="C294" s="1180" t="e">
        <f>#REF!</f>
        <v>#REF!</v>
      </c>
      <c r="D294" s="1180" t="e">
        <f t="shared" si="72"/>
        <v>#REF!</v>
      </c>
      <c r="E294" s="1180" t="e">
        <f t="shared" si="73"/>
        <v>#REF!</v>
      </c>
      <c r="F294" s="1180" t="e">
        <f t="shared" si="74"/>
        <v>#REF!</v>
      </c>
      <c r="G294" s="1180" t="e">
        <f>#REF!</f>
        <v>#REF!</v>
      </c>
      <c r="H294" s="1180" t="e">
        <f>#REF!</f>
        <v>#REF!</v>
      </c>
      <c r="I294" s="1180" t="e">
        <f>#REF!+#REF!</f>
        <v>#REF!</v>
      </c>
      <c r="J294" s="1180" t="e">
        <f>#REF!+#REF!-#REF!</f>
        <v>#REF!</v>
      </c>
    </row>
    <row r="295" spans="1:10">
      <c r="A295" s="124" t="s">
        <v>170</v>
      </c>
      <c r="B295" s="1180" t="e">
        <f t="shared" si="71"/>
        <v>#REF!</v>
      </c>
      <c r="C295" s="1180" t="e">
        <f>#REF!</f>
        <v>#REF!</v>
      </c>
      <c r="D295" s="1180" t="e">
        <f t="shared" si="72"/>
        <v>#REF!</v>
      </c>
      <c r="E295" s="1180" t="e">
        <f t="shared" si="73"/>
        <v>#REF!</v>
      </c>
      <c r="F295" s="1180" t="e">
        <f t="shared" si="74"/>
        <v>#REF!</v>
      </c>
      <c r="G295" s="1180" t="e">
        <f>#REF!</f>
        <v>#REF!</v>
      </c>
      <c r="H295" s="1180" t="e">
        <f>#REF!</f>
        <v>#REF!</v>
      </c>
      <c r="I295" s="1180" t="e">
        <f>#REF!+#REF!</f>
        <v>#REF!</v>
      </c>
      <c r="J295" s="1180" t="e">
        <f>#REF!+#REF!-#REF!</f>
        <v>#REF!</v>
      </c>
    </row>
    <row r="296" spans="1:10">
      <c r="A296" s="124" t="s">
        <v>171</v>
      </c>
      <c r="B296" s="1180" t="e">
        <f t="shared" si="71"/>
        <v>#REF!</v>
      </c>
      <c r="C296" s="1180" t="e">
        <f>#REF!</f>
        <v>#REF!</v>
      </c>
      <c r="D296" s="1180" t="e">
        <f t="shared" si="72"/>
        <v>#REF!</v>
      </c>
      <c r="E296" s="1180" t="e">
        <f t="shared" si="73"/>
        <v>#REF!</v>
      </c>
      <c r="F296" s="1180" t="e">
        <f t="shared" si="74"/>
        <v>#REF!</v>
      </c>
      <c r="G296" s="1180" t="e">
        <f>#REF!</f>
        <v>#REF!</v>
      </c>
      <c r="H296" s="1180" t="e">
        <f>#REF!</f>
        <v>#REF!</v>
      </c>
      <c r="I296" s="1180" t="e">
        <f>#REF!+#REF!</f>
        <v>#REF!</v>
      </c>
      <c r="J296" s="1180" t="e">
        <f>#REF!+#REF!-#REF!</f>
        <v>#REF!</v>
      </c>
    </row>
    <row r="297" spans="1:10">
      <c r="A297" s="127">
        <v>2002</v>
      </c>
      <c r="B297" s="1180" t="e">
        <f t="shared" si="71"/>
        <v>#REF!</v>
      </c>
      <c r="C297" s="1180" t="e">
        <f>#REF!</f>
        <v>#REF!</v>
      </c>
      <c r="D297" s="1180" t="e">
        <f t="shared" si="72"/>
        <v>#REF!</v>
      </c>
      <c r="E297" s="1180" t="e">
        <f t="shared" si="73"/>
        <v>#REF!</v>
      </c>
      <c r="F297" s="1180" t="e">
        <f t="shared" si="74"/>
        <v>#REF!</v>
      </c>
      <c r="G297" s="1180" t="e">
        <f>#REF!</f>
        <v>#REF!</v>
      </c>
      <c r="H297" s="1180" t="e">
        <f>#REF!</f>
        <v>#REF!</v>
      </c>
      <c r="I297" s="1180" t="e">
        <f>#REF!+#REF!</f>
        <v>#REF!</v>
      </c>
      <c r="J297" s="1180" t="e">
        <f>#REF!+#REF!-#REF!</f>
        <v>#REF!</v>
      </c>
    </row>
    <row r="298" spans="1:10">
      <c r="A298" s="127">
        <v>2003</v>
      </c>
      <c r="B298" s="1180"/>
      <c r="C298" s="1180"/>
      <c r="D298" s="1180"/>
      <c r="E298" s="1180"/>
      <c r="F298" s="1180"/>
      <c r="G298" s="1180"/>
      <c r="H298" s="1180"/>
      <c r="I298" s="1180"/>
      <c r="J298" s="1180"/>
    </row>
    <row r="299" spans="1:10">
      <c r="A299" s="124" t="s">
        <v>161</v>
      </c>
      <c r="B299" s="1180" t="e">
        <f t="shared" ref="B299:B336" si="75">C299+D299</f>
        <v>#REF!</v>
      </c>
      <c r="C299" s="1180" t="e">
        <f>#REF!</f>
        <v>#REF!</v>
      </c>
      <c r="D299" s="1180" t="e">
        <f t="shared" ref="D299:D336" si="76">E299-J299</f>
        <v>#REF!</v>
      </c>
      <c r="E299" s="1180" t="e">
        <f t="shared" ref="E299:E336" si="77">I299+F299</f>
        <v>#REF!</v>
      </c>
      <c r="F299" s="1180" t="e">
        <f t="shared" ref="F299:F336" si="78">G299+H299</f>
        <v>#REF!</v>
      </c>
      <c r="G299" s="1180" t="e">
        <f>#REF!</f>
        <v>#REF!</v>
      </c>
      <c r="H299" s="1180" t="e">
        <f>#REF!</f>
        <v>#REF!</v>
      </c>
      <c r="I299" s="1180" t="e">
        <f>#REF!+#REF!</f>
        <v>#REF!</v>
      </c>
      <c r="J299" s="1180" t="e">
        <f>#REF!+#REF!-#REF!</f>
        <v>#REF!</v>
      </c>
    </row>
    <row r="300" spans="1:10">
      <c r="A300" s="124" t="s">
        <v>162</v>
      </c>
      <c r="B300" s="1180" t="e">
        <f t="shared" si="75"/>
        <v>#REF!</v>
      </c>
      <c r="C300" s="1180" t="e">
        <f>#REF!</f>
        <v>#REF!</v>
      </c>
      <c r="D300" s="1180" t="e">
        <f t="shared" si="76"/>
        <v>#REF!</v>
      </c>
      <c r="E300" s="1180" t="e">
        <f t="shared" si="77"/>
        <v>#REF!</v>
      </c>
      <c r="F300" s="1180" t="e">
        <f t="shared" si="78"/>
        <v>#REF!</v>
      </c>
      <c r="G300" s="1180" t="e">
        <f>#REF!</f>
        <v>#REF!</v>
      </c>
      <c r="H300" s="1180" t="e">
        <f>#REF!</f>
        <v>#REF!</v>
      </c>
      <c r="I300" s="1180" t="e">
        <f>#REF!+#REF!</f>
        <v>#REF!</v>
      </c>
      <c r="J300" s="1180" t="e">
        <f>#REF!+#REF!-#REF!</f>
        <v>#REF!</v>
      </c>
    </row>
    <row r="301" spans="1:10">
      <c r="A301" s="124" t="s">
        <v>163</v>
      </c>
      <c r="B301" s="1180" t="e">
        <f t="shared" si="75"/>
        <v>#REF!</v>
      </c>
      <c r="C301" s="1180" t="e">
        <f>#REF!</f>
        <v>#REF!</v>
      </c>
      <c r="D301" s="1180" t="e">
        <f t="shared" si="76"/>
        <v>#REF!</v>
      </c>
      <c r="E301" s="1180" t="e">
        <f t="shared" si="77"/>
        <v>#REF!</v>
      </c>
      <c r="F301" s="1180" t="e">
        <f t="shared" si="78"/>
        <v>#REF!</v>
      </c>
      <c r="G301" s="1180" t="e">
        <f>#REF!</f>
        <v>#REF!</v>
      </c>
      <c r="H301" s="1180" t="e">
        <f>#REF!</f>
        <v>#REF!</v>
      </c>
      <c r="I301" s="1180" t="e">
        <f>#REF!+#REF!</f>
        <v>#REF!</v>
      </c>
      <c r="J301" s="1180" t="e">
        <f>#REF!+#REF!-#REF!</f>
        <v>#REF!</v>
      </c>
    </row>
    <row r="302" spans="1:10">
      <c r="A302" s="124" t="s">
        <v>164</v>
      </c>
      <c r="B302" s="1180" t="e">
        <f t="shared" si="75"/>
        <v>#REF!</v>
      </c>
      <c r="C302" s="1180" t="e">
        <f>#REF!</f>
        <v>#REF!</v>
      </c>
      <c r="D302" s="1180" t="e">
        <f t="shared" si="76"/>
        <v>#REF!</v>
      </c>
      <c r="E302" s="1180" t="e">
        <f t="shared" si="77"/>
        <v>#REF!</v>
      </c>
      <c r="F302" s="1180" t="e">
        <f t="shared" si="78"/>
        <v>#REF!</v>
      </c>
      <c r="G302" s="1180" t="e">
        <f>#REF!</f>
        <v>#REF!</v>
      </c>
      <c r="H302" s="1180" t="e">
        <f>#REF!</f>
        <v>#REF!</v>
      </c>
      <c r="I302" s="1180" t="e">
        <f>#REF!+#REF!</f>
        <v>#REF!</v>
      </c>
      <c r="J302" s="1180" t="e">
        <f>#REF!+#REF!-#REF!</f>
        <v>#REF!</v>
      </c>
    </row>
    <row r="303" spans="1:10">
      <c r="A303" s="124" t="s">
        <v>165</v>
      </c>
      <c r="B303" s="1180" t="e">
        <f t="shared" si="75"/>
        <v>#REF!</v>
      </c>
      <c r="C303" s="1180" t="e">
        <f>#REF!</f>
        <v>#REF!</v>
      </c>
      <c r="D303" s="1180" t="e">
        <f t="shared" si="76"/>
        <v>#REF!</v>
      </c>
      <c r="E303" s="1180" t="e">
        <f t="shared" si="77"/>
        <v>#REF!</v>
      </c>
      <c r="F303" s="1180" t="e">
        <f t="shared" si="78"/>
        <v>#REF!</v>
      </c>
      <c r="G303" s="1180" t="e">
        <f>#REF!</f>
        <v>#REF!</v>
      </c>
      <c r="H303" s="1180" t="e">
        <f>#REF!</f>
        <v>#REF!</v>
      </c>
      <c r="I303" s="1180" t="e">
        <f>#REF!+#REF!</f>
        <v>#REF!</v>
      </c>
      <c r="J303" s="1180" t="e">
        <f>#REF!+#REF!-#REF!</f>
        <v>#REF!</v>
      </c>
    </row>
    <row r="304" spans="1:10">
      <c r="A304" s="1273" t="s">
        <v>166</v>
      </c>
      <c r="B304" s="1275" t="e">
        <f t="shared" si="75"/>
        <v>#REF!</v>
      </c>
      <c r="C304" s="1275" t="e">
        <f>#REF!</f>
        <v>#REF!</v>
      </c>
      <c r="D304" s="1275" t="e">
        <f t="shared" si="76"/>
        <v>#REF!</v>
      </c>
      <c r="E304" s="1275" t="e">
        <f t="shared" si="77"/>
        <v>#REF!</v>
      </c>
      <c r="F304" s="1275" t="e">
        <f t="shared" si="78"/>
        <v>#REF!</v>
      </c>
      <c r="G304" s="1275" t="e">
        <f>#REF!</f>
        <v>#REF!</v>
      </c>
      <c r="H304" s="1275" t="e">
        <f>#REF!</f>
        <v>#REF!</v>
      </c>
      <c r="I304" s="1275" t="e">
        <f>#REF!+#REF!</f>
        <v>#REF!</v>
      </c>
      <c r="J304" s="1275" t="e">
        <f>#REF!+#REF!-#REF!</f>
        <v>#REF!</v>
      </c>
    </row>
    <row r="305" spans="1:10">
      <c r="A305" s="124" t="s">
        <v>167</v>
      </c>
      <c r="B305" s="1180" t="e">
        <f t="shared" si="75"/>
        <v>#REF!</v>
      </c>
      <c r="C305" s="1180" t="e">
        <f>#REF!</f>
        <v>#REF!</v>
      </c>
      <c r="D305" s="1180" t="e">
        <f t="shared" si="76"/>
        <v>#REF!</v>
      </c>
      <c r="E305" s="1180" t="e">
        <f t="shared" si="77"/>
        <v>#REF!</v>
      </c>
      <c r="F305" s="1180" t="e">
        <f t="shared" si="78"/>
        <v>#REF!</v>
      </c>
      <c r="G305" s="1180" t="e">
        <f>#REF!</f>
        <v>#REF!</v>
      </c>
      <c r="H305" s="1180" t="e">
        <f>#REF!</f>
        <v>#REF!</v>
      </c>
      <c r="I305" s="1180" t="e">
        <f>#REF!+#REF!</f>
        <v>#REF!</v>
      </c>
      <c r="J305" s="1180" t="e">
        <f>#REF!+#REF!-#REF!</f>
        <v>#REF!</v>
      </c>
    </row>
    <row r="306" spans="1:10">
      <c r="A306" s="124" t="s">
        <v>168</v>
      </c>
      <c r="B306" s="1180" t="e">
        <f t="shared" si="75"/>
        <v>#REF!</v>
      </c>
      <c r="C306" s="1180" t="e">
        <f>#REF!</f>
        <v>#REF!</v>
      </c>
      <c r="D306" s="1180" t="e">
        <f t="shared" si="76"/>
        <v>#REF!</v>
      </c>
      <c r="E306" s="1180" t="e">
        <f t="shared" si="77"/>
        <v>#REF!</v>
      </c>
      <c r="F306" s="1180" t="e">
        <f t="shared" si="78"/>
        <v>#REF!</v>
      </c>
      <c r="G306" s="1180" t="e">
        <f>#REF!</f>
        <v>#REF!</v>
      </c>
      <c r="H306" s="1180" t="e">
        <f>#REF!</f>
        <v>#REF!</v>
      </c>
      <c r="I306" s="1180" t="e">
        <f>#REF!+#REF!</f>
        <v>#REF!</v>
      </c>
      <c r="J306" s="1180" t="e">
        <f>#REF!+#REF!-#REF!</f>
        <v>#REF!</v>
      </c>
    </row>
    <row r="307" spans="1:10" ht="12.75" customHeight="1">
      <c r="A307" s="124" t="s">
        <v>169</v>
      </c>
      <c r="B307" s="1180" t="e">
        <f t="shared" si="75"/>
        <v>#REF!</v>
      </c>
      <c r="C307" s="1180" t="e">
        <f>#REF!</f>
        <v>#REF!</v>
      </c>
      <c r="D307" s="1180" t="e">
        <f t="shared" si="76"/>
        <v>#REF!</v>
      </c>
      <c r="E307" s="1180" t="e">
        <f t="shared" si="77"/>
        <v>#REF!</v>
      </c>
      <c r="F307" s="1180" t="e">
        <f t="shared" si="78"/>
        <v>#REF!</v>
      </c>
      <c r="G307" s="1180" t="e">
        <f>#REF!</f>
        <v>#REF!</v>
      </c>
      <c r="H307" s="1180" t="e">
        <f>#REF!</f>
        <v>#REF!</v>
      </c>
      <c r="I307" s="1180" t="e">
        <f>#REF!+#REF!</f>
        <v>#REF!</v>
      </c>
      <c r="J307" s="1180" t="e">
        <f>#REF!+#REF!-#REF!</f>
        <v>#REF!</v>
      </c>
    </row>
    <row r="308" spans="1:10">
      <c r="A308" s="124" t="s">
        <v>170</v>
      </c>
      <c r="B308" s="1180" t="e">
        <f t="shared" si="75"/>
        <v>#REF!</v>
      </c>
      <c r="C308" s="1180" t="e">
        <f>#REF!</f>
        <v>#REF!</v>
      </c>
      <c r="D308" s="1180" t="e">
        <f t="shared" si="76"/>
        <v>#REF!</v>
      </c>
      <c r="E308" s="1180" t="e">
        <f t="shared" si="77"/>
        <v>#REF!</v>
      </c>
      <c r="F308" s="1180" t="e">
        <f t="shared" si="78"/>
        <v>#REF!</v>
      </c>
      <c r="G308" s="1180" t="e">
        <f>#REF!</f>
        <v>#REF!</v>
      </c>
      <c r="H308" s="1180" t="e">
        <f>#REF!</f>
        <v>#REF!</v>
      </c>
      <c r="I308" s="1180" t="e">
        <f>#REF!+#REF!</f>
        <v>#REF!</v>
      </c>
      <c r="J308" s="1180" t="e">
        <f>#REF!+#REF!-#REF!</f>
        <v>#REF!</v>
      </c>
    </row>
    <row r="309" spans="1:10">
      <c r="A309" s="124" t="s">
        <v>171</v>
      </c>
      <c r="B309" s="1180" t="e">
        <f t="shared" si="75"/>
        <v>#REF!</v>
      </c>
      <c r="C309" s="1180" t="e">
        <f>#REF!</f>
        <v>#REF!</v>
      </c>
      <c r="D309" s="1180" t="e">
        <f t="shared" si="76"/>
        <v>#REF!</v>
      </c>
      <c r="E309" s="1180" t="e">
        <f t="shared" si="77"/>
        <v>#REF!</v>
      </c>
      <c r="F309" s="1180" t="e">
        <f t="shared" si="78"/>
        <v>#REF!</v>
      </c>
      <c r="G309" s="1180" t="e">
        <f>#REF!</f>
        <v>#REF!</v>
      </c>
      <c r="H309" s="1180" t="e">
        <f>#REF!</f>
        <v>#REF!</v>
      </c>
      <c r="I309" s="1180" t="e">
        <f>#REF!+#REF!</f>
        <v>#REF!</v>
      </c>
      <c r="J309" s="1180" t="e">
        <f>#REF!+#REF!-#REF!</f>
        <v>#REF!</v>
      </c>
    </row>
    <row r="310" spans="1:10">
      <c r="A310" s="127">
        <v>2003</v>
      </c>
      <c r="B310" s="1180" t="e">
        <f>C310+D310</f>
        <v>#REF!</v>
      </c>
      <c r="C310" s="1180" t="e">
        <f>#REF!</f>
        <v>#REF!</v>
      </c>
      <c r="D310" s="1180" t="e">
        <f>E310-J310</f>
        <v>#REF!</v>
      </c>
      <c r="E310" s="1180" t="e">
        <f t="shared" si="77"/>
        <v>#REF!</v>
      </c>
      <c r="F310" s="1180" t="e">
        <f t="shared" si="78"/>
        <v>#REF!</v>
      </c>
      <c r="G310" s="1180" t="e">
        <f>#REF!</f>
        <v>#REF!</v>
      </c>
      <c r="H310" s="1180" t="e">
        <f>#REF!</f>
        <v>#REF!</v>
      </c>
      <c r="I310" s="1180" t="e">
        <f>#REF!+#REF!</f>
        <v>#REF!</v>
      </c>
      <c r="J310" s="1180" t="e">
        <f>#REF!+#REF!-#REF!</f>
        <v>#REF!</v>
      </c>
    </row>
    <row r="311" spans="1:10">
      <c r="A311" s="1176">
        <v>2004</v>
      </c>
      <c r="B311" s="1180"/>
      <c r="C311" s="1180"/>
      <c r="D311" s="1180"/>
      <c r="E311" s="1180"/>
      <c r="F311" s="1180"/>
      <c r="G311" s="1180"/>
      <c r="H311" s="1180"/>
      <c r="I311" s="1180"/>
      <c r="J311" s="1180"/>
    </row>
    <row r="312" spans="1:10">
      <c r="A312" s="124" t="s">
        <v>161</v>
      </c>
      <c r="B312" s="1175" t="e">
        <f t="shared" si="75"/>
        <v>#REF!</v>
      </c>
      <c r="C312" s="1180" t="e">
        <f>#REF!</f>
        <v>#REF!</v>
      </c>
      <c r="D312" s="1180" t="e">
        <f t="shared" si="76"/>
        <v>#REF!</v>
      </c>
      <c r="E312" s="1180" t="e">
        <f t="shared" si="77"/>
        <v>#REF!</v>
      </c>
      <c r="F312" s="1180" t="e">
        <f t="shared" si="78"/>
        <v>#REF!</v>
      </c>
      <c r="G312" s="1180" t="e">
        <f>#REF!</f>
        <v>#REF!</v>
      </c>
      <c r="H312" s="1180" t="e">
        <f>#REF!</f>
        <v>#REF!</v>
      </c>
      <c r="I312" s="1180" t="e">
        <f>#REF!+#REF!</f>
        <v>#REF!</v>
      </c>
      <c r="J312" s="1180" t="e">
        <f>#REF!+#REF!-#REF!</f>
        <v>#REF!</v>
      </c>
    </row>
    <row r="313" spans="1:10">
      <c r="A313" s="124" t="s">
        <v>162</v>
      </c>
      <c r="B313" s="1175" t="e">
        <f t="shared" si="75"/>
        <v>#REF!</v>
      </c>
      <c r="C313" s="1180" t="e">
        <f>#REF!</f>
        <v>#REF!</v>
      </c>
      <c r="D313" s="1180" t="e">
        <f t="shared" si="76"/>
        <v>#REF!</v>
      </c>
      <c r="E313" s="1180" t="e">
        <f t="shared" si="77"/>
        <v>#REF!</v>
      </c>
      <c r="F313" s="1180" t="e">
        <f t="shared" si="78"/>
        <v>#REF!</v>
      </c>
      <c r="G313" s="1180" t="e">
        <f>#REF!</f>
        <v>#REF!</v>
      </c>
      <c r="H313" s="1180" t="e">
        <f>#REF!</f>
        <v>#REF!</v>
      </c>
      <c r="I313" s="1180" t="e">
        <f>#REF!+#REF!</f>
        <v>#REF!</v>
      </c>
      <c r="J313" s="1180" t="e">
        <f>#REF!+#REF!-#REF!</f>
        <v>#REF!</v>
      </c>
    </row>
    <row r="314" spans="1:10">
      <c r="A314" s="124" t="s">
        <v>163</v>
      </c>
      <c r="B314" s="1175" t="e">
        <f t="shared" si="75"/>
        <v>#REF!</v>
      </c>
      <c r="C314" s="1180" t="e">
        <f>#REF!</f>
        <v>#REF!</v>
      </c>
      <c r="D314" s="1180" t="e">
        <f t="shared" si="76"/>
        <v>#REF!</v>
      </c>
      <c r="E314" s="1180" t="e">
        <f t="shared" si="77"/>
        <v>#REF!</v>
      </c>
      <c r="F314" s="1180" t="e">
        <f t="shared" si="78"/>
        <v>#REF!</v>
      </c>
      <c r="G314" s="1180" t="e">
        <f>#REF!</f>
        <v>#REF!</v>
      </c>
      <c r="H314" s="1180" t="e">
        <f>#REF!</f>
        <v>#REF!</v>
      </c>
      <c r="I314" s="1180" t="e">
        <f>#REF!+#REF!</f>
        <v>#REF!</v>
      </c>
      <c r="J314" s="1180" t="e">
        <f>#REF!+#REF!-#REF!</f>
        <v>#REF!</v>
      </c>
    </row>
    <row r="315" spans="1:10">
      <c r="A315" s="124" t="s">
        <v>164</v>
      </c>
      <c r="B315" s="1175" t="e">
        <f t="shared" si="75"/>
        <v>#REF!</v>
      </c>
      <c r="C315" s="1180" t="e">
        <f>#REF!</f>
        <v>#REF!</v>
      </c>
      <c r="D315" s="1180" t="e">
        <f t="shared" si="76"/>
        <v>#REF!</v>
      </c>
      <c r="E315" s="1180" t="e">
        <f t="shared" si="77"/>
        <v>#REF!</v>
      </c>
      <c r="F315" s="1180" t="e">
        <f t="shared" si="78"/>
        <v>#REF!</v>
      </c>
      <c r="G315" s="1180" t="e">
        <f>#REF!</f>
        <v>#REF!</v>
      </c>
      <c r="H315" s="1180" t="e">
        <f>#REF!</f>
        <v>#REF!</v>
      </c>
      <c r="I315" s="1180" t="e">
        <f>#REF!+#REF!</f>
        <v>#REF!</v>
      </c>
      <c r="J315" s="1180" t="e">
        <f>#REF!+#REF!-#REF!</f>
        <v>#REF!</v>
      </c>
    </row>
    <row r="316" spans="1:10">
      <c r="A316" s="124" t="s">
        <v>165</v>
      </c>
      <c r="B316" s="1175" t="e">
        <f t="shared" si="75"/>
        <v>#REF!</v>
      </c>
      <c r="C316" s="1180" t="e">
        <f>#REF!</f>
        <v>#REF!</v>
      </c>
      <c r="D316" s="1180" t="e">
        <f t="shared" si="76"/>
        <v>#REF!</v>
      </c>
      <c r="E316" s="1180" t="e">
        <f t="shared" si="77"/>
        <v>#REF!</v>
      </c>
      <c r="F316" s="1180" t="e">
        <f t="shared" si="78"/>
        <v>#REF!</v>
      </c>
      <c r="G316" s="1180" t="e">
        <f>#REF!</f>
        <v>#REF!</v>
      </c>
      <c r="H316" s="1180" t="e">
        <f>#REF!</f>
        <v>#REF!</v>
      </c>
      <c r="I316" s="1180" t="e">
        <f>#REF!+#REF!</f>
        <v>#REF!</v>
      </c>
      <c r="J316" s="1180" t="e">
        <f>#REF!+#REF!-#REF!</f>
        <v>#REF!</v>
      </c>
    </row>
    <row r="317" spans="1:10">
      <c r="A317" s="124" t="s">
        <v>166</v>
      </c>
      <c r="B317" s="1175" t="e">
        <f t="shared" si="75"/>
        <v>#REF!</v>
      </c>
      <c r="C317" s="1180" t="e">
        <f>#REF!</f>
        <v>#REF!</v>
      </c>
      <c r="D317" s="1180" t="e">
        <f t="shared" si="76"/>
        <v>#REF!</v>
      </c>
      <c r="E317" s="1180" t="e">
        <f t="shared" si="77"/>
        <v>#REF!</v>
      </c>
      <c r="F317" s="1180" t="e">
        <f t="shared" si="78"/>
        <v>#REF!</v>
      </c>
      <c r="G317" s="1180" t="e">
        <f>#REF!</f>
        <v>#REF!</v>
      </c>
      <c r="H317" s="1180" t="e">
        <f>#REF!</f>
        <v>#REF!</v>
      </c>
      <c r="I317" s="1180" t="e">
        <f>#REF!+#REF!</f>
        <v>#REF!</v>
      </c>
      <c r="J317" s="1180" t="e">
        <f>#REF!+#REF!-#REF!</f>
        <v>#REF!</v>
      </c>
    </row>
    <row r="318" spans="1:10">
      <c r="A318" s="124" t="s">
        <v>167</v>
      </c>
      <c r="B318" s="1175" t="e">
        <f t="shared" si="75"/>
        <v>#REF!</v>
      </c>
      <c r="C318" s="1180" t="e">
        <f>#REF!</f>
        <v>#REF!</v>
      </c>
      <c r="D318" s="1180" t="e">
        <f t="shared" si="76"/>
        <v>#REF!</v>
      </c>
      <c r="E318" s="1180" t="e">
        <f t="shared" si="77"/>
        <v>#REF!</v>
      </c>
      <c r="F318" s="1180" t="e">
        <f t="shared" si="78"/>
        <v>#REF!</v>
      </c>
      <c r="G318" s="1180" t="e">
        <f>#REF!</f>
        <v>#REF!</v>
      </c>
      <c r="H318" s="1180" t="e">
        <f>#REF!</f>
        <v>#REF!</v>
      </c>
      <c r="I318" s="1180" t="e">
        <f>#REF!+#REF!</f>
        <v>#REF!</v>
      </c>
      <c r="J318" s="1180" t="e">
        <f>#REF!+#REF!-#REF!</f>
        <v>#REF!</v>
      </c>
    </row>
    <row r="319" spans="1:10">
      <c r="A319" s="124" t="s">
        <v>168</v>
      </c>
      <c r="B319" s="1175" t="e">
        <f t="shared" si="75"/>
        <v>#REF!</v>
      </c>
      <c r="C319" s="1180" t="e">
        <f>#REF!</f>
        <v>#REF!</v>
      </c>
      <c r="D319" s="1180" t="e">
        <f t="shared" si="76"/>
        <v>#REF!</v>
      </c>
      <c r="E319" s="1180" t="e">
        <f t="shared" si="77"/>
        <v>#REF!</v>
      </c>
      <c r="F319" s="1180" t="e">
        <f t="shared" si="78"/>
        <v>#REF!</v>
      </c>
      <c r="G319" s="1180" t="e">
        <f>#REF!</f>
        <v>#REF!</v>
      </c>
      <c r="H319" s="1180" t="e">
        <f>#REF!</f>
        <v>#REF!</v>
      </c>
      <c r="I319" s="1180" t="e">
        <f>#REF!+#REF!</f>
        <v>#REF!</v>
      </c>
      <c r="J319" s="1180" t="e">
        <f>#REF!+#REF!-#REF!</f>
        <v>#REF!</v>
      </c>
    </row>
    <row r="320" spans="1:10">
      <c r="A320" s="124" t="s">
        <v>169</v>
      </c>
      <c r="B320" s="1175" t="e">
        <f t="shared" si="75"/>
        <v>#REF!</v>
      </c>
      <c r="C320" s="1180" t="e">
        <f>#REF!</f>
        <v>#REF!</v>
      </c>
      <c r="D320" s="1180" t="e">
        <f t="shared" si="76"/>
        <v>#REF!</v>
      </c>
      <c r="E320" s="1180" t="e">
        <f t="shared" si="77"/>
        <v>#REF!</v>
      </c>
      <c r="F320" s="1180" t="e">
        <f t="shared" si="78"/>
        <v>#REF!</v>
      </c>
      <c r="G320" s="1180" t="e">
        <f>#REF!</f>
        <v>#REF!</v>
      </c>
      <c r="H320" s="1180" t="e">
        <f>#REF!</f>
        <v>#REF!</v>
      </c>
      <c r="I320" s="1180" t="e">
        <f>#REF!+#REF!</f>
        <v>#REF!</v>
      </c>
      <c r="J320" s="1180" t="e">
        <f>#REF!+#REF!-#REF!</f>
        <v>#REF!</v>
      </c>
    </row>
    <row r="321" spans="1:10">
      <c r="A321" s="124" t="s">
        <v>170</v>
      </c>
      <c r="B321" s="1175" t="e">
        <f t="shared" si="75"/>
        <v>#REF!</v>
      </c>
      <c r="C321" s="1180" t="e">
        <f>#REF!</f>
        <v>#REF!</v>
      </c>
      <c r="D321" s="1180" t="e">
        <f t="shared" si="76"/>
        <v>#REF!</v>
      </c>
      <c r="E321" s="1180" t="e">
        <f t="shared" si="77"/>
        <v>#REF!</v>
      </c>
      <c r="F321" s="1180" t="e">
        <f t="shared" si="78"/>
        <v>#REF!</v>
      </c>
      <c r="G321" s="1180" t="e">
        <f>#REF!</f>
        <v>#REF!</v>
      </c>
      <c r="H321" s="1180" t="e">
        <f>#REF!</f>
        <v>#REF!</v>
      </c>
      <c r="I321" s="1180" t="e">
        <f>#REF!+#REF!</f>
        <v>#REF!</v>
      </c>
      <c r="J321" s="1180" t="e">
        <f>#REF!+#REF!-#REF!</f>
        <v>#REF!</v>
      </c>
    </row>
    <row r="322" spans="1:10">
      <c r="A322" s="124" t="s">
        <v>171</v>
      </c>
      <c r="B322" s="1175" t="e">
        <f t="shared" si="75"/>
        <v>#REF!</v>
      </c>
      <c r="C322" s="1180" t="e">
        <f>#REF!</f>
        <v>#REF!</v>
      </c>
      <c r="D322" s="1180" t="e">
        <f t="shared" si="76"/>
        <v>#REF!</v>
      </c>
      <c r="E322" s="1180" t="e">
        <f t="shared" si="77"/>
        <v>#REF!</v>
      </c>
      <c r="F322" s="1180" t="e">
        <f t="shared" si="78"/>
        <v>#REF!</v>
      </c>
      <c r="G322" s="1180" t="e">
        <f>#REF!</f>
        <v>#REF!</v>
      </c>
      <c r="H322" s="1180" t="e">
        <f>#REF!</f>
        <v>#REF!</v>
      </c>
      <c r="I322" s="1180" t="e">
        <f>#REF!+#REF!</f>
        <v>#REF!</v>
      </c>
      <c r="J322" s="1180" t="e">
        <f>#REF!+#REF!-#REF!</f>
        <v>#REF!</v>
      </c>
    </row>
    <row r="323" spans="1:10">
      <c r="A323" s="127">
        <v>2004</v>
      </c>
      <c r="B323" s="1175" t="e">
        <f t="shared" si="75"/>
        <v>#REF!</v>
      </c>
      <c r="C323" s="1180" t="e">
        <f>#REF!</f>
        <v>#REF!</v>
      </c>
      <c r="D323" s="1180" t="e">
        <f t="shared" si="76"/>
        <v>#REF!</v>
      </c>
      <c r="E323" s="1180" t="e">
        <f t="shared" si="77"/>
        <v>#REF!</v>
      </c>
      <c r="F323" s="1180" t="e">
        <f t="shared" si="78"/>
        <v>#REF!</v>
      </c>
      <c r="G323" s="1180" t="e">
        <f>#REF!</f>
        <v>#REF!</v>
      </c>
      <c r="H323" s="1180" t="e">
        <f>#REF!</f>
        <v>#REF!</v>
      </c>
      <c r="I323" s="1180" t="e">
        <f>#REF!+#REF!</f>
        <v>#REF!</v>
      </c>
      <c r="J323" s="1180" t="e">
        <f>#REF!+#REF!-#REF!</f>
        <v>#REF!</v>
      </c>
    </row>
    <row r="324" spans="1:10">
      <c r="A324" s="310">
        <v>2005</v>
      </c>
      <c r="B324" s="1175"/>
      <c r="C324" s="1180"/>
      <c r="D324" s="1180"/>
      <c r="E324" s="1180"/>
      <c r="F324" s="1180"/>
      <c r="G324" s="1180"/>
      <c r="H324" s="1180"/>
      <c r="I324" s="1180"/>
      <c r="J324" s="1180"/>
    </row>
    <row r="325" spans="1:10">
      <c r="A325" s="1177" t="s">
        <v>161</v>
      </c>
      <c r="B325" s="1175" t="e">
        <f>C325+D325</f>
        <v>#REF!</v>
      </c>
      <c r="C325" s="1180" t="e">
        <f>#REF!</f>
        <v>#REF!</v>
      </c>
      <c r="D325" s="1180" t="e">
        <f>E325-J325</f>
        <v>#REF!</v>
      </c>
      <c r="E325" s="1180" t="e">
        <f>I325+F325</f>
        <v>#REF!</v>
      </c>
      <c r="F325" s="1180" t="e">
        <f>G325+H325</f>
        <v>#REF!</v>
      </c>
      <c r="G325" s="1180" t="e">
        <f>#REF!</f>
        <v>#REF!</v>
      </c>
      <c r="H325" s="1180" t="e">
        <f>#REF!</f>
        <v>#REF!</v>
      </c>
      <c r="I325" s="1180" t="e">
        <f>#REF!+#REF!</f>
        <v>#REF!</v>
      </c>
      <c r="J325" s="1180" t="e">
        <f>#REF!+#REF!-#REF!</f>
        <v>#REF!</v>
      </c>
    </row>
    <row r="326" spans="1:10">
      <c r="A326" s="1177" t="s">
        <v>162</v>
      </c>
      <c r="B326" s="1175" t="e">
        <f t="shared" si="75"/>
        <v>#REF!</v>
      </c>
      <c r="C326" s="1180" t="e">
        <f>#REF!</f>
        <v>#REF!</v>
      </c>
      <c r="D326" s="1180" t="e">
        <f t="shared" si="76"/>
        <v>#REF!</v>
      </c>
      <c r="E326" s="1180" t="e">
        <f t="shared" si="77"/>
        <v>#REF!</v>
      </c>
      <c r="F326" s="1180" t="e">
        <f t="shared" si="78"/>
        <v>#REF!</v>
      </c>
      <c r="G326" s="1180" t="e">
        <f>#REF!</f>
        <v>#REF!</v>
      </c>
      <c r="H326" s="1180" t="e">
        <f>#REF!</f>
        <v>#REF!</v>
      </c>
      <c r="I326" s="1180" t="e">
        <f>#REF!+#REF!</f>
        <v>#REF!</v>
      </c>
      <c r="J326" s="1180" t="e">
        <f>#REF!+#REF!-#REF!</f>
        <v>#REF!</v>
      </c>
    </row>
    <row r="327" spans="1:10">
      <c r="A327" s="1222" t="s">
        <v>163</v>
      </c>
      <c r="B327" s="1175" t="e">
        <f t="shared" si="75"/>
        <v>#REF!</v>
      </c>
      <c r="C327" s="1180" t="e">
        <f>#REF!</f>
        <v>#REF!</v>
      </c>
      <c r="D327" s="1180" t="e">
        <f t="shared" si="76"/>
        <v>#REF!</v>
      </c>
      <c r="E327" s="1180" t="e">
        <f t="shared" si="77"/>
        <v>#REF!</v>
      </c>
      <c r="F327" s="1180" t="e">
        <f t="shared" si="78"/>
        <v>#REF!</v>
      </c>
      <c r="G327" s="1180" t="e">
        <f>#REF!</f>
        <v>#REF!</v>
      </c>
      <c r="H327" s="1180" t="e">
        <f>#REF!</f>
        <v>#REF!</v>
      </c>
      <c r="I327" s="1180" t="e">
        <f>#REF!+#REF!</f>
        <v>#REF!</v>
      </c>
      <c r="J327" s="1180" t="e">
        <f>#REF!+#REF!-#REF!</f>
        <v>#REF!</v>
      </c>
    </row>
    <row r="328" spans="1:10">
      <c r="A328" s="1222" t="s">
        <v>164</v>
      </c>
      <c r="B328" s="1175" t="e">
        <f t="shared" si="75"/>
        <v>#REF!</v>
      </c>
      <c r="C328" s="1180" t="e">
        <f>#REF!</f>
        <v>#REF!</v>
      </c>
      <c r="D328" s="1180" t="e">
        <f t="shared" si="76"/>
        <v>#REF!</v>
      </c>
      <c r="E328" s="1180" t="e">
        <f t="shared" si="77"/>
        <v>#REF!</v>
      </c>
      <c r="F328" s="1180" t="e">
        <f t="shared" si="78"/>
        <v>#REF!</v>
      </c>
      <c r="G328" s="1180" t="e">
        <f>#REF!</f>
        <v>#REF!</v>
      </c>
      <c r="H328" s="1180" t="e">
        <f>#REF!</f>
        <v>#REF!</v>
      </c>
      <c r="I328" s="1180" t="e">
        <f>#REF!+#REF!</f>
        <v>#REF!</v>
      </c>
      <c r="J328" s="1180" t="e">
        <f>#REF!+#REF!-#REF!</f>
        <v>#REF!</v>
      </c>
    </row>
    <row r="329" spans="1:10">
      <c r="A329" s="1222" t="s">
        <v>165</v>
      </c>
      <c r="B329" s="1175" t="e">
        <f t="shared" si="75"/>
        <v>#REF!</v>
      </c>
      <c r="C329" s="1180" t="e">
        <f>#REF!</f>
        <v>#REF!</v>
      </c>
      <c r="D329" s="1180" t="e">
        <f t="shared" si="76"/>
        <v>#REF!</v>
      </c>
      <c r="E329" s="1180" t="e">
        <f t="shared" si="77"/>
        <v>#REF!</v>
      </c>
      <c r="F329" s="1180" t="e">
        <f t="shared" si="78"/>
        <v>#REF!</v>
      </c>
      <c r="G329" s="1180" t="e">
        <f>#REF!</f>
        <v>#REF!</v>
      </c>
      <c r="H329" s="1180" t="e">
        <f>#REF!</f>
        <v>#REF!</v>
      </c>
      <c r="I329" s="1180" t="e">
        <f>#REF!+#REF!</f>
        <v>#REF!</v>
      </c>
      <c r="J329" s="1180" t="e">
        <f>#REF!+#REF!-#REF!</f>
        <v>#REF!</v>
      </c>
    </row>
    <row r="330" spans="1:10">
      <c r="A330" s="1222" t="s">
        <v>166</v>
      </c>
      <c r="B330" s="1175" t="e">
        <f t="shared" si="75"/>
        <v>#REF!</v>
      </c>
      <c r="C330" s="1180" t="e">
        <f>#REF!</f>
        <v>#REF!</v>
      </c>
      <c r="D330" s="1180" t="e">
        <f t="shared" si="76"/>
        <v>#REF!</v>
      </c>
      <c r="E330" s="1180" t="e">
        <f t="shared" si="77"/>
        <v>#REF!</v>
      </c>
      <c r="F330" s="1180" t="e">
        <f t="shared" si="78"/>
        <v>#REF!</v>
      </c>
      <c r="G330" s="1180" t="e">
        <f>#REF!</f>
        <v>#REF!</v>
      </c>
      <c r="H330" s="1180" t="e">
        <f>#REF!</f>
        <v>#REF!</v>
      </c>
      <c r="I330" s="1180" t="e">
        <f>#REF!+#REF!</f>
        <v>#REF!</v>
      </c>
      <c r="J330" s="1180" t="e">
        <f>#REF!+#REF!-#REF!</f>
        <v>#REF!</v>
      </c>
    </row>
    <row r="331" spans="1:10">
      <c r="A331" s="1222" t="s">
        <v>167</v>
      </c>
      <c r="B331" s="1175" t="e">
        <f t="shared" si="75"/>
        <v>#REF!</v>
      </c>
      <c r="C331" s="1180" t="e">
        <f>#REF!</f>
        <v>#REF!</v>
      </c>
      <c r="D331" s="1180" t="e">
        <f t="shared" si="76"/>
        <v>#REF!</v>
      </c>
      <c r="E331" s="1180" t="e">
        <f t="shared" si="77"/>
        <v>#REF!</v>
      </c>
      <c r="F331" s="1180" t="e">
        <f t="shared" si="78"/>
        <v>#REF!</v>
      </c>
      <c r="G331" s="1180" t="e">
        <f>#REF!</f>
        <v>#REF!</v>
      </c>
      <c r="H331" s="1180" t="e">
        <f>#REF!</f>
        <v>#REF!</v>
      </c>
      <c r="I331" s="1180" t="e">
        <f>#REF!+#REF!</f>
        <v>#REF!</v>
      </c>
      <c r="J331" s="1180" t="e">
        <f>#REF!+#REF!-#REF!</f>
        <v>#REF!</v>
      </c>
    </row>
    <row r="332" spans="1:10">
      <c r="A332" s="1222" t="s">
        <v>168</v>
      </c>
      <c r="B332" s="1175" t="e">
        <f t="shared" si="75"/>
        <v>#REF!</v>
      </c>
      <c r="C332" s="1180" t="e">
        <f>#REF!</f>
        <v>#REF!</v>
      </c>
      <c r="D332" s="1180" t="e">
        <f t="shared" si="76"/>
        <v>#REF!</v>
      </c>
      <c r="E332" s="1180" t="e">
        <f t="shared" si="77"/>
        <v>#REF!</v>
      </c>
      <c r="F332" s="1180" t="e">
        <f t="shared" si="78"/>
        <v>#REF!</v>
      </c>
      <c r="G332" s="1180" t="e">
        <f>#REF!</f>
        <v>#REF!</v>
      </c>
      <c r="H332" s="1180" t="e">
        <f>#REF!</f>
        <v>#REF!</v>
      </c>
      <c r="I332" s="1180" t="e">
        <f>#REF!+#REF!</f>
        <v>#REF!</v>
      </c>
      <c r="J332" s="1180" t="e">
        <f>#REF!+#REF!-#REF!</f>
        <v>#REF!</v>
      </c>
    </row>
    <row r="333" spans="1:10">
      <c r="A333" s="1222" t="s">
        <v>169</v>
      </c>
      <c r="B333" s="1175" t="e">
        <f t="shared" si="75"/>
        <v>#REF!</v>
      </c>
      <c r="C333" s="1180" t="e">
        <f>#REF!</f>
        <v>#REF!</v>
      </c>
      <c r="D333" s="1180" t="e">
        <f t="shared" si="76"/>
        <v>#REF!</v>
      </c>
      <c r="E333" s="1180" t="e">
        <f t="shared" si="77"/>
        <v>#REF!</v>
      </c>
      <c r="F333" s="1180" t="e">
        <f t="shared" si="78"/>
        <v>#REF!</v>
      </c>
      <c r="G333" s="1180" t="e">
        <f>#REF!</f>
        <v>#REF!</v>
      </c>
      <c r="H333" s="1180" t="e">
        <f>#REF!</f>
        <v>#REF!</v>
      </c>
      <c r="I333" s="1180" t="e">
        <f>#REF!+#REF!</f>
        <v>#REF!</v>
      </c>
      <c r="J333" s="1180" t="e">
        <f>#REF!+#REF!-#REF!</f>
        <v>#REF!</v>
      </c>
    </row>
    <row r="334" spans="1:10">
      <c r="A334" s="1222" t="s">
        <v>170</v>
      </c>
      <c r="B334" s="1175" t="e">
        <f t="shared" si="75"/>
        <v>#REF!</v>
      </c>
      <c r="C334" s="1180" t="e">
        <f>#REF!</f>
        <v>#REF!</v>
      </c>
      <c r="D334" s="1180" t="e">
        <f t="shared" si="76"/>
        <v>#REF!</v>
      </c>
      <c r="E334" s="1180" t="e">
        <f t="shared" si="77"/>
        <v>#REF!</v>
      </c>
      <c r="F334" s="1180" t="e">
        <f t="shared" si="78"/>
        <v>#REF!</v>
      </c>
      <c r="G334" s="1180" t="e">
        <f>#REF!</f>
        <v>#REF!</v>
      </c>
      <c r="H334" s="1180" t="e">
        <f>#REF!</f>
        <v>#REF!</v>
      </c>
      <c r="I334" s="1180" t="e">
        <f>#REF!+#REF!</f>
        <v>#REF!</v>
      </c>
      <c r="J334" s="1180" t="e">
        <f>#REF!+#REF!-#REF!</f>
        <v>#REF!</v>
      </c>
    </row>
    <row r="335" spans="1:10">
      <c r="A335" s="1222" t="s">
        <v>171</v>
      </c>
      <c r="B335" s="1175" t="e">
        <f t="shared" si="75"/>
        <v>#REF!</v>
      </c>
      <c r="C335" s="1180" t="e">
        <f>#REF!</f>
        <v>#REF!</v>
      </c>
      <c r="D335" s="1180" t="e">
        <f t="shared" si="76"/>
        <v>#REF!</v>
      </c>
      <c r="E335" s="1180" t="e">
        <f t="shared" si="77"/>
        <v>#REF!</v>
      </c>
      <c r="F335" s="1180" t="e">
        <f t="shared" si="78"/>
        <v>#REF!</v>
      </c>
      <c r="G335" s="1180" t="e">
        <f>#REF!</f>
        <v>#REF!</v>
      </c>
      <c r="H335" s="1180" t="e">
        <f>#REF!</f>
        <v>#REF!</v>
      </c>
      <c r="I335" s="1180" t="e">
        <f>#REF!+#REF!</f>
        <v>#REF!</v>
      </c>
      <c r="J335" s="1180" t="e">
        <f>#REF!+#REF!-#REF!</f>
        <v>#REF!</v>
      </c>
    </row>
    <row r="336" spans="1:10">
      <c r="A336" s="310">
        <v>2005</v>
      </c>
      <c r="B336" s="1175" t="e">
        <f t="shared" si="75"/>
        <v>#REF!</v>
      </c>
      <c r="C336" s="1180" t="e">
        <f>#REF!</f>
        <v>#REF!</v>
      </c>
      <c r="D336" s="1180" t="e">
        <f t="shared" si="76"/>
        <v>#REF!</v>
      </c>
      <c r="E336" s="1180" t="e">
        <f t="shared" si="77"/>
        <v>#REF!</v>
      </c>
      <c r="F336" s="1180" t="e">
        <f t="shared" si="78"/>
        <v>#REF!</v>
      </c>
      <c r="G336" s="1180" t="e">
        <f>#REF!</f>
        <v>#REF!</v>
      </c>
      <c r="H336" s="1180" t="e">
        <f>#REF!</f>
        <v>#REF!</v>
      </c>
      <c r="I336" s="1180" t="e">
        <f>#REF!+#REF!</f>
        <v>#REF!</v>
      </c>
      <c r="J336" s="1180" t="e">
        <f>#REF!+#REF!-#REF!</f>
        <v>#REF!</v>
      </c>
    </row>
    <row r="337" spans="1:10">
      <c r="A337" s="310">
        <v>2006</v>
      </c>
      <c r="B337" s="1175"/>
      <c r="C337" s="1180"/>
      <c r="D337" s="1180"/>
      <c r="E337" s="1180"/>
      <c r="F337" s="1180"/>
      <c r="G337" s="1180"/>
      <c r="H337" s="1180"/>
      <c r="I337" s="1180"/>
      <c r="J337" s="1180"/>
    </row>
    <row r="338" spans="1:10">
      <c r="A338" s="1222" t="s">
        <v>161</v>
      </c>
      <c r="B338" s="1175" t="e">
        <f t="shared" ref="B338:B367" si="79">C338+D338</f>
        <v>#REF!</v>
      </c>
      <c r="C338" s="1180" t="e">
        <f>#REF!</f>
        <v>#REF!</v>
      </c>
      <c r="D338" s="1180" t="e">
        <f t="shared" ref="D338:D367" si="80">E338-J338</f>
        <v>#REF!</v>
      </c>
      <c r="E338" s="1180" t="e">
        <f t="shared" ref="E338:E367" si="81">I338+F338</f>
        <v>#REF!</v>
      </c>
      <c r="F338" s="1180" t="e">
        <f t="shared" ref="F338:F367" si="82">G338+H338</f>
        <v>#REF!</v>
      </c>
      <c r="G338" s="1180" t="e">
        <f>#REF!</f>
        <v>#REF!</v>
      </c>
      <c r="H338" s="1180" t="e">
        <f>#REF!</f>
        <v>#REF!</v>
      </c>
      <c r="I338" s="1180" t="e">
        <f>#REF!+#REF!</f>
        <v>#REF!</v>
      </c>
      <c r="J338" s="1180" t="e">
        <f>#REF!+#REF!-#REF!</f>
        <v>#REF!</v>
      </c>
    </row>
    <row r="339" spans="1:10">
      <c r="A339" s="1172" t="s">
        <v>162</v>
      </c>
      <c r="B339" s="1175" t="e">
        <f t="shared" si="79"/>
        <v>#REF!</v>
      </c>
      <c r="C339" s="1180" t="e">
        <f>#REF!</f>
        <v>#REF!</v>
      </c>
      <c r="D339" s="1180" t="e">
        <f t="shared" si="80"/>
        <v>#REF!</v>
      </c>
      <c r="E339" s="1180" t="e">
        <f t="shared" si="81"/>
        <v>#REF!</v>
      </c>
      <c r="F339" s="1180" t="e">
        <f t="shared" si="82"/>
        <v>#REF!</v>
      </c>
      <c r="G339" s="1180" t="e">
        <f>#REF!</f>
        <v>#REF!</v>
      </c>
      <c r="H339" s="1180" t="e">
        <f>#REF!</f>
        <v>#REF!</v>
      </c>
      <c r="I339" s="1180" t="e">
        <f>#REF!+#REF!</f>
        <v>#REF!</v>
      </c>
      <c r="J339" s="1180" t="e">
        <f>#REF!+#REF!-#REF!</f>
        <v>#REF!</v>
      </c>
    </row>
    <row r="340" spans="1:10">
      <c r="A340" s="1172" t="s">
        <v>163</v>
      </c>
      <c r="B340" s="1175" t="e">
        <f t="shared" si="79"/>
        <v>#REF!</v>
      </c>
      <c r="C340" s="1180" t="e">
        <f>#REF!</f>
        <v>#REF!</v>
      </c>
      <c r="D340" s="1180" t="e">
        <f t="shared" si="80"/>
        <v>#REF!</v>
      </c>
      <c r="E340" s="1180" t="e">
        <f t="shared" si="81"/>
        <v>#REF!</v>
      </c>
      <c r="F340" s="1180" t="e">
        <f t="shared" si="82"/>
        <v>#REF!</v>
      </c>
      <c r="G340" s="1180" t="e">
        <f>#REF!</f>
        <v>#REF!</v>
      </c>
      <c r="H340" s="1180" t="e">
        <f>#REF!</f>
        <v>#REF!</v>
      </c>
      <c r="I340" s="1180" t="e">
        <f>#REF!+#REF!</f>
        <v>#REF!</v>
      </c>
      <c r="J340" s="1180" t="e">
        <f>#REF!+#REF!-#REF!</f>
        <v>#REF!</v>
      </c>
    </row>
    <row r="341" spans="1:10">
      <c r="A341" s="1222" t="s">
        <v>164</v>
      </c>
      <c r="B341" s="1175" t="e">
        <f t="shared" si="79"/>
        <v>#REF!</v>
      </c>
      <c r="C341" s="1180" t="e">
        <f>#REF!</f>
        <v>#REF!</v>
      </c>
      <c r="D341" s="1180" t="e">
        <f t="shared" si="80"/>
        <v>#REF!</v>
      </c>
      <c r="E341" s="1180" t="e">
        <f t="shared" si="81"/>
        <v>#REF!</v>
      </c>
      <c r="F341" s="1180" t="e">
        <f t="shared" si="82"/>
        <v>#REF!</v>
      </c>
      <c r="G341" s="1180" t="e">
        <f>#REF!</f>
        <v>#REF!</v>
      </c>
      <c r="H341" s="1180" t="e">
        <f>#REF!</f>
        <v>#REF!</v>
      </c>
      <c r="I341" s="1180" t="e">
        <f>#REF!+#REF!</f>
        <v>#REF!</v>
      </c>
      <c r="J341" s="1180" t="e">
        <f>#REF!+#REF!-#REF!</f>
        <v>#REF!</v>
      </c>
    </row>
    <row r="342" spans="1:10">
      <c r="A342" s="1222" t="s">
        <v>165</v>
      </c>
      <c r="B342" s="1175" t="e">
        <f t="shared" si="79"/>
        <v>#REF!</v>
      </c>
      <c r="C342" s="1180" t="e">
        <f>#REF!</f>
        <v>#REF!</v>
      </c>
      <c r="D342" s="1180" t="e">
        <f t="shared" si="80"/>
        <v>#REF!</v>
      </c>
      <c r="E342" s="1180" t="e">
        <f t="shared" si="81"/>
        <v>#REF!</v>
      </c>
      <c r="F342" s="1180" t="e">
        <f t="shared" si="82"/>
        <v>#REF!</v>
      </c>
      <c r="G342" s="1180" t="e">
        <f>#REF!</f>
        <v>#REF!</v>
      </c>
      <c r="H342" s="1180" t="e">
        <f>#REF!</f>
        <v>#REF!</v>
      </c>
      <c r="I342" s="1180" t="e">
        <f>#REF!+#REF!</f>
        <v>#REF!</v>
      </c>
      <c r="J342" s="1180" t="e">
        <f>#REF!+#REF!-#REF!</f>
        <v>#REF!</v>
      </c>
    </row>
    <row r="343" spans="1:10">
      <c r="A343" s="1222" t="s">
        <v>166</v>
      </c>
      <c r="B343" s="1175" t="e">
        <f t="shared" si="79"/>
        <v>#REF!</v>
      </c>
      <c r="C343" s="1180" t="e">
        <f>#REF!</f>
        <v>#REF!</v>
      </c>
      <c r="D343" s="1180" t="e">
        <f t="shared" si="80"/>
        <v>#REF!</v>
      </c>
      <c r="E343" s="1180" t="e">
        <f t="shared" si="81"/>
        <v>#REF!</v>
      </c>
      <c r="F343" s="1180" t="e">
        <f t="shared" si="82"/>
        <v>#REF!</v>
      </c>
      <c r="G343" s="1180" t="e">
        <f>#REF!</f>
        <v>#REF!</v>
      </c>
      <c r="H343" s="1180" t="e">
        <f>#REF!</f>
        <v>#REF!</v>
      </c>
      <c r="I343" s="1180" t="e">
        <f>#REF!+#REF!</f>
        <v>#REF!</v>
      </c>
      <c r="J343" s="1180" t="e">
        <f>#REF!+#REF!-#REF!</f>
        <v>#REF!</v>
      </c>
    </row>
    <row r="344" spans="1:10">
      <c r="A344" s="1231" t="s">
        <v>167</v>
      </c>
      <c r="B344" s="1175" t="e">
        <f>C344+D344</f>
        <v>#REF!</v>
      </c>
      <c r="C344" s="1180" t="e">
        <f>#REF!</f>
        <v>#REF!</v>
      </c>
      <c r="D344" s="1180" t="e">
        <f>E344-J344</f>
        <v>#REF!</v>
      </c>
      <c r="E344" s="1180" t="e">
        <f>I344+F344</f>
        <v>#REF!</v>
      </c>
      <c r="F344" s="1180" t="e">
        <f>G344+H344</f>
        <v>#REF!</v>
      </c>
      <c r="G344" s="1180" t="e">
        <f>#REF!</f>
        <v>#REF!</v>
      </c>
      <c r="H344" s="1180" t="e">
        <f>#REF!</f>
        <v>#REF!</v>
      </c>
      <c r="I344" s="1180" t="e">
        <f>#REF!+#REF!</f>
        <v>#REF!</v>
      </c>
      <c r="J344" s="1180" t="e">
        <f>#REF!+#REF!-#REF!</f>
        <v>#REF!</v>
      </c>
    </row>
    <row r="345" spans="1:10">
      <c r="A345" s="1231" t="s">
        <v>168</v>
      </c>
      <c r="B345" s="1175" t="e">
        <f>C345+D345</f>
        <v>#REF!</v>
      </c>
      <c r="C345" s="1180" t="e">
        <f>#REF!</f>
        <v>#REF!</v>
      </c>
      <c r="D345" s="1180" t="e">
        <f>E345-J345</f>
        <v>#REF!</v>
      </c>
      <c r="E345" s="1180" t="e">
        <f>I345+F345</f>
        <v>#REF!</v>
      </c>
      <c r="F345" s="1180" t="e">
        <f>G345+H345</f>
        <v>#REF!</v>
      </c>
      <c r="G345" s="1180" t="e">
        <f>#REF!</f>
        <v>#REF!</v>
      </c>
      <c r="H345" s="1180" t="e">
        <f>#REF!</f>
        <v>#REF!</v>
      </c>
      <c r="I345" s="1180" t="e">
        <f>#REF!+#REF!</f>
        <v>#REF!</v>
      </c>
      <c r="J345" s="1180" t="e">
        <f>#REF!+#REF!-#REF!</f>
        <v>#REF!</v>
      </c>
    </row>
    <row r="346" spans="1:10">
      <c r="A346" s="1231" t="s">
        <v>169</v>
      </c>
      <c r="B346" s="1175" t="e">
        <f t="shared" si="79"/>
        <v>#REF!</v>
      </c>
      <c r="C346" s="1180" t="e">
        <f>#REF!</f>
        <v>#REF!</v>
      </c>
      <c r="D346" s="1180" t="e">
        <f t="shared" si="80"/>
        <v>#REF!</v>
      </c>
      <c r="E346" s="1180" t="e">
        <f t="shared" si="81"/>
        <v>#REF!</v>
      </c>
      <c r="F346" s="1180" t="e">
        <f t="shared" si="82"/>
        <v>#REF!</v>
      </c>
      <c r="G346" s="1180" t="e">
        <f>#REF!</f>
        <v>#REF!</v>
      </c>
      <c r="H346" s="1180" t="e">
        <f>#REF!</f>
        <v>#REF!</v>
      </c>
      <c r="I346" s="1180" t="e">
        <f>#REF!+#REF!</f>
        <v>#REF!</v>
      </c>
      <c r="J346" s="1180" t="e">
        <f>#REF!+#REF!-#REF!</f>
        <v>#REF!</v>
      </c>
    </row>
    <row r="347" spans="1:10">
      <c r="A347" s="1231" t="s">
        <v>170</v>
      </c>
      <c r="B347" s="1175" t="e">
        <f t="shared" si="79"/>
        <v>#REF!</v>
      </c>
      <c r="C347" s="1180" t="e">
        <f>#REF!</f>
        <v>#REF!</v>
      </c>
      <c r="D347" s="1180" t="e">
        <f t="shared" si="80"/>
        <v>#REF!</v>
      </c>
      <c r="E347" s="1180" t="e">
        <f t="shared" si="81"/>
        <v>#REF!</v>
      </c>
      <c r="F347" s="1180" t="e">
        <f t="shared" si="82"/>
        <v>#REF!</v>
      </c>
      <c r="G347" s="1180" t="e">
        <f>#REF!</f>
        <v>#REF!</v>
      </c>
      <c r="H347" s="1180" t="e">
        <f>#REF!</f>
        <v>#REF!</v>
      </c>
      <c r="I347" s="1180" t="e">
        <f>#REF!+#REF!</f>
        <v>#REF!</v>
      </c>
      <c r="J347" s="1180" t="e">
        <f>#REF!+#REF!-#REF!</f>
        <v>#REF!</v>
      </c>
    </row>
    <row r="348" spans="1:10">
      <c r="A348" s="1222" t="s">
        <v>171</v>
      </c>
      <c r="B348" s="1175" t="e">
        <f t="shared" si="79"/>
        <v>#REF!</v>
      </c>
      <c r="C348" s="1180" t="e">
        <f>#REF!</f>
        <v>#REF!</v>
      </c>
      <c r="D348" s="1180" t="e">
        <f t="shared" si="80"/>
        <v>#REF!</v>
      </c>
      <c r="E348" s="1180" t="e">
        <f t="shared" si="81"/>
        <v>#REF!</v>
      </c>
      <c r="F348" s="1180" t="e">
        <f t="shared" si="82"/>
        <v>#REF!</v>
      </c>
      <c r="G348" s="1180" t="e">
        <f>#REF!</f>
        <v>#REF!</v>
      </c>
      <c r="H348" s="1180" t="e">
        <f>#REF!</f>
        <v>#REF!</v>
      </c>
      <c r="I348" s="1180" t="e">
        <f>#REF!+#REF!</f>
        <v>#REF!</v>
      </c>
      <c r="J348" s="1180" t="e">
        <f>#REF!+#REF!-#REF!</f>
        <v>#REF!</v>
      </c>
    </row>
    <row r="349" spans="1:10">
      <c r="A349" s="310">
        <v>2006</v>
      </c>
      <c r="B349" s="1175" t="e">
        <f t="shared" si="79"/>
        <v>#REF!</v>
      </c>
      <c r="C349" s="1180" t="e">
        <f>#REF!</f>
        <v>#REF!</v>
      </c>
      <c r="D349" s="1180" t="e">
        <f t="shared" si="80"/>
        <v>#REF!</v>
      </c>
      <c r="E349" s="1180" t="e">
        <f t="shared" si="81"/>
        <v>#REF!</v>
      </c>
      <c r="F349" s="1180" t="e">
        <f t="shared" si="82"/>
        <v>#REF!</v>
      </c>
      <c r="G349" s="1180" t="e">
        <f>#REF!</f>
        <v>#REF!</v>
      </c>
      <c r="H349" s="1180" t="e">
        <f>#REF!</f>
        <v>#REF!</v>
      </c>
      <c r="I349" s="1180" t="e">
        <f>#REF!+#REF!</f>
        <v>#REF!</v>
      </c>
      <c r="J349" s="1180" t="e">
        <f>#REF!+#REF!-#REF!</f>
        <v>#REF!</v>
      </c>
    </row>
    <row r="350" spans="1:10">
      <c r="A350" s="310">
        <v>2007</v>
      </c>
      <c r="B350" s="1175"/>
      <c r="C350" s="1180"/>
      <c r="D350" s="1180"/>
      <c r="E350" s="1180"/>
      <c r="F350" s="1180"/>
      <c r="G350" s="1180"/>
      <c r="H350" s="1180"/>
      <c r="I350" s="1180"/>
      <c r="J350" s="1180"/>
    </row>
    <row r="351" spans="1:10">
      <c r="A351" s="1222" t="s">
        <v>161</v>
      </c>
      <c r="B351" s="1175" t="e">
        <f t="shared" si="79"/>
        <v>#REF!</v>
      </c>
      <c r="C351" s="1180" t="e">
        <f>#REF!</f>
        <v>#REF!</v>
      </c>
      <c r="D351" s="1180" t="e">
        <f t="shared" si="80"/>
        <v>#REF!</v>
      </c>
      <c r="E351" s="1180" t="e">
        <f t="shared" si="81"/>
        <v>#REF!</v>
      </c>
      <c r="F351" s="1180" t="e">
        <f t="shared" si="82"/>
        <v>#REF!</v>
      </c>
      <c r="G351" s="1180" t="e">
        <f>#REF!</f>
        <v>#REF!</v>
      </c>
      <c r="H351" s="1180" t="e">
        <f>#REF!</f>
        <v>#REF!</v>
      </c>
      <c r="I351" s="1180" t="e">
        <f>#REF!+#REF!</f>
        <v>#REF!</v>
      </c>
      <c r="J351" s="1180" t="e">
        <f>#REF!+#REF!-#REF!</f>
        <v>#REF!</v>
      </c>
    </row>
    <row r="352" spans="1:10">
      <c r="A352" s="1222" t="s">
        <v>162</v>
      </c>
      <c r="B352" s="1175" t="e">
        <f t="shared" si="79"/>
        <v>#REF!</v>
      </c>
      <c r="C352" s="1180" t="e">
        <f>#REF!</f>
        <v>#REF!</v>
      </c>
      <c r="D352" s="1180" t="e">
        <f t="shared" si="80"/>
        <v>#REF!</v>
      </c>
      <c r="E352" s="1180" t="e">
        <f t="shared" si="81"/>
        <v>#REF!</v>
      </c>
      <c r="F352" s="1180" t="e">
        <f t="shared" si="82"/>
        <v>#REF!</v>
      </c>
      <c r="G352" s="1180" t="e">
        <f>#REF!</f>
        <v>#REF!</v>
      </c>
      <c r="H352" s="1180" t="e">
        <f>#REF!</f>
        <v>#REF!</v>
      </c>
      <c r="I352" s="1180" t="e">
        <f>#REF!+#REF!</f>
        <v>#REF!</v>
      </c>
      <c r="J352" s="1180" t="e">
        <f>#REF!+#REF!-#REF!</f>
        <v>#REF!</v>
      </c>
    </row>
    <row r="353" spans="1:10">
      <c r="A353" s="1326" t="s">
        <v>163</v>
      </c>
      <c r="B353" s="1175" t="e">
        <f t="shared" si="79"/>
        <v>#REF!</v>
      </c>
      <c r="C353" s="1180" t="e">
        <f>#REF!</f>
        <v>#REF!</v>
      </c>
      <c r="D353" s="1180" t="e">
        <f t="shared" si="80"/>
        <v>#REF!</v>
      </c>
      <c r="E353" s="1180" t="e">
        <f t="shared" si="81"/>
        <v>#REF!</v>
      </c>
      <c r="F353" s="1180" t="e">
        <f t="shared" si="82"/>
        <v>#REF!</v>
      </c>
      <c r="G353" s="1180" t="e">
        <f>#REF!</f>
        <v>#REF!</v>
      </c>
      <c r="H353" s="1180" t="e">
        <f>#REF!</f>
        <v>#REF!</v>
      </c>
      <c r="I353" s="1180" t="e">
        <f>#REF!+#REF!</f>
        <v>#REF!</v>
      </c>
      <c r="J353" s="1180" t="e">
        <f>#REF!+#REF!-#REF!</f>
        <v>#REF!</v>
      </c>
    </row>
    <row r="354" spans="1:10">
      <c r="A354" s="1326" t="s">
        <v>164</v>
      </c>
      <c r="B354" s="1175" t="e">
        <f t="shared" si="79"/>
        <v>#REF!</v>
      </c>
      <c r="C354" s="1180" t="e">
        <f>#REF!</f>
        <v>#REF!</v>
      </c>
      <c r="D354" s="1180" t="e">
        <f t="shared" si="80"/>
        <v>#REF!</v>
      </c>
      <c r="E354" s="1180" t="e">
        <f t="shared" si="81"/>
        <v>#REF!</v>
      </c>
      <c r="F354" s="1180" t="e">
        <f t="shared" si="82"/>
        <v>#REF!</v>
      </c>
      <c r="G354" s="1180" t="e">
        <f>#REF!</f>
        <v>#REF!</v>
      </c>
      <c r="H354" s="1180" t="e">
        <f>#REF!</f>
        <v>#REF!</v>
      </c>
      <c r="I354" s="1180" t="e">
        <f>#REF!+#REF!</f>
        <v>#REF!</v>
      </c>
      <c r="J354" s="1180" t="e">
        <f>#REF!+#REF!-#REF!</f>
        <v>#REF!</v>
      </c>
    </row>
    <row r="355" spans="1:10">
      <c r="A355" s="1326" t="s">
        <v>165</v>
      </c>
      <c r="B355" s="1175" t="e">
        <f t="shared" si="79"/>
        <v>#REF!</v>
      </c>
      <c r="C355" s="1180" t="e">
        <f>#REF!</f>
        <v>#REF!</v>
      </c>
      <c r="D355" s="1180" t="e">
        <f t="shared" si="80"/>
        <v>#REF!</v>
      </c>
      <c r="E355" s="1180" t="e">
        <f t="shared" si="81"/>
        <v>#REF!</v>
      </c>
      <c r="F355" s="1180" t="e">
        <f t="shared" si="82"/>
        <v>#REF!</v>
      </c>
      <c r="G355" s="1180" t="e">
        <f>#REF!</f>
        <v>#REF!</v>
      </c>
      <c r="H355" s="1180" t="e">
        <f>#REF!</f>
        <v>#REF!</v>
      </c>
      <c r="I355" s="1180" t="e">
        <f>#REF!+#REF!</f>
        <v>#REF!</v>
      </c>
      <c r="J355" s="1180" t="e">
        <f>#REF!+#REF!-#REF!</f>
        <v>#REF!</v>
      </c>
    </row>
    <row r="356" spans="1:10">
      <c r="A356" s="1326" t="s">
        <v>166</v>
      </c>
      <c r="B356" s="1175" t="e">
        <f t="shared" si="79"/>
        <v>#REF!</v>
      </c>
      <c r="C356" s="1180" t="e">
        <f>#REF!</f>
        <v>#REF!</v>
      </c>
      <c r="D356" s="1180" t="e">
        <f t="shared" si="80"/>
        <v>#REF!</v>
      </c>
      <c r="E356" s="1180" t="e">
        <f t="shared" si="81"/>
        <v>#REF!</v>
      </c>
      <c r="F356" s="1180" t="e">
        <f t="shared" si="82"/>
        <v>#REF!</v>
      </c>
      <c r="G356" s="1180" t="e">
        <f>#REF!</f>
        <v>#REF!</v>
      </c>
      <c r="H356" s="1180" t="e">
        <f>#REF!</f>
        <v>#REF!</v>
      </c>
      <c r="I356" s="1180" t="e">
        <f>#REF!+#REF!</f>
        <v>#REF!</v>
      </c>
      <c r="J356" s="1180" t="e">
        <f>#REF!+#REF!-#REF!</f>
        <v>#REF!</v>
      </c>
    </row>
    <row r="357" spans="1:10">
      <c r="A357" s="1326" t="s">
        <v>167</v>
      </c>
      <c r="B357" s="1175" t="e">
        <f t="shared" si="79"/>
        <v>#REF!</v>
      </c>
      <c r="C357" s="1180" t="e">
        <f>#REF!</f>
        <v>#REF!</v>
      </c>
      <c r="D357" s="1180" t="e">
        <f t="shared" si="80"/>
        <v>#REF!</v>
      </c>
      <c r="E357" s="1180" t="e">
        <f t="shared" si="81"/>
        <v>#REF!</v>
      </c>
      <c r="F357" s="1180" t="e">
        <f t="shared" si="82"/>
        <v>#REF!</v>
      </c>
      <c r="G357" s="1180" t="e">
        <f>#REF!</f>
        <v>#REF!</v>
      </c>
      <c r="H357" s="1180" t="e">
        <f>#REF!</f>
        <v>#REF!</v>
      </c>
      <c r="I357" s="1180" t="e">
        <f>#REF!+#REF!</f>
        <v>#REF!</v>
      </c>
      <c r="J357" s="1180" t="e">
        <f>#REF!+#REF!-#REF!</f>
        <v>#REF!</v>
      </c>
    </row>
    <row r="358" spans="1:10">
      <c r="A358" s="1326" t="s">
        <v>168</v>
      </c>
      <c r="B358" s="1175" t="e">
        <f t="shared" si="79"/>
        <v>#REF!</v>
      </c>
      <c r="C358" s="1180" t="e">
        <f>#REF!</f>
        <v>#REF!</v>
      </c>
      <c r="D358" s="1180" t="e">
        <f t="shared" si="80"/>
        <v>#REF!</v>
      </c>
      <c r="E358" s="1180" t="e">
        <f t="shared" si="81"/>
        <v>#REF!</v>
      </c>
      <c r="F358" s="1180" t="e">
        <f t="shared" si="82"/>
        <v>#REF!</v>
      </c>
      <c r="G358" s="1180" t="e">
        <f>#REF!</f>
        <v>#REF!</v>
      </c>
      <c r="H358" s="1180" t="e">
        <f>#REF!</f>
        <v>#REF!</v>
      </c>
      <c r="I358" s="1180" t="e">
        <f>#REF!+#REF!</f>
        <v>#REF!</v>
      </c>
      <c r="J358" s="1180" t="e">
        <f>#REF!+#REF!-#REF!</f>
        <v>#REF!</v>
      </c>
    </row>
    <row r="359" spans="1:10">
      <c r="A359" s="1326" t="s">
        <v>169</v>
      </c>
      <c r="B359" s="1175" t="e">
        <f t="shared" si="79"/>
        <v>#REF!</v>
      </c>
      <c r="C359" s="1180" t="e">
        <f>#REF!</f>
        <v>#REF!</v>
      </c>
      <c r="D359" s="1180" t="e">
        <f t="shared" si="80"/>
        <v>#REF!</v>
      </c>
      <c r="E359" s="1180" t="e">
        <f t="shared" si="81"/>
        <v>#REF!</v>
      </c>
      <c r="F359" s="1180" t="e">
        <f t="shared" si="82"/>
        <v>#REF!</v>
      </c>
      <c r="G359" s="1180" t="e">
        <f>#REF!</f>
        <v>#REF!</v>
      </c>
      <c r="H359" s="1180" t="e">
        <f>#REF!</f>
        <v>#REF!</v>
      </c>
      <c r="I359" s="1180" t="e">
        <f>#REF!+#REF!</f>
        <v>#REF!</v>
      </c>
      <c r="J359" s="1180" t="e">
        <f>#REF!+#REF!-#REF!</f>
        <v>#REF!</v>
      </c>
    </row>
    <row r="360" spans="1:10">
      <c r="A360" s="1326" t="s">
        <v>170</v>
      </c>
      <c r="B360" s="1175" t="e">
        <f t="shared" si="79"/>
        <v>#REF!</v>
      </c>
      <c r="C360" s="1180" t="e">
        <f>#REF!</f>
        <v>#REF!</v>
      </c>
      <c r="D360" s="1180" t="e">
        <f t="shared" si="80"/>
        <v>#REF!</v>
      </c>
      <c r="E360" s="1180" t="e">
        <f t="shared" si="81"/>
        <v>#REF!</v>
      </c>
      <c r="F360" s="1180" t="e">
        <f t="shared" si="82"/>
        <v>#REF!</v>
      </c>
      <c r="G360" s="1180" t="e">
        <f>#REF!</f>
        <v>#REF!</v>
      </c>
      <c r="H360" s="1180" t="e">
        <f>#REF!</f>
        <v>#REF!</v>
      </c>
      <c r="I360" s="1180" t="e">
        <f>#REF!+#REF!</f>
        <v>#REF!</v>
      </c>
      <c r="J360" s="1180" t="e">
        <f>#REF!+#REF!-#REF!</f>
        <v>#REF!</v>
      </c>
    </row>
    <row r="361" spans="1:10">
      <c r="A361" s="1326" t="s">
        <v>171</v>
      </c>
      <c r="B361" s="1175" t="e">
        <f t="shared" si="79"/>
        <v>#REF!</v>
      </c>
      <c r="C361" s="1180" t="e">
        <f>#REF!</f>
        <v>#REF!</v>
      </c>
      <c r="D361" s="1180" t="e">
        <f t="shared" si="80"/>
        <v>#REF!</v>
      </c>
      <c r="E361" s="1180" t="e">
        <f t="shared" si="81"/>
        <v>#REF!</v>
      </c>
      <c r="F361" s="1180" t="e">
        <f t="shared" si="82"/>
        <v>#REF!</v>
      </c>
      <c r="G361" s="1180" t="e">
        <f>#REF!</f>
        <v>#REF!</v>
      </c>
      <c r="H361" s="1180" t="e">
        <f>#REF!</f>
        <v>#REF!</v>
      </c>
      <c r="I361" s="1180" t="e">
        <f>#REF!+#REF!</f>
        <v>#REF!</v>
      </c>
      <c r="J361" s="1180" t="e">
        <f>#REF!+#REF!-#REF!</f>
        <v>#REF!</v>
      </c>
    </row>
    <row r="362" spans="1:10">
      <c r="A362" s="1397">
        <v>2007</v>
      </c>
      <c r="B362" s="1175" t="e">
        <f t="shared" si="79"/>
        <v>#REF!</v>
      </c>
      <c r="C362" s="1180" t="e">
        <f>#REF!</f>
        <v>#REF!</v>
      </c>
      <c r="D362" s="1180" t="e">
        <f t="shared" si="80"/>
        <v>#REF!</v>
      </c>
      <c r="E362" s="1180" t="e">
        <f t="shared" si="81"/>
        <v>#REF!</v>
      </c>
      <c r="F362" s="1180" t="e">
        <f t="shared" si="82"/>
        <v>#REF!</v>
      </c>
      <c r="G362" s="1180" t="e">
        <f>#REF!</f>
        <v>#REF!</v>
      </c>
      <c r="H362" s="1180" t="e">
        <f>#REF!</f>
        <v>#REF!</v>
      </c>
      <c r="I362" s="1180" t="e">
        <f>#REF!+#REF!</f>
        <v>#REF!</v>
      </c>
      <c r="J362" s="1180" t="e">
        <f>#REF!+#REF!-#REF!</f>
        <v>#REF!</v>
      </c>
    </row>
    <row r="363" spans="1:10">
      <c r="A363" s="1397">
        <v>2008</v>
      </c>
      <c r="B363" s="1175"/>
      <c r="C363" s="1180"/>
      <c r="D363" s="1180"/>
      <c r="E363" s="1180"/>
      <c r="F363" s="1180"/>
      <c r="G363" s="1180"/>
      <c r="H363" s="1180"/>
      <c r="I363" s="1180"/>
      <c r="J363" s="1180"/>
    </row>
    <row r="364" spans="1:10">
      <c r="A364" s="1326" t="s">
        <v>161</v>
      </c>
      <c r="B364" s="1175" t="e">
        <f t="shared" si="79"/>
        <v>#REF!</v>
      </c>
      <c r="C364" s="1180" t="e">
        <f>#REF!</f>
        <v>#REF!</v>
      </c>
      <c r="D364" s="1180" t="e">
        <f t="shared" si="80"/>
        <v>#REF!</v>
      </c>
      <c r="E364" s="1180" t="e">
        <f t="shared" si="81"/>
        <v>#REF!</v>
      </c>
      <c r="F364" s="1180" t="e">
        <f t="shared" si="82"/>
        <v>#REF!</v>
      </c>
      <c r="G364" s="1180" t="e">
        <f>#REF!</f>
        <v>#REF!</v>
      </c>
      <c r="H364" s="1180" t="e">
        <f>#REF!</f>
        <v>#REF!</v>
      </c>
      <c r="I364" s="1180" t="e">
        <f>#REF!+#REF!</f>
        <v>#REF!</v>
      </c>
      <c r="J364" s="1180" t="e">
        <f>#REF!+#REF!-#REF!</f>
        <v>#REF!</v>
      </c>
    </row>
    <row r="365" spans="1:10">
      <c r="A365" s="1326" t="s">
        <v>162</v>
      </c>
      <c r="B365" s="1175" t="e">
        <f t="shared" si="79"/>
        <v>#REF!</v>
      </c>
      <c r="C365" s="1180" t="e">
        <f>#REF!</f>
        <v>#REF!</v>
      </c>
      <c r="D365" s="1180" t="e">
        <f t="shared" si="80"/>
        <v>#REF!</v>
      </c>
      <c r="E365" s="1180" t="e">
        <f t="shared" si="81"/>
        <v>#REF!</v>
      </c>
      <c r="F365" s="1180" t="e">
        <f t="shared" si="82"/>
        <v>#REF!</v>
      </c>
      <c r="G365" s="1180" t="e">
        <f>#REF!</f>
        <v>#REF!</v>
      </c>
      <c r="H365" s="1180" t="e">
        <f>#REF!</f>
        <v>#REF!</v>
      </c>
      <c r="I365" s="1180" t="e">
        <f>#REF!+#REF!</f>
        <v>#REF!</v>
      </c>
      <c r="J365" s="1180" t="e">
        <f>#REF!+#REF!-#REF!</f>
        <v>#REF!</v>
      </c>
    </row>
    <row r="366" spans="1:10">
      <c r="A366" s="1326" t="s">
        <v>163</v>
      </c>
      <c r="B366" s="1175" t="e">
        <f t="shared" si="79"/>
        <v>#REF!</v>
      </c>
      <c r="C366" s="1180" t="e">
        <f>#REF!</f>
        <v>#REF!</v>
      </c>
      <c r="D366" s="1180" t="e">
        <f t="shared" si="80"/>
        <v>#REF!</v>
      </c>
      <c r="E366" s="1180" t="e">
        <f t="shared" si="81"/>
        <v>#REF!</v>
      </c>
      <c r="F366" s="1180" t="e">
        <f t="shared" si="82"/>
        <v>#REF!</v>
      </c>
      <c r="G366" s="1180" t="e">
        <f>#REF!</f>
        <v>#REF!</v>
      </c>
      <c r="H366" s="1180" t="e">
        <f>#REF!</f>
        <v>#REF!</v>
      </c>
      <c r="I366" s="1180" t="e">
        <f>#REF!+#REF!</f>
        <v>#REF!</v>
      </c>
      <c r="J366" s="1180" t="e">
        <f>#REF!+#REF!-#REF!</f>
        <v>#REF!</v>
      </c>
    </row>
    <row r="367" spans="1:10">
      <c r="A367" s="1326" t="s">
        <v>164</v>
      </c>
      <c r="B367" s="1175" t="e">
        <f t="shared" si="79"/>
        <v>#REF!</v>
      </c>
      <c r="C367" s="1180" t="e">
        <f>#REF!</f>
        <v>#REF!</v>
      </c>
      <c r="D367" s="1180" t="e">
        <f t="shared" si="80"/>
        <v>#REF!</v>
      </c>
      <c r="E367" s="1180" t="e">
        <f t="shared" si="81"/>
        <v>#REF!</v>
      </c>
      <c r="F367" s="1180" t="e">
        <f t="shared" si="82"/>
        <v>#REF!</v>
      </c>
      <c r="G367" s="1180" t="e">
        <f>#REF!</f>
        <v>#REF!</v>
      </c>
      <c r="H367" s="1180" t="e">
        <f>#REF!</f>
        <v>#REF!</v>
      </c>
      <c r="I367" s="1180" t="e">
        <f>#REF!+#REF!</f>
        <v>#REF!</v>
      </c>
      <c r="J367" s="1180" t="e">
        <f>#REF!+#REF!-#REF!</f>
        <v>#REF!</v>
      </c>
    </row>
    <row r="368" spans="1:10">
      <c r="A368" s="1399"/>
      <c r="B368" s="4520" t="s">
        <v>194</v>
      </c>
      <c r="C368" s="4518"/>
      <c r="D368" s="4518"/>
      <c r="E368" s="4518"/>
      <c r="F368" s="4518"/>
      <c r="G368" s="4518"/>
      <c r="H368" s="4518"/>
      <c r="I368" s="4518"/>
      <c r="J368" s="4519"/>
    </row>
    <row r="369" spans="1:10">
      <c r="A369" s="1176">
        <v>2001</v>
      </c>
      <c r="B369" s="672"/>
      <c r="C369" s="672"/>
      <c r="D369" s="672"/>
      <c r="E369" s="672"/>
      <c r="F369" s="672"/>
      <c r="G369" s="672"/>
      <c r="H369" s="672"/>
      <c r="I369" s="672"/>
      <c r="J369" s="1183"/>
    </row>
    <row r="370" spans="1:10">
      <c r="A370" s="662" t="s">
        <v>148</v>
      </c>
      <c r="B370" s="1183" t="e">
        <f>((B284-B271)/B271)*100</f>
        <v>#REF!</v>
      </c>
      <c r="C370" s="1183" t="e">
        <f t="shared" ref="C370:J370" si="83">((C284-C271)/C271)*100</f>
        <v>#REF!</v>
      </c>
      <c r="D370" s="1183" t="e">
        <f t="shared" si="83"/>
        <v>#REF!</v>
      </c>
      <c r="E370" s="1183" t="e">
        <f t="shared" si="83"/>
        <v>#REF!</v>
      </c>
      <c r="F370" s="1183" t="e">
        <f>-((F284-F271)/F271)*100</f>
        <v>#REF!</v>
      </c>
      <c r="G370" s="1183" t="e">
        <f>-((G284-G271)/G271)*100</f>
        <v>#REF!</v>
      </c>
      <c r="H370" s="1183" t="e">
        <f t="shared" si="83"/>
        <v>#REF!</v>
      </c>
      <c r="I370" s="1183" t="e">
        <f t="shared" si="83"/>
        <v>#REF!</v>
      </c>
      <c r="J370" s="1183" t="e">
        <f t="shared" si="83"/>
        <v>#REF!</v>
      </c>
    </row>
    <row r="371" spans="1:10">
      <c r="A371" s="1176">
        <v>2002</v>
      </c>
      <c r="B371" s="1183"/>
      <c r="C371" s="1183"/>
      <c r="D371" s="1183"/>
      <c r="E371" s="1183"/>
      <c r="F371" s="1183"/>
      <c r="G371" s="1183"/>
      <c r="H371" s="1183"/>
      <c r="I371" s="1183"/>
      <c r="J371" s="1183"/>
    </row>
    <row r="372" spans="1:10">
      <c r="A372" s="662" t="s">
        <v>161</v>
      </c>
      <c r="B372" s="1183">
        <f t="shared" ref="B372:E383" si="84">((B286-B273)/B273)*100</f>
        <v>15.35541022787697</v>
      </c>
      <c r="C372" s="1183">
        <f t="shared" si="84"/>
        <v>10.763585066736473</v>
      </c>
      <c r="D372" s="1183">
        <f t="shared" si="84"/>
        <v>0.34911564828837394</v>
      </c>
      <c r="E372" s="1183">
        <f t="shared" si="84"/>
        <v>85.524301026484437</v>
      </c>
      <c r="F372" s="1183">
        <f t="shared" ref="F372:G387" si="85">-((F286-F273)/F273)*100</f>
        <v>23.961079775033266</v>
      </c>
      <c r="G372" s="1183">
        <f t="shared" si="85"/>
        <v>15.880390143737166</v>
      </c>
      <c r="H372" s="1183">
        <f t="shared" ref="H372:J382" si="86">((H286-H273)/H273)*100</f>
        <v>13.818138181381814</v>
      </c>
      <c r="I372" s="1183">
        <f t="shared" si="86"/>
        <v>16.042354135692779</v>
      </c>
      <c r="J372" s="1183">
        <f t="shared" si="86"/>
        <v>13.058425059922874</v>
      </c>
    </row>
    <row r="373" spans="1:10">
      <c r="A373" s="662" t="s">
        <v>162</v>
      </c>
      <c r="B373" s="1183">
        <f t="shared" si="84"/>
        <v>26.198904618230507</v>
      </c>
      <c r="C373" s="1183">
        <f t="shared" si="84"/>
        <v>21.73207296477424</v>
      </c>
      <c r="D373" s="1183">
        <f t="shared" si="84"/>
        <v>10.441132040309837</v>
      </c>
      <c r="E373" s="1183">
        <f t="shared" si="84"/>
        <v>74.982803543512176</v>
      </c>
      <c r="F373" s="1183">
        <f t="shared" si="85"/>
        <v>28.16437979432882</v>
      </c>
      <c r="G373" s="1183">
        <f t="shared" si="85"/>
        <v>24.285228046289994</v>
      </c>
      <c r="H373" s="1183">
        <f t="shared" si="86"/>
        <v>-12.437378131093455</v>
      </c>
      <c r="I373" s="1183">
        <f t="shared" si="86"/>
        <v>21.880230376764086</v>
      </c>
      <c r="J373" s="1183">
        <f t="shared" si="86"/>
        <v>24.199579211165361</v>
      </c>
    </row>
    <row r="374" spans="1:10">
      <c r="A374" s="662" t="s">
        <v>163</v>
      </c>
      <c r="B374" s="1183">
        <f t="shared" si="84"/>
        <v>9.5984441025763143</v>
      </c>
      <c r="C374" s="1183">
        <f t="shared" si="84"/>
        <v>8.1000673035508317</v>
      </c>
      <c r="D374" s="1183">
        <f t="shared" si="84"/>
        <v>3.7592166595169654</v>
      </c>
      <c r="E374" s="1183">
        <f t="shared" si="84"/>
        <v>111.8821650543705</v>
      </c>
      <c r="F374" s="1183">
        <f t="shared" si="85"/>
        <v>57.26117905418198</v>
      </c>
      <c r="G374" s="1183">
        <f t="shared" si="85"/>
        <v>46.119529709738231</v>
      </c>
      <c r="H374" s="1183">
        <f t="shared" si="86"/>
        <v>-10.808783824323505</v>
      </c>
      <c r="I374" s="1183">
        <f t="shared" si="86"/>
        <v>24.268084000568766</v>
      </c>
      <c r="J374" s="1183">
        <f t="shared" si="86"/>
        <v>27.610851808634791</v>
      </c>
    </row>
    <row r="375" spans="1:10">
      <c r="A375" s="662" t="s">
        <v>164</v>
      </c>
      <c r="B375" s="1183">
        <f t="shared" si="84"/>
        <v>6.2516573320369657</v>
      </c>
      <c r="C375" s="1183">
        <f t="shared" si="84"/>
        <v>6.2133153039780176</v>
      </c>
      <c r="D375" s="1183">
        <f t="shared" si="84"/>
        <v>6.1100363902003343</v>
      </c>
      <c r="E375" s="1183">
        <f t="shared" si="84"/>
        <v>73.296474394486751</v>
      </c>
      <c r="F375" s="1183">
        <f t="shared" si="85"/>
        <v>14.870231666956975</v>
      </c>
      <c r="G375" s="1183">
        <f t="shared" si="85"/>
        <v>14.309926870277465</v>
      </c>
      <c r="H375" s="1183">
        <f t="shared" si="86"/>
        <v>-12.376401286328255</v>
      </c>
      <c r="I375" s="1183">
        <f t="shared" si="86"/>
        <v>23.932336619951844</v>
      </c>
      <c r="J375" s="1183">
        <f t="shared" si="86"/>
        <v>19.296349533226483</v>
      </c>
    </row>
    <row r="376" spans="1:10">
      <c r="A376" s="662" t="s">
        <v>165</v>
      </c>
      <c r="B376" s="1183" t="e">
        <f t="shared" si="84"/>
        <v>#REF!</v>
      </c>
      <c r="C376" s="1183">
        <f t="shared" si="84"/>
        <v>14.401738057559754</v>
      </c>
      <c r="D376" s="1183" t="e">
        <f t="shared" si="84"/>
        <v>#REF!</v>
      </c>
      <c r="E376" s="1183" t="e">
        <f t="shared" si="84"/>
        <v>#REF!</v>
      </c>
      <c r="F376" s="1183">
        <f t="shared" si="85"/>
        <v>-6.669132357144071</v>
      </c>
      <c r="G376" s="1183">
        <f t="shared" si="85"/>
        <v>0.11104522667241365</v>
      </c>
      <c r="H376" s="1183">
        <f t="shared" si="86"/>
        <v>-12.23250781437847</v>
      </c>
      <c r="I376" s="1183" t="e">
        <f t="shared" si="86"/>
        <v>#REF!</v>
      </c>
      <c r="J376" s="1183" t="e">
        <f t="shared" si="86"/>
        <v>#REF!</v>
      </c>
    </row>
    <row r="377" spans="1:10">
      <c r="A377" s="1178" t="s">
        <v>166</v>
      </c>
      <c r="B377" s="1183" t="e">
        <f t="shared" si="84"/>
        <v>#REF!</v>
      </c>
      <c r="C377" s="1183">
        <f t="shared" si="84"/>
        <v>12.194706194663969</v>
      </c>
      <c r="D377" s="1183" t="e">
        <f t="shared" si="84"/>
        <v>#REF!</v>
      </c>
      <c r="E377" s="1183" t="e">
        <f t="shared" si="84"/>
        <v>#REF!</v>
      </c>
      <c r="F377" s="1183" t="e">
        <f t="shared" si="85"/>
        <v>#REF!</v>
      </c>
      <c r="G377" s="1183" t="e">
        <f t="shared" si="85"/>
        <v>#REF!</v>
      </c>
      <c r="H377" s="1183" t="e">
        <f t="shared" si="86"/>
        <v>#REF!</v>
      </c>
      <c r="I377" s="1183" t="e">
        <f t="shared" si="86"/>
        <v>#REF!</v>
      </c>
      <c r="J377" s="1183" t="e">
        <f t="shared" si="86"/>
        <v>#REF!</v>
      </c>
    </row>
    <row r="378" spans="1:10">
      <c r="A378" s="662" t="s">
        <v>167</v>
      </c>
      <c r="B378" s="1183" t="e">
        <f t="shared" si="84"/>
        <v>#REF!</v>
      </c>
      <c r="C378" s="1183">
        <f t="shared" si="84"/>
        <v>23.033975161107385</v>
      </c>
      <c r="D378" s="1183" t="e">
        <f t="shared" si="84"/>
        <v>#REF!</v>
      </c>
      <c r="E378" s="1183" t="e">
        <f t="shared" si="84"/>
        <v>#REF!</v>
      </c>
      <c r="F378" s="1183" t="e">
        <f t="shared" si="85"/>
        <v>#REF!</v>
      </c>
      <c r="G378" s="1183" t="e">
        <f t="shared" si="85"/>
        <v>#REF!</v>
      </c>
      <c r="H378" s="1183" t="e">
        <f t="shared" si="86"/>
        <v>#REF!</v>
      </c>
      <c r="I378" s="1183" t="e">
        <f t="shared" si="86"/>
        <v>#REF!</v>
      </c>
      <c r="J378" s="1183" t="e">
        <f t="shared" si="86"/>
        <v>#REF!</v>
      </c>
    </row>
    <row r="379" spans="1:10">
      <c r="A379" s="662" t="s">
        <v>168</v>
      </c>
      <c r="B379" s="1183" t="e">
        <f t="shared" si="84"/>
        <v>#REF!</v>
      </c>
      <c r="C379" s="1183" t="e">
        <f t="shared" si="84"/>
        <v>#REF!</v>
      </c>
      <c r="D379" s="1183" t="e">
        <f t="shared" si="84"/>
        <v>#REF!</v>
      </c>
      <c r="E379" s="1183" t="e">
        <f t="shared" si="84"/>
        <v>#REF!</v>
      </c>
      <c r="F379" s="1183" t="e">
        <f t="shared" si="85"/>
        <v>#REF!</v>
      </c>
      <c r="G379" s="1183" t="e">
        <f t="shared" si="85"/>
        <v>#REF!</v>
      </c>
      <c r="H379" s="1183" t="e">
        <f t="shared" si="86"/>
        <v>#REF!</v>
      </c>
      <c r="I379" s="1183" t="e">
        <f t="shared" si="86"/>
        <v>#REF!</v>
      </c>
      <c r="J379" s="1183" t="e">
        <f t="shared" si="86"/>
        <v>#REF!</v>
      </c>
    </row>
    <row r="380" spans="1:10">
      <c r="A380" s="662" t="s">
        <v>169</v>
      </c>
      <c r="B380" s="1183" t="e">
        <f t="shared" si="84"/>
        <v>#REF!</v>
      </c>
      <c r="C380" s="1183" t="e">
        <f t="shared" si="84"/>
        <v>#REF!</v>
      </c>
      <c r="D380" s="1183" t="e">
        <f t="shared" si="84"/>
        <v>#REF!</v>
      </c>
      <c r="E380" s="1183" t="e">
        <f t="shared" si="84"/>
        <v>#REF!</v>
      </c>
      <c r="F380" s="1183" t="e">
        <f t="shared" si="85"/>
        <v>#REF!</v>
      </c>
      <c r="G380" s="1183" t="e">
        <f t="shared" si="85"/>
        <v>#REF!</v>
      </c>
      <c r="H380" s="1183" t="e">
        <f t="shared" si="86"/>
        <v>#REF!</v>
      </c>
      <c r="I380" s="1183" t="e">
        <f t="shared" si="86"/>
        <v>#REF!</v>
      </c>
      <c r="J380" s="1183" t="e">
        <f t="shared" si="86"/>
        <v>#REF!</v>
      </c>
    </row>
    <row r="381" spans="1:10">
      <c r="A381" s="662" t="s">
        <v>170</v>
      </c>
      <c r="B381" s="1183" t="e">
        <f t="shared" si="84"/>
        <v>#REF!</v>
      </c>
      <c r="C381" s="1183" t="e">
        <f t="shared" si="84"/>
        <v>#REF!</v>
      </c>
      <c r="D381" s="1183" t="e">
        <f t="shared" si="84"/>
        <v>#REF!</v>
      </c>
      <c r="E381" s="1183" t="e">
        <f t="shared" si="84"/>
        <v>#REF!</v>
      </c>
      <c r="F381" s="1183" t="e">
        <f t="shared" si="85"/>
        <v>#REF!</v>
      </c>
      <c r="G381" s="1183" t="e">
        <f t="shared" si="85"/>
        <v>#REF!</v>
      </c>
      <c r="H381" s="1183" t="e">
        <f t="shared" si="86"/>
        <v>#REF!</v>
      </c>
      <c r="I381" s="1183" t="e">
        <f t="shared" si="86"/>
        <v>#REF!</v>
      </c>
      <c r="J381" s="1183" t="e">
        <f t="shared" si="86"/>
        <v>#REF!</v>
      </c>
    </row>
    <row r="382" spans="1:10">
      <c r="A382" s="662" t="s">
        <v>171</v>
      </c>
      <c r="B382" s="1183" t="e">
        <f t="shared" si="84"/>
        <v>#REF!</v>
      </c>
      <c r="C382" s="1183" t="e">
        <f t="shared" si="84"/>
        <v>#REF!</v>
      </c>
      <c r="D382" s="1183" t="e">
        <f t="shared" si="84"/>
        <v>#REF!</v>
      </c>
      <c r="E382" s="1183" t="e">
        <f t="shared" si="84"/>
        <v>#REF!</v>
      </c>
      <c r="F382" s="1183" t="e">
        <f t="shared" si="85"/>
        <v>#REF!</v>
      </c>
      <c r="G382" s="1183" t="e">
        <f t="shared" si="85"/>
        <v>#REF!</v>
      </c>
      <c r="H382" s="1183" t="e">
        <f t="shared" si="86"/>
        <v>#REF!</v>
      </c>
      <c r="I382" s="1183" t="e">
        <f t="shared" si="86"/>
        <v>#REF!</v>
      </c>
      <c r="J382" s="1183" t="e">
        <f t="shared" si="86"/>
        <v>#REF!</v>
      </c>
    </row>
    <row r="383" spans="1:10">
      <c r="A383" s="127">
        <v>2002</v>
      </c>
      <c r="B383" s="1183" t="e">
        <f t="shared" si="84"/>
        <v>#REF!</v>
      </c>
      <c r="C383" s="1183" t="e">
        <f t="shared" si="84"/>
        <v>#REF!</v>
      </c>
      <c r="D383" s="1183" t="e">
        <f t="shared" si="84"/>
        <v>#REF!</v>
      </c>
      <c r="E383" s="1183" t="e">
        <f t="shared" si="84"/>
        <v>#REF!</v>
      </c>
      <c r="F383" s="1183" t="e">
        <f t="shared" si="85"/>
        <v>#REF!</v>
      </c>
      <c r="G383" s="1183" t="e">
        <f t="shared" si="85"/>
        <v>#REF!</v>
      </c>
      <c r="H383" s="1183" t="e">
        <f>((H297-H284)/H284)*100</f>
        <v>#REF!</v>
      </c>
      <c r="I383" s="1183" t="e">
        <f>((I297-I284)/I284)*100</f>
        <v>#REF!</v>
      </c>
      <c r="J383" s="1183" t="e">
        <f>((J297-J284)/J284)*100</f>
        <v>#REF!</v>
      </c>
    </row>
    <row r="384" spans="1:10">
      <c r="A384" s="127">
        <v>2003</v>
      </c>
      <c r="B384" s="1183"/>
      <c r="C384" s="1183"/>
      <c r="D384" s="1183"/>
      <c r="E384" s="1183"/>
      <c r="F384" s="1183"/>
      <c r="G384" s="1183"/>
      <c r="H384" s="1183"/>
      <c r="I384" s="1183"/>
      <c r="J384" s="1183"/>
    </row>
    <row r="385" spans="1:10">
      <c r="A385" s="124" t="s">
        <v>161</v>
      </c>
      <c r="B385" s="1183" t="e">
        <f t="shared" ref="B385:J396" si="87">((B299-B286)/B286)*100</f>
        <v>#REF!</v>
      </c>
      <c r="C385" s="1183" t="e">
        <f t="shared" si="87"/>
        <v>#REF!</v>
      </c>
      <c r="D385" s="1183" t="e">
        <f t="shared" si="87"/>
        <v>#REF!</v>
      </c>
      <c r="E385" s="1183" t="e">
        <f t="shared" si="87"/>
        <v>#REF!</v>
      </c>
      <c r="F385" s="1183" t="e">
        <f t="shared" si="85"/>
        <v>#REF!</v>
      </c>
      <c r="G385" s="1183" t="e">
        <f>-((G299-G286)/G286)*100</f>
        <v>#REF!</v>
      </c>
      <c r="H385" s="1183" t="e">
        <f t="shared" si="87"/>
        <v>#REF!</v>
      </c>
      <c r="I385" s="1183" t="e">
        <f t="shared" si="87"/>
        <v>#REF!</v>
      </c>
      <c r="J385" s="1183" t="e">
        <f t="shared" si="87"/>
        <v>#REF!</v>
      </c>
    </row>
    <row r="386" spans="1:10">
      <c r="A386" s="124" t="s">
        <v>162</v>
      </c>
      <c r="B386" s="1183" t="e">
        <f t="shared" si="87"/>
        <v>#REF!</v>
      </c>
      <c r="C386" s="1183" t="e">
        <f t="shared" si="87"/>
        <v>#REF!</v>
      </c>
      <c r="D386" s="1183" t="e">
        <f t="shared" si="87"/>
        <v>#REF!</v>
      </c>
      <c r="E386" s="1183" t="e">
        <f t="shared" si="87"/>
        <v>#REF!</v>
      </c>
      <c r="F386" s="1183" t="e">
        <f t="shared" si="85"/>
        <v>#REF!</v>
      </c>
      <c r="G386" s="1183" t="e">
        <f t="shared" si="85"/>
        <v>#REF!</v>
      </c>
      <c r="H386" s="1183" t="e">
        <f t="shared" si="87"/>
        <v>#REF!</v>
      </c>
      <c r="I386" s="1183" t="e">
        <f t="shared" si="87"/>
        <v>#REF!</v>
      </c>
      <c r="J386" s="1183" t="e">
        <f t="shared" si="87"/>
        <v>#REF!</v>
      </c>
    </row>
    <row r="387" spans="1:10">
      <c r="A387" s="124" t="s">
        <v>163</v>
      </c>
      <c r="B387" s="1183" t="e">
        <f t="shared" si="87"/>
        <v>#REF!</v>
      </c>
      <c r="C387" s="1183" t="e">
        <f t="shared" si="87"/>
        <v>#REF!</v>
      </c>
      <c r="D387" s="1183" t="e">
        <f t="shared" si="87"/>
        <v>#REF!</v>
      </c>
      <c r="E387" s="1183" t="e">
        <f t="shared" si="87"/>
        <v>#REF!</v>
      </c>
      <c r="F387" s="1183" t="e">
        <f t="shared" si="85"/>
        <v>#REF!</v>
      </c>
      <c r="G387" s="1183" t="e">
        <f t="shared" si="85"/>
        <v>#REF!</v>
      </c>
      <c r="H387" s="1183" t="e">
        <f t="shared" si="87"/>
        <v>#REF!</v>
      </c>
      <c r="I387" s="1183" t="e">
        <f t="shared" si="87"/>
        <v>#REF!</v>
      </c>
      <c r="J387" s="1183" t="e">
        <f t="shared" si="87"/>
        <v>#REF!</v>
      </c>
    </row>
    <row r="388" spans="1:10">
      <c r="A388" s="124" t="s">
        <v>164</v>
      </c>
      <c r="B388" s="1183" t="e">
        <f t="shared" si="87"/>
        <v>#REF!</v>
      </c>
      <c r="C388" s="1183" t="e">
        <f t="shared" si="87"/>
        <v>#REF!</v>
      </c>
      <c r="D388" s="1183" t="e">
        <f t="shared" si="87"/>
        <v>#REF!</v>
      </c>
      <c r="E388" s="1183" t="e">
        <f t="shared" si="87"/>
        <v>#REF!</v>
      </c>
      <c r="F388" s="1183" t="e">
        <f t="shared" ref="F388:G403" si="88">-((F302-F289)/F289)*100</f>
        <v>#REF!</v>
      </c>
      <c r="G388" s="1183" t="e">
        <f t="shared" si="88"/>
        <v>#REF!</v>
      </c>
      <c r="H388" s="1183" t="e">
        <f t="shared" si="87"/>
        <v>#REF!</v>
      </c>
      <c r="I388" s="1183" t="e">
        <f t="shared" si="87"/>
        <v>#REF!</v>
      </c>
      <c r="J388" s="1183" t="e">
        <f t="shared" si="87"/>
        <v>#REF!</v>
      </c>
    </row>
    <row r="389" spans="1:10">
      <c r="A389" s="124" t="s">
        <v>165</v>
      </c>
      <c r="B389" s="1183" t="e">
        <f t="shared" si="87"/>
        <v>#REF!</v>
      </c>
      <c r="C389" s="1183" t="e">
        <f t="shared" si="87"/>
        <v>#REF!</v>
      </c>
      <c r="D389" s="1183" t="e">
        <f t="shared" si="87"/>
        <v>#REF!</v>
      </c>
      <c r="E389" s="1183" t="e">
        <f t="shared" si="87"/>
        <v>#REF!</v>
      </c>
      <c r="F389" s="1183" t="e">
        <f t="shared" si="88"/>
        <v>#REF!</v>
      </c>
      <c r="G389" s="1183" t="e">
        <f t="shared" si="88"/>
        <v>#REF!</v>
      </c>
      <c r="H389" s="1183" t="e">
        <f t="shared" si="87"/>
        <v>#REF!</v>
      </c>
      <c r="I389" s="1183" t="e">
        <f t="shared" si="87"/>
        <v>#REF!</v>
      </c>
      <c r="J389" s="1183" t="e">
        <f t="shared" si="87"/>
        <v>#REF!</v>
      </c>
    </row>
    <row r="390" spans="1:10">
      <c r="A390" s="1220" t="s">
        <v>166</v>
      </c>
      <c r="B390" s="1183" t="e">
        <f t="shared" si="87"/>
        <v>#REF!</v>
      </c>
      <c r="C390" s="1183" t="e">
        <f t="shared" si="87"/>
        <v>#REF!</v>
      </c>
      <c r="D390" s="1183" t="e">
        <f t="shared" si="87"/>
        <v>#REF!</v>
      </c>
      <c r="E390" s="1183" t="e">
        <f t="shared" si="87"/>
        <v>#REF!</v>
      </c>
      <c r="F390" s="1183" t="e">
        <f t="shared" si="88"/>
        <v>#REF!</v>
      </c>
      <c r="G390" s="1183" t="e">
        <f t="shared" si="88"/>
        <v>#REF!</v>
      </c>
      <c r="H390" s="1183" t="e">
        <f t="shared" si="87"/>
        <v>#REF!</v>
      </c>
      <c r="I390" s="1183" t="e">
        <f t="shared" si="87"/>
        <v>#REF!</v>
      </c>
      <c r="J390" s="1183" t="e">
        <f t="shared" si="87"/>
        <v>#REF!</v>
      </c>
    </row>
    <row r="391" spans="1:10">
      <c r="A391" s="124" t="s">
        <v>167</v>
      </c>
      <c r="B391" s="1183" t="e">
        <f t="shared" si="87"/>
        <v>#REF!</v>
      </c>
      <c r="C391" s="1183" t="e">
        <f t="shared" si="87"/>
        <v>#REF!</v>
      </c>
      <c r="D391" s="1183" t="e">
        <f t="shared" si="87"/>
        <v>#REF!</v>
      </c>
      <c r="E391" s="1183" t="e">
        <f t="shared" si="87"/>
        <v>#REF!</v>
      </c>
      <c r="F391" s="1183" t="e">
        <f t="shared" si="88"/>
        <v>#REF!</v>
      </c>
      <c r="G391" s="1183" t="e">
        <f t="shared" si="88"/>
        <v>#REF!</v>
      </c>
      <c r="H391" s="1183" t="e">
        <f t="shared" si="87"/>
        <v>#REF!</v>
      </c>
      <c r="I391" s="1183" t="e">
        <f t="shared" si="87"/>
        <v>#REF!</v>
      </c>
      <c r="J391" s="1183" t="e">
        <f t="shared" si="87"/>
        <v>#REF!</v>
      </c>
    </row>
    <row r="392" spans="1:10">
      <c r="A392" s="124" t="s">
        <v>168</v>
      </c>
      <c r="B392" s="1183" t="e">
        <f t="shared" si="87"/>
        <v>#REF!</v>
      </c>
      <c r="C392" s="1183" t="e">
        <f t="shared" si="87"/>
        <v>#REF!</v>
      </c>
      <c r="D392" s="1183" t="e">
        <f t="shared" si="87"/>
        <v>#REF!</v>
      </c>
      <c r="E392" s="1183" t="e">
        <f t="shared" si="87"/>
        <v>#REF!</v>
      </c>
      <c r="F392" s="1183" t="e">
        <f t="shared" si="88"/>
        <v>#REF!</v>
      </c>
      <c r="G392" s="1183" t="e">
        <f t="shared" si="88"/>
        <v>#REF!</v>
      </c>
      <c r="H392" s="1183" t="e">
        <f t="shared" si="87"/>
        <v>#REF!</v>
      </c>
      <c r="I392" s="1183" t="e">
        <f t="shared" si="87"/>
        <v>#REF!</v>
      </c>
      <c r="J392" s="1183" t="e">
        <f t="shared" si="87"/>
        <v>#REF!</v>
      </c>
    </row>
    <row r="393" spans="1:10">
      <c r="A393" s="124" t="s">
        <v>169</v>
      </c>
      <c r="B393" s="1183" t="e">
        <f t="shared" si="87"/>
        <v>#REF!</v>
      </c>
      <c r="C393" s="1183" t="e">
        <f t="shared" si="87"/>
        <v>#REF!</v>
      </c>
      <c r="D393" s="1183" t="e">
        <f t="shared" si="87"/>
        <v>#REF!</v>
      </c>
      <c r="E393" s="1183" t="e">
        <f t="shared" si="87"/>
        <v>#REF!</v>
      </c>
      <c r="F393" s="1183" t="e">
        <f t="shared" si="88"/>
        <v>#REF!</v>
      </c>
      <c r="G393" s="1183" t="e">
        <f t="shared" si="88"/>
        <v>#REF!</v>
      </c>
      <c r="H393" s="1183" t="e">
        <f t="shared" si="87"/>
        <v>#REF!</v>
      </c>
      <c r="I393" s="1183" t="e">
        <f t="shared" si="87"/>
        <v>#REF!</v>
      </c>
      <c r="J393" s="1183" t="e">
        <f t="shared" si="87"/>
        <v>#REF!</v>
      </c>
    </row>
    <row r="394" spans="1:10">
      <c r="A394" s="124" t="s">
        <v>170</v>
      </c>
      <c r="B394" s="1183" t="e">
        <f t="shared" si="87"/>
        <v>#REF!</v>
      </c>
      <c r="C394" s="1183" t="e">
        <f t="shared" si="87"/>
        <v>#REF!</v>
      </c>
      <c r="D394" s="1183" t="e">
        <f t="shared" si="87"/>
        <v>#REF!</v>
      </c>
      <c r="E394" s="1183" t="e">
        <f t="shared" si="87"/>
        <v>#REF!</v>
      </c>
      <c r="F394" s="1183" t="e">
        <f t="shared" si="88"/>
        <v>#REF!</v>
      </c>
      <c r="G394" s="1183" t="e">
        <f t="shared" si="88"/>
        <v>#REF!</v>
      </c>
      <c r="H394" s="1183" t="e">
        <f t="shared" si="87"/>
        <v>#REF!</v>
      </c>
      <c r="I394" s="1183" t="e">
        <f t="shared" si="87"/>
        <v>#REF!</v>
      </c>
      <c r="J394" s="1183" t="e">
        <f t="shared" si="87"/>
        <v>#REF!</v>
      </c>
    </row>
    <row r="395" spans="1:10">
      <c r="A395" s="124" t="s">
        <v>171</v>
      </c>
      <c r="B395" s="1183" t="e">
        <f t="shared" si="87"/>
        <v>#REF!</v>
      </c>
      <c r="C395" s="1183" t="e">
        <f t="shared" si="87"/>
        <v>#REF!</v>
      </c>
      <c r="D395" s="1183" t="e">
        <f t="shared" si="87"/>
        <v>#REF!</v>
      </c>
      <c r="E395" s="1183" t="e">
        <f t="shared" si="87"/>
        <v>#REF!</v>
      </c>
      <c r="F395" s="1183" t="e">
        <f t="shared" si="88"/>
        <v>#REF!</v>
      </c>
      <c r="G395" s="1183" t="e">
        <f t="shared" si="88"/>
        <v>#REF!</v>
      </c>
      <c r="H395" s="1183" t="e">
        <f t="shared" si="87"/>
        <v>#REF!</v>
      </c>
      <c r="I395" s="1183" t="e">
        <f t="shared" si="87"/>
        <v>#REF!</v>
      </c>
      <c r="J395" s="1183" t="e">
        <f t="shared" si="87"/>
        <v>#REF!</v>
      </c>
    </row>
    <row r="396" spans="1:10">
      <c r="A396" s="127">
        <v>2003</v>
      </c>
      <c r="B396" s="1183" t="e">
        <f t="shared" si="87"/>
        <v>#REF!</v>
      </c>
      <c r="C396" s="1183" t="e">
        <f t="shared" si="87"/>
        <v>#REF!</v>
      </c>
      <c r="D396" s="1183" t="e">
        <f t="shared" si="87"/>
        <v>#REF!</v>
      </c>
      <c r="E396" s="1183" t="e">
        <f t="shared" si="87"/>
        <v>#REF!</v>
      </c>
      <c r="F396" s="1183" t="e">
        <f t="shared" si="88"/>
        <v>#REF!</v>
      </c>
      <c r="G396" s="1183" t="e">
        <f t="shared" si="88"/>
        <v>#REF!</v>
      </c>
      <c r="H396" s="1183" t="e">
        <f t="shared" si="87"/>
        <v>#REF!</v>
      </c>
      <c r="I396" s="1183" t="e">
        <f t="shared" si="87"/>
        <v>#REF!</v>
      </c>
      <c r="J396" s="1183" t="e">
        <f t="shared" si="87"/>
        <v>#REF!</v>
      </c>
    </row>
    <row r="397" spans="1:10">
      <c r="A397" s="310">
        <v>2004</v>
      </c>
      <c r="B397" s="1183"/>
      <c r="C397" s="1183"/>
      <c r="D397" s="1183"/>
      <c r="E397" s="1183"/>
      <c r="F397" s="1183"/>
      <c r="G397" s="1183"/>
      <c r="H397" s="1183"/>
      <c r="I397" s="1183"/>
      <c r="J397" s="1183"/>
    </row>
    <row r="398" spans="1:10">
      <c r="A398" s="124" t="s">
        <v>161</v>
      </c>
      <c r="B398" s="1183" t="e">
        <f>((B312-B299)/B299)*100</f>
        <v>#REF!</v>
      </c>
      <c r="C398" s="1183" t="e">
        <f>((C312-C299)/C299)*100</f>
        <v>#REF!</v>
      </c>
      <c r="D398" s="1183" t="e">
        <f>((D312-D299)/D299)*100</f>
        <v>#REF!</v>
      </c>
      <c r="E398" s="1183" t="e">
        <f>((E312-E299)/E299)*100</f>
        <v>#REF!</v>
      </c>
      <c r="F398" s="1183" t="e">
        <f t="shared" si="88"/>
        <v>#REF!</v>
      </c>
      <c r="G398" s="1183" t="e">
        <f t="shared" si="88"/>
        <v>#REF!</v>
      </c>
      <c r="H398" s="1183" t="e">
        <f>((H312-H299)/H299)*100</f>
        <v>#REF!</v>
      </c>
      <c r="I398" s="1183" t="e">
        <f>((I312-I299)/I299)*100</f>
        <v>#REF!</v>
      </c>
      <c r="J398" s="1183" t="e">
        <f>((J312-J299)/J299)*100</f>
        <v>#REF!</v>
      </c>
    </row>
    <row r="399" spans="1:10">
      <c r="A399" s="124" t="s">
        <v>162</v>
      </c>
      <c r="B399" s="1183" t="e">
        <f t="shared" ref="B399:J409" si="89">((B313-B300)/B300)*100</f>
        <v>#REF!</v>
      </c>
      <c r="C399" s="1183" t="e">
        <f t="shared" si="89"/>
        <v>#REF!</v>
      </c>
      <c r="D399" s="1183" t="e">
        <f t="shared" si="89"/>
        <v>#REF!</v>
      </c>
      <c r="E399" s="1183" t="e">
        <f t="shared" si="89"/>
        <v>#REF!</v>
      </c>
      <c r="F399" s="1183" t="e">
        <f t="shared" si="88"/>
        <v>#REF!</v>
      </c>
      <c r="G399" s="1183" t="e">
        <f t="shared" si="88"/>
        <v>#REF!</v>
      </c>
      <c r="H399" s="1183" t="e">
        <f t="shared" si="89"/>
        <v>#REF!</v>
      </c>
      <c r="I399" s="1183" t="e">
        <f t="shared" si="89"/>
        <v>#REF!</v>
      </c>
      <c r="J399" s="1183" t="e">
        <f t="shared" si="89"/>
        <v>#REF!</v>
      </c>
    </row>
    <row r="400" spans="1:10">
      <c r="A400" s="124" t="s">
        <v>163</v>
      </c>
      <c r="B400" s="1183" t="e">
        <f t="shared" si="89"/>
        <v>#REF!</v>
      </c>
      <c r="C400" s="1183" t="e">
        <f t="shared" si="89"/>
        <v>#REF!</v>
      </c>
      <c r="D400" s="1183" t="e">
        <f t="shared" si="89"/>
        <v>#REF!</v>
      </c>
      <c r="E400" s="1183" t="e">
        <f t="shared" si="89"/>
        <v>#REF!</v>
      </c>
      <c r="F400" s="1183" t="e">
        <f t="shared" si="88"/>
        <v>#REF!</v>
      </c>
      <c r="G400" s="1183" t="e">
        <f t="shared" si="88"/>
        <v>#REF!</v>
      </c>
      <c r="H400" s="1183" t="e">
        <f t="shared" si="89"/>
        <v>#REF!</v>
      </c>
      <c r="I400" s="1183" t="e">
        <f t="shared" si="89"/>
        <v>#REF!</v>
      </c>
      <c r="J400" s="1183" t="e">
        <f t="shared" si="89"/>
        <v>#REF!</v>
      </c>
    </row>
    <row r="401" spans="1:10">
      <c r="A401" s="124" t="s">
        <v>164</v>
      </c>
      <c r="B401" s="1183" t="e">
        <f t="shared" si="89"/>
        <v>#REF!</v>
      </c>
      <c r="C401" s="1183" t="e">
        <f t="shared" si="89"/>
        <v>#REF!</v>
      </c>
      <c r="D401" s="1183" t="e">
        <f t="shared" si="89"/>
        <v>#REF!</v>
      </c>
      <c r="E401" s="1183" t="e">
        <f t="shared" si="89"/>
        <v>#REF!</v>
      </c>
      <c r="F401" s="1183" t="e">
        <f t="shared" si="88"/>
        <v>#REF!</v>
      </c>
      <c r="G401" s="1183" t="e">
        <f t="shared" si="88"/>
        <v>#REF!</v>
      </c>
      <c r="H401" s="1183" t="e">
        <f t="shared" si="89"/>
        <v>#REF!</v>
      </c>
      <c r="I401" s="1183" t="e">
        <f t="shared" si="89"/>
        <v>#REF!</v>
      </c>
      <c r="J401" s="1183" t="e">
        <f t="shared" si="89"/>
        <v>#REF!</v>
      </c>
    </row>
    <row r="402" spans="1:10">
      <c r="A402" s="124" t="s">
        <v>165</v>
      </c>
      <c r="B402" s="1183" t="e">
        <f t="shared" si="89"/>
        <v>#REF!</v>
      </c>
      <c r="C402" s="1183" t="e">
        <f t="shared" si="89"/>
        <v>#REF!</v>
      </c>
      <c r="D402" s="1183" t="e">
        <f t="shared" si="89"/>
        <v>#REF!</v>
      </c>
      <c r="E402" s="1183" t="e">
        <f t="shared" si="89"/>
        <v>#REF!</v>
      </c>
      <c r="F402" s="1183" t="e">
        <f t="shared" si="88"/>
        <v>#REF!</v>
      </c>
      <c r="G402" s="1183" t="e">
        <f t="shared" si="88"/>
        <v>#REF!</v>
      </c>
      <c r="H402" s="1183" t="e">
        <f t="shared" si="89"/>
        <v>#REF!</v>
      </c>
      <c r="I402" s="1183" t="e">
        <f t="shared" si="89"/>
        <v>#REF!</v>
      </c>
      <c r="J402" s="1183" t="e">
        <f t="shared" si="89"/>
        <v>#REF!</v>
      </c>
    </row>
    <row r="403" spans="1:10">
      <c r="A403" s="532" t="s">
        <v>166</v>
      </c>
      <c r="B403" s="1183" t="e">
        <f t="shared" si="89"/>
        <v>#REF!</v>
      </c>
      <c r="C403" s="1183" t="e">
        <f t="shared" si="89"/>
        <v>#REF!</v>
      </c>
      <c r="D403" s="1183" t="e">
        <f t="shared" si="89"/>
        <v>#REF!</v>
      </c>
      <c r="E403" s="1183" t="e">
        <f t="shared" si="89"/>
        <v>#REF!</v>
      </c>
      <c r="F403" s="1183" t="e">
        <f t="shared" si="88"/>
        <v>#REF!</v>
      </c>
      <c r="G403" s="1183" t="e">
        <f t="shared" si="88"/>
        <v>#REF!</v>
      </c>
      <c r="H403" s="1183" t="e">
        <f t="shared" si="89"/>
        <v>#REF!</v>
      </c>
      <c r="I403" s="1183" t="e">
        <f t="shared" si="89"/>
        <v>#REF!</v>
      </c>
      <c r="J403" s="1183" t="e">
        <f t="shared" si="89"/>
        <v>#REF!</v>
      </c>
    </row>
    <row r="404" spans="1:10">
      <c r="A404" s="124" t="s">
        <v>167</v>
      </c>
      <c r="B404" s="1183" t="e">
        <f t="shared" si="89"/>
        <v>#REF!</v>
      </c>
      <c r="C404" s="1183" t="e">
        <f t="shared" si="89"/>
        <v>#REF!</v>
      </c>
      <c r="D404" s="1183" t="e">
        <f t="shared" si="89"/>
        <v>#REF!</v>
      </c>
      <c r="E404" s="1183" t="e">
        <f t="shared" si="89"/>
        <v>#REF!</v>
      </c>
      <c r="F404" s="1183" t="e">
        <f t="shared" ref="F404:G419" si="90">-((F318-F305)/F305)*100</f>
        <v>#REF!</v>
      </c>
      <c r="G404" s="1183" t="e">
        <f t="shared" si="90"/>
        <v>#REF!</v>
      </c>
      <c r="H404" s="1183" t="e">
        <f t="shared" si="89"/>
        <v>#REF!</v>
      </c>
      <c r="I404" s="1183" t="e">
        <f t="shared" si="89"/>
        <v>#REF!</v>
      </c>
      <c r="J404" s="1183" t="e">
        <f t="shared" si="89"/>
        <v>#REF!</v>
      </c>
    </row>
    <row r="405" spans="1:10">
      <c r="A405" s="124" t="s">
        <v>168</v>
      </c>
      <c r="B405" s="1183" t="e">
        <f t="shared" si="89"/>
        <v>#REF!</v>
      </c>
      <c r="C405" s="1183" t="e">
        <f t="shared" si="89"/>
        <v>#REF!</v>
      </c>
      <c r="D405" s="1183" t="e">
        <f t="shared" si="89"/>
        <v>#REF!</v>
      </c>
      <c r="E405" s="1183" t="e">
        <f t="shared" si="89"/>
        <v>#REF!</v>
      </c>
      <c r="F405" s="1183" t="e">
        <f t="shared" si="90"/>
        <v>#REF!</v>
      </c>
      <c r="G405" s="1183" t="e">
        <f t="shared" si="90"/>
        <v>#REF!</v>
      </c>
      <c r="H405" s="1183" t="e">
        <f t="shared" si="89"/>
        <v>#REF!</v>
      </c>
      <c r="I405" s="1183" t="e">
        <f t="shared" si="89"/>
        <v>#REF!</v>
      </c>
      <c r="J405" s="1183" t="e">
        <f t="shared" si="89"/>
        <v>#REF!</v>
      </c>
    </row>
    <row r="406" spans="1:10">
      <c r="A406" s="124" t="s">
        <v>169</v>
      </c>
      <c r="B406" s="1183" t="e">
        <f t="shared" si="89"/>
        <v>#REF!</v>
      </c>
      <c r="C406" s="1183" t="e">
        <f t="shared" si="89"/>
        <v>#REF!</v>
      </c>
      <c r="D406" s="1183" t="e">
        <f t="shared" si="89"/>
        <v>#REF!</v>
      </c>
      <c r="E406" s="1183" t="e">
        <f t="shared" si="89"/>
        <v>#REF!</v>
      </c>
      <c r="F406" s="1183" t="e">
        <f t="shared" si="90"/>
        <v>#REF!</v>
      </c>
      <c r="G406" s="1183" t="e">
        <f t="shared" si="90"/>
        <v>#REF!</v>
      </c>
      <c r="H406" s="1183" t="e">
        <f t="shared" si="89"/>
        <v>#REF!</v>
      </c>
      <c r="I406" s="1183" t="e">
        <f t="shared" si="89"/>
        <v>#REF!</v>
      </c>
      <c r="J406" s="1183" t="e">
        <f t="shared" si="89"/>
        <v>#REF!</v>
      </c>
    </row>
    <row r="407" spans="1:10">
      <c r="A407" s="124" t="s">
        <v>170</v>
      </c>
      <c r="B407" s="1183" t="e">
        <f t="shared" si="89"/>
        <v>#REF!</v>
      </c>
      <c r="C407" s="1183" t="e">
        <f t="shared" si="89"/>
        <v>#REF!</v>
      </c>
      <c r="D407" s="1183" t="e">
        <f t="shared" si="89"/>
        <v>#REF!</v>
      </c>
      <c r="E407" s="1183" t="e">
        <f t="shared" si="89"/>
        <v>#REF!</v>
      </c>
      <c r="F407" s="1183" t="e">
        <f t="shared" si="90"/>
        <v>#REF!</v>
      </c>
      <c r="G407" s="1183" t="e">
        <f t="shared" si="90"/>
        <v>#REF!</v>
      </c>
      <c r="H407" s="1183" t="e">
        <f t="shared" si="89"/>
        <v>#REF!</v>
      </c>
      <c r="I407" s="1183" t="e">
        <f t="shared" si="89"/>
        <v>#REF!</v>
      </c>
      <c r="J407" s="1183" t="e">
        <f t="shared" si="89"/>
        <v>#REF!</v>
      </c>
    </row>
    <row r="408" spans="1:10">
      <c r="A408" s="124" t="s">
        <v>171</v>
      </c>
      <c r="B408" s="1183" t="e">
        <f t="shared" si="89"/>
        <v>#REF!</v>
      </c>
      <c r="C408" s="1183" t="e">
        <f t="shared" si="89"/>
        <v>#REF!</v>
      </c>
      <c r="D408" s="1183" t="e">
        <f t="shared" si="89"/>
        <v>#REF!</v>
      </c>
      <c r="E408" s="1183" t="e">
        <f t="shared" si="89"/>
        <v>#REF!</v>
      </c>
      <c r="F408" s="1183" t="e">
        <f t="shared" si="90"/>
        <v>#REF!</v>
      </c>
      <c r="G408" s="1183" t="e">
        <f t="shared" si="90"/>
        <v>#REF!</v>
      </c>
      <c r="H408" s="1183" t="e">
        <f t="shared" si="89"/>
        <v>#REF!</v>
      </c>
      <c r="I408" s="1183" t="e">
        <f t="shared" si="89"/>
        <v>#REF!</v>
      </c>
      <c r="J408" s="1183" t="e">
        <f t="shared" si="89"/>
        <v>#REF!</v>
      </c>
    </row>
    <row r="409" spans="1:10">
      <c r="A409" s="310">
        <v>2004</v>
      </c>
      <c r="B409" s="1183" t="e">
        <f t="shared" si="89"/>
        <v>#REF!</v>
      </c>
      <c r="C409" s="1183" t="e">
        <f t="shared" si="89"/>
        <v>#REF!</v>
      </c>
      <c r="D409" s="1183" t="e">
        <f t="shared" si="89"/>
        <v>#REF!</v>
      </c>
      <c r="E409" s="1183" t="e">
        <f t="shared" si="89"/>
        <v>#REF!</v>
      </c>
      <c r="F409" s="1183" t="e">
        <f t="shared" si="90"/>
        <v>#REF!</v>
      </c>
      <c r="G409" s="1183" t="e">
        <f t="shared" si="90"/>
        <v>#REF!</v>
      </c>
      <c r="H409" s="1183" t="e">
        <f t="shared" si="89"/>
        <v>#REF!</v>
      </c>
      <c r="I409" s="1183" t="e">
        <f t="shared" si="89"/>
        <v>#REF!</v>
      </c>
      <c r="J409" s="1183" t="e">
        <f t="shared" si="89"/>
        <v>#REF!</v>
      </c>
    </row>
    <row r="410" spans="1:10">
      <c r="A410" s="310">
        <v>2005</v>
      </c>
      <c r="B410" s="1183"/>
      <c r="C410" s="1183"/>
      <c r="D410" s="1183"/>
      <c r="E410" s="1183"/>
      <c r="F410" s="1183"/>
      <c r="G410" s="1183"/>
      <c r="H410" s="1183"/>
      <c r="I410" s="1183"/>
      <c r="J410" s="1183"/>
    </row>
    <row r="411" spans="1:10">
      <c r="A411" s="1222" t="s">
        <v>161</v>
      </c>
      <c r="B411" s="1183" t="e">
        <f t="shared" ref="B411:J422" si="91">((B325-B312)/B312)*100</f>
        <v>#REF!</v>
      </c>
      <c r="C411" s="1183" t="e">
        <f t="shared" si="91"/>
        <v>#REF!</v>
      </c>
      <c r="D411" s="1183" t="e">
        <f t="shared" si="91"/>
        <v>#REF!</v>
      </c>
      <c r="E411" s="1183" t="e">
        <f t="shared" si="91"/>
        <v>#REF!</v>
      </c>
      <c r="F411" s="1183" t="e">
        <f t="shared" si="90"/>
        <v>#REF!</v>
      </c>
      <c r="G411" s="1183" t="e">
        <f t="shared" si="90"/>
        <v>#REF!</v>
      </c>
      <c r="H411" s="1183" t="e">
        <f t="shared" si="91"/>
        <v>#REF!</v>
      </c>
      <c r="I411" s="1183" t="e">
        <f t="shared" si="91"/>
        <v>#REF!</v>
      </c>
      <c r="J411" s="1183" t="e">
        <f t="shared" si="91"/>
        <v>#REF!</v>
      </c>
    </row>
    <row r="412" spans="1:10">
      <c r="A412" s="1222" t="s">
        <v>162</v>
      </c>
      <c r="B412" s="1183" t="e">
        <f t="shared" si="91"/>
        <v>#REF!</v>
      </c>
      <c r="C412" s="1183" t="e">
        <f t="shared" si="91"/>
        <v>#REF!</v>
      </c>
      <c r="D412" s="1183" t="e">
        <f t="shared" si="91"/>
        <v>#REF!</v>
      </c>
      <c r="E412" s="1183" t="e">
        <f t="shared" si="91"/>
        <v>#REF!</v>
      </c>
      <c r="F412" s="1183" t="e">
        <f t="shared" si="90"/>
        <v>#REF!</v>
      </c>
      <c r="G412" s="1183" t="e">
        <f t="shared" si="90"/>
        <v>#REF!</v>
      </c>
      <c r="H412" s="1183" t="e">
        <f t="shared" si="91"/>
        <v>#REF!</v>
      </c>
      <c r="I412" s="1183" t="e">
        <f t="shared" si="91"/>
        <v>#REF!</v>
      </c>
      <c r="J412" s="1183" t="e">
        <f t="shared" si="91"/>
        <v>#REF!</v>
      </c>
    </row>
    <row r="413" spans="1:10">
      <c r="A413" s="1222" t="s">
        <v>163</v>
      </c>
      <c r="B413" s="1183" t="e">
        <f t="shared" si="91"/>
        <v>#REF!</v>
      </c>
      <c r="C413" s="1183" t="e">
        <f t="shared" si="91"/>
        <v>#REF!</v>
      </c>
      <c r="D413" s="1183" t="e">
        <f t="shared" si="91"/>
        <v>#REF!</v>
      </c>
      <c r="E413" s="1183" t="e">
        <f t="shared" si="91"/>
        <v>#REF!</v>
      </c>
      <c r="F413" s="1183" t="e">
        <f t="shared" si="90"/>
        <v>#REF!</v>
      </c>
      <c r="G413" s="1183" t="e">
        <f t="shared" si="90"/>
        <v>#REF!</v>
      </c>
      <c r="H413" s="1183" t="e">
        <f t="shared" si="91"/>
        <v>#REF!</v>
      </c>
      <c r="I413" s="1183" t="e">
        <f t="shared" si="91"/>
        <v>#REF!</v>
      </c>
      <c r="J413" s="1183" t="e">
        <f t="shared" si="91"/>
        <v>#REF!</v>
      </c>
    </row>
    <row r="414" spans="1:10">
      <c r="A414" s="1222" t="s">
        <v>164</v>
      </c>
      <c r="B414" s="1183" t="e">
        <f t="shared" si="91"/>
        <v>#REF!</v>
      </c>
      <c r="C414" s="1183" t="e">
        <f t="shared" si="91"/>
        <v>#REF!</v>
      </c>
      <c r="D414" s="1183" t="e">
        <f t="shared" si="91"/>
        <v>#REF!</v>
      </c>
      <c r="E414" s="1183" t="e">
        <f t="shared" si="91"/>
        <v>#REF!</v>
      </c>
      <c r="F414" s="1183" t="e">
        <f t="shared" si="90"/>
        <v>#REF!</v>
      </c>
      <c r="G414" s="1183" t="e">
        <f t="shared" si="90"/>
        <v>#REF!</v>
      </c>
      <c r="H414" s="1183" t="e">
        <f t="shared" si="91"/>
        <v>#REF!</v>
      </c>
      <c r="I414" s="1183" t="e">
        <f t="shared" si="91"/>
        <v>#REF!</v>
      </c>
      <c r="J414" s="1183" t="e">
        <f t="shared" si="91"/>
        <v>#REF!</v>
      </c>
    </row>
    <row r="415" spans="1:10">
      <c r="A415" s="1222" t="s">
        <v>165</v>
      </c>
      <c r="B415" s="1183" t="e">
        <f t="shared" si="91"/>
        <v>#REF!</v>
      </c>
      <c r="C415" s="1183" t="e">
        <f t="shared" si="91"/>
        <v>#REF!</v>
      </c>
      <c r="D415" s="1183" t="e">
        <f t="shared" si="91"/>
        <v>#REF!</v>
      </c>
      <c r="E415" s="1183" t="e">
        <f t="shared" si="91"/>
        <v>#REF!</v>
      </c>
      <c r="F415" s="1183" t="e">
        <f t="shared" si="90"/>
        <v>#REF!</v>
      </c>
      <c r="G415" s="1183" t="e">
        <f t="shared" si="90"/>
        <v>#REF!</v>
      </c>
      <c r="H415" s="1183" t="e">
        <f t="shared" si="91"/>
        <v>#REF!</v>
      </c>
      <c r="I415" s="1183" t="e">
        <f t="shared" si="91"/>
        <v>#REF!</v>
      </c>
      <c r="J415" s="1183" t="e">
        <f t="shared" si="91"/>
        <v>#REF!</v>
      </c>
    </row>
    <row r="416" spans="1:10">
      <c r="A416" s="861" t="s">
        <v>166</v>
      </c>
      <c r="B416" s="1183" t="e">
        <f t="shared" si="91"/>
        <v>#REF!</v>
      </c>
      <c r="C416" s="1183" t="e">
        <f t="shared" si="91"/>
        <v>#REF!</v>
      </c>
      <c r="D416" s="1183" t="e">
        <f t="shared" si="91"/>
        <v>#REF!</v>
      </c>
      <c r="E416" s="1183" t="e">
        <f t="shared" si="91"/>
        <v>#REF!</v>
      </c>
      <c r="F416" s="1183" t="e">
        <f t="shared" si="90"/>
        <v>#REF!</v>
      </c>
      <c r="G416" s="1183" t="e">
        <f t="shared" si="90"/>
        <v>#REF!</v>
      </c>
      <c r="H416" s="1183" t="e">
        <f t="shared" si="91"/>
        <v>#REF!</v>
      </c>
      <c r="I416" s="1183" t="e">
        <f t="shared" si="91"/>
        <v>#REF!</v>
      </c>
      <c r="J416" s="1183" t="e">
        <f t="shared" si="91"/>
        <v>#REF!</v>
      </c>
    </row>
    <row r="417" spans="1:10">
      <c r="A417" s="1221" t="s">
        <v>167</v>
      </c>
      <c r="B417" s="1183" t="e">
        <f t="shared" si="91"/>
        <v>#REF!</v>
      </c>
      <c r="C417" s="1183" t="e">
        <f t="shared" si="91"/>
        <v>#REF!</v>
      </c>
      <c r="D417" s="1183" t="e">
        <f t="shared" si="91"/>
        <v>#REF!</v>
      </c>
      <c r="E417" s="1183" t="e">
        <f t="shared" si="91"/>
        <v>#REF!</v>
      </c>
      <c r="F417" s="1183" t="e">
        <f t="shared" si="90"/>
        <v>#REF!</v>
      </c>
      <c r="G417" s="1183" t="e">
        <f t="shared" si="90"/>
        <v>#REF!</v>
      </c>
      <c r="H417" s="1183" t="e">
        <f t="shared" si="91"/>
        <v>#REF!</v>
      </c>
      <c r="I417" s="1183" t="e">
        <f t="shared" si="91"/>
        <v>#REF!</v>
      </c>
      <c r="J417" s="1183" t="e">
        <f t="shared" si="91"/>
        <v>#REF!</v>
      </c>
    </row>
    <row r="418" spans="1:10">
      <c r="A418" s="1221" t="s">
        <v>168</v>
      </c>
      <c r="B418" s="1183" t="e">
        <f t="shared" si="91"/>
        <v>#REF!</v>
      </c>
      <c r="C418" s="1183" t="e">
        <f t="shared" si="91"/>
        <v>#REF!</v>
      </c>
      <c r="D418" s="1183" t="e">
        <f t="shared" si="91"/>
        <v>#REF!</v>
      </c>
      <c r="E418" s="1183" t="e">
        <f t="shared" si="91"/>
        <v>#REF!</v>
      </c>
      <c r="F418" s="1183" t="e">
        <f t="shared" si="90"/>
        <v>#REF!</v>
      </c>
      <c r="G418" s="1183" t="e">
        <f t="shared" si="90"/>
        <v>#REF!</v>
      </c>
      <c r="H418" s="1183" t="e">
        <f t="shared" si="91"/>
        <v>#REF!</v>
      </c>
      <c r="I418" s="1183" t="e">
        <f t="shared" si="91"/>
        <v>#REF!</v>
      </c>
      <c r="J418" s="1183" t="e">
        <f t="shared" si="91"/>
        <v>#REF!</v>
      </c>
    </row>
    <row r="419" spans="1:10">
      <c r="A419" s="1221" t="s">
        <v>169</v>
      </c>
      <c r="B419" s="1183" t="e">
        <f t="shared" si="91"/>
        <v>#REF!</v>
      </c>
      <c r="C419" s="1183" t="e">
        <f t="shared" si="91"/>
        <v>#REF!</v>
      </c>
      <c r="D419" s="1183" t="e">
        <f t="shared" si="91"/>
        <v>#REF!</v>
      </c>
      <c r="E419" s="1183" t="e">
        <f t="shared" si="91"/>
        <v>#REF!</v>
      </c>
      <c r="F419" s="1183" t="e">
        <f t="shared" si="90"/>
        <v>#REF!</v>
      </c>
      <c r="G419" s="1183" t="e">
        <f t="shared" si="90"/>
        <v>#REF!</v>
      </c>
      <c r="H419" s="1183" t="e">
        <f t="shared" si="91"/>
        <v>#REF!</v>
      </c>
      <c r="I419" s="1183" t="e">
        <f t="shared" si="91"/>
        <v>#REF!</v>
      </c>
      <c r="J419" s="1183" t="e">
        <f t="shared" si="91"/>
        <v>#REF!</v>
      </c>
    </row>
    <row r="420" spans="1:10">
      <c r="A420" s="1221" t="s">
        <v>170</v>
      </c>
      <c r="B420" s="1183" t="e">
        <f t="shared" si="91"/>
        <v>#REF!</v>
      </c>
      <c r="C420" s="1183" t="e">
        <f t="shared" si="91"/>
        <v>#REF!</v>
      </c>
      <c r="D420" s="1183" t="e">
        <f t="shared" si="91"/>
        <v>#REF!</v>
      </c>
      <c r="E420" s="1183" t="e">
        <f t="shared" si="91"/>
        <v>#REF!</v>
      </c>
      <c r="F420" s="1183" t="e">
        <f t="shared" ref="F420:G435" si="92">-((F334-F321)/F321)*100</f>
        <v>#REF!</v>
      </c>
      <c r="G420" s="1183" t="e">
        <f t="shared" si="92"/>
        <v>#REF!</v>
      </c>
      <c r="H420" s="1183" t="e">
        <f t="shared" si="91"/>
        <v>#REF!</v>
      </c>
      <c r="I420" s="1183" t="e">
        <f t="shared" si="91"/>
        <v>#REF!</v>
      </c>
      <c r="J420" s="1183" t="e">
        <f t="shared" si="91"/>
        <v>#REF!</v>
      </c>
    </row>
    <row r="421" spans="1:10">
      <c r="A421" s="861" t="s">
        <v>171</v>
      </c>
      <c r="B421" s="1183" t="e">
        <f t="shared" si="91"/>
        <v>#REF!</v>
      </c>
      <c r="C421" s="1183" t="e">
        <f t="shared" si="91"/>
        <v>#REF!</v>
      </c>
      <c r="D421" s="1183" t="e">
        <f t="shared" si="91"/>
        <v>#REF!</v>
      </c>
      <c r="E421" s="1183" t="e">
        <f t="shared" si="91"/>
        <v>#REF!</v>
      </c>
      <c r="F421" s="1183" t="e">
        <f t="shared" si="92"/>
        <v>#REF!</v>
      </c>
      <c r="G421" s="1183" t="e">
        <f t="shared" si="92"/>
        <v>#REF!</v>
      </c>
      <c r="H421" s="1183" t="e">
        <f t="shared" si="91"/>
        <v>#REF!</v>
      </c>
      <c r="I421" s="1183" t="e">
        <f t="shared" si="91"/>
        <v>#REF!</v>
      </c>
      <c r="J421" s="1183" t="e">
        <f t="shared" si="91"/>
        <v>#REF!</v>
      </c>
    </row>
    <row r="422" spans="1:10">
      <c r="A422" s="862">
        <v>2005</v>
      </c>
      <c r="B422" s="1183" t="e">
        <f t="shared" si="91"/>
        <v>#REF!</v>
      </c>
      <c r="C422" s="1183" t="e">
        <f t="shared" si="91"/>
        <v>#REF!</v>
      </c>
      <c r="D422" s="1183" t="e">
        <f t="shared" si="91"/>
        <v>#REF!</v>
      </c>
      <c r="E422" s="1183" t="e">
        <f t="shared" si="91"/>
        <v>#REF!</v>
      </c>
      <c r="F422" s="1183" t="e">
        <f t="shared" si="92"/>
        <v>#REF!</v>
      </c>
      <c r="G422" s="1183" t="e">
        <f t="shared" si="92"/>
        <v>#REF!</v>
      </c>
      <c r="H422" s="1183" t="e">
        <f t="shared" si="91"/>
        <v>#REF!</v>
      </c>
      <c r="I422" s="1183" t="e">
        <f t="shared" si="91"/>
        <v>#REF!</v>
      </c>
      <c r="J422" s="1183" t="e">
        <f t="shared" si="91"/>
        <v>#REF!</v>
      </c>
    </row>
    <row r="423" spans="1:10">
      <c r="A423" s="1185">
        <v>2006</v>
      </c>
      <c r="B423" s="1183"/>
      <c r="C423" s="1183"/>
      <c r="D423" s="1183"/>
      <c r="E423" s="1183"/>
      <c r="F423" s="1183"/>
      <c r="G423" s="1183"/>
      <c r="H423" s="1183"/>
      <c r="I423" s="1183"/>
      <c r="J423" s="1183"/>
    </row>
    <row r="424" spans="1:10">
      <c r="A424" s="1179" t="s">
        <v>161</v>
      </c>
      <c r="B424" s="1183" t="e">
        <f t="shared" ref="B424:J435" si="93">((B338-B325)/B325)*100</f>
        <v>#REF!</v>
      </c>
      <c r="C424" s="1183" t="e">
        <f t="shared" si="93"/>
        <v>#REF!</v>
      </c>
      <c r="D424" s="1183" t="e">
        <f t="shared" si="93"/>
        <v>#REF!</v>
      </c>
      <c r="E424" s="1183" t="e">
        <f t="shared" si="93"/>
        <v>#REF!</v>
      </c>
      <c r="F424" s="1183" t="e">
        <f t="shared" si="92"/>
        <v>#REF!</v>
      </c>
      <c r="G424" s="1183" t="e">
        <f t="shared" si="92"/>
        <v>#REF!</v>
      </c>
      <c r="H424" s="1183" t="e">
        <f t="shared" si="93"/>
        <v>#REF!</v>
      </c>
      <c r="I424" s="1183" t="e">
        <f t="shared" si="93"/>
        <v>#REF!</v>
      </c>
      <c r="J424" s="1183" t="e">
        <f t="shared" si="93"/>
        <v>#REF!</v>
      </c>
    </row>
    <row r="425" spans="1:10">
      <c r="A425" s="861" t="s">
        <v>162</v>
      </c>
      <c r="B425" s="1183" t="e">
        <f t="shared" si="93"/>
        <v>#REF!</v>
      </c>
      <c r="C425" s="1183" t="e">
        <f t="shared" si="93"/>
        <v>#REF!</v>
      </c>
      <c r="D425" s="1183" t="e">
        <f t="shared" si="93"/>
        <v>#REF!</v>
      </c>
      <c r="E425" s="1183" t="e">
        <f t="shared" si="93"/>
        <v>#REF!</v>
      </c>
      <c r="F425" s="1183" t="e">
        <f t="shared" si="92"/>
        <v>#REF!</v>
      </c>
      <c r="G425" s="1183" t="e">
        <f t="shared" si="92"/>
        <v>#REF!</v>
      </c>
      <c r="H425" s="1183" t="e">
        <f t="shared" si="93"/>
        <v>#REF!</v>
      </c>
      <c r="I425" s="1183" t="e">
        <f t="shared" si="93"/>
        <v>#REF!</v>
      </c>
      <c r="J425" s="1183" t="e">
        <f t="shared" si="93"/>
        <v>#REF!</v>
      </c>
    </row>
    <row r="426" spans="1:10">
      <c r="A426" s="1221" t="s">
        <v>163</v>
      </c>
      <c r="B426" s="1183" t="e">
        <f t="shared" si="93"/>
        <v>#REF!</v>
      </c>
      <c r="C426" s="1183" t="e">
        <f t="shared" si="93"/>
        <v>#REF!</v>
      </c>
      <c r="D426" s="1183" t="e">
        <f t="shared" si="93"/>
        <v>#REF!</v>
      </c>
      <c r="E426" s="1183" t="e">
        <f t="shared" si="93"/>
        <v>#REF!</v>
      </c>
      <c r="F426" s="1183" t="e">
        <f t="shared" si="92"/>
        <v>#REF!</v>
      </c>
      <c r="G426" s="1183" t="e">
        <f t="shared" si="92"/>
        <v>#REF!</v>
      </c>
      <c r="H426" s="1183" t="e">
        <f t="shared" si="93"/>
        <v>#REF!</v>
      </c>
      <c r="I426" s="1183" t="e">
        <f t="shared" si="93"/>
        <v>#REF!</v>
      </c>
      <c r="J426" s="1183" t="e">
        <f t="shared" si="93"/>
        <v>#REF!</v>
      </c>
    </row>
    <row r="427" spans="1:10">
      <c r="A427" s="861" t="s">
        <v>164</v>
      </c>
      <c r="B427" s="1183" t="e">
        <f t="shared" si="93"/>
        <v>#REF!</v>
      </c>
      <c r="C427" s="1183" t="e">
        <f t="shared" si="93"/>
        <v>#REF!</v>
      </c>
      <c r="D427" s="1183" t="e">
        <f t="shared" si="93"/>
        <v>#REF!</v>
      </c>
      <c r="E427" s="1183" t="e">
        <f t="shared" si="93"/>
        <v>#REF!</v>
      </c>
      <c r="F427" s="1183" t="e">
        <f t="shared" si="92"/>
        <v>#REF!</v>
      </c>
      <c r="G427" s="1183" t="e">
        <f t="shared" si="92"/>
        <v>#REF!</v>
      </c>
      <c r="H427" s="1183" t="e">
        <f t="shared" si="93"/>
        <v>#REF!</v>
      </c>
      <c r="I427" s="1183" t="e">
        <f t="shared" si="93"/>
        <v>#REF!</v>
      </c>
      <c r="J427" s="1183" t="e">
        <f t="shared" si="93"/>
        <v>#REF!</v>
      </c>
    </row>
    <row r="428" spans="1:10">
      <c r="A428" s="861" t="s">
        <v>165</v>
      </c>
      <c r="B428" s="1183" t="e">
        <f t="shared" si="93"/>
        <v>#REF!</v>
      </c>
      <c r="C428" s="1183" t="e">
        <f t="shared" si="93"/>
        <v>#REF!</v>
      </c>
      <c r="D428" s="1183" t="e">
        <f t="shared" si="93"/>
        <v>#REF!</v>
      </c>
      <c r="E428" s="1183" t="e">
        <f t="shared" si="93"/>
        <v>#REF!</v>
      </c>
      <c r="F428" s="1183" t="e">
        <f t="shared" si="92"/>
        <v>#REF!</v>
      </c>
      <c r="G428" s="1183" t="e">
        <f t="shared" si="92"/>
        <v>#REF!</v>
      </c>
      <c r="H428" s="1183" t="e">
        <f t="shared" si="93"/>
        <v>#REF!</v>
      </c>
      <c r="I428" s="1183" t="e">
        <f t="shared" si="93"/>
        <v>#REF!</v>
      </c>
      <c r="J428" s="1183" t="e">
        <f t="shared" si="93"/>
        <v>#REF!</v>
      </c>
    </row>
    <row r="429" spans="1:10">
      <c r="A429" s="861" t="s">
        <v>166</v>
      </c>
      <c r="B429" s="1183" t="e">
        <f t="shared" si="93"/>
        <v>#REF!</v>
      </c>
      <c r="C429" s="1183" t="e">
        <f t="shared" si="93"/>
        <v>#REF!</v>
      </c>
      <c r="D429" s="1183" t="e">
        <f t="shared" si="93"/>
        <v>#REF!</v>
      </c>
      <c r="E429" s="1183" t="e">
        <f t="shared" si="93"/>
        <v>#REF!</v>
      </c>
      <c r="F429" s="1183" t="e">
        <f t="shared" si="92"/>
        <v>#REF!</v>
      </c>
      <c r="G429" s="1183" t="e">
        <f t="shared" si="92"/>
        <v>#REF!</v>
      </c>
      <c r="H429" s="1183" t="e">
        <f t="shared" si="93"/>
        <v>#REF!</v>
      </c>
      <c r="I429" s="1183" t="e">
        <f t="shared" si="93"/>
        <v>#REF!</v>
      </c>
      <c r="J429" s="1183" t="e">
        <f t="shared" si="93"/>
        <v>#REF!</v>
      </c>
    </row>
    <row r="430" spans="1:10">
      <c r="A430" s="861" t="s">
        <v>167</v>
      </c>
      <c r="B430" s="1183" t="e">
        <f t="shared" si="93"/>
        <v>#REF!</v>
      </c>
      <c r="C430" s="1183" t="e">
        <f t="shared" si="93"/>
        <v>#REF!</v>
      </c>
      <c r="D430" s="1183" t="e">
        <f t="shared" si="93"/>
        <v>#REF!</v>
      </c>
      <c r="E430" s="1183" t="e">
        <f t="shared" si="93"/>
        <v>#REF!</v>
      </c>
      <c r="F430" s="1183" t="e">
        <f t="shared" si="92"/>
        <v>#REF!</v>
      </c>
      <c r="G430" s="1183" t="e">
        <f t="shared" si="92"/>
        <v>#REF!</v>
      </c>
      <c r="H430" s="1183" t="e">
        <f t="shared" si="93"/>
        <v>#REF!</v>
      </c>
      <c r="I430" s="1183" t="e">
        <f t="shared" si="93"/>
        <v>#REF!</v>
      </c>
      <c r="J430" s="1183" t="e">
        <f t="shared" si="93"/>
        <v>#REF!</v>
      </c>
    </row>
    <row r="431" spans="1:10">
      <c r="A431" s="861" t="s">
        <v>168</v>
      </c>
      <c r="B431" s="1183" t="e">
        <f t="shared" si="93"/>
        <v>#REF!</v>
      </c>
      <c r="C431" s="1183" t="e">
        <f t="shared" si="93"/>
        <v>#REF!</v>
      </c>
      <c r="D431" s="1183" t="e">
        <f t="shared" si="93"/>
        <v>#REF!</v>
      </c>
      <c r="E431" s="1183" t="e">
        <f t="shared" si="93"/>
        <v>#REF!</v>
      </c>
      <c r="F431" s="1183" t="e">
        <f t="shared" si="92"/>
        <v>#REF!</v>
      </c>
      <c r="G431" s="1183" t="e">
        <f t="shared" si="92"/>
        <v>#REF!</v>
      </c>
      <c r="H431" s="1183" t="e">
        <f t="shared" si="93"/>
        <v>#REF!</v>
      </c>
      <c r="I431" s="1183" t="e">
        <f t="shared" si="93"/>
        <v>#REF!</v>
      </c>
      <c r="J431" s="1183" t="e">
        <f t="shared" si="93"/>
        <v>#REF!</v>
      </c>
    </row>
    <row r="432" spans="1:10">
      <c r="A432" s="861" t="s">
        <v>169</v>
      </c>
      <c r="B432" s="1183" t="e">
        <f t="shared" si="93"/>
        <v>#REF!</v>
      </c>
      <c r="C432" s="1183" t="e">
        <f t="shared" si="93"/>
        <v>#REF!</v>
      </c>
      <c r="D432" s="1183" t="e">
        <f t="shared" si="93"/>
        <v>#REF!</v>
      </c>
      <c r="E432" s="1183" t="e">
        <f t="shared" si="93"/>
        <v>#REF!</v>
      </c>
      <c r="F432" s="1183" t="e">
        <f t="shared" si="92"/>
        <v>#REF!</v>
      </c>
      <c r="G432" s="1183" t="e">
        <f t="shared" si="92"/>
        <v>#REF!</v>
      </c>
      <c r="H432" s="1183" t="e">
        <f t="shared" si="93"/>
        <v>#REF!</v>
      </c>
      <c r="I432" s="1183" t="e">
        <f t="shared" si="93"/>
        <v>#REF!</v>
      </c>
      <c r="J432" s="1183" t="e">
        <f t="shared" si="93"/>
        <v>#REF!</v>
      </c>
    </row>
    <row r="433" spans="1:10">
      <c r="A433" s="861" t="s">
        <v>170</v>
      </c>
      <c r="B433" s="1183" t="e">
        <f t="shared" si="93"/>
        <v>#REF!</v>
      </c>
      <c r="C433" s="1183" t="e">
        <f t="shared" si="93"/>
        <v>#REF!</v>
      </c>
      <c r="D433" s="1183" t="e">
        <f t="shared" si="93"/>
        <v>#REF!</v>
      </c>
      <c r="E433" s="1183" t="e">
        <f t="shared" si="93"/>
        <v>#REF!</v>
      </c>
      <c r="F433" s="1183" t="e">
        <f t="shared" si="92"/>
        <v>#REF!</v>
      </c>
      <c r="G433" s="1183" t="e">
        <f t="shared" si="92"/>
        <v>#REF!</v>
      </c>
      <c r="H433" s="1183" t="e">
        <f t="shared" si="93"/>
        <v>#REF!</v>
      </c>
      <c r="I433" s="1183" t="e">
        <f t="shared" si="93"/>
        <v>#REF!</v>
      </c>
      <c r="J433" s="1183" t="e">
        <f t="shared" si="93"/>
        <v>#REF!</v>
      </c>
    </row>
    <row r="434" spans="1:10">
      <c r="A434" s="861" t="s">
        <v>171</v>
      </c>
      <c r="B434" s="1183" t="e">
        <f t="shared" si="93"/>
        <v>#REF!</v>
      </c>
      <c r="C434" s="1183" t="e">
        <f t="shared" si="93"/>
        <v>#REF!</v>
      </c>
      <c r="D434" s="1183" t="e">
        <f t="shared" si="93"/>
        <v>#REF!</v>
      </c>
      <c r="E434" s="1183" t="e">
        <f t="shared" si="93"/>
        <v>#REF!</v>
      </c>
      <c r="F434" s="1183" t="e">
        <f t="shared" si="92"/>
        <v>#REF!</v>
      </c>
      <c r="G434" s="1183" t="e">
        <f t="shared" si="92"/>
        <v>#REF!</v>
      </c>
      <c r="H434" s="1183" t="e">
        <f t="shared" si="93"/>
        <v>#REF!</v>
      </c>
      <c r="I434" s="1183" t="e">
        <f t="shared" si="93"/>
        <v>#REF!</v>
      </c>
      <c r="J434" s="1183" t="e">
        <f t="shared" si="93"/>
        <v>#REF!</v>
      </c>
    </row>
    <row r="435" spans="1:10">
      <c r="A435" s="861" t="s">
        <v>148</v>
      </c>
      <c r="B435" s="1183" t="e">
        <f t="shared" si="93"/>
        <v>#REF!</v>
      </c>
      <c r="C435" s="1183" t="e">
        <f t="shared" si="93"/>
        <v>#REF!</v>
      </c>
      <c r="D435" s="1183" t="e">
        <f t="shared" si="93"/>
        <v>#REF!</v>
      </c>
      <c r="E435" s="1183" t="e">
        <f t="shared" si="93"/>
        <v>#REF!</v>
      </c>
      <c r="F435" s="1183" t="e">
        <f>-((F349-F336)/F336)*100</f>
        <v>#REF!</v>
      </c>
      <c r="G435" s="1183" t="e">
        <f t="shared" si="92"/>
        <v>#REF!</v>
      </c>
      <c r="H435" s="1183" t="e">
        <f t="shared" si="93"/>
        <v>#REF!</v>
      </c>
      <c r="I435" s="1183" t="e">
        <f t="shared" si="93"/>
        <v>#REF!</v>
      </c>
      <c r="J435" s="1183" t="e">
        <f t="shared" si="93"/>
        <v>#REF!</v>
      </c>
    </row>
    <row r="436" spans="1:10">
      <c r="A436" s="862">
        <v>2007</v>
      </c>
      <c r="B436" s="1183"/>
      <c r="C436" s="1183"/>
      <c r="D436" s="1183"/>
      <c r="E436" s="1183"/>
      <c r="F436" s="1183"/>
      <c r="G436" s="1183"/>
      <c r="H436" s="1183"/>
      <c r="I436" s="1183"/>
      <c r="J436" s="1183"/>
    </row>
    <row r="437" spans="1:10">
      <c r="A437" s="861" t="s">
        <v>941</v>
      </c>
      <c r="B437" s="1183" t="e">
        <f t="shared" ref="B437:J439" si="94">((B351-B338)/B338)*100</f>
        <v>#REF!</v>
      </c>
      <c r="C437" s="1183" t="e">
        <f t="shared" si="94"/>
        <v>#REF!</v>
      </c>
      <c r="D437" s="1183" t="e">
        <f t="shared" si="94"/>
        <v>#REF!</v>
      </c>
      <c r="E437" s="1183" t="e">
        <f t="shared" si="94"/>
        <v>#REF!</v>
      </c>
      <c r="F437" s="1183" t="e">
        <f t="shared" ref="F437:G448" si="95">-((F351-F338)/F338)*100</f>
        <v>#REF!</v>
      </c>
      <c r="G437" s="1183" t="e">
        <f t="shared" si="95"/>
        <v>#REF!</v>
      </c>
      <c r="H437" s="1183" t="e">
        <f t="shared" si="94"/>
        <v>#REF!</v>
      </c>
      <c r="I437" s="1183" t="e">
        <f t="shared" si="94"/>
        <v>#REF!</v>
      </c>
      <c r="J437" s="1183" t="e">
        <f t="shared" si="94"/>
        <v>#REF!</v>
      </c>
    </row>
    <row r="438" spans="1:10">
      <c r="A438" s="861" t="s">
        <v>157</v>
      </c>
      <c r="B438" s="1183" t="e">
        <f t="shared" si="94"/>
        <v>#REF!</v>
      </c>
      <c r="C438" s="1183" t="e">
        <f t="shared" si="94"/>
        <v>#REF!</v>
      </c>
      <c r="D438" s="1183" t="e">
        <f t="shared" si="94"/>
        <v>#REF!</v>
      </c>
      <c r="E438" s="1183" t="e">
        <f t="shared" si="94"/>
        <v>#REF!</v>
      </c>
      <c r="F438" s="1183" t="e">
        <f t="shared" si="95"/>
        <v>#REF!</v>
      </c>
      <c r="G438" s="1183" t="e">
        <f t="shared" si="95"/>
        <v>#REF!</v>
      </c>
      <c r="H438" s="1183" t="e">
        <f t="shared" si="94"/>
        <v>#REF!</v>
      </c>
      <c r="I438" s="1183" t="e">
        <f t="shared" si="94"/>
        <v>#REF!</v>
      </c>
      <c r="J438" s="1183" t="e">
        <f t="shared" si="94"/>
        <v>#REF!</v>
      </c>
    </row>
    <row r="439" spans="1:10">
      <c r="A439" s="861" t="s">
        <v>163</v>
      </c>
      <c r="B439" s="1183" t="e">
        <f>((B353-B340)/B340)*100</f>
        <v>#REF!</v>
      </c>
      <c r="C439" s="1183" t="e">
        <f t="shared" si="94"/>
        <v>#REF!</v>
      </c>
      <c r="D439" s="1183" t="e">
        <f t="shared" si="94"/>
        <v>#REF!</v>
      </c>
      <c r="E439" s="1183" t="e">
        <f t="shared" si="94"/>
        <v>#REF!</v>
      </c>
      <c r="F439" s="1183" t="e">
        <f t="shared" si="95"/>
        <v>#REF!</v>
      </c>
      <c r="G439" s="1183" t="e">
        <f t="shared" si="95"/>
        <v>#REF!</v>
      </c>
      <c r="H439" s="1183" t="e">
        <f t="shared" si="94"/>
        <v>#REF!</v>
      </c>
      <c r="I439" s="1183" t="e">
        <f t="shared" si="94"/>
        <v>#REF!</v>
      </c>
      <c r="J439" s="1183" t="e">
        <f t="shared" si="94"/>
        <v>#REF!</v>
      </c>
    </row>
    <row r="440" spans="1:10">
      <c r="A440" s="861" t="s">
        <v>164</v>
      </c>
      <c r="B440" s="1183" t="e">
        <f t="shared" ref="B440:J448" si="96">((B354-B341)/B341)*100</f>
        <v>#REF!</v>
      </c>
      <c r="C440" s="1183" t="e">
        <f t="shared" si="96"/>
        <v>#REF!</v>
      </c>
      <c r="D440" s="1183" t="e">
        <f t="shared" si="96"/>
        <v>#REF!</v>
      </c>
      <c r="E440" s="1183" t="e">
        <f t="shared" si="96"/>
        <v>#REF!</v>
      </c>
      <c r="F440" s="1183" t="e">
        <f t="shared" si="95"/>
        <v>#REF!</v>
      </c>
      <c r="G440" s="1183" t="e">
        <f t="shared" si="95"/>
        <v>#REF!</v>
      </c>
      <c r="H440" s="1183" t="e">
        <f t="shared" si="96"/>
        <v>#REF!</v>
      </c>
      <c r="I440" s="1183" t="e">
        <f t="shared" si="96"/>
        <v>#REF!</v>
      </c>
      <c r="J440" s="1183" t="e">
        <f t="shared" si="96"/>
        <v>#REF!</v>
      </c>
    </row>
    <row r="441" spans="1:10">
      <c r="A441" s="861" t="s">
        <v>165</v>
      </c>
      <c r="B441" s="1183" t="e">
        <f t="shared" si="96"/>
        <v>#REF!</v>
      </c>
      <c r="C441" s="1183" t="e">
        <f t="shared" si="96"/>
        <v>#REF!</v>
      </c>
      <c r="D441" s="1183" t="e">
        <f t="shared" si="96"/>
        <v>#REF!</v>
      </c>
      <c r="E441" s="1183" t="e">
        <f t="shared" si="96"/>
        <v>#REF!</v>
      </c>
      <c r="F441" s="1183" t="e">
        <f t="shared" si="95"/>
        <v>#REF!</v>
      </c>
      <c r="G441" s="1183" t="e">
        <f t="shared" si="95"/>
        <v>#REF!</v>
      </c>
      <c r="H441" s="1183" t="e">
        <f t="shared" si="96"/>
        <v>#REF!</v>
      </c>
      <c r="I441" s="1183" t="e">
        <f t="shared" si="96"/>
        <v>#REF!</v>
      </c>
      <c r="J441" s="1183" t="e">
        <f t="shared" si="96"/>
        <v>#REF!</v>
      </c>
    </row>
    <row r="442" spans="1:10">
      <c r="A442" s="861" t="s">
        <v>166</v>
      </c>
      <c r="B442" s="1183" t="e">
        <f t="shared" si="96"/>
        <v>#REF!</v>
      </c>
      <c r="C442" s="1183" t="e">
        <f t="shared" si="96"/>
        <v>#REF!</v>
      </c>
      <c r="D442" s="1183" t="e">
        <f t="shared" si="96"/>
        <v>#REF!</v>
      </c>
      <c r="E442" s="1183" t="e">
        <f t="shared" si="96"/>
        <v>#REF!</v>
      </c>
      <c r="F442" s="1183" t="e">
        <f t="shared" si="95"/>
        <v>#REF!</v>
      </c>
      <c r="G442" s="1183" t="e">
        <f t="shared" si="95"/>
        <v>#REF!</v>
      </c>
      <c r="H442" s="1183" t="e">
        <f t="shared" si="96"/>
        <v>#REF!</v>
      </c>
      <c r="I442" s="1183" t="e">
        <f t="shared" si="96"/>
        <v>#REF!</v>
      </c>
      <c r="J442" s="1183" t="e">
        <f t="shared" si="96"/>
        <v>#REF!</v>
      </c>
    </row>
    <row r="443" spans="1:10">
      <c r="A443" s="861" t="s">
        <v>167</v>
      </c>
      <c r="B443" s="1183" t="e">
        <f t="shared" si="96"/>
        <v>#REF!</v>
      </c>
      <c r="C443" s="1183" t="e">
        <f t="shared" si="96"/>
        <v>#REF!</v>
      </c>
      <c r="D443" s="1183" t="e">
        <f t="shared" si="96"/>
        <v>#REF!</v>
      </c>
      <c r="E443" s="1183" t="e">
        <f t="shared" si="96"/>
        <v>#REF!</v>
      </c>
      <c r="F443" s="1183" t="e">
        <f t="shared" si="95"/>
        <v>#REF!</v>
      </c>
      <c r="G443" s="1183" t="e">
        <f t="shared" si="95"/>
        <v>#REF!</v>
      </c>
      <c r="H443" s="1183" t="e">
        <f t="shared" si="96"/>
        <v>#REF!</v>
      </c>
      <c r="I443" s="1183" t="e">
        <f t="shared" si="96"/>
        <v>#REF!</v>
      </c>
      <c r="J443" s="1183" t="e">
        <f t="shared" si="96"/>
        <v>#REF!</v>
      </c>
    </row>
    <row r="444" spans="1:10">
      <c r="A444" s="861" t="s">
        <v>168</v>
      </c>
      <c r="B444" s="1183" t="e">
        <f t="shared" si="96"/>
        <v>#REF!</v>
      </c>
      <c r="C444" s="1183" t="e">
        <f t="shared" si="96"/>
        <v>#REF!</v>
      </c>
      <c r="D444" s="1183" t="e">
        <f t="shared" si="96"/>
        <v>#REF!</v>
      </c>
      <c r="E444" s="1183" t="e">
        <f t="shared" si="96"/>
        <v>#REF!</v>
      </c>
      <c r="F444" s="1183" t="e">
        <f t="shared" si="95"/>
        <v>#REF!</v>
      </c>
      <c r="G444" s="1183" t="e">
        <f t="shared" si="95"/>
        <v>#REF!</v>
      </c>
      <c r="H444" s="1183" t="e">
        <f t="shared" si="96"/>
        <v>#REF!</v>
      </c>
      <c r="I444" s="1183" t="e">
        <f t="shared" si="96"/>
        <v>#REF!</v>
      </c>
      <c r="J444" s="1183" t="e">
        <f t="shared" si="96"/>
        <v>#REF!</v>
      </c>
    </row>
    <row r="445" spans="1:10">
      <c r="A445" s="861" t="s">
        <v>169</v>
      </c>
      <c r="B445" s="1183" t="e">
        <f t="shared" si="96"/>
        <v>#REF!</v>
      </c>
      <c r="C445" s="1183" t="e">
        <f t="shared" si="96"/>
        <v>#REF!</v>
      </c>
      <c r="D445" s="1183" t="e">
        <f t="shared" si="96"/>
        <v>#REF!</v>
      </c>
      <c r="E445" s="1183" t="e">
        <f t="shared" si="96"/>
        <v>#REF!</v>
      </c>
      <c r="F445" s="1183" t="e">
        <f t="shared" si="95"/>
        <v>#REF!</v>
      </c>
      <c r="G445" s="1183" t="e">
        <f t="shared" si="95"/>
        <v>#REF!</v>
      </c>
      <c r="H445" s="1183" t="e">
        <f t="shared" si="96"/>
        <v>#REF!</v>
      </c>
      <c r="I445" s="1183" t="e">
        <f t="shared" si="96"/>
        <v>#REF!</v>
      </c>
      <c r="J445" s="1183" t="e">
        <f t="shared" si="96"/>
        <v>#REF!</v>
      </c>
    </row>
    <row r="446" spans="1:10">
      <c r="A446" s="1398" t="s">
        <v>170</v>
      </c>
      <c r="B446" s="1183" t="e">
        <f t="shared" si="96"/>
        <v>#REF!</v>
      </c>
      <c r="C446" s="1183" t="e">
        <f t="shared" si="96"/>
        <v>#REF!</v>
      </c>
      <c r="D446" s="1183" t="e">
        <f t="shared" si="96"/>
        <v>#REF!</v>
      </c>
      <c r="E446" s="1183" t="e">
        <f t="shared" si="96"/>
        <v>#REF!</v>
      </c>
      <c r="F446" s="1183" t="e">
        <f t="shared" si="95"/>
        <v>#REF!</v>
      </c>
      <c r="G446" s="1183" t="e">
        <f t="shared" si="95"/>
        <v>#REF!</v>
      </c>
      <c r="H446" s="1183" t="e">
        <f t="shared" si="96"/>
        <v>#REF!</v>
      </c>
      <c r="I446" s="1183" t="e">
        <f t="shared" si="96"/>
        <v>#REF!</v>
      </c>
      <c r="J446" s="1183" t="e">
        <f t="shared" si="96"/>
        <v>#REF!</v>
      </c>
    </row>
    <row r="447" spans="1:10">
      <c r="A447" s="861" t="s">
        <v>171</v>
      </c>
      <c r="B447" s="1183" t="e">
        <f t="shared" si="96"/>
        <v>#REF!</v>
      </c>
      <c r="C447" s="1183" t="e">
        <f t="shared" si="96"/>
        <v>#REF!</v>
      </c>
      <c r="D447" s="1183" t="e">
        <f t="shared" si="96"/>
        <v>#REF!</v>
      </c>
      <c r="E447" s="1183" t="e">
        <f t="shared" si="96"/>
        <v>#REF!</v>
      </c>
      <c r="F447" s="1183" t="e">
        <f t="shared" si="95"/>
        <v>#REF!</v>
      </c>
      <c r="G447" s="1183" t="e">
        <f t="shared" si="95"/>
        <v>#REF!</v>
      </c>
      <c r="H447" s="1183" t="e">
        <f t="shared" si="96"/>
        <v>#REF!</v>
      </c>
      <c r="I447" s="1183" t="e">
        <f t="shared" si="96"/>
        <v>#REF!</v>
      </c>
      <c r="J447" s="1183" t="e">
        <f t="shared" si="96"/>
        <v>#REF!</v>
      </c>
    </row>
    <row r="448" spans="1:10">
      <c r="A448" s="861" t="s">
        <v>148</v>
      </c>
      <c r="B448" s="662" t="e">
        <f t="shared" si="96"/>
        <v>#REF!</v>
      </c>
      <c r="C448" s="1183" t="e">
        <f t="shared" si="96"/>
        <v>#REF!</v>
      </c>
      <c r="D448" s="1183" t="e">
        <f t="shared" si="96"/>
        <v>#REF!</v>
      </c>
      <c r="E448" s="1183" t="e">
        <f t="shared" si="96"/>
        <v>#REF!</v>
      </c>
      <c r="F448" s="1183" t="e">
        <f t="shared" si="95"/>
        <v>#REF!</v>
      </c>
      <c r="G448" s="1183" t="e">
        <f t="shared" si="95"/>
        <v>#REF!</v>
      </c>
      <c r="H448" s="1183" t="e">
        <f t="shared" si="96"/>
        <v>#REF!</v>
      </c>
      <c r="I448" s="1183" t="e">
        <f t="shared" si="96"/>
        <v>#REF!</v>
      </c>
      <c r="J448" s="1183" t="e">
        <f t="shared" si="96"/>
        <v>#REF!</v>
      </c>
    </row>
    <row r="449" spans="1:10">
      <c r="A449" s="862">
        <v>2008</v>
      </c>
      <c r="B449" s="662"/>
      <c r="C449" s="1183"/>
      <c r="D449" s="1183"/>
      <c r="E449" s="1183"/>
      <c r="F449" s="1183"/>
      <c r="G449" s="1183"/>
      <c r="H449" s="1183"/>
      <c r="I449" s="1183"/>
      <c r="J449" s="1183"/>
    </row>
    <row r="450" spans="1:10">
      <c r="A450" s="861" t="s">
        <v>161</v>
      </c>
      <c r="B450" s="662" t="e">
        <f>((B364-B351)/B351)*100</f>
        <v>#REF!</v>
      </c>
      <c r="C450" s="1183" t="e">
        <f>((C364-C351)/C351)*100</f>
        <v>#REF!</v>
      </c>
      <c r="D450" s="1183" t="e">
        <f>((D364-D351)/D351)*100</f>
        <v>#REF!</v>
      </c>
      <c r="E450" s="1183" t="e">
        <f>((E364-E351)/E351)*100</f>
        <v>#REF!</v>
      </c>
      <c r="F450" s="1183" t="e">
        <f t="shared" ref="F450:G453" si="97">-((F364-F351)/F351)*100</f>
        <v>#REF!</v>
      </c>
      <c r="G450" s="1183" t="e">
        <f t="shared" si="97"/>
        <v>#REF!</v>
      </c>
      <c r="H450" s="1183" t="e">
        <f>((H364-H351)/H351)*100</f>
        <v>#REF!</v>
      </c>
      <c r="I450" s="1183" t="e">
        <f>((I364-I351)/I351)*100</f>
        <v>#REF!</v>
      </c>
      <c r="J450" s="1183" t="e">
        <f>((J364-J351)/J351)*100</f>
        <v>#REF!</v>
      </c>
    </row>
    <row r="451" spans="1:10">
      <c r="A451" s="861" t="s">
        <v>162</v>
      </c>
      <c r="B451" s="662" t="e">
        <f t="shared" ref="B451:E453" si="98">((B365-B352)/B352)*100</f>
        <v>#REF!</v>
      </c>
      <c r="C451" s="1183" t="e">
        <f t="shared" si="98"/>
        <v>#REF!</v>
      </c>
      <c r="D451" s="1183" t="e">
        <f t="shared" si="98"/>
        <v>#REF!</v>
      </c>
      <c r="E451" s="1183" t="e">
        <f t="shared" si="98"/>
        <v>#REF!</v>
      </c>
      <c r="F451" s="1183" t="e">
        <f t="shared" si="97"/>
        <v>#REF!</v>
      </c>
      <c r="G451" s="1183" t="e">
        <f t="shared" si="97"/>
        <v>#REF!</v>
      </c>
      <c r="H451" s="1183" t="e">
        <f t="shared" ref="H451:J453" si="99">((H365-H352)/H352)*100</f>
        <v>#REF!</v>
      </c>
      <c r="I451" s="1183" t="e">
        <f t="shared" si="99"/>
        <v>#REF!</v>
      </c>
      <c r="J451" s="1183" t="e">
        <f t="shared" si="99"/>
        <v>#REF!</v>
      </c>
    </row>
    <row r="452" spans="1:10">
      <c r="A452" s="861" t="s">
        <v>163</v>
      </c>
      <c r="B452" s="662" t="e">
        <f t="shared" si="98"/>
        <v>#REF!</v>
      </c>
      <c r="C452" s="1183" t="e">
        <f t="shared" si="98"/>
        <v>#REF!</v>
      </c>
      <c r="D452" s="1183" t="e">
        <f t="shared" si="98"/>
        <v>#REF!</v>
      </c>
      <c r="E452" s="1183" t="e">
        <f t="shared" si="98"/>
        <v>#REF!</v>
      </c>
      <c r="F452" s="1183" t="e">
        <f t="shared" si="97"/>
        <v>#REF!</v>
      </c>
      <c r="G452" s="1183" t="e">
        <f t="shared" si="97"/>
        <v>#REF!</v>
      </c>
      <c r="H452" s="1183" t="e">
        <f t="shared" si="99"/>
        <v>#REF!</v>
      </c>
      <c r="I452" s="1183" t="e">
        <f t="shared" si="99"/>
        <v>#REF!</v>
      </c>
      <c r="J452" s="1183" t="e">
        <f t="shared" si="99"/>
        <v>#REF!</v>
      </c>
    </row>
    <row r="453" spans="1:10">
      <c r="A453" s="1328" t="s">
        <v>164</v>
      </c>
      <c r="B453" s="1327" t="e">
        <f t="shared" si="98"/>
        <v>#REF!</v>
      </c>
      <c r="C453" s="1327" t="e">
        <f t="shared" si="98"/>
        <v>#REF!</v>
      </c>
      <c r="D453" s="1327" t="e">
        <f t="shared" si="98"/>
        <v>#REF!</v>
      </c>
      <c r="E453" s="1327" t="e">
        <f t="shared" si="98"/>
        <v>#REF!</v>
      </c>
      <c r="F453" s="1327" t="e">
        <f t="shared" si="97"/>
        <v>#REF!</v>
      </c>
      <c r="G453" s="1327" t="e">
        <f t="shared" si="97"/>
        <v>#REF!</v>
      </c>
      <c r="H453" s="1327" t="e">
        <f t="shared" si="99"/>
        <v>#REF!</v>
      </c>
      <c r="I453" s="1327" t="e">
        <f t="shared" si="99"/>
        <v>#REF!</v>
      </c>
      <c r="J453" s="1327" t="e">
        <f t="shared" si="99"/>
        <v>#REF!</v>
      </c>
    </row>
    <row r="454" spans="1:10">
      <c r="A454" s="4524" t="s">
        <v>747</v>
      </c>
      <c r="B454" s="4524"/>
      <c r="C454" s="4524"/>
      <c r="D454" s="4524"/>
      <c r="E454" s="4524"/>
      <c r="F454" s="4524"/>
      <c r="G454" s="4524"/>
      <c r="H454" s="4524"/>
      <c r="I454" s="4524"/>
      <c r="J454" s="4524"/>
    </row>
    <row r="455" spans="1:10">
      <c r="A455" s="4525" t="s">
        <v>217</v>
      </c>
      <c r="B455" s="4493" t="s">
        <v>220</v>
      </c>
      <c r="C455" s="4493"/>
      <c r="D455" s="4493"/>
      <c r="E455" s="4493"/>
      <c r="F455" s="4493"/>
      <c r="G455" s="4493"/>
      <c r="H455" s="4493"/>
      <c r="I455" s="4493"/>
      <c r="J455" s="4493"/>
    </row>
    <row r="456" spans="1:10">
      <c r="A456" s="4525"/>
      <c r="B456" s="4521" t="s">
        <v>152</v>
      </c>
      <c r="C456" s="4521" t="s">
        <v>223</v>
      </c>
      <c r="D456" s="4493" t="s">
        <v>222</v>
      </c>
      <c r="E456" s="4493"/>
      <c r="F456" s="4493"/>
      <c r="G456" s="4493"/>
      <c r="H456" s="4493"/>
      <c r="I456" s="4493"/>
      <c r="J456" s="4493"/>
    </row>
    <row r="457" spans="1:10">
      <c r="A457" s="4525"/>
      <c r="B457" s="4522"/>
      <c r="C457" s="4522"/>
      <c r="D457" s="4521" t="s">
        <v>152</v>
      </c>
      <c r="E457" s="4493" t="s">
        <v>224</v>
      </c>
      <c r="F457" s="4493"/>
      <c r="G457" s="4493"/>
      <c r="H457" s="4493"/>
      <c r="I457" s="4493"/>
      <c r="J457" s="4521" t="s">
        <v>410</v>
      </c>
    </row>
    <row r="458" spans="1:10">
      <c r="A458" s="4525"/>
      <c r="B458" s="4522"/>
      <c r="C458" s="4522"/>
      <c r="D458" s="4522"/>
      <c r="E458" s="4521" t="s">
        <v>152</v>
      </c>
      <c r="F458" s="4493" t="s">
        <v>225</v>
      </c>
      <c r="G458" s="4493"/>
      <c r="H458" s="4493"/>
      <c r="I458" s="4521" t="s">
        <v>409</v>
      </c>
      <c r="J458" s="4522"/>
    </row>
    <row r="459" spans="1:10" ht="25.5">
      <c r="A459" s="4525"/>
      <c r="B459" s="4523"/>
      <c r="C459" s="4523"/>
      <c r="D459" s="4523"/>
      <c r="E459" s="4523"/>
      <c r="F459" s="1235" t="s">
        <v>152</v>
      </c>
      <c r="G459" s="1325" t="s">
        <v>256</v>
      </c>
      <c r="H459" s="1325" t="s">
        <v>463</v>
      </c>
      <c r="I459" s="4523"/>
      <c r="J459" s="4523"/>
    </row>
    <row r="460" spans="1:10">
      <c r="A460" s="1184"/>
      <c r="B460" s="4517" t="s">
        <v>153</v>
      </c>
      <c r="C460" s="4518"/>
      <c r="D460" s="4518"/>
      <c r="E460" s="4518"/>
      <c r="F460" s="4518"/>
      <c r="G460" s="4518"/>
      <c r="H460" s="4518"/>
      <c r="I460" s="4518"/>
      <c r="J460" s="4519"/>
    </row>
    <row r="461" spans="1:10">
      <c r="A461" s="560">
        <v>1997</v>
      </c>
      <c r="B461" s="562"/>
      <c r="C461" s="563"/>
      <c r="D461" s="563"/>
      <c r="E461" s="563"/>
      <c r="F461" s="563"/>
      <c r="G461" s="563"/>
      <c r="H461" s="563"/>
      <c r="I461" s="563"/>
      <c r="J461" s="564"/>
    </row>
    <row r="462" spans="1:10">
      <c r="A462" s="561" t="s">
        <v>161</v>
      </c>
      <c r="B462" s="565">
        <f t="shared" ref="B462:B473" si="100">C462+D462</f>
        <v>4119.5</v>
      </c>
      <c r="C462" s="563">
        <v>6088.14</v>
      </c>
      <c r="D462" s="557">
        <f t="shared" ref="D462:D473" si="101">E462-J462</f>
        <v>-1968.6400000000003</v>
      </c>
      <c r="E462" s="557">
        <f t="shared" ref="E462:E473" si="102">I462+F462</f>
        <v>1381.6</v>
      </c>
      <c r="F462" s="557">
        <f t="shared" ref="F462:F473" si="103">G462+H462</f>
        <v>88.110000000000014</v>
      </c>
      <c r="G462" s="566">
        <v>-393.03</v>
      </c>
      <c r="H462" s="567">
        <v>481.14</v>
      </c>
      <c r="I462" s="563">
        <f>1082.04+211.45</f>
        <v>1293.49</v>
      </c>
      <c r="J462" s="564">
        <f>3021.34+372.4-43.5</f>
        <v>3350.2400000000002</v>
      </c>
    </row>
    <row r="463" spans="1:10">
      <c r="A463" s="561" t="s">
        <v>162</v>
      </c>
      <c r="B463" s="565">
        <f t="shared" si="100"/>
        <v>4224.49</v>
      </c>
      <c r="C463" s="563">
        <v>6232.79</v>
      </c>
      <c r="D463" s="557">
        <f t="shared" si="101"/>
        <v>-2008.3000000000002</v>
      </c>
      <c r="E463" s="557">
        <f t="shared" si="102"/>
        <v>1378.73</v>
      </c>
      <c r="F463" s="557">
        <f t="shared" si="103"/>
        <v>78.5</v>
      </c>
      <c r="G463" s="566">
        <v>-402.64</v>
      </c>
      <c r="H463" s="567">
        <v>481.14</v>
      </c>
      <c r="I463" s="563">
        <f>1086.47+213.76</f>
        <v>1300.23</v>
      </c>
      <c r="J463" s="564">
        <f>3037.65+392.88-43.5</f>
        <v>3387.03</v>
      </c>
    </row>
    <row r="464" spans="1:10">
      <c r="A464" s="561" t="s">
        <v>163</v>
      </c>
      <c r="B464" s="565">
        <f t="shared" si="100"/>
        <v>4253.5</v>
      </c>
      <c r="C464" s="563">
        <v>6033.01</v>
      </c>
      <c r="D464" s="557">
        <f t="shared" si="101"/>
        <v>-1779.5100000000002</v>
      </c>
      <c r="E464" s="557">
        <f t="shared" si="102"/>
        <v>1542.17</v>
      </c>
      <c r="F464" s="557">
        <f t="shared" si="103"/>
        <v>138.36000000000001</v>
      </c>
      <c r="G464" s="566">
        <v>-345.71</v>
      </c>
      <c r="H464" s="567">
        <v>484.07</v>
      </c>
      <c r="I464" s="563">
        <f>1195.19+208.62</f>
        <v>1403.81</v>
      </c>
      <c r="J464" s="564">
        <f>3041.03+294.15-13.5</f>
        <v>3321.6800000000003</v>
      </c>
    </row>
    <row r="465" spans="1:10">
      <c r="A465" s="561" t="s">
        <v>164</v>
      </c>
      <c r="B465" s="565">
        <f t="shared" si="100"/>
        <v>3971</v>
      </c>
      <c r="C465" s="563">
        <v>6255.67</v>
      </c>
      <c r="D465" s="557">
        <f t="shared" si="101"/>
        <v>-2284.67</v>
      </c>
      <c r="E465" s="557">
        <f t="shared" si="102"/>
        <v>1473.8899999999999</v>
      </c>
      <c r="F465" s="557">
        <f t="shared" si="103"/>
        <v>174.32</v>
      </c>
      <c r="G465" s="566">
        <v>-310</v>
      </c>
      <c r="H465" s="567">
        <v>484.32</v>
      </c>
      <c r="I465" s="563">
        <f>1083.11+216.46</f>
        <v>1299.57</v>
      </c>
      <c r="J465" s="564">
        <f>3474.5+289.06-5</f>
        <v>3758.56</v>
      </c>
    </row>
    <row r="466" spans="1:10">
      <c r="A466" s="561" t="s">
        <v>165</v>
      </c>
      <c r="B466" s="565">
        <f t="shared" si="100"/>
        <v>4201.9699999999993</v>
      </c>
      <c r="C466" s="563">
        <v>6089.69</v>
      </c>
      <c r="D466" s="557">
        <f t="shared" si="101"/>
        <v>-1887.7200000000003</v>
      </c>
      <c r="E466" s="557">
        <f t="shared" si="102"/>
        <v>1513.8199999999997</v>
      </c>
      <c r="F466" s="557">
        <f t="shared" si="103"/>
        <v>211.38</v>
      </c>
      <c r="G466" s="566">
        <v>-273.08</v>
      </c>
      <c r="H466" s="567">
        <v>484.46</v>
      </c>
      <c r="I466" s="563">
        <f>1085.11+217.33</f>
        <v>1302.4399999999998</v>
      </c>
      <c r="J466" s="564">
        <f>3179.69+226.85-5</f>
        <v>3401.54</v>
      </c>
    </row>
    <row r="467" spans="1:10">
      <c r="A467" s="561" t="s">
        <v>166</v>
      </c>
      <c r="B467" s="565">
        <f t="shared" si="100"/>
        <v>4277.6499999999996</v>
      </c>
      <c r="C467" s="563">
        <v>6233.16</v>
      </c>
      <c r="D467" s="557">
        <f t="shared" si="101"/>
        <v>-1955.5099999999998</v>
      </c>
      <c r="E467" s="557">
        <f t="shared" si="102"/>
        <v>1529.98</v>
      </c>
      <c r="F467" s="557">
        <f t="shared" si="103"/>
        <v>219.16000000000003</v>
      </c>
      <c r="G467" s="566">
        <v>-277.89999999999998</v>
      </c>
      <c r="H467" s="567">
        <v>497.06</v>
      </c>
      <c r="I467" s="563">
        <f>1097.06+213.76</f>
        <v>1310.82</v>
      </c>
      <c r="J467" s="564">
        <f>3250.77+239.72-5</f>
        <v>3485.49</v>
      </c>
    </row>
    <row r="468" spans="1:10">
      <c r="A468" s="561" t="s">
        <v>167</v>
      </c>
      <c r="B468" s="565">
        <f t="shared" si="100"/>
        <v>4479.1400000000003</v>
      </c>
      <c r="C468" s="563">
        <v>6079.93</v>
      </c>
      <c r="D468" s="557">
        <f t="shared" si="101"/>
        <v>-1600.7899999999997</v>
      </c>
      <c r="E468" s="557">
        <f t="shared" si="102"/>
        <v>1689.18</v>
      </c>
      <c r="F468" s="557">
        <f t="shared" si="103"/>
        <v>369.71000000000004</v>
      </c>
      <c r="G468" s="566">
        <v>-92.34</v>
      </c>
      <c r="H468" s="567">
        <v>462.05</v>
      </c>
      <c r="I468" s="563">
        <f>1113.76+205.71</f>
        <v>1319.47</v>
      </c>
      <c r="J468" s="564">
        <f>3018.27+276.7-5</f>
        <v>3289.97</v>
      </c>
    </row>
    <row r="469" spans="1:10">
      <c r="A469" s="561" t="s">
        <v>168</v>
      </c>
      <c r="B469" s="565">
        <f t="shared" si="100"/>
        <v>4851.6099999999988</v>
      </c>
      <c r="C469" s="563">
        <v>5984.15</v>
      </c>
      <c r="D469" s="557">
        <f t="shared" si="101"/>
        <v>-1132.5400000000004</v>
      </c>
      <c r="E469" s="557">
        <f t="shared" si="102"/>
        <v>1818.02</v>
      </c>
      <c r="F469" s="557">
        <f t="shared" si="103"/>
        <v>477.08</v>
      </c>
      <c r="G469" s="566">
        <v>9.9499999999999993</v>
      </c>
      <c r="H469" s="567">
        <v>467.13</v>
      </c>
      <c r="I469" s="563">
        <f>1127.47+213.47</f>
        <v>1340.94</v>
      </c>
      <c r="J469" s="564">
        <f>2763.82+191.74-5</f>
        <v>2950.5600000000004</v>
      </c>
    </row>
    <row r="470" spans="1:10">
      <c r="A470" s="561" t="s">
        <v>169</v>
      </c>
      <c r="B470" s="565">
        <f t="shared" si="100"/>
        <v>5304.53</v>
      </c>
      <c r="C470" s="563">
        <v>6287.39</v>
      </c>
      <c r="D470" s="557">
        <f t="shared" si="101"/>
        <v>-982.86000000000035</v>
      </c>
      <c r="E470" s="557">
        <f t="shared" si="102"/>
        <v>1942.45</v>
      </c>
      <c r="F470" s="557">
        <f t="shared" si="103"/>
        <v>521.69000000000005</v>
      </c>
      <c r="G470" s="566">
        <v>43.63</v>
      </c>
      <c r="H470" s="567">
        <v>478.06</v>
      </c>
      <c r="I470" s="563">
        <f>1201.6+219.16</f>
        <v>1420.76</v>
      </c>
      <c r="J470" s="564">
        <f>2757.78+172.53-5</f>
        <v>2925.3100000000004</v>
      </c>
    </row>
    <row r="471" spans="1:10">
      <c r="A471" s="561" t="s">
        <v>170</v>
      </c>
      <c r="B471" s="565">
        <f t="shared" si="100"/>
        <v>5283.3899999999994</v>
      </c>
      <c r="C471" s="563">
        <v>6635.53</v>
      </c>
      <c r="D471" s="557">
        <f t="shared" si="101"/>
        <v>-1352.14</v>
      </c>
      <c r="E471" s="557">
        <f t="shared" si="102"/>
        <v>1924.9199999999998</v>
      </c>
      <c r="F471" s="557">
        <f t="shared" si="103"/>
        <v>481.07</v>
      </c>
      <c r="G471" s="566">
        <v>11.94</v>
      </c>
      <c r="H471" s="567">
        <v>469.13</v>
      </c>
      <c r="I471" s="563">
        <f>1230.97+212.88</f>
        <v>1443.85</v>
      </c>
      <c r="J471" s="564">
        <f>3274.07+7.99-5</f>
        <v>3277.06</v>
      </c>
    </row>
    <row r="472" spans="1:10">
      <c r="A472" s="561" t="s">
        <v>171</v>
      </c>
      <c r="B472" s="565">
        <f t="shared" si="100"/>
        <v>5561.0499999999993</v>
      </c>
      <c r="C472" s="563">
        <v>6397.98</v>
      </c>
      <c r="D472" s="557">
        <f t="shared" si="101"/>
        <v>-836.93000000000029</v>
      </c>
      <c r="E472" s="557">
        <f t="shared" si="102"/>
        <v>2529.17</v>
      </c>
      <c r="F472" s="557">
        <f t="shared" si="103"/>
        <v>1026.81</v>
      </c>
      <c r="G472" s="566">
        <v>557.79999999999995</v>
      </c>
      <c r="H472" s="567">
        <v>469.01</v>
      </c>
      <c r="I472" s="563">
        <f>1279.24+223.12</f>
        <v>1502.3600000000001</v>
      </c>
      <c r="J472" s="564">
        <f>3367.59+3.51-5</f>
        <v>3366.1000000000004</v>
      </c>
    </row>
    <row r="473" spans="1:10">
      <c r="A473" s="560">
        <v>1997</v>
      </c>
      <c r="B473" s="565">
        <f t="shared" si="100"/>
        <v>5652.16</v>
      </c>
      <c r="C473" s="563">
        <v>7341.81</v>
      </c>
      <c r="D473" s="557">
        <f t="shared" si="101"/>
        <v>-1689.6500000000003</v>
      </c>
      <c r="E473" s="557">
        <f t="shared" si="102"/>
        <v>1939.76</v>
      </c>
      <c r="F473" s="557">
        <f t="shared" si="103"/>
        <v>463.73999999999995</v>
      </c>
      <c r="G473" s="559">
        <v>14.65</v>
      </c>
      <c r="H473" s="568">
        <v>449.09</v>
      </c>
      <c r="I473" s="563">
        <f>1252.26+223.76</f>
        <v>1476.02</v>
      </c>
      <c r="J473" s="564">
        <f>3623.82+10.59-5</f>
        <v>3629.4100000000003</v>
      </c>
    </row>
    <row r="474" spans="1:10">
      <c r="A474" s="560">
        <v>1998</v>
      </c>
      <c r="B474" s="565"/>
      <c r="C474" s="563"/>
      <c r="D474" s="557"/>
      <c r="E474" s="557"/>
      <c r="F474" s="557"/>
      <c r="G474" s="563"/>
      <c r="H474" s="563"/>
      <c r="I474" s="563"/>
      <c r="J474" s="564"/>
    </row>
    <row r="475" spans="1:10">
      <c r="A475" s="561" t="s">
        <v>161</v>
      </c>
      <c r="B475" s="565">
        <f t="shared" ref="B475:B486" si="104">C475+D475</f>
        <v>5597.08</v>
      </c>
      <c r="C475" s="563">
        <v>7295.33</v>
      </c>
      <c r="D475" s="557">
        <f t="shared" ref="D475:D486" si="105">E475-J475</f>
        <v>-1698.2500000000002</v>
      </c>
      <c r="E475" s="557">
        <f t="shared" ref="E475:E486" si="106">I475+F475</f>
        <v>1779.95</v>
      </c>
      <c r="F475" s="557">
        <f t="shared" ref="F475:F486" si="107">G475+H475</f>
        <v>223.76999999999998</v>
      </c>
      <c r="G475" s="566">
        <v>-225.37</v>
      </c>
      <c r="H475" s="566">
        <v>449.14</v>
      </c>
      <c r="I475" s="563">
        <f>1279.21+276.97</f>
        <v>1556.18</v>
      </c>
      <c r="J475" s="564">
        <f>3465.78+17.42-5</f>
        <v>3478.2000000000003</v>
      </c>
    </row>
    <row r="476" spans="1:10">
      <c r="A476" s="561" t="s">
        <v>162</v>
      </c>
      <c r="B476" s="565">
        <f t="shared" si="104"/>
        <v>5533.3099999999995</v>
      </c>
      <c r="C476" s="563">
        <v>7586.65</v>
      </c>
      <c r="D476" s="557">
        <f t="shared" si="105"/>
        <v>-2053.34</v>
      </c>
      <c r="E476" s="557">
        <f t="shared" si="106"/>
        <v>1920.06</v>
      </c>
      <c r="F476" s="557">
        <f t="shared" si="107"/>
        <v>343.25</v>
      </c>
      <c r="G476" s="566">
        <v>-105.89</v>
      </c>
      <c r="H476" s="566">
        <v>449.14</v>
      </c>
      <c r="I476" s="563">
        <f>1299.84+276.97</f>
        <v>1576.81</v>
      </c>
      <c r="J476" s="564">
        <f>3950.55+27.85-5</f>
        <v>3973.4</v>
      </c>
    </row>
    <row r="477" spans="1:10">
      <c r="A477" s="561" t="s">
        <v>163</v>
      </c>
      <c r="B477" s="565">
        <f t="shared" si="104"/>
        <v>5463.2800000000007</v>
      </c>
      <c r="C477" s="563">
        <v>7862.89</v>
      </c>
      <c r="D477" s="557">
        <f t="shared" si="105"/>
        <v>-2399.61</v>
      </c>
      <c r="E477" s="557">
        <f t="shared" si="106"/>
        <v>1387.1399999999999</v>
      </c>
      <c r="F477" s="557">
        <f t="shared" si="107"/>
        <v>-209.65000000000003</v>
      </c>
      <c r="G477" s="566">
        <v>-659.2</v>
      </c>
      <c r="H477" s="566">
        <v>449.55</v>
      </c>
      <c r="I477" s="563">
        <f>1310.43+286.36</f>
        <v>1596.79</v>
      </c>
      <c r="J477" s="564">
        <f>3750.57+41.18-5</f>
        <v>3786.75</v>
      </c>
    </row>
    <row r="478" spans="1:10">
      <c r="A478" s="561" t="s">
        <v>164</v>
      </c>
      <c r="B478" s="565">
        <f t="shared" si="104"/>
        <v>5615.7299999999987</v>
      </c>
      <c r="C478" s="563">
        <v>8446.9699999999993</v>
      </c>
      <c r="D478" s="557">
        <f t="shared" si="105"/>
        <v>-2831.2400000000007</v>
      </c>
      <c r="E478" s="557">
        <f t="shared" si="106"/>
        <v>1171.8399999999999</v>
      </c>
      <c r="F478" s="557">
        <f t="shared" si="107"/>
        <v>-326.96000000000004</v>
      </c>
      <c r="G478" s="566">
        <v>-776.57</v>
      </c>
      <c r="H478" s="566">
        <v>449.61</v>
      </c>
      <c r="I478" s="563">
        <f>1248.77+250.03</f>
        <v>1498.8</v>
      </c>
      <c r="J478" s="564">
        <f>3968.26+39.82-5</f>
        <v>4003.0800000000004</v>
      </c>
    </row>
    <row r="479" spans="1:10">
      <c r="A479" s="561" t="s">
        <v>165</v>
      </c>
      <c r="B479" s="565">
        <f t="shared" si="104"/>
        <v>5580.91</v>
      </c>
      <c r="C479" s="563">
        <v>8244.89</v>
      </c>
      <c r="D479" s="557">
        <f t="shared" si="105"/>
        <v>-2663.98</v>
      </c>
      <c r="E479" s="557">
        <f t="shared" si="106"/>
        <v>1330.79</v>
      </c>
      <c r="F479" s="557">
        <f t="shared" si="107"/>
        <v>-118.5</v>
      </c>
      <c r="G479" s="566">
        <v>-568.14</v>
      </c>
      <c r="H479" s="566">
        <v>449.64</v>
      </c>
      <c r="I479" s="563">
        <f>1240.71+208.58</f>
        <v>1449.29</v>
      </c>
      <c r="J479" s="564">
        <f>3957.1+42.67-5</f>
        <v>3994.77</v>
      </c>
    </row>
    <row r="480" spans="1:10">
      <c r="A480" s="561" t="s">
        <v>166</v>
      </c>
      <c r="B480" s="565">
        <f t="shared" si="104"/>
        <v>6063.0899999999983</v>
      </c>
      <c r="C480" s="563">
        <v>9087.98</v>
      </c>
      <c r="D480" s="557">
        <f t="shared" si="105"/>
        <v>-3024.8900000000008</v>
      </c>
      <c r="E480" s="557">
        <f t="shared" si="106"/>
        <v>1240.56</v>
      </c>
      <c r="F480" s="557">
        <f t="shared" si="107"/>
        <v>-189.14</v>
      </c>
      <c r="G480" s="566">
        <v>-648.51</v>
      </c>
      <c r="H480" s="566">
        <v>459.37</v>
      </c>
      <c r="I480" s="563">
        <f>1242.14+187.56</f>
        <v>1429.7</v>
      </c>
      <c r="J480" s="564">
        <f>4258.1+12.35-5</f>
        <v>4265.4500000000007</v>
      </c>
    </row>
    <row r="481" spans="1:10">
      <c r="A481" s="561" t="s">
        <v>167</v>
      </c>
      <c r="B481" s="565">
        <f t="shared" si="104"/>
        <v>5945.4000000000005</v>
      </c>
      <c r="C481" s="563">
        <v>9443.61</v>
      </c>
      <c r="D481" s="557">
        <f t="shared" si="105"/>
        <v>-3498.21</v>
      </c>
      <c r="E481" s="557">
        <f t="shared" si="106"/>
        <v>955.67000000000007</v>
      </c>
      <c r="F481" s="557">
        <f t="shared" si="107"/>
        <v>-500.88999999999993</v>
      </c>
      <c r="G481" s="566">
        <v>-930.56</v>
      </c>
      <c r="H481" s="566">
        <v>429.67</v>
      </c>
      <c r="I481" s="563">
        <f>1243.93+212.63</f>
        <v>1456.56</v>
      </c>
      <c r="J481" s="564">
        <f>4429.56+29.32-5</f>
        <v>4453.88</v>
      </c>
    </row>
    <row r="482" spans="1:10">
      <c r="A482" s="561" t="s">
        <v>168</v>
      </c>
      <c r="B482" s="565">
        <f t="shared" si="104"/>
        <v>6254.2599999999993</v>
      </c>
      <c r="C482" s="563">
        <v>9962.2099999999991</v>
      </c>
      <c r="D482" s="557">
        <f t="shared" si="105"/>
        <v>-3707.95</v>
      </c>
      <c r="E482" s="557">
        <f t="shared" si="106"/>
        <v>790.18000000000018</v>
      </c>
      <c r="F482" s="557">
        <f t="shared" si="107"/>
        <v>-656.89</v>
      </c>
      <c r="G482" s="566">
        <v>-1087.5</v>
      </c>
      <c r="H482" s="566">
        <v>430.61</v>
      </c>
      <c r="I482" s="563">
        <f>1263.18+183.89</f>
        <v>1447.0700000000002</v>
      </c>
      <c r="J482" s="564">
        <f>4488.67+14.46-5</f>
        <v>4498.13</v>
      </c>
    </row>
    <row r="483" spans="1:10">
      <c r="A483" s="561" t="s">
        <v>169</v>
      </c>
      <c r="B483" s="565">
        <f t="shared" si="104"/>
        <v>6510.6699999999992</v>
      </c>
      <c r="C483" s="563">
        <v>9997.64</v>
      </c>
      <c r="D483" s="557">
        <f t="shared" si="105"/>
        <v>-3486.9700000000003</v>
      </c>
      <c r="E483" s="557">
        <f t="shared" si="106"/>
        <v>652.64999999999986</v>
      </c>
      <c r="F483" s="557">
        <f t="shared" si="107"/>
        <v>-786.68000000000006</v>
      </c>
      <c r="G483" s="566">
        <v>-1227.46</v>
      </c>
      <c r="H483" s="566">
        <v>440.78</v>
      </c>
      <c r="I483" s="563">
        <f>1256.55+182.78</f>
        <v>1439.33</v>
      </c>
      <c r="J483" s="564">
        <f>4083.05+59.57-3</f>
        <v>4139.62</v>
      </c>
    </row>
    <row r="484" spans="1:10">
      <c r="A484" s="561" t="s">
        <v>170</v>
      </c>
      <c r="B484" s="565">
        <f t="shared" si="104"/>
        <v>7030.07</v>
      </c>
      <c r="C484" s="563">
        <v>11713.33</v>
      </c>
      <c r="D484" s="557">
        <f t="shared" si="105"/>
        <v>-4683.26</v>
      </c>
      <c r="E484" s="557">
        <f t="shared" si="106"/>
        <v>701.43999999999983</v>
      </c>
      <c r="F484" s="557">
        <f t="shared" si="107"/>
        <v>-721.56000000000017</v>
      </c>
      <c r="G484" s="566">
        <v>-1153.4000000000001</v>
      </c>
      <c r="H484" s="566">
        <v>431.84</v>
      </c>
      <c r="I484" s="563">
        <f>1233.89+189.11</f>
        <v>1423</v>
      </c>
      <c r="J484" s="564">
        <f>5328.13+59.57-3</f>
        <v>5384.7</v>
      </c>
    </row>
    <row r="485" spans="1:10">
      <c r="A485" s="561" t="s">
        <v>171</v>
      </c>
      <c r="B485" s="565">
        <f t="shared" si="104"/>
        <v>6870.2199999999993</v>
      </c>
      <c r="C485" s="563">
        <v>11346.97</v>
      </c>
      <c r="D485" s="557">
        <f t="shared" si="105"/>
        <v>-4476.75</v>
      </c>
      <c r="E485" s="557">
        <f t="shared" si="106"/>
        <v>405.86999999999989</v>
      </c>
      <c r="F485" s="557">
        <f t="shared" si="107"/>
        <v>-1027.3100000000002</v>
      </c>
      <c r="G485" s="566">
        <v>-1458.89</v>
      </c>
      <c r="H485" s="566">
        <v>431.58</v>
      </c>
      <c r="I485" s="563">
        <f>1266.52+166.66</f>
        <v>1433.18</v>
      </c>
      <c r="J485" s="564">
        <f>4770.84+114.78-3</f>
        <v>4882.62</v>
      </c>
    </row>
    <row r="486" spans="1:10">
      <c r="A486" s="560">
        <v>1998</v>
      </c>
      <c r="B486" s="565">
        <f t="shared" si="104"/>
        <v>6578.31</v>
      </c>
      <c r="C486" s="563">
        <v>10840.42</v>
      </c>
      <c r="D486" s="557">
        <f t="shared" si="105"/>
        <v>-4262.1099999999997</v>
      </c>
      <c r="E486" s="557">
        <f t="shared" si="106"/>
        <v>407.45000000000005</v>
      </c>
      <c r="F486" s="557">
        <f t="shared" si="107"/>
        <v>-1068.01</v>
      </c>
      <c r="G486" s="566">
        <v>-1479.42</v>
      </c>
      <c r="H486" s="566">
        <v>411.41</v>
      </c>
      <c r="I486" s="563">
        <f>1301.42+174.04</f>
        <v>1475.46</v>
      </c>
      <c r="J486" s="564">
        <f>4538.48+134.08-3</f>
        <v>4669.5599999999995</v>
      </c>
    </row>
    <row r="487" spans="1:10">
      <c r="A487" s="560">
        <v>1999</v>
      </c>
      <c r="B487" s="565"/>
      <c r="C487" s="563"/>
      <c r="D487" s="557"/>
      <c r="E487" s="557"/>
      <c r="F487" s="557"/>
      <c r="G487" s="563"/>
      <c r="H487" s="563"/>
      <c r="I487" s="563"/>
      <c r="J487" s="564"/>
    </row>
    <row r="488" spans="1:10">
      <c r="A488" s="561" t="s">
        <v>161</v>
      </c>
      <c r="B488" s="565">
        <f t="shared" ref="B488:B499" si="108">C488+D488</f>
        <v>6853.7099999999991</v>
      </c>
      <c r="C488" s="563">
        <v>11988.14</v>
      </c>
      <c r="D488" s="557">
        <f t="shared" ref="D488:D499" si="109">E488-J488</f>
        <v>-5134.43</v>
      </c>
      <c r="E488" s="557">
        <f t="shared" ref="E488:E499" si="110">I488+F488</f>
        <v>-82.400000000000091</v>
      </c>
      <c r="F488" s="557">
        <f t="shared" ref="F488:F499" si="111">G488+H488</f>
        <v>-1553.64</v>
      </c>
      <c r="G488" s="563">
        <v>-1965.22</v>
      </c>
      <c r="H488" s="563">
        <v>411.58</v>
      </c>
      <c r="I488" s="563">
        <f>1297.69+173.55</f>
        <v>1471.24</v>
      </c>
      <c r="J488" s="564">
        <f>4920.95+134.08-3</f>
        <v>5052.03</v>
      </c>
    </row>
    <row r="489" spans="1:10">
      <c r="A489" s="561" t="s">
        <v>162</v>
      </c>
      <c r="B489" s="565">
        <f t="shared" si="108"/>
        <v>6876.34</v>
      </c>
      <c r="C489" s="563">
        <v>11291.72</v>
      </c>
      <c r="D489" s="557">
        <f t="shared" si="109"/>
        <v>-4415.3799999999992</v>
      </c>
      <c r="E489" s="557">
        <f t="shared" si="110"/>
        <v>155.40000000000009</v>
      </c>
      <c r="F489" s="557">
        <f t="shared" si="111"/>
        <v>-1308.54</v>
      </c>
      <c r="G489" s="563">
        <v>-1720.18</v>
      </c>
      <c r="H489" s="563">
        <v>411.64</v>
      </c>
      <c r="I489" s="563">
        <f>1296.51+167.43</f>
        <v>1463.94</v>
      </c>
      <c r="J489" s="564">
        <f>4429.83+143.95-3</f>
        <v>4570.78</v>
      </c>
    </row>
    <row r="490" spans="1:10">
      <c r="A490" s="561" t="s">
        <v>163</v>
      </c>
      <c r="B490" s="565">
        <f t="shared" si="108"/>
        <v>7319.3899999999994</v>
      </c>
      <c r="C490" s="563">
        <v>11827.66</v>
      </c>
      <c r="D490" s="557">
        <f t="shared" si="109"/>
        <v>-4508.2700000000004</v>
      </c>
      <c r="E490" s="557">
        <f t="shared" si="110"/>
        <v>-77.980000000000018</v>
      </c>
      <c r="F490" s="557">
        <f t="shared" si="111"/>
        <v>-1537.02</v>
      </c>
      <c r="G490" s="563">
        <v>-1957.54</v>
      </c>
      <c r="H490" s="563">
        <v>420.52</v>
      </c>
      <c r="I490" s="563">
        <f>1287.54+171.5</f>
        <v>1459.04</v>
      </c>
      <c r="J490" s="564">
        <f>4280.47+152.82-3</f>
        <v>4430.29</v>
      </c>
    </row>
    <row r="491" spans="1:10">
      <c r="A491" s="561" t="s">
        <v>164</v>
      </c>
      <c r="B491" s="565">
        <f t="shared" si="108"/>
        <v>7346.2500000000009</v>
      </c>
      <c r="C491" s="563">
        <v>11649.44</v>
      </c>
      <c r="D491" s="557">
        <f t="shared" si="109"/>
        <v>-4303.1899999999996</v>
      </c>
      <c r="E491" s="557">
        <f t="shared" si="110"/>
        <v>-169.46000000000004</v>
      </c>
      <c r="F491" s="557">
        <f t="shared" si="111"/>
        <v>-1600.76</v>
      </c>
      <c r="G491" s="563">
        <v>-2011.69</v>
      </c>
      <c r="H491" s="563">
        <v>410.93</v>
      </c>
      <c r="I491" s="563">
        <f>1268.6+162.7</f>
        <v>1431.3</v>
      </c>
      <c r="J491" s="564">
        <f>3983.91+152.82-3</f>
        <v>4133.7299999999996</v>
      </c>
    </row>
    <row r="492" spans="1:10">
      <c r="A492" s="561" t="s">
        <v>165</v>
      </c>
      <c r="B492" s="565">
        <f t="shared" si="108"/>
        <v>7322.55</v>
      </c>
      <c r="C492" s="563">
        <v>11940.18</v>
      </c>
      <c r="D492" s="557">
        <f t="shared" si="109"/>
        <v>-4617.63</v>
      </c>
      <c r="E492" s="557">
        <f t="shared" si="110"/>
        <v>155.80000000000018</v>
      </c>
      <c r="F492" s="557">
        <f t="shared" si="111"/>
        <v>-1297.7199999999998</v>
      </c>
      <c r="G492" s="563">
        <v>-1709.36</v>
      </c>
      <c r="H492" s="563">
        <v>411.64</v>
      </c>
      <c r="I492" s="563">
        <f>1291.86+161.66</f>
        <v>1453.52</v>
      </c>
      <c r="J492" s="564">
        <f>4688.62+87.81-3</f>
        <v>4773.43</v>
      </c>
    </row>
    <row r="493" spans="1:10">
      <c r="A493" s="561" t="s">
        <v>166</v>
      </c>
      <c r="B493" s="565">
        <f t="shared" si="108"/>
        <v>7359.2300000000005</v>
      </c>
      <c r="C493" s="563">
        <v>11335.81</v>
      </c>
      <c r="D493" s="557">
        <f t="shared" si="109"/>
        <v>-3976.579999999999</v>
      </c>
      <c r="E493" s="557">
        <f t="shared" si="110"/>
        <v>377.93000000000006</v>
      </c>
      <c r="F493" s="557">
        <f t="shared" si="111"/>
        <v>-1094.32</v>
      </c>
      <c r="G493" s="563">
        <v>-1485.3</v>
      </c>
      <c r="H493" s="563">
        <v>390.98</v>
      </c>
      <c r="I493" s="563">
        <f>1306.52+165.73</f>
        <v>1472.25</v>
      </c>
      <c r="J493" s="564">
        <f>4331.73+25.78-3</f>
        <v>4354.5099999999993</v>
      </c>
    </row>
    <row r="494" spans="1:10">
      <c r="A494" s="561" t="s">
        <v>167</v>
      </c>
      <c r="B494" s="565">
        <f t="shared" si="108"/>
        <v>7235.23</v>
      </c>
      <c r="C494" s="563">
        <v>12037.18</v>
      </c>
      <c r="D494" s="557">
        <f t="shared" si="109"/>
        <v>-4801.9500000000007</v>
      </c>
      <c r="E494" s="557">
        <f t="shared" si="110"/>
        <v>-38.400000000000091</v>
      </c>
      <c r="F494" s="557">
        <f t="shared" si="111"/>
        <v>-1535.2</v>
      </c>
      <c r="G494" s="563">
        <v>-1926.47</v>
      </c>
      <c r="H494" s="563">
        <v>391.27</v>
      </c>
      <c r="I494" s="563">
        <f>1337.98+158.82</f>
        <v>1496.8</v>
      </c>
      <c r="J494" s="564">
        <f>4740.77+25.78-3</f>
        <v>4763.55</v>
      </c>
    </row>
    <row r="495" spans="1:10">
      <c r="A495" s="561" t="s">
        <v>168</v>
      </c>
      <c r="B495" s="565">
        <f t="shared" si="108"/>
        <v>8212.85</v>
      </c>
      <c r="C495" s="563">
        <v>12038.16</v>
      </c>
      <c r="D495" s="557">
        <f t="shared" si="109"/>
        <v>-3825.3099999999995</v>
      </c>
      <c r="E495" s="557">
        <f t="shared" si="110"/>
        <v>254.50000000000023</v>
      </c>
      <c r="F495" s="557">
        <f t="shared" si="111"/>
        <v>-1219.4299999999998</v>
      </c>
      <c r="G495" s="563">
        <v>-1611.55</v>
      </c>
      <c r="H495" s="563">
        <v>392.12</v>
      </c>
      <c r="I495" s="563">
        <f>1321.41+152.52</f>
        <v>1473.93</v>
      </c>
      <c r="J495" s="564">
        <f>4046.85+35.96-3</f>
        <v>4079.81</v>
      </c>
    </row>
    <row r="496" spans="1:10">
      <c r="A496" s="561" t="s">
        <v>169</v>
      </c>
      <c r="B496" s="565">
        <f t="shared" si="108"/>
        <v>8200.880000000001</v>
      </c>
      <c r="C496" s="563">
        <v>12245.68</v>
      </c>
      <c r="D496" s="557">
        <f t="shared" si="109"/>
        <v>-4044.7999999999993</v>
      </c>
      <c r="E496" s="557">
        <f t="shared" si="110"/>
        <v>314.08999999999992</v>
      </c>
      <c r="F496" s="557">
        <f t="shared" si="111"/>
        <v>-1177.19</v>
      </c>
      <c r="G496" s="563">
        <v>-1569.31</v>
      </c>
      <c r="H496" s="563">
        <v>392.12</v>
      </c>
      <c r="I496" s="563">
        <f>1337.53+153.75</f>
        <v>1491.28</v>
      </c>
      <c r="J496" s="564">
        <f>4294.19+67.7-3</f>
        <v>4358.8899999999994</v>
      </c>
    </row>
    <row r="497" spans="1:10">
      <c r="A497" s="561" t="s">
        <v>170</v>
      </c>
      <c r="B497" s="565">
        <f t="shared" si="108"/>
        <v>9040.99</v>
      </c>
      <c r="C497" s="563">
        <v>14334.58</v>
      </c>
      <c r="D497" s="557">
        <f t="shared" si="109"/>
        <v>-5293.59</v>
      </c>
      <c r="E497" s="557">
        <f t="shared" si="110"/>
        <v>-116.09000000000015</v>
      </c>
      <c r="F497" s="557">
        <f t="shared" si="111"/>
        <v>-1607.5300000000002</v>
      </c>
      <c r="G497" s="563">
        <v>-1999.41</v>
      </c>
      <c r="H497" s="563">
        <v>391.88</v>
      </c>
      <c r="I497" s="563">
        <f>1347.48+143.96</f>
        <v>1491.44</v>
      </c>
      <c r="J497" s="564">
        <f>5112.8+67.7-3</f>
        <v>5177.5</v>
      </c>
    </row>
    <row r="498" spans="1:10">
      <c r="A498" s="561" t="s">
        <v>171</v>
      </c>
      <c r="B498" s="565">
        <f t="shared" si="108"/>
        <v>8698.86</v>
      </c>
      <c r="C498" s="563">
        <v>13289.5</v>
      </c>
      <c r="D498" s="557">
        <f t="shared" si="109"/>
        <v>-4590.6399999999994</v>
      </c>
      <c r="E498" s="557">
        <f t="shared" si="110"/>
        <v>-493.02</v>
      </c>
      <c r="F498" s="557">
        <f t="shared" si="111"/>
        <v>-1999.36</v>
      </c>
      <c r="G498" s="563">
        <v>-2391.4499999999998</v>
      </c>
      <c r="H498" s="563">
        <v>392.09</v>
      </c>
      <c r="I498" s="563">
        <f>1364.62+141.72</f>
        <v>1506.34</v>
      </c>
      <c r="J498" s="564">
        <f>4043.67+56.95-3</f>
        <v>4097.62</v>
      </c>
    </row>
    <row r="499" spans="1:10">
      <c r="A499" s="560">
        <v>1999</v>
      </c>
      <c r="B499" s="565">
        <f t="shared" si="108"/>
        <v>8643.36</v>
      </c>
      <c r="C499" s="563">
        <v>12895.62</v>
      </c>
      <c r="D499" s="557">
        <f t="shared" si="109"/>
        <v>-4252.2599999999993</v>
      </c>
      <c r="E499" s="557">
        <f t="shared" si="110"/>
        <v>-232.8599999999999</v>
      </c>
      <c r="F499" s="557">
        <f t="shared" si="111"/>
        <v>-1725.54</v>
      </c>
      <c r="G499" s="563">
        <v>-2097.6799999999998</v>
      </c>
      <c r="H499" s="563">
        <v>372.14</v>
      </c>
      <c r="I499" s="563">
        <f>1352.53+140.15</f>
        <v>1492.68</v>
      </c>
      <c r="J499" s="564">
        <f>3996.18+26.22-3</f>
        <v>4019.3999999999996</v>
      </c>
    </row>
    <row r="500" spans="1:10">
      <c r="A500" s="122">
        <v>2000</v>
      </c>
      <c r="B500" s="565"/>
      <c r="C500" s="555"/>
      <c r="D500" s="557"/>
      <c r="E500" s="557"/>
      <c r="F500" s="557"/>
      <c r="G500" s="555"/>
      <c r="H500" s="555"/>
      <c r="I500" s="555"/>
      <c r="J500" s="558"/>
    </row>
    <row r="501" spans="1:10">
      <c r="A501" s="561" t="s">
        <v>161</v>
      </c>
      <c r="B501" s="565">
        <f t="shared" ref="B501:B538" si="112">C501+D501</f>
        <v>8775.39</v>
      </c>
      <c r="C501" s="555">
        <v>13762.4</v>
      </c>
      <c r="D501" s="557">
        <f t="shared" ref="D501:D538" si="113">E501-J501</f>
        <v>-4987.01</v>
      </c>
      <c r="E501" s="557">
        <f t="shared" ref="E501:E538" si="114">I501+F501</f>
        <v>-109.54999999999995</v>
      </c>
      <c r="F501" s="557">
        <f t="shared" ref="F501:F538" si="115">G501+H501</f>
        <v>-1620.09</v>
      </c>
      <c r="G501" s="555">
        <v>-1992.3</v>
      </c>
      <c r="H501" s="555">
        <v>372.21</v>
      </c>
      <c r="I501" s="555">
        <f>1360.85+149.69</f>
        <v>1510.54</v>
      </c>
      <c r="J501" s="558">
        <f>4854.24+26.22-3</f>
        <v>4877.46</v>
      </c>
    </row>
    <row r="502" spans="1:10">
      <c r="A502" s="561" t="s">
        <v>162</v>
      </c>
      <c r="B502" s="565">
        <f t="shared" si="112"/>
        <v>8511.619999999999</v>
      </c>
      <c r="C502" s="555">
        <v>13428.97</v>
      </c>
      <c r="D502" s="557">
        <f t="shared" si="113"/>
        <v>-4917.3500000000004</v>
      </c>
      <c r="E502" s="557">
        <f t="shared" si="114"/>
        <v>-387.26</v>
      </c>
      <c r="F502" s="557">
        <f t="shared" si="115"/>
        <v>-1874.33</v>
      </c>
      <c r="G502" s="555">
        <v>-2246.4699999999998</v>
      </c>
      <c r="H502" s="555">
        <v>372.14</v>
      </c>
      <c r="I502" s="555">
        <f>1342.31+144.76</f>
        <v>1487.07</v>
      </c>
      <c r="J502" s="558">
        <f>4470.49+62.6-3</f>
        <v>4530.09</v>
      </c>
    </row>
    <row r="503" spans="1:10">
      <c r="A503" s="561" t="s">
        <v>163</v>
      </c>
      <c r="B503" s="565">
        <f t="shared" si="112"/>
        <v>9066.67</v>
      </c>
      <c r="C503" s="555">
        <v>13319.74</v>
      </c>
      <c r="D503" s="557">
        <f t="shared" si="113"/>
        <v>-4253.07</v>
      </c>
      <c r="E503" s="557">
        <f t="shared" si="114"/>
        <v>-301.67999999999984</v>
      </c>
      <c r="F503" s="557">
        <f t="shared" si="115"/>
        <v>-1806.7299999999998</v>
      </c>
      <c r="G503" s="555">
        <v>-2178.9699999999998</v>
      </c>
      <c r="H503" s="555">
        <v>372.24</v>
      </c>
      <c r="I503" s="555">
        <f>1361.35+143.7</f>
        <v>1505.05</v>
      </c>
      <c r="J503" s="558">
        <f>3831.55+122.84-3</f>
        <v>3951.3900000000003</v>
      </c>
    </row>
    <row r="504" spans="1:10">
      <c r="A504" s="561" t="s">
        <v>164</v>
      </c>
      <c r="B504" s="565">
        <f t="shared" si="112"/>
        <v>8358.15</v>
      </c>
      <c r="C504" s="555">
        <v>13425.97</v>
      </c>
      <c r="D504" s="557">
        <f t="shared" si="113"/>
        <v>-5067.82</v>
      </c>
      <c r="E504" s="557">
        <f t="shared" si="114"/>
        <v>-273.98</v>
      </c>
      <c r="F504" s="557">
        <f t="shared" si="115"/>
        <v>-1753.1</v>
      </c>
      <c r="G504" s="555">
        <v>-2126.12</v>
      </c>
      <c r="H504" s="555">
        <v>373.02</v>
      </c>
      <c r="I504" s="555">
        <f>1338.52+140.6</f>
        <v>1479.12</v>
      </c>
      <c r="J504" s="558">
        <f>4674.02+122.84-3.02</f>
        <v>4793.84</v>
      </c>
    </row>
    <row r="505" spans="1:10">
      <c r="A505" s="561" t="s">
        <v>165</v>
      </c>
      <c r="B505" s="565">
        <f t="shared" si="112"/>
        <v>8277.2100000000009</v>
      </c>
      <c r="C505" s="555">
        <v>13140.48</v>
      </c>
      <c r="D505" s="557">
        <f t="shared" si="113"/>
        <v>-4863.2699999999986</v>
      </c>
      <c r="E505" s="557">
        <f t="shared" si="114"/>
        <v>60.690000000000055</v>
      </c>
      <c r="F505" s="557">
        <f t="shared" si="115"/>
        <v>-1426.04</v>
      </c>
      <c r="G505" s="555">
        <v>-1799.57</v>
      </c>
      <c r="H505" s="555">
        <v>373.53</v>
      </c>
      <c r="I505" s="555">
        <f>1349.78+136.95</f>
        <v>1486.73</v>
      </c>
      <c r="J505" s="558">
        <f>4769.98+157.04-3.06</f>
        <v>4923.9599999999991</v>
      </c>
    </row>
    <row r="506" spans="1:10">
      <c r="A506" s="561" t="s">
        <v>166</v>
      </c>
      <c r="B506" s="565">
        <f t="shared" si="112"/>
        <v>8930.5400000000009</v>
      </c>
      <c r="C506" s="555">
        <v>13248.25</v>
      </c>
      <c r="D506" s="557">
        <f t="shared" si="113"/>
        <v>-4317.71</v>
      </c>
      <c r="E506" s="557">
        <f t="shared" si="114"/>
        <v>749.11999999999978</v>
      </c>
      <c r="F506" s="557">
        <f t="shared" si="115"/>
        <v>-757.0200000000001</v>
      </c>
      <c r="G506" s="555">
        <v>-1110.6300000000001</v>
      </c>
      <c r="H506" s="555">
        <v>353.61</v>
      </c>
      <c r="I506" s="555">
        <f>1360.04+146.1</f>
        <v>1506.1399999999999</v>
      </c>
      <c r="J506" s="558">
        <f>4980.61+89.22-3</f>
        <v>5066.83</v>
      </c>
    </row>
    <row r="507" spans="1:10">
      <c r="A507" s="561" t="s">
        <v>167</v>
      </c>
      <c r="B507" s="565">
        <f t="shared" si="112"/>
        <v>9564.5400000000009</v>
      </c>
      <c r="C507" s="555">
        <v>13658.01</v>
      </c>
      <c r="D507" s="557">
        <f t="shared" si="113"/>
        <v>-4093.4700000000003</v>
      </c>
      <c r="E507" s="557">
        <f t="shared" si="114"/>
        <v>502.39999999999986</v>
      </c>
      <c r="F507" s="557">
        <f t="shared" si="115"/>
        <v>-1018.56</v>
      </c>
      <c r="G507" s="555">
        <v>-1372.05</v>
      </c>
      <c r="H507" s="555">
        <v>353.49</v>
      </c>
      <c r="I507" s="555">
        <f>1384.37+136.59</f>
        <v>1520.9599999999998</v>
      </c>
      <c r="J507" s="558">
        <f>4510.29+88.58-3</f>
        <v>4595.87</v>
      </c>
    </row>
    <row r="508" spans="1:10">
      <c r="A508" s="561" t="s">
        <v>168</v>
      </c>
      <c r="B508" s="565">
        <f t="shared" si="112"/>
        <v>9650.49</v>
      </c>
      <c r="C508" s="555">
        <v>13829.91</v>
      </c>
      <c r="D508" s="557">
        <f t="shared" si="113"/>
        <v>-4179.42</v>
      </c>
      <c r="E508" s="557">
        <f t="shared" si="114"/>
        <v>880.86999999999989</v>
      </c>
      <c r="F508" s="557">
        <f t="shared" si="115"/>
        <v>-638</v>
      </c>
      <c r="G508" s="555">
        <v>-991.08</v>
      </c>
      <c r="H508" s="555">
        <v>353.08</v>
      </c>
      <c r="I508" s="555">
        <f>1389.3+129.57</f>
        <v>1518.87</v>
      </c>
      <c r="J508" s="558">
        <f>5043.16+20.13-3</f>
        <v>5060.29</v>
      </c>
    </row>
    <row r="509" spans="1:10">
      <c r="A509" s="561" t="s">
        <v>169</v>
      </c>
      <c r="B509" s="565">
        <f t="shared" si="112"/>
        <v>10369.19</v>
      </c>
      <c r="C509" s="555">
        <v>14331.19</v>
      </c>
      <c r="D509" s="557">
        <f t="shared" si="113"/>
        <v>-3962</v>
      </c>
      <c r="E509" s="557">
        <f t="shared" si="114"/>
        <v>762.17000000000007</v>
      </c>
      <c r="F509" s="557">
        <f t="shared" si="115"/>
        <v>-815.47</v>
      </c>
      <c r="G509" s="555">
        <v>-1169.04</v>
      </c>
      <c r="H509" s="555">
        <v>353.57</v>
      </c>
      <c r="I509" s="555">
        <f>1444.16+133.48</f>
        <v>1577.64</v>
      </c>
      <c r="J509" s="558">
        <f>4717.95+9.22-3</f>
        <v>4724.17</v>
      </c>
    </row>
    <row r="510" spans="1:10">
      <c r="A510" s="561" t="s">
        <v>170</v>
      </c>
      <c r="B510" s="565">
        <f t="shared" si="112"/>
        <v>9848.36</v>
      </c>
      <c r="C510" s="555">
        <v>14626.27</v>
      </c>
      <c r="D510" s="557">
        <f t="shared" si="113"/>
        <v>-4777.91</v>
      </c>
      <c r="E510" s="557">
        <f t="shared" si="114"/>
        <v>257.40000000000032</v>
      </c>
      <c r="F510" s="557">
        <f t="shared" si="115"/>
        <v>-1368.4499999999998</v>
      </c>
      <c r="G510" s="555">
        <v>-1721.86</v>
      </c>
      <c r="H510" s="555">
        <v>353.41</v>
      </c>
      <c r="I510" s="555">
        <f>1499.2+126.65</f>
        <v>1625.8500000000001</v>
      </c>
      <c r="J510" s="558">
        <f>5029.09+9.22-3</f>
        <v>5035.3100000000004</v>
      </c>
    </row>
    <row r="511" spans="1:10">
      <c r="A511" s="561" t="s">
        <v>171</v>
      </c>
      <c r="B511" s="565">
        <f t="shared" si="112"/>
        <v>10047.82</v>
      </c>
      <c r="C511" s="555">
        <v>15003.72</v>
      </c>
      <c r="D511" s="557">
        <f t="shared" si="113"/>
        <v>-4955.8999999999996</v>
      </c>
      <c r="E511" s="557">
        <f t="shared" si="114"/>
        <v>191.52999999999997</v>
      </c>
      <c r="F511" s="557">
        <f t="shared" si="115"/>
        <v>-1522.8600000000001</v>
      </c>
      <c r="G511" s="555">
        <v>-1874.98</v>
      </c>
      <c r="H511" s="555">
        <v>352.12</v>
      </c>
      <c r="I511" s="555">
        <f>1587.45+126.94</f>
        <v>1714.39</v>
      </c>
      <c r="J511" s="558">
        <f>5141.28+9.15-3</f>
        <v>5147.4299999999994</v>
      </c>
    </row>
    <row r="512" spans="1:10">
      <c r="A512" s="122">
        <v>2000</v>
      </c>
      <c r="B512" s="131">
        <f t="shared" si="112"/>
        <v>10035.34</v>
      </c>
      <c r="C512" s="99">
        <v>15073.68</v>
      </c>
      <c r="D512" s="99">
        <f t="shared" si="113"/>
        <v>-5038.34</v>
      </c>
      <c r="E512" s="99">
        <f t="shared" si="114"/>
        <v>584.29999999999995</v>
      </c>
      <c r="F512" s="99">
        <f t="shared" si="115"/>
        <v>-1166.71</v>
      </c>
      <c r="G512" s="99">
        <v>-1499.35</v>
      </c>
      <c r="H512" s="99">
        <v>332.64</v>
      </c>
      <c r="I512" s="123">
        <f>1624.33+126.68</f>
        <v>1751.01</v>
      </c>
      <c r="J512" s="99">
        <f>5510.37+115.27-3</f>
        <v>5622.64</v>
      </c>
    </row>
    <row r="513" spans="1:10">
      <c r="A513" s="127">
        <v>2001</v>
      </c>
      <c r="B513" s="128"/>
      <c r="C513" s="128"/>
      <c r="D513" s="128"/>
      <c r="E513" s="128"/>
      <c r="F513" s="128"/>
      <c r="G513" s="128"/>
      <c r="H513" s="128"/>
      <c r="I513" s="128"/>
      <c r="J513" s="128"/>
    </row>
    <row r="514" spans="1:10">
      <c r="A514" s="124" t="s">
        <v>161</v>
      </c>
      <c r="B514" s="99">
        <f t="shared" si="112"/>
        <v>9121.15</v>
      </c>
      <c r="C514" s="99">
        <v>13142.74</v>
      </c>
      <c r="D514" s="99">
        <f t="shared" si="113"/>
        <v>-4021.59</v>
      </c>
      <c r="E514" s="99">
        <f t="shared" si="114"/>
        <v>705.31999999999971</v>
      </c>
      <c r="F514" s="99">
        <f t="shared" si="115"/>
        <v>-1225.0700000000002</v>
      </c>
      <c r="G514" s="99">
        <v>-1558.4</v>
      </c>
      <c r="H514" s="99">
        <v>333.33</v>
      </c>
      <c r="I514" s="99">
        <f>1812.26+118.13</f>
        <v>1930.3899999999999</v>
      </c>
      <c r="J514" s="99">
        <f>4604.46+125.45-3</f>
        <v>4726.91</v>
      </c>
    </row>
    <row r="515" spans="1:10">
      <c r="A515" s="124" t="s">
        <v>162</v>
      </c>
      <c r="B515" s="129">
        <f t="shared" si="112"/>
        <v>8952.130000000001</v>
      </c>
      <c r="C515" s="129">
        <v>12493.7</v>
      </c>
      <c r="D515" s="129">
        <f t="shared" si="113"/>
        <v>-3541.5699999999997</v>
      </c>
      <c r="E515" s="129">
        <f t="shared" si="114"/>
        <v>959.50000000000011</v>
      </c>
      <c r="F515" s="129">
        <f t="shared" si="115"/>
        <v>-1018.13</v>
      </c>
      <c r="G515" s="129">
        <v>-1351.48</v>
      </c>
      <c r="H515" s="129">
        <v>333.35</v>
      </c>
      <c r="I515" s="129">
        <f>1859.49+118.14</f>
        <v>1977.63</v>
      </c>
      <c r="J515" s="129">
        <f>4378.62+125.45-3</f>
        <v>4501.07</v>
      </c>
    </row>
    <row r="516" spans="1:10">
      <c r="A516" s="124" t="s">
        <v>163</v>
      </c>
      <c r="B516" s="129">
        <f t="shared" si="112"/>
        <v>10062.36</v>
      </c>
      <c r="C516" s="129">
        <v>13535.69</v>
      </c>
      <c r="D516" s="129">
        <f t="shared" si="113"/>
        <v>-3473.33</v>
      </c>
      <c r="E516" s="129">
        <f t="shared" si="114"/>
        <v>983.06999999999994</v>
      </c>
      <c r="F516" s="129">
        <f t="shared" si="115"/>
        <v>-1056.44</v>
      </c>
      <c r="G516" s="129">
        <v>-1389.78</v>
      </c>
      <c r="H516" s="129">
        <v>333.34</v>
      </c>
      <c r="I516" s="129">
        <f>1912.34+127.17</f>
        <v>2039.51</v>
      </c>
      <c r="J516" s="129">
        <f>4442.12+17.28-3</f>
        <v>4456.3999999999996</v>
      </c>
    </row>
    <row r="517" spans="1:10">
      <c r="A517" s="124" t="s">
        <v>164</v>
      </c>
      <c r="B517" s="129">
        <f t="shared" si="112"/>
        <v>9955.7599999999984</v>
      </c>
      <c r="C517" s="129">
        <v>13651.81</v>
      </c>
      <c r="D517" s="129">
        <f t="shared" si="113"/>
        <v>-3696.05</v>
      </c>
      <c r="E517" s="129">
        <f t="shared" si="114"/>
        <v>902.53999999999974</v>
      </c>
      <c r="F517" s="129">
        <f t="shared" si="115"/>
        <v>-1148.2</v>
      </c>
      <c r="G517" s="129">
        <v>-1480.93</v>
      </c>
      <c r="H517" s="129">
        <v>332.73</v>
      </c>
      <c r="I517" s="129">
        <f>1934.05+116.69</f>
        <v>2050.7399999999998</v>
      </c>
      <c r="J517" s="129">
        <f>4585.04+17.28-3.73</f>
        <v>4598.59</v>
      </c>
    </row>
    <row r="518" spans="1:10">
      <c r="A518" s="124" t="s">
        <v>165</v>
      </c>
      <c r="B518" s="129" t="e">
        <f t="shared" si="112"/>
        <v>#REF!</v>
      </c>
      <c r="C518" s="129">
        <v>13049.05</v>
      </c>
      <c r="D518" s="129" t="e">
        <f t="shared" si="113"/>
        <v>#REF!</v>
      </c>
      <c r="E518" s="129" t="e">
        <f t="shared" si="114"/>
        <v>#REF!</v>
      </c>
      <c r="F518" s="129">
        <f t="shared" si="115"/>
        <v>-594.82999999999993</v>
      </c>
      <c r="G518" s="129">
        <v>-927.55</v>
      </c>
      <c r="H518" s="129">
        <v>332.72</v>
      </c>
      <c r="I518" s="129" t="e">
        <f>#REF!+#REF!</f>
        <v>#REF!</v>
      </c>
      <c r="J518" s="129" t="e">
        <f>#REF!+#REF!-#REF!</f>
        <v>#REF!</v>
      </c>
    </row>
    <row r="519" spans="1:10">
      <c r="A519" s="1273" t="s">
        <v>166</v>
      </c>
      <c r="B519" s="1274" t="e">
        <f t="shared" si="112"/>
        <v>#REF!</v>
      </c>
      <c r="C519" s="1274">
        <v>12788.91</v>
      </c>
      <c r="D519" s="1274" t="e">
        <f t="shared" si="113"/>
        <v>#REF!</v>
      </c>
      <c r="E519" s="1274" t="e">
        <f t="shared" si="114"/>
        <v>#REF!</v>
      </c>
      <c r="F519" s="1274" t="e">
        <f t="shared" si="115"/>
        <v>#REF!</v>
      </c>
      <c r="G519" s="1274" t="e">
        <f>#REF!</f>
        <v>#REF!</v>
      </c>
      <c r="H519" s="1274" t="e">
        <f>#REF!</f>
        <v>#REF!</v>
      </c>
      <c r="I519" s="1274" t="e">
        <f>#REF!+#REF!</f>
        <v>#REF!</v>
      </c>
      <c r="J519" s="1274" t="e">
        <f>#REF!+#REF!-#REF!</f>
        <v>#REF!</v>
      </c>
    </row>
    <row r="520" spans="1:10">
      <c r="A520" s="124" t="s">
        <v>167</v>
      </c>
      <c r="B520" s="129" t="e">
        <f t="shared" si="112"/>
        <v>#REF!</v>
      </c>
      <c r="C520" s="129">
        <v>12043.21</v>
      </c>
      <c r="D520" s="129" t="e">
        <f t="shared" si="113"/>
        <v>#REF!</v>
      </c>
      <c r="E520" s="129" t="e">
        <f t="shared" si="114"/>
        <v>#REF!</v>
      </c>
      <c r="F520" s="129" t="e">
        <f t="shared" si="115"/>
        <v>#REF!</v>
      </c>
      <c r="G520" s="129" t="e">
        <f>#REF!</f>
        <v>#REF!</v>
      </c>
      <c r="H520" s="129" t="e">
        <f>#REF!</f>
        <v>#REF!</v>
      </c>
      <c r="I520" s="129" t="e">
        <f>#REF!+#REF!</f>
        <v>#REF!</v>
      </c>
      <c r="J520" s="129" t="e">
        <f>#REF!+#REF!-#REF!</f>
        <v>#REF!</v>
      </c>
    </row>
    <row r="521" spans="1:10">
      <c r="A521" s="124" t="s">
        <v>168</v>
      </c>
      <c r="B521" s="129" t="e">
        <f t="shared" si="112"/>
        <v>#REF!</v>
      </c>
      <c r="C521" s="129" t="e">
        <f>#REF!</f>
        <v>#REF!</v>
      </c>
      <c r="D521" s="129" t="e">
        <f t="shared" si="113"/>
        <v>#REF!</v>
      </c>
      <c r="E521" s="129" t="e">
        <f t="shared" si="114"/>
        <v>#REF!</v>
      </c>
      <c r="F521" s="129" t="e">
        <f t="shared" si="115"/>
        <v>#REF!</v>
      </c>
      <c r="G521" s="129" t="e">
        <f>#REF!</f>
        <v>#REF!</v>
      </c>
      <c r="H521" s="129" t="e">
        <f>#REF!</f>
        <v>#REF!</v>
      </c>
      <c r="I521" s="129" t="e">
        <f>#REF!+#REF!</f>
        <v>#REF!</v>
      </c>
      <c r="J521" s="129" t="e">
        <f>#REF!+#REF!-#REF!</f>
        <v>#REF!</v>
      </c>
    </row>
    <row r="522" spans="1:10">
      <c r="A522" s="124" t="s">
        <v>169</v>
      </c>
      <c r="B522" s="129" t="e">
        <f t="shared" si="112"/>
        <v>#REF!</v>
      </c>
      <c r="C522" s="129" t="e">
        <f>#REF!</f>
        <v>#REF!</v>
      </c>
      <c r="D522" s="129" t="e">
        <f t="shared" si="113"/>
        <v>#REF!</v>
      </c>
      <c r="E522" s="129" t="e">
        <f>I522+F522</f>
        <v>#REF!</v>
      </c>
      <c r="F522" s="129" t="e">
        <f t="shared" si="115"/>
        <v>#REF!</v>
      </c>
      <c r="G522" s="129" t="e">
        <f>#REF!</f>
        <v>#REF!</v>
      </c>
      <c r="H522" s="129" t="e">
        <f>#REF!</f>
        <v>#REF!</v>
      </c>
      <c r="I522" s="129" t="e">
        <f>#REF!+#REF!</f>
        <v>#REF!</v>
      </c>
      <c r="J522" s="129" t="e">
        <f>#REF!+#REF!-#REF!</f>
        <v>#REF!</v>
      </c>
    </row>
    <row r="523" spans="1:10">
      <c r="A523" s="124" t="s">
        <v>170</v>
      </c>
      <c r="B523" s="129" t="e">
        <f t="shared" si="112"/>
        <v>#REF!</v>
      </c>
      <c r="C523" s="129" t="e">
        <f>#REF!</f>
        <v>#REF!</v>
      </c>
      <c r="D523" s="129" t="e">
        <f t="shared" si="113"/>
        <v>#REF!</v>
      </c>
      <c r="E523" s="129" t="e">
        <f>I523+F523</f>
        <v>#REF!</v>
      </c>
      <c r="F523" s="129" t="e">
        <f t="shared" si="115"/>
        <v>#REF!</v>
      </c>
      <c r="G523" s="129" t="e">
        <f>#REF!</f>
        <v>#REF!</v>
      </c>
      <c r="H523" s="129" t="e">
        <f>#REF!</f>
        <v>#REF!</v>
      </c>
      <c r="I523" s="129" t="e">
        <f>#REF!+#REF!</f>
        <v>#REF!</v>
      </c>
      <c r="J523" s="129" t="e">
        <f>#REF!+#REF!-#REF!</f>
        <v>#REF!</v>
      </c>
    </row>
    <row r="524" spans="1:10">
      <c r="A524" s="124" t="s">
        <v>171</v>
      </c>
      <c r="B524" s="129" t="e">
        <f>C524+D524</f>
        <v>#REF!</v>
      </c>
      <c r="C524" s="129" t="e">
        <f>#REF!</f>
        <v>#REF!</v>
      </c>
      <c r="D524" s="129" t="e">
        <f>E524-J524</f>
        <v>#REF!</v>
      </c>
      <c r="E524" s="129" t="e">
        <f>I524+F524</f>
        <v>#REF!</v>
      </c>
      <c r="F524" s="129" t="e">
        <f>G524+H524</f>
        <v>#REF!</v>
      </c>
      <c r="G524" s="129" t="e">
        <f>#REF!</f>
        <v>#REF!</v>
      </c>
      <c r="H524" s="129" t="e">
        <f>#REF!</f>
        <v>#REF!</v>
      </c>
      <c r="I524" s="129" t="e">
        <f>#REF!+#REF!</f>
        <v>#REF!</v>
      </c>
      <c r="J524" s="129" t="e">
        <f>#REF!+#REF!-#REF!</f>
        <v>#REF!</v>
      </c>
    </row>
    <row r="525" spans="1:10">
      <c r="A525" s="1272">
        <v>2001</v>
      </c>
      <c r="B525" s="1181" t="e">
        <f>C525+D525</f>
        <v>#REF!</v>
      </c>
      <c r="C525" s="1181" t="e">
        <f>#REF!</f>
        <v>#REF!</v>
      </c>
      <c r="D525" s="1181" t="e">
        <f>E525-J525</f>
        <v>#REF!</v>
      </c>
      <c r="E525" s="1181" t="e">
        <f>I525+F525</f>
        <v>#REF!</v>
      </c>
      <c r="F525" s="1181" t="e">
        <f>G525+H525</f>
        <v>#REF!</v>
      </c>
      <c r="G525" s="1181" t="e">
        <f>#REF!</f>
        <v>#REF!</v>
      </c>
      <c r="H525" s="1181" t="e">
        <f>#REF!</f>
        <v>#REF!</v>
      </c>
      <c r="I525" s="1181" t="e">
        <f>#REF!+#REF!</f>
        <v>#REF!</v>
      </c>
      <c r="J525" s="1181" t="e">
        <f>#REF!+#REF!-#REF!</f>
        <v>#REF!</v>
      </c>
    </row>
    <row r="526" spans="1:10">
      <c r="A526" s="1176">
        <v>2002</v>
      </c>
      <c r="B526" s="1181"/>
      <c r="C526" s="1181"/>
      <c r="D526" s="1181"/>
      <c r="E526" s="1181"/>
      <c r="F526" s="1181"/>
      <c r="G526" s="1181"/>
      <c r="H526" s="1181"/>
      <c r="I526" s="1181"/>
      <c r="J526" s="1182"/>
    </row>
    <row r="527" spans="1:10">
      <c r="A527" s="124" t="s">
        <v>161</v>
      </c>
      <c r="B527" s="1180">
        <f t="shared" si="112"/>
        <v>10521.74</v>
      </c>
      <c r="C527" s="1180">
        <v>14557.37</v>
      </c>
      <c r="D527" s="1180">
        <f t="shared" si="113"/>
        <v>-4035.6300000000006</v>
      </c>
      <c r="E527" s="1180">
        <f t="shared" si="114"/>
        <v>1308.5399999999995</v>
      </c>
      <c r="F527" s="1180">
        <f t="shared" si="115"/>
        <v>-931.53000000000009</v>
      </c>
      <c r="G527" s="1180">
        <v>-1310.92</v>
      </c>
      <c r="H527" s="1180">
        <v>379.39</v>
      </c>
      <c r="I527" s="1180">
        <f>2127.97+112.1</f>
        <v>2240.0699999999997</v>
      </c>
      <c r="J527" s="1180">
        <f>5336.42+11.48-3.73</f>
        <v>5344.17</v>
      </c>
    </row>
    <row r="528" spans="1:10">
      <c r="A528" s="124" t="s">
        <v>162</v>
      </c>
      <c r="B528" s="1180">
        <f t="shared" si="112"/>
        <v>11297.49</v>
      </c>
      <c r="C528" s="1180">
        <v>15208.84</v>
      </c>
      <c r="D528" s="1180">
        <f t="shared" si="113"/>
        <v>-3911.3500000000008</v>
      </c>
      <c r="E528" s="1180">
        <f t="shared" si="114"/>
        <v>1678.9599999999996</v>
      </c>
      <c r="F528" s="1180">
        <f t="shared" si="115"/>
        <v>-731.38</v>
      </c>
      <c r="G528" s="1180">
        <v>-1023.27</v>
      </c>
      <c r="H528" s="1180">
        <v>291.89</v>
      </c>
      <c r="I528" s="1180">
        <f>2339.39+70.95</f>
        <v>2410.3399999999997</v>
      </c>
      <c r="J528" s="1180">
        <f>5582.56+11.48-3.73</f>
        <v>5590.31</v>
      </c>
    </row>
    <row r="529" spans="1:10">
      <c r="A529" s="124" t="s">
        <v>163</v>
      </c>
      <c r="B529" s="1180">
        <f t="shared" si="112"/>
        <v>11028.189999999999</v>
      </c>
      <c r="C529" s="1180">
        <v>14632.09</v>
      </c>
      <c r="D529" s="1180">
        <f t="shared" si="113"/>
        <v>-3603.9000000000005</v>
      </c>
      <c r="E529" s="1180">
        <f t="shared" si="114"/>
        <v>2082.9499999999998</v>
      </c>
      <c r="F529" s="1180">
        <f t="shared" si="115"/>
        <v>-451.51000000000005</v>
      </c>
      <c r="G529" s="1180">
        <v>-748.82</v>
      </c>
      <c r="H529" s="1180">
        <v>297.31</v>
      </c>
      <c r="I529" s="1180">
        <f>2397.84+136.62</f>
        <v>2534.46</v>
      </c>
      <c r="J529" s="1180">
        <f>5715.03-24.45-3.73</f>
        <v>5686.85</v>
      </c>
    </row>
    <row r="530" spans="1:10">
      <c r="A530" s="124" t="s">
        <v>164</v>
      </c>
      <c r="B530" s="1180">
        <f t="shared" si="112"/>
        <v>10578.160000000002</v>
      </c>
      <c r="C530" s="1180">
        <v>14500.04</v>
      </c>
      <c r="D530" s="1180">
        <f t="shared" si="113"/>
        <v>-3921.8799999999997</v>
      </c>
      <c r="E530" s="1180">
        <f t="shared" si="114"/>
        <v>1564.0700000000002</v>
      </c>
      <c r="F530" s="1180">
        <f t="shared" si="115"/>
        <v>-977.46</v>
      </c>
      <c r="G530" s="1180">
        <v>-1269.01</v>
      </c>
      <c r="H530" s="1180">
        <v>291.55</v>
      </c>
      <c r="I530" s="1180">
        <f>2433.28+108.25</f>
        <v>2541.5300000000002</v>
      </c>
      <c r="J530" s="1180">
        <f>5478.98+10.7-3.73</f>
        <v>5485.95</v>
      </c>
    </row>
    <row r="531" spans="1:10">
      <c r="A531" s="124" t="s">
        <v>165</v>
      </c>
      <c r="B531" s="1180" t="e">
        <f t="shared" si="112"/>
        <v>#REF!</v>
      </c>
      <c r="C531" s="1180">
        <v>14928.34</v>
      </c>
      <c r="D531" s="1180" t="e">
        <f t="shared" si="113"/>
        <v>#REF!</v>
      </c>
      <c r="E531" s="1180" t="e">
        <f t="shared" si="114"/>
        <v>#REF!</v>
      </c>
      <c r="F531" s="1180">
        <f t="shared" si="115"/>
        <v>-634.5</v>
      </c>
      <c r="G531" s="1180">
        <v>-926.52</v>
      </c>
      <c r="H531" s="1180">
        <v>292.02</v>
      </c>
      <c r="I531" s="1180" t="e">
        <f>#REF!+#REF!</f>
        <v>#REF!</v>
      </c>
      <c r="J531" s="1180" t="e">
        <f>#REF!+#REF!-#REF!</f>
        <v>#REF!</v>
      </c>
    </row>
    <row r="532" spans="1:10">
      <c r="A532" s="124" t="s">
        <v>166</v>
      </c>
      <c r="B532" s="1180" t="e">
        <f t="shared" si="112"/>
        <v>#REF!</v>
      </c>
      <c r="C532" s="1180">
        <v>14348.48</v>
      </c>
      <c r="D532" s="1180" t="e">
        <f t="shared" si="113"/>
        <v>#REF!</v>
      </c>
      <c r="E532" s="1180" t="e">
        <f t="shared" si="114"/>
        <v>#REF!</v>
      </c>
      <c r="F532" s="1180" t="e">
        <f t="shared" si="115"/>
        <v>#REF!</v>
      </c>
      <c r="G532" s="1180" t="e">
        <f>#REF!</f>
        <v>#REF!</v>
      </c>
      <c r="H532" s="1180" t="e">
        <f>#REF!</f>
        <v>#REF!</v>
      </c>
      <c r="I532" s="1180" t="e">
        <f>#REF!+#REF!</f>
        <v>#REF!</v>
      </c>
      <c r="J532" s="1180" t="e">
        <f>#REF!+#REF!-#REF!</f>
        <v>#REF!</v>
      </c>
    </row>
    <row r="533" spans="1:10">
      <c r="A533" s="124" t="s">
        <v>167</v>
      </c>
      <c r="B533" s="1180" t="e">
        <f t="shared" si="112"/>
        <v>#REF!</v>
      </c>
      <c r="C533" s="1180">
        <v>14817.24</v>
      </c>
      <c r="D533" s="1180" t="e">
        <f t="shared" si="113"/>
        <v>#REF!</v>
      </c>
      <c r="E533" s="1180" t="e">
        <f t="shared" si="114"/>
        <v>#REF!</v>
      </c>
      <c r="F533" s="1180" t="e">
        <f t="shared" si="115"/>
        <v>#REF!</v>
      </c>
      <c r="G533" s="1180" t="e">
        <f>#REF!</f>
        <v>#REF!</v>
      </c>
      <c r="H533" s="1180" t="e">
        <f>#REF!</f>
        <v>#REF!</v>
      </c>
      <c r="I533" s="1180" t="e">
        <f>#REF!+#REF!</f>
        <v>#REF!</v>
      </c>
      <c r="J533" s="1180" t="e">
        <f>#REF!+#REF!-#REF!</f>
        <v>#REF!</v>
      </c>
    </row>
    <row r="534" spans="1:10">
      <c r="A534" s="124" t="s">
        <v>168</v>
      </c>
      <c r="B534" s="1180" t="e">
        <f t="shared" si="112"/>
        <v>#REF!</v>
      </c>
      <c r="C534" s="1180" t="e">
        <f>#REF!</f>
        <v>#REF!</v>
      </c>
      <c r="D534" s="1180" t="e">
        <f t="shared" si="113"/>
        <v>#REF!</v>
      </c>
      <c r="E534" s="1180" t="e">
        <f t="shared" si="114"/>
        <v>#REF!</v>
      </c>
      <c r="F534" s="1180" t="e">
        <f t="shared" si="115"/>
        <v>#REF!</v>
      </c>
      <c r="G534" s="1180" t="e">
        <f>#REF!</f>
        <v>#REF!</v>
      </c>
      <c r="H534" s="1180" t="e">
        <f>#REF!</f>
        <v>#REF!</v>
      </c>
      <c r="I534" s="1180" t="e">
        <f>#REF!+#REF!</f>
        <v>#REF!</v>
      </c>
      <c r="J534" s="1180" t="e">
        <f>#REF!+#REF!-#REF!</f>
        <v>#REF!</v>
      </c>
    </row>
    <row r="535" spans="1:10">
      <c r="A535" s="124" t="s">
        <v>169</v>
      </c>
      <c r="B535" s="1180" t="e">
        <f t="shared" si="112"/>
        <v>#REF!</v>
      </c>
      <c r="C535" s="1180" t="e">
        <f>#REF!</f>
        <v>#REF!</v>
      </c>
      <c r="D535" s="1180" t="e">
        <f t="shared" si="113"/>
        <v>#REF!</v>
      </c>
      <c r="E535" s="1180" t="e">
        <f t="shared" si="114"/>
        <v>#REF!</v>
      </c>
      <c r="F535" s="1180" t="e">
        <f t="shared" si="115"/>
        <v>#REF!</v>
      </c>
      <c r="G535" s="1180" t="e">
        <f>#REF!</f>
        <v>#REF!</v>
      </c>
      <c r="H535" s="1180" t="e">
        <f>#REF!</f>
        <v>#REF!</v>
      </c>
      <c r="I535" s="1180" t="e">
        <f>#REF!+#REF!</f>
        <v>#REF!</v>
      </c>
      <c r="J535" s="1180" t="e">
        <f>#REF!+#REF!-#REF!</f>
        <v>#REF!</v>
      </c>
    </row>
    <row r="536" spans="1:10">
      <c r="A536" s="124" t="s">
        <v>170</v>
      </c>
      <c r="B536" s="1180" t="e">
        <f t="shared" si="112"/>
        <v>#REF!</v>
      </c>
      <c r="C536" s="1180" t="e">
        <f>#REF!</f>
        <v>#REF!</v>
      </c>
      <c r="D536" s="1180" t="e">
        <f t="shared" si="113"/>
        <v>#REF!</v>
      </c>
      <c r="E536" s="1180" t="e">
        <f t="shared" si="114"/>
        <v>#REF!</v>
      </c>
      <c r="F536" s="1180" t="e">
        <f t="shared" si="115"/>
        <v>#REF!</v>
      </c>
      <c r="G536" s="1180" t="e">
        <f>#REF!</f>
        <v>#REF!</v>
      </c>
      <c r="H536" s="1180" t="e">
        <f>#REF!</f>
        <v>#REF!</v>
      </c>
      <c r="I536" s="1180" t="e">
        <f>#REF!+#REF!</f>
        <v>#REF!</v>
      </c>
      <c r="J536" s="1180" t="e">
        <f>#REF!+#REF!-#REF!</f>
        <v>#REF!</v>
      </c>
    </row>
    <row r="537" spans="1:10">
      <c r="A537" s="124" t="s">
        <v>171</v>
      </c>
      <c r="B537" s="1180" t="e">
        <f t="shared" si="112"/>
        <v>#REF!</v>
      </c>
      <c r="C537" s="1180" t="e">
        <f>#REF!</f>
        <v>#REF!</v>
      </c>
      <c r="D537" s="1180" t="e">
        <f t="shared" si="113"/>
        <v>#REF!</v>
      </c>
      <c r="E537" s="1180" t="e">
        <f t="shared" si="114"/>
        <v>#REF!</v>
      </c>
      <c r="F537" s="1180" t="e">
        <f t="shared" si="115"/>
        <v>#REF!</v>
      </c>
      <c r="G537" s="1180" t="e">
        <f>#REF!</f>
        <v>#REF!</v>
      </c>
      <c r="H537" s="1180" t="e">
        <f>#REF!</f>
        <v>#REF!</v>
      </c>
      <c r="I537" s="1180" t="e">
        <f>#REF!+#REF!</f>
        <v>#REF!</v>
      </c>
      <c r="J537" s="1180" t="e">
        <f>#REF!+#REF!-#REF!</f>
        <v>#REF!</v>
      </c>
    </row>
    <row r="538" spans="1:10">
      <c r="A538" s="127">
        <v>2002</v>
      </c>
      <c r="B538" s="1180" t="e">
        <f t="shared" si="112"/>
        <v>#REF!</v>
      </c>
      <c r="C538" s="1180" t="e">
        <f>#REF!</f>
        <v>#REF!</v>
      </c>
      <c r="D538" s="1180" t="e">
        <f t="shared" si="113"/>
        <v>#REF!</v>
      </c>
      <c r="E538" s="1180" t="e">
        <f t="shared" si="114"/>
        <v>#REF!</v>
      </c>
      <c r="F538" s="1180" t="e">
        <f t="shared" si="115"/>
        <v>#REF!</v>
      </c>
      <c r="G538" s="1180" t="e">
        <f>#REF!</f>
        <v>#REF!</v>
      </c>
      <c r="H538" s="1180" t="e">
        <f>#REF!</f>
        <v>#REF!</v>
      </c>
      <c r="I538" s="1180" t="e">
        <f>#REF!+#REF!</f>
        <v>#REF!</v>
      </c>
      <c r="J538" s="1180" t="e">
        <f>#REF!+#REF!-#REF!</f>
        <v>#REF!</v>
      </c>
    </row>
    <row r="539" spans="1:10">
      <c r="A539" s="127">
        <v>2003</v>
      </c>
      <c r="B539" s="1180"/>
      <c r="C539" s="1180"/>
      <c r="D539" s="1180"/>
      <c r="E539" s="1180"/>
      <c r="F539" s="1180"/>
      <c r="G539" s="1180"/>
      <c r="H539" s="1180"/>
      <c r="I539" s="1180"/>
      <c r="J539" s="1180"/>
    </row>
    <row r="540" spans="1:10">
      <c r="A540" s="124" t="s">
        <v>161</v>
      </c>
      <c r="B540" s="1180" t="e">
        <f t="shared" ref="B540:B577" si="116">C540+D540</f>
        <v>#REF!</v>
      </c>
      <c r="C540" s="1180" t="e">
        <f>#REF!</f>
        <v>#REF!</v>
      </c>
      <c r="D540" s="1180" t="e">
        <f t="shared" ref="D540:D577" si="117">E540-J540</f>
        <v>#REF!</v>
      </c>
      <c r="E540" s="1180" t="e">
        <f t="shared" ref="E540:E577" si="118">I540+F540</f>
        <v>#REF!</v>
      </c>
      <c r="F540" s="1180" t="e">
        <f t="shared" ref="F540:F577" si="119">G540+H540</f>
        <v>#REF!</v>
      </c>
      <c r="G540" s="1180" t="e">
        <f>#REF!</f>
        <v>#REF!</v>
      </c>
      <c r="H540" s="1180" t="e">
        <f>#REF!</f>
        <v>#REF!</v>
      </c>
      <c r="I540" s="1180" t="e">
        <f>#REF!+#REF!</f>
        <v>#REF!</v>
      </c>
      <c r="J540" s="1180" t="e">
        <f>#REF!+#REF!-#REF!</f>
        <v>#REF!</v>
      </c>
    </row>
    <row r="541" spans="1:10">
      <c r="A541" s="124" t="s">
        <v>162</v>
      </c>
      <c r="B541" s="1180" t="e">
        <f t="shared" si="116"/>
        <v>#REF!</v>
      </c>
      <c r="C541" s="1180" t="e">
        <f>#REF!</f>
        <v>#REF!</v>
      </c>
      <c r="D541" s="1180" t="e">
        <f t="shared" si="117"/>
        <v>#REF!</v>
      </c>
      <c r="E541" s="1180" t="e">
        <f t="shared" si="118"/>
        <v>#REF!</v>
      </c>
      <c r="F541" s="1180" t="e">
        <f t="shared" si="119"/>
        <v>#REF!</v>
      </c>
      <c r="G541" s="1180" t="e">
        <f>#REF!</f>
        <v>#REF!</v>
      </c>
      <c r="H541" s="1180" t="e">
        <f>#REF!</f>
        <v>#REF!</v>
      </c>
      <c r="I541" s="1180" t="e">
        <f>#REF!+#REF!</f>
        <v>#REF!</v>
      </c>
      <c r="J541" s="1180" t="e">
        <f>#REF!+#REF!-#REF!</f>
        <v>#REF!</v>
      </c>
    </row>
    <row r="542" spans="1:10">
      <c r="A542" s="124" t="s">
        <v>163</v>
      </c>
      <c r="B542" s="1180" t="e">
        <f t="shared" si="116"/>
        <v>#REF!</v>
      </c>
      <c r="C542" s="1180" t="e">
        <f>#REF!</f>
        <v>#REF!</v>
      </c>
      <c r="D542" s="1180" t="e">
        <f t="shared" si="117"/>
        <v>#REF!</v>
      </c>
      <c r="E542" s="1180" t="e">
        <f t="shared" si="118"/>
        <v>#REF!</v>
      </c>
      <c r="F542" s="1180" t="e">
        <f t="shared" si="119"/>
        <v>#REF!</v>
      </c>
      <c r="G542" s="1180" t="e">
        <f>#REF!</f>
        <v>#REF!</v>
      </c>
      <c r="H542" s="1180" t="e">
        <f>#REF!</f>
        <v>#REF!</v>
      </c>
      <c r="I542" s="1180" t="e">
        <f>#REF!+#REF!</f>
        <v>#REF!</v>
      </c>
      <c r="J542" s="1180" t="e">
        <f>#REF!+#REF!-#REF!</f>
        <v>#REF!</v>
      </c>
    </row>
    <row r="543" spans="1:10">
      <c r="A543" s="124" t="s">
        <v>164</v>
      </c>
      <c r="B543" s="1180" t="e">
        <f t="shared" si="116"/>
        <v>#REF!</v>
      </c>
      <c r="C543" s="1180" t="e">
        <f>#REF!</f>
        <v>#REF!</v>
      </c>
      <c r="D543" s="1180" t="e">
        <f t="shared" si="117"/>
        <v>#REF!</v>
      </c>
      <c r="E543" s="1180" t="e">
        <f t="shared" si="118"/>
        <v>#REF!</v>
      </c>
      <c r="F543" s="1180" t="e">
        <f t="shared" si="119"/>
        <v>#REF!</v>
      </c>
      <c r="G543" s="1180" t="e">
        <f>#REF!</f>
        <v>#REF!</v>
      </c>
      <c r="H543" s="1180" t="e">
        <f>#REF!</f>
        <v>#REF!</v>
      </c>
      <c r="I543" s="1180" t="e">
        <f>#REF!+#REF!</f>
        <v>#REF!</v>
      </c>
      <c r="J543" s="1180" t="e">
        <f>#REF!+#REF!-#REF!</f>
        <v>#REF!</v>
      </c>
    </row>
    <row r="544" spans="1:10">
      <c r="A544" s="124" t="s">
        <v>165</v>
      </c>
      <c r="B544" s="1180" t="e">
        <f t="shared" si="116"/>
        <v>#REF!</v>
      </c>
      <c r="C544" s="1180" t="e">
        <f>#REF!</f>
        <v>#REF!</v>
      </c>
      <c r="D544" s="1180" t="e">
        <f t="shared" si="117"/>
        <v>#REF!</v>
      </c>
      <c r="E544" s="1180" t="e">
        <f t="shared" si="118"/>
        <v>#REF!</v>
      </c>
      <c r="F544" s="1180" t="e">
        <f t="shared" si="119"/>
        <v>#REF!</v>
      </c>
      <c r="G544" s="1180" t="e">
        <f>#REF!</f>
        <v>#REF!</v>
      </c>
      <c r="H544" s="1180" t="e">
        <f>#REF!</f>
        <v>#REF!</v>
      </c>
      <c r="I544" s="1180" t="e">
        <f>#REF!+#REF!</f>
        <v>#REF!</v>
      </c>
      <c r="J544" s="1180" t="e">
        <f>#REF!+#REF!-#REF!</f>
        <v>#REF!</v>
      </c>
    </row>
    <row r="545" spans="1:10">
      <c r="A545" s="1273" t="s">
        <v>166</v>
      </c>
      <c r="B545" s="1275" t="e">
        <f t="shared" si="116"/>
        <v>#REF!</v>
      </c>
      <c r="C545" s="1275" t="e">
        <f>#REF!</f>
        <v>#REF!</v>
      </c>
      <c r="D545" s="1275" t="e">
        <f t="shared" si="117"/>
        <v>#REF!</v>
      </c>
      <c r="E545" s="1275" t="e">
        <f t="shared" si="118"/>
        <v>#REF!</v>
      </c>
      <c r="F545" s="1275" t="e">
        <f t="shared" si="119"/>
        <v>#REF!</v>
      </c>
      <c r="G545" s="1275" t="e">
        <f>#REF!</f>
        <v>#REF!</v>
      </c>
      <c r="H545" s="1275" t="e">
        <f>#REF!</f>
        <v>#REF!</v>
      </c>
      <c r="I545" s="1275" t="e">
        <f>#REF!+#REF!</f>
        <v>#REF!</v>
      </c>
      <c r="J545" s="1275" t="e">
        <f>#REF!+#REF!-#REF!</f>
        <v>#REF!</v>
      </c>
    </row>
    <row r="546" spans="1:10">
      <c r="A546" s="124" t="s">
        <v>167</v>
      </c>
      <c r="B546" s="1180" t="e">
        <f t="shared" si="116"/>
        <v>#REF!</v>
      </c>
      <c r="C546" s="1180" t="e">
        <f>#REF!</f>
        <v>#REF!</v>
      </c>
      <c r="D546" s="1180" t="e">
        <f t="shared" si="117"/>
        <v>#REF!</v>
      </c>
      <c r="E546" s="1180" t="e">
        <f t="shared" si="118"/>
        <v>#REF!</v>
      </c>
      <c r="F546" s="1180" t="e">
        <f t="shared" si="119"/>
        <v>#REF!</v>
      </c>
      <c r="G546" s="1180" t="e">
        <f>#REF!</f>
        <v>#REF!</v>
      </c>
      <c r="H546" s="1180" t="e">
        <f>#REF!</f>
        <v>#REF!</v>
      </c>
      <c r="I546" s="1180" t="e">
        <f>#REF!+#REF!</f>
        <v>#REF!</v>
      </c>
      <c r="J546" s="1180" t="e">
        <f>#REF!+#REF!-#REF!</f>
        <v>#REF!</v>
      </c>
    </row>
    <row r="547" spans="1:10">
      <c r="A547" s="124" t="s">
        <v>168</v>
      </c>
      <c r="B547" s="1180" t="e">
        <f t="shared" si="116"/>
        <v>#REF!</v>
      </c>
      <c r="C547" s="1180" t="e">
        <f>#REF!</f>
        <v>#REF!</v>
      </c>
      <c r="D547" s="1180" t="e">
        <f t="shared" si="117"/>
        <v>#REF!</v>
      </c>
      <c r="E547" s="1180" t="e">
        <f t="shared" si="118"/>
        <v>#REF!</v>
      </c>
      <c r="F547" s="1180" t="e">
        <f t="shared" si="119"/>
        <v>#REF!</v>
      </c>
      <c r="G547" s="1180" t="e">
        <f>#REF!</f>
        <v>#REF!</v>
      </c>
      <c r="H547" s="1180" t="e">
        <f>#REF!</f>
        <v>#REF!</v>
      </c>
      <c r="I547" s="1180" t="e">
        <f>#REF!+#REF!</f>
        <v>#REF!</v>
      </c>
      <c r="J547" s="1180" t="e">
        <f>#REF!+#REF!-#REF!</f>
        <v>#REF!</v>
      </c>
    </row>
    <row r="548" spans="1:10">
      <c r="A548" s="124" t="s">
        <v>169</v>
      </c>
      <c r="B548" s="1180" t="e">
        <f t="shared" si="116"/>
        <v>#REF!</v>
      </c>
      <c r="C548" s="1180" t="e">
        <f>#REF!</f>
        <v>#REF!</v>
      </c>
      <c r="D548" s="1180" t="e">
        <f t="shared" si="117"/>
        <v>#REF!</v>
      </c>
      <c r="E548" s="1180" t="e">
        <f t="shared" si="118"/>
        <v>#REF!</v>
      </c>
      <c r="F548" s="1180" t="e">
        <f t="shared" si="119"/>
        <v>#REF!</v>
      </c>
      <c r="G548" s="1180" t="e">
        <f>#REF!</f>
        <v>#REF!</v>
      </c>
      <c r="H548" s="1180" t="e">
        <f>#REF!</f>
        <v>#REF!</v>
      </c>
      <c r="I548" s="1180" t="e">
        <f>#REF!+#REF!</f>
        <v>#REF!</v>
      </c>
      <c r="J548" s="1180" t="e">
        <f>#REF!+#REF!-#REF!</f>
        <v>#REF!</v>
      </c>
    </row>
    <row r="549" spans="1:10">
      <c r="A549" s="124" t="s">
        <v>170</v>
      </c>
      <c r="B549" s="1180" t="e">
        <f t="shared" si="116"/>
        <v>#REF!</v>
      </c>
      <c r="C549" s="1180" t="e">
        <f>#REF!</f>
        <v>#REF!</v>
      </c>
      <c r="D549" s="1180" t="e">
        <f t="shared" si="117"/>
        <v>#REF!</v>
      </c>
      <c r="E549" s="1180" t="e">
        <f t="shared" si="118"/>
        <v>#REF!</v>
      </c>
      <c r="F549" s="1180" t="e">
        <f t="shared" si="119"/>
        <v>#REF!</v>
      </c>
      <c r="G549" s="1180" t="e">
        <f>#REF!</f>
        <v>#REF!</v>
      </c>
      <c r="H549" s="1180" t="e">
        <f>#REF!</f>
        <v>#REF!</v>
      </c>
      <c r="I549" s="1180" t="e">
        <f>#REF!+#REF!</f>
        <v>#REF!</v>
      </c>
      <c r="J549" s="1180" t="e">
        <f>#REF!+#REF!-#REF!</f>
        <v>#REF!</v>
      </c>
    </row>
    <row r="550" spans="1:10">
      <c r="A550" s="124" t="s">
        <v>171</v>
      </c>
      <c r="B550" s="1180" t="e">
        <f t="shared" si="116"/>
        <v>#REF!</v>
      </c>
      <c r="C550" s="1180" t="e">
        <f>#REF!</f>
        <v>#REF!</v>
      </c>
      <c r="D550" s="1180" t="e">
        <f t="shared" si="117"/>
        <v>#REF!</v>
      </c>
      <c r="E550" s="1180" t="e">
        <f t="shared" si="118"/>
        <v>#REF!</v>
      </c>
      <c r="F550" s="1180" t="e">
        <f t="shared" si="119"/>
        <v>#REF!</v>
      </c>
      <c r="G550" s="1180" t="e">
        <f>#REF!</f>
        <v>#REF!</v>
      </c>
      <c r="H550" s="1180" t="e">
        <f>#REF!</f>
        <v>#REF!</v>
      </c>
      <c r="I550" s="1180" t="e">
        <f>#REF!+#REF!</f>
        <v>#REF!</v>
      </c>
      <c r="J550" s="1180" t="e">
        <f>#REF!+#REF!-#REF!</f>
        <v>#REF!</v>
      </c>
    </row>
    <row r="551" spans="1:10">
      <c r="A551" s="127">
        <v>2003</v>
      </c>
      <c r="B551" s="1180" t="e">
        <f>C551+D551</f>
        <v>#REF!</v>
      </c>
      <c r="C551" s="1180" t="e">
        <f>#REF!</f>
        <v>#REF!</v>
      </c>
      <c r="D551" s="1180" t="e">
        <f>E551-J551</f>
        <v>#REF!</v>
      </c>
      <c r="E551" s="1180" t="e">
        <f t="shared" si="118"/>
        <v>#REF!</v>
      </c>
      <c r="F551" s="1180" t="e">
        <f t="shared" si="119"/>
        <v>#REF!</v>
      </c>
      <c r="G551" s="1180" t="e">
        <f>#REF!</f>
        <v>#REF!</v>
      </c>
      <c r="H551" s="1180" t="e">
        <f>#REF!</f>
        <v>#REF!</v>
      </c>
      <c r="I551" s="1180" t="e">
        <f>#REF!+#REF!</f>
        <v>#REF!</v>
      </c>
      <c r="J551" s="1180" t="e">
        <f>#REF!+#REF!-#REF!</f>
        <v>#REF!</v>
      </c>
    </row>
    <row r="552" spans="1:10">
      <c r="A552" s="1176">
        <v>2004</v>
      </c>
      <c r="B552" s="1180"/>
      <c r="C552" s="1180"/>
      <c r="D552" s="1180"/>
      <c r="E552" s="1180"/>
      <c r="F552" s="1180"/>
      <c r="G552" s="1180"/>
      <c r="H552" s="1180"/>
      <c r="I552" s="1180"/>
      <c r="J552" s="1180"/>
    </row>
    <row r="553" spans="1:10">
      <c r="A553" s="124" t="s">
        <v>161</v>
      </c>
      <c r="B553" s="1175" t="e">
        <f t="shared" si="116"/>
        <v>#REF!</v>
      </c>
      <c r="C553" s="1180" t="e">
        <f>#REF!</f>
        <v>#REF!</v>
      </c>
      <c r="D553" s="1180" t="e">
        <f t="shared" si="117"/>
        <v>#REF!</v>
      </c>
      <c r="E553" s="1180" t="e">
        <f t="shared" si="118"/>
        <v>#REF!</v>
      </c>
      <c r="F553" s="1180" t="e">
        <f t="shared" si="119"/>
        <v>#REF!</v>
      </c>
      <c r="G553" s="1180" t="e">
        <f>#REF!</f>
        <v>#REF!</v>
      </c>
      <c r="H553" s="1180" t="e">
        <f>#REF!</f>
        <v>#REF!</v>
      </c>
      <c r="I553" s="1180" t="e">
        <f>#REF!+#REF!</f>
        <v>#REF!</v>
      </c>
      <c r="J553" s="1180" t="e">
        <f>#REF!+#REF!-#REF!</f>
        <v>#REF!</v>
      </c>
    </row>
    <row r="554" spans="1:10">
      <c r="A554" s="124" t="s">
        <v>162</v>
      </c>
      <c r="B554" s="1175" t="e">
        <f t="shared" si="116"/>
        <v>#REF!</v>
      </c>
      <c r="C554" s="1180" t="e">
        <f>#REF!</f>
        <v>#REF!</v>
      </c>
      <c r="D554" s="1180" t="e">
        <f t="shared" si="117"/>
        <v>#REF!</v>
      </c>
      <c r="E554" s="1180" t="e">
        <f t="shared" si="118"/>
        <v>#REF!</v>
      </c>
      <c r="F554" s="1180" t="e">
        <f t="shared" si="119"/>
        <v>#REF!</v>
      </c>
      <c r="G554" s="1180" t="e">
        <f>#REF!</f>
        <v>#REF!</v>
      </c>
      <c r="H554" s="1180" t="e">
        <f>#REF!</f>
        <v>#REF!</v>
      </c>
      <c r="I554" s="1180" t="e">
        <f>#REF!+#REF!</f>
        <v>#REF!</v>
      </c>
      <c r="J554" s="1180" t="e">
        <f>#REF!+#REF!-#REF!</f>
        <v>#REF!</v>
      </c>
    </row>
    <row r="555" spans="1:10">
      <c r="A555" s="124" t="s">
        <v>163</v>
      </c>
      <c r="B555" s="1175" t="e">
        <f t="shared" si="116"/>
        <v>#REF!</v>
      </c>
      <c r="C555" s="1180" t="e">
        <f>#REF!</f>
        <v>#REF!</v>
      </c>
      <c r="D555" s="1180" t="e">
        <f t="shared" si="117"/>
        <v>#REF!</v>
      </c>
      <c r="E555" s="1180" t="e">
        <f t="shared" si="118"/>
        <v>#REF!</v>
      </c>
      <c r="F555" s="1180" t="e">
        <f t="shared" si="119"/>
        <v>#REF!</v>
      </c>
      <c r="G555" s="1180" t="e">
        <f>#REF!</f>
        <v>#REF!</v>
      </c>
      <c r="H555" s="1180" t="e">
        <f>#REF!</f>
        <v>#REF!</v>
      </c>
      <c r="I555" s="1180" t="e">
        <f>#REF!+#REF!</f>
        <v>#REF!</v>
      </c>
      <c r="J555" s="1180" t="e">
        <f>#REF!+#REF!-#REF!</f>
        <v>#REF!</v>
      </c>
    </row>
    <row r="556" spans="1:10">
      <c r="A556" s="124" t="s">
        <v>164</v>
      </c>
      <c r="B556" s="1175" t="e">
        <f t="shared" si="116"/>
        <v>#REF!</v>
      </c>
      <c r="C556" s="1180" t="e">
        <f>#REF!</f>
        <v>#REF!</v>
      </c>
      <c r="D556" s="1180" t="e">
        <f t="shared" si="117"/>
        <v>#REF!</v>
      </c>
      <c r="E556" s="1180" t="e">
        <f t="shared" si="118"/>
        <v>#REF!</v>
      </c>
      <c r="F556" s="1180" t="e">
        <f t="shared" si="119"/>
        <v>#REF!</v>
      </c>
      <c r="G556" s="1180" t="e">
        <f>#REF!</f>
        <v>#REF!</v>
      </c>
      <c r="H556" s="1180" t="e">
        <f>#REF!</f>
        <v>#REF!</v>
      </c>
      <c r="I556" s="1180" t="e">
        <f>#REF!+#REF!</f>
        <v>#REF!</v>
      </c>
      <c r="J556" s="1180" t="e">
        <f>#REF!+#REF!-#REF!</f>
        <v>#REF!</v>
      </c>
    </row>
    <row r="557" spans="1:10">
      <c r="A557" s="124" t="s">
        <v>165</v>
      </c>
      <c r="B557" s="1175" t="e">
        <f t="shared" si="116"/>
        <v>#REF!</v>
      </c>
      <c r="C557" s="1180" t="e">
        <f>#REF!</f>
        <v>#REF!</v>
      </c>
      <c r="D557" s="1180" t="e">
        <f t="shared" si="117"/>
        <v>#REF!</v>
      </c>
      <c r="E557" s="1180" t="e">
        <f t="shared" si="118"/>
        <v>#REF!</v>
      </c>
      <c r="F557" s="1180" t="e">
        <f t="shared" si="119"/>
        <v>#REF!</v>
      </c>
      <c r="G557" s="1180" t="e">
        <f>#REF!</f>
        <v>#REF!</v>
      </c>
      <c r="H557" s="1180" t="e">
        <f>#REF!</f>
        <v>#REF!</v>
      </c>
      <c r="I557" s="1180" t="e">
        <f>#REF!+#REF!</f>
        <v>#REF!</v>
      </c>
      <c r="J557" s="1180" t="e">
        <f>#REF!+#REF!-#REF!</f>
        <v>#REF!</v>
      </c>
    </row>
    <row r="558" spans="1:10">
      <c r="A558" s="124" t="s">
        <v>166</v>
      </c>
      <c r="B558" s="1175" t="e">
        <f t="shared" si="116"/>
        <v>#REF!</v>
      </c>
      <c r="C558" s="1180" t="e">
        <f>#REF!</f>
        <v>#REF!</v>
      </c>
      <c r="D558" s="1180" t="e">
        <f t="shared" si="117"/>
        <v>#REF!</v>
      </c>
      <c r="E558" s="1180" t="e">
        <f t="shared" si="118"/>
        <v>#REF!</v>
      </c>
      <c r="F558" s="1180" t="e">
        <f t="shared" si="119"/>
        <v>#REF!</v>
      </c>
      <c r="G558" s="1180" t="e">
        <f>#REF!</f>
        <v>#REF!</v>
      </c>
      <c r="H558" s="1180" t="e">
        <f>#REF!</f>
        <v>#REF!</v>
      </c>
      <c r="I558" s="1180" t="e">
        <f>#REF!+#REF!</f>
        <v>#REF!</v>
      </c>
      <c r="J558" s="1180" t="e">
        <f>#REF!+#REF!-#REF!</f>
        <v>#REF!</v>
      </c>
    </row>
    <row r="559" spans="1:10">
      <c r="A559" s="124" t="s">
        <v>167</v>
      </c>
      <c r="B559" s="1175" t="e">
        <f t="shared" si="116"/>
        <v>#REF!</v>
      </c>
      <c r="C559" s="1180" t="e">
        <f>#REF!</f>
        <v>#REF!</v>
      </c>
      <c r="D559" s="1180" t="e">
        <f t="shared" si="117"/>
        <v>#REF!</v>
      </c>
      <c r="E559" s="1180" t="e">
        <f t="shared" si="118"/>
        <v>#REF!</v>
      </c>
      <c r="F559" s="1180" t="e">
        <f t="shared" si="119"/>
        <v>#REF!</v>
      </c>
      <c r="G559" s="1180" t="e">
        <f>#REF!</f>
        <v>#REF!</v>
      </c>
      <c r="H559" s="1180" t="e">
        <f>#REF!</f>
        <v>#REF!</v>
      </c>
      <c r="I559" s="1180" t="e">
        <f>#REF!+#REF!</f>
        <v>#REF!</v>
      </c>
      <c r="J559" s="1180" t="e">
        <f>#REF!+#REF!-#REF!</f>
        <v>#REF!</v>
      </c>
    </row>
    <row r="560" spans="1:10">
      <c r="A560" s="124" t="s">
        <v>168</v>
      </c>
      <c r="B560" s="1175" t="e">
        <f t="shared" si="116"/>
        <v>#REF!</v>
      </c>
      <c r="C560" s="1180" t="e">
        <f>#REF!</f>
        <v>#REF!</v>
      </c>
      <c r="D560" s="1180" t="e">
        <f t="shared" si="117"/>
        <v>#REF!</v>
      </c>
      <c r="E560" s="1180" t="e">
        <f t="shared" si="118"/>
        <v>#REF!</v>
      </c>
      <c r="F560" s="1180" t="e">
        <f t="shared" si="119"/>
        <v>#REF!</v>
      </c>
      <c r="G560" s="1180" t="e">
        <f>#REF!</f>
        <v>#REF!</v>
      </c>
      <c r="H560" s="1180" t="e">
        <f>#REF!</f>
        <v>#REF!</v>
      </c>
      <c r="I560" s="1180" t="e">
        <f>#REF!+#REF!</f>
        <v>#REF!</v>
      </c>
      <c r="J560" s="1180" t="e">
        <f>#REF!+#REF!-#REF!</f>
        <v>#REF!</v>
      </c>
    </row>
    <row r="561" spans="1:10">
      <c r="A561" s="124" t="s">
        <v>169</v>
      </c>
      <c r="B561" s="1175" t="e">
        <f t="shared" si="116"/>
        <v>#REF!</v>
      </c>
      <c r="C561" s="1180" t="e">
        <f>#REF!</f>
        <v>#REF!</v>
      </c>
      <c r="D561" s="1180" t="e">
        <f t="shared" si="117"/>
        <v>#REF!</v>
      </c>
      <c r="E561" s="1180" t="e">
        <f t="shared" si="118"/>
        <v>#REF!</v>
      </c>
      <c r="F561" s="1180" t="e">
        <f t="shared" si="119"/>
        <v>#REF!</v>
      </c>
      <c r="G561" s="1180" t="e">
        <f>#REF!</f>
        <v>#REF!</v>
      </c>
      <c r="H561" s="1180" t="e">
        <f>#REF!</f>
        <v>#REF!</v>
      </c>
      <c r="I561" s="1180" t="e">
        <f>#REF!+#REF!</f>
        <v>#REF!</v>
      </c>
      <c r="J561" s="1180" t="e">
        <f>#REF!+#REF!-#REF!</f>
        <v>#REF!</v>
      </c>
    </row>
    <row r="562" spans="1:10">
      <c r="A562" s="124" t="s">
        <v>170</v>
      </c>
      <c r="B562" s="1175" t="e">
        <f t="shared" si="116"/>
        <v>#REF!</v>
      </c>
      <c r="C562" s="1180" t="e">
        <f>#REF!</f>
        <v>#REF!</v>
      </c>
      <c r="D562" s="1180" t="e">
        <f t="shared" si="117"/>
        <v>#REF!</v>
      </c>
      <c r="E562" s="1180" t="e">
        <f t="shared" si="118"/>
        <v>#REF!</v>
      </c>
      <c r="F562" s="1180" t="e">
        <f t="shared" si="119"/>
        <v>#REF!</v>
      </c>
      <c r="G562" s="1180" t="e">
        <f>#REF!</f>
        <v>#REF!</v>
      </c>
      <c r="H562" s="1180" t="e">
        <f>#REF!</f>
        <v>#REF!</v>
      </c>
      <c r="I562" s="1180" t="e">
        <f>#REF!+#REF!</f>
        <v>#REF!</v>
      </c>
      <c r="J562" s="1180" t="e">
        <f>#REF!+#REF!-#REF!</f>
        <v>#REF!</v>
      </c>
    </row>
    <row r="563" spans="1:10">
      <c r="A563" s="124" t="s">
        <v>171</v>
      </c>
      <c r="B563" s="1175" t="e">
        <f t="shared" si="116"/>
        <v>#REF!</v>
      </c>
      <c r="C563" s="1180" t="e">
        <f>#REF!</f>
        <v>#REF!</v>
      </c>
      <c r="D563" s="1180" t="e">
        <f t="shared" si="117"/>
        <v>#REF!</v>
      </c>
      <c r="E563" s="1180" t="e">
        <f t="shared" si="118"/>
        <v>#REF!</v>
      </c>
      <c r="F563" s="1180" t="e">
        <f t="shared" si="119"/>
        <v>#REF!</v>
      </c>
      <c r="G563" s="1180" t="e">
        <f>#REF!</f>
        <v>#REF!</v>
      </c>
      <c r="H563" s="1180" t="e">
        <f>#REF!</f>
        <v>#REF!</v>
      </c>
      <c r="I563" s="1180" t="e">
        <f>#REF!+#REF!</f>
        <v>#REF!</v>
      </c>
      <c r="J563" s="1180" t="e">
        <f>#REF!+#REF!-#REF!</f>
        <v>#REF!</v>
      </c>
    </row>
    <row r="564" spans="1:10">
      <c r="A564" s="127">
        <v>2004</v>
      </c>
      <c r="B564" s="1175" t="e">
        <f t="shared" si="116"/>
        <v>#REF!</v>
      </c>
      <c r="C564" s="1180" t="e">
        <f>#REF!</f>
        <v>#REF!</v>
      </c>
      <c r="D564" s="1180" t="e">
        <f t="shared" si="117"/>
        <v>#REF!</v>
      </c>
      <c r="E564" s="1180" t="e">
        <f t="shared" si="118"/>
        <v>#REF!</v>
      </c>
      <c r="F564" s="1180" t="e">
        <f t="shared" si="119"/>
        <v>#REF!</v>
      </c>
      <c r="G564" s="1180" t="e">
        <f>#REF!</f>
        <v>#REF!</v>
      </c>
      <c r="H564" s="1180" t="e">
        <f>#REF!</f>
        <v>#REF!</v>
      </c>
      <c r="I564" s="1180" t="e">
        <f>#REF!+#REF!</f>
        <v>#REF!</v>
      </c>
      <c r="J564" s="1180" t="e">
        <f>#REF!+#REF!-#REF!</f>
        <v>#REF!</v>
      </c>
    </row>
    <row r="565" spans="1:10">
      <c r="A565" s="310">
        <v>2005</v>
      </c>
      <c r="B565" s="1175"/>
      <c r="C565" s="1180"/>
      <c r="D565" s="1180"/>
      <c r="E565" s="1180"/>
      <c r="F565" s="1180"/>
      <c r="G565" s="1180"/>
      <c r="H565" s="1180"/>
      <c r="I565" s="1180"/>
      <c r="J565" s="1180"/>
    </row>
    <row r="566" spans="1:10">
      <c r="A566" s="1177" t="s">
        <v>161</v>
      </c>
      <c r="B566" s="1175" t="e">
        <f>C566+D566</f>
        <v>#REF!</v>
      </c>
      <c r="C566" s="1180" t="e">
        <f>#REF!</f>
        <v>#REF!</v>
      </c>
      <c r="D566" s="1180" t="e">
        <f>E566-J566</f>
        <v>#REF!</v>
      </c>
      <c r="E566" s="1180" t="e">
        <f>I566+F566</f>
        <v>#REF!</v>
      </c>
      <c r="F566" s="1180" t="e">
        <f>G566+H566</f>
        <v>#REF!</v>
      </c>
      <c r="G566" s="1180" t="e">
        <f>#REF!</f>
        <v>#REF!</v>
      </c>
      <c r="H566" s="1180" t="e">
        <f>#REF!</f>
        <v>#REF!</v>
      </c>
      <c r="I566" s="1180" t="e">
        <f>#REF!+#REF!</f>
        <v>#REF!</v>
      </c>
      <c r="J566" s="1180" t="e">
        <f>#REF!+#REF!-#REF!</f>
        <v>#REF!</v>
      </c>
    </row>
    <row r="567" spans="1:10">
      <c r="A567" s="1177" t="s">
        <v>162</v>
      </c>
      <c r="B567" s="1175" t="e">
        <f t="shared" si="116"/>
        <v>#REF!</v>
      </c>
      <c r="C567" s="1180" t="e">
        <f>#REF!</f>
        <v>#REF!</v>
      </c>
      <c r="D567" s="1180" t="e">
        <f t="shared" si="117"/>
        <v>#REF!</v>
      </c>
      <c r="E567" s="1180" t="e">
        <f t="shared" si="118"/>
        <v>#REF!</v>
      </c>
      <c r="F567" s="1180" t="e">
        <f t="shared" si="119"/>
        <v>#REF!</v>
      </c>
      <c r="G567" s="1180" t="e">
        <f>#REF!</f>
        <v>#REF!</v>
      </c>
      <c r="H567" s="1180" t="e">
        <f>#REF!</f>
        <v>#REF!</v>
      </c>
      <c r="I567" s="1180" t="e">
        <f>#REF!+#REF!</f>
        <v>#REF!</v>
      </c>
      <c r="J567" s="1180" t="e">
        <f>#REF!+#REF!-#REF!</f>
        <v>#REF!</v>
      </c>
    </row>
    <row r="568" spans="1:10">
      <c r="A568" s="1222" t="s">
        <v>163</v>
      </c>
      <c r="B568" s="1175" t="e">
        <f t="shared" si="116"/>
        <v>#REF!</v>
      </c>
      <c r="C568" s="1180" t="e">
        <f>#REF!</f>
        <v>#REF!</v>
      </c>
      <c r="D568" s="1180" t="e">
        <f t="shared" si="117"/>
        <v>#REF!</v>
      </c>
      <c r="E568" s="1180" t="e">
        <f t="shared" si="118"/>
        <v>#REF!</v>
      </c>
      <c r="F568" s="1180" t="e">
        <f t="shared" si="119"/>
        <v>#REF!</v>
      </c>
      <c r="G568" s="1180" t="e">
        <f>#REF!</f>
        <v>#REF!</v>
      </c>
      <c r="H568" s="1180" t="e">
        <f>#REF!</f>
        <v>#REF!</v>
      </c>
      <c r="I568" s="1180" t="e">
        <f>#REF!+#REF!</f>
        <v>#REF!</v>
      </c>
      <c r="J568" s="1180" t="e">
        <f>#REF!+#REF!-#REF!</f>
        <v>#REF!</v>
      </c>
    </row>
    <row r="569" spans="1:10">
      <c r="A569" s="1222" t="s">
        <v>164</v>
      </c>
      <c r="B569" s="1175" t="e">
        <f t="shared" si="116"/>
        <v>#REF!</v>
      </c>
      <c r="C569" s="1180" t="e">
        <f>#REF!</f>
        <v>#REF!</v>
      </c>
      <c r="D569" s="1180" t="e">
        <f t="shared" si="117"/>
        <v>#REF!</v>
      </c>
      <c r="E569" s="1180" t="e">
        <f t="shared" si="118"/>
        <v>#REF!</v>
      </c>
      <c r="F569" s="1180" t="e">
        <f t="shared" si="119"/>
        <v>#REF!</v>
      </c>
      <c r="G569" s="1180" t="e">
        <f>#REF!</f>
        <v>#REF!</v>
      </c>
      <c r="H569" s="1180" t="e">
        <f>#REF!</f>
        <v>#REF!</v>
      </c>
      <c r="I569" s="1180" t="e">
        <f>#REF!+#REF!</f>
        <v>#REF!</v>
      </c>
      <c r="J569" s="1180" t="e">
        <f>#REF!+#REF!-#REF!</f>
        <v>#REF!</v>
      </c>
    </row>
    <row r="570" spans="1:10">
      <c r="A570" s="1222" t="s">
        <v>165</v>
      </c>
      <c r="B570" s="1175" t="e">
        <f t="shared" si="116"/>
        <v>#REF!</v>
      </c>
      <c r="C570" s="1180" t="e">
        <f>#REF!</f>
        <v>#REF!</v>
      </c>
      <c r="D570" s="1180" t="e">
        <f t="shared" si="117"/>
        <v>#REF!</v>
      </c>
      <c r="E570" s="1180" t="e">
        <f t="shared" si="118"/>
        <v>#REF!</v>
      </c>
      <c r="F570" s="1180" t="e">
        <f t="shared" si="119"/>
        <v>#REF!</v>
      </c>
      <c r="G570" s="1180" t="e">
        <f>#REF!</f>
        <v>#REF!</v>
      </c>
      <c r="H570" s="1180" t="e">
        <f>#REF!</f>
        <v>#REF!</v>
      </c>
      <c r="I570" s="1180" t="e">
        <f>#REF!+#REF!</f>
        <v>#REF!</v>
      </c>
      <c r="J570" s="1180" t="e">
        <f>#REF!+#REF!-#REF!</f>
        <v>#REF!</v>
      </c>
    </row>
    <row r="571" spans="1:10">
      <c r="A571" s="1222" t="s">
        <v>166</v>
      </c>
      <c r="B571" s="1175" t="e">
        <f t="shared" si="116"/>
        <v>#REF!</v>
      </c>
      <c r="C571" s="1180" t="e">
        <f>#REF!</f>
        <v>#REF!</v>
      </c>
      <c r="D571" s="1180" t="e">
        <f t="shared" si="117"/>
        <v>#REF!</v>
      </c>
      <c r="E571" s="1180" t="e">
        <f t="shared" si="118"/>
        <v>#REF!</v>
      </c>
      <c r="F571" s="1180" t="e">
        <f t="shared" si="119"/>
        <v>#REF!</v>
      </c>
      <c r="G571" s="1180" t="e">
        <f>#REF!</f>
        <v>#REF!</v>
      </c>
      <c r="H571" s="1180" t="e">
        <f>#REF!</f>
        <v>#REF!</v>
      </c>
      <c r="I571" s="1180" t="e">
        <f>#REF!+#REF!</f>
        <v>#REF!</v>
      </c>
      <c r="J571" s="1180" t="e">
        <f>#REF!+#REF!-#REF!</f>
        <v>#REF!</v>
      </c>
    </row>
    <row r="572" spans="1:10">
      <c r="A572" s="1222" t="s">
        <v>167</v>
      </c>
      <c r="B572" s="1175" t="e">
        <f t="shared" si="116"/>
        <v>#REF!</v>
      </c>
      <c r="C572" s="1180" t="e">
        <f>#REF!</f>
        <v>#REF!</v>
      </c>
      <c r="D572" s="1180" t="e">
        <f t="shared" si="117"/>
        <v>#REF!</v>
      </c>
      <c r="E572" s="1180" t="e">
        <f t="shared" si="118"/>
        <v>#REF!</v>
      </c>
      <c r="F572" s="1180" t="e">
        <f t="shared" si="119"/>
        <v>#REF!</v>
      </c>
      <c r="G572" s="1180" t="e">
        <f>#REF!</f>
        <v>#REF!</v>
      </c>
      <c r="H572" s="1180" t="e">
        <f>#REF!</f>
        <v>#REF!</v>
      </c>
      <c r="I572" s="1180" t="e">
        <f>#REF!+#REF!</f>
        <v>#REF!</v>
      </c>
      <c r="J572" s="1180" t="e">
        <f>#REF!+#REF!-#REF!</f>
        <v>#REF!</v>
      </c>
    </row>
    <row r="573" spans="1:10">
      <c r="A573" s="1222" t="s">
        <v>168</v>
      </c>
      <c r="B573" s="1175" t="e">
        <f t="shared" si="116"/>
        <v>#REF!</v>
      </c>
      <c r="C573" s="1180" t="e">
        <f>#REF!</f>
        <v>#REF!</v>
      </c>
      <c r="D573" s="1180" t="e">
        <f t="shared" si="117"/>
        <v>#REF!</v>
      </c>
      <c r="E573" s="1180" t="e">
        <f t="shared" si="118"/>
        <v>#REF!</v>
      </c>
      <c r="F573" s="1180" t="e">
        <f t="shared" si="119"/>
        <v>#REF!</v>
      </c>
      <c r="G573" s="1180" t="e">
        <f>#REF!</f>
        <v>#REF!</v>
      </c>
      <c r="H573" s="1180" t="e">
        <f>#REF!</f>
        <v>#REF!</v>
      </c>
      <c r="I573" s="1180" t="e">
        <f>#REF!+#REF!</f>
        <v>#REF!</v>
      </c>
      <c r="J573" s="1180" t="e">
        <f>#REF!+#REF!-#REF!</f>
        <v>#REF!</v>
      </c>
    </row>
    <row r="574" spans="1:10">
      <c r="A574" s="1222" t="s">
        <v>169</v>
      </c>
      <c r="B574" s="1175" t="e">
        <f t="shared" si="116"/>
        <v>#REF!</v>
      </c>
      <c r="C574" s="1180" t="e">
        <f>#REF!</f>
        <v>#REF!</v>
      </c>
      <c r="D574" s="1180" t="e">
        <f t="shared" si="117"/>
        <v>#REF!</v>
      </c>
      <c r="E574" s="1180" t="e">
        <f t="shared" si="118"/>
        <v>#REF!</v>
      </c>
      <c r="F574" s="1180" t="e">
        <f t="shared" si="119"/>
        <v>#REF!</v>
      </c>
      <c r="G574" s="1180" t="e">
        <f>#REF!</f>
        <v>#REF!</v>
      </c>
      <c r="H574" s="1180" t="e">
        <f>#REF!</f>
        <v>#REF!</v>
      </c>
      <c r="I574" s="1180" t="e">
        <f>#REF!+#REF!</f>
        <v>#REF!</v>
      </c>
      <c r="J574" s="1180" t="e">
        <f>#REF!+#REF!-#REF!</f>
        <v>#REF!</v>
      </c>
    </row>
    <row r="575" spans="1:10">
      <c r="A575" s="1222" t="s">
        <v>170</v>
      </c>
      <c r="B575" s="1175" t="e">
        <f t="shared" si="116"/>
        <v>#REF!</v>
      </c>
      <c r="C575" s="1180" t="e">
        <f>#REF!</f>
        <v>#REF!</v>
      </c>
      <c r="D575" s="1180" t="e">
        <f t="shared" si="117"/>
        <v>#REF!</v>
      </c>
      <c r="E575" s="1180" t="e">
        <f t="shared" si="118"/>
        <v>#REF!</v>
      </c>
      <c r="F575" s="1180" t="e">
        <f t="shared" si="119"/>
        <v>#REF!</v>
      </c>
      <c r="G575" s="1180" t="e">
        <f>#REF!</f>
        <v>#REF!</v>
      </c>
      <c r="H575" s="1180" t="e">
        <f>#REF!</f>
        <v>#REF!</v>
      </c>
      <c r="I575" s="1180" t="e">
        <f>#REF!+#REF!</f>
        <v>#REF!</v>
      </c>
      <c r="J575" s="1180" t="e">
        <f>#REF!+#REF!-#REF!</f>
        <v>#REF!</v>
      </c>
    </row>
    <row r="576" spans="1:10">
      <c r="A576" s="1222" t="s">
        <v>171</v>
      </c>
      <c r="B576" s="1175" t="e">
        <f t="shared" si="116"/>
        <v>#REF!</v>
      </c>
      <c r="C576" s="1180" t="e">
        <f>#REF!</f>
        <v>#REF!</v>
      </c>
      <c r="D576" s="1180" t="e">
        <f t="shared" si="117"/>
        <v>#REF!</v>
      </c>
      <c r="E576" s="1180" t="e">
        <f t="shared" si="118"/>
        <v>#REF!</v>
      </c>
      <c r="F576" s="1180" t="e">
        <f t="shared" si="119"/>
        <v>#REF!</v>
      </c>
      <c r="G576" s="1180" t="e">
        <f>#REF!</f>
        <v>#REF!</v>
      </c>
      <c r="H576" s="1180" t="e">
        <f>#REF!</f>
        <v>#REF!</v>
      </c>
      <c r="I576" s="1180" t="e">
        <f>#REF!+#REF!</f>
        <v>#REF!</v>
      </c>
      <c r="J576" s="1180" t="e">
        <f>#REF!+#REF!-#REF!</f>
        <v>#REF!</v>
      </c>
    </row>
    <row r="577" spans="1:10">
      <c r="A577" s="310">
        <v>2005</v>
      </c>
      <c r="B577" s="1175" t="e">
        <f t="shared" si="116"/>
        <v>#REF!</v>
      </c>
      <c r="C577" s="1180" t="e">
        <f>#REF!</f>
        <v>#REF!</v>
      </c>
      <c r="D577" s="1180" t="e">
        <f t="shared" si="117"/>
        <v>#REF!</v>
      </c>
      <c r="E577" s="1180" t="e">
        <f t="shared" si="118"/>
        <v>#REF!</v>
      </c>
      <c r="F577" s="1180" t="e">
        <f t="shared" si="119"/>
        <v>#REF!</v>
      </c>
      <c r="G577" s="1180" t="e">
        <f>#REF!</f>
        <v>#REF!</v>
      </c>
      <c r="H577" s="1180" t="e">
        <f>#REF!</f>
        <v>#REF!</v>
      </c>
      <c r="I577" s="1180" t="e">
        <f>#REF!+#REF!</f>
        <v>#REF!</v>
      </c>
      <c r="J577" s="1180" t="e">
        <f>#REF!+#REF!-#REF!</f>
        <v>#REF!</v>
      </c>
    </row>
    <row r="578" spans="1:10">
      <c r="A578" s="310">
        <v>2006</v>
      </c>
      <c r="B578" s="1175"/>
      <c r="C578" s="1180"/>
      <c r="D578" s="1180"/>
      <c r="E578" s="1180"/>
      <c r="F578" s="1180"/>
      <c r="G578" s="1180"/>
      <c r="H578" s="1180"/>
      <c r="I578" s="1180"/>
      <c r="J578" s="1180"/>
    </row>
    <row r="579" spans="1:10">
      <c r="A579" s="1222" t="s">
        <v>161</v>
      </c>
      <c r="B579" s="1175" t="e">
        <f t="shared" ref="B579:B605" si="120">C579+D579</f>
        <v>#REF!</v>
      </c>
      <c r="C579" s="1180" t="e">
        <f>#REF!</f>
        <v>#REF!</v>
      </c>
      <c r="D579" s="1180" t="e">
        <f t="shared" ref="D579:D605" si="121">E579-J579</f>
        <v>#REF!</v>
      </c>
      <c r="E579" s="1180" t="e">
        <f t="shared" ref="E579:E605" si="122">I579+F579</f>
        <v>#REF!</v>
      </c>
      <c r="F579" s="1180" t="e">
        <f t="shared" ref="F579:F605" si="123">G579+H579</f>
        <v>#REF!</v>
      </c>
      <c r="G579" s="1180" t="e">
        <f>#REF!</f>
        <v>#REF!</v>
      </c>
      <c r="H579" s="1180" t="e">
        <f>#REF!</f>
        <v>#REF!</v>
      </c>
      <c r="I579" s="1180" t="e">
        <f>#REF!+#REF!</f>
        <v>#REF!</v>
      </c>
      <c r="J579" s="1180" t="e">
        <f>#REF!+#REF!-#REF!</f>
        <v>#REF!</v>
      </c>
    </row>
    <row r="580" spans="1:10">
      <c r="A580" s="1172" t="s">
        <v>162</v>
      </c>
      <c r="B580" s="1175" t="e">
        <f t="shared" si="120"/>
        <v>#REF!</v>
      </c>
      <c r="C580" s="1180" t="e">
        <f>#REF!</f>
        <v>#REF!</v>
      </c>
      <c r="D580" s="1180" t="e">
        <f t="shared" si="121"/>
        <v>#REF!</v>
      </c>
      <c r="E580" s="1180" t="e">
        <f t="shared" si="122"/>
        <v>#REF!</v>
      </c>
      <c r="F580" s="1180" t="e">
        <f t="shared" si="123"/>
        <v>#REF!</v>
      </c>
      <c r="G580" s="1180" t="e">
        <f>#REF!</f>
        <v>#REF!</v>
      </c>
      <c r="H580" s="1180" t="e">
        <f>#REF!</f>
        <v>#REF!</v>
      </c>
      <c r="I580" s="1180" t="e">
        <f>#REF!+#REF!</f>
        <v>#REF!</v>
      </c>
      <c r="J580" s="1180" t="e">
        <f>#REF!+#REF!-#REF!</f>
        <v>#REF!</v>
      </c>
    </row>
    <row r="581" spans="1:10">
      <c r="A581" s="1172" t="s">
        <v>163</v>
      </c>
      <c r="B581" s="1175" t="e">
        <f t="shared" si="120"/>
        <v>#REF!</v>
      </c>
      <c r="C581" s="1180" t="e">
        <f>#REF!</f>
        <v>#REF!</v>
      </c>
      <c r="D581" s="1180" t="e">
        <f t="shared" si="121"/>
        <v>#REF!</v>
      </c>
      <c r="E581" s="1180" t="e">
        <f t="shared" si="122"/>
        <v>#REF!</v>
      </c>
      <c r="F581" s="1180" t="e">
        <f t="shared" si="123"/>
        <v>#REF!</v>
      </c>
      <c r="G581" s="1180" t="e">
        <f>#REF!</f>
        <v>#REF!</v>
      </c>
      <c r="H581" s="1180" t="e">
        <f>#REF!</f>
        <v>#REF!</v>
      </c>
      <c r="I581" s="1180" t="e">
        <f>#REF!+#REF!</f>
        <v>#REF!</v>
      </c>
      <c r="J581" s="1180" t="e">
        <f>#REF!+#REF!-#REF!</f>
        <v>#REF!</v>
      </c>
    </row>
    <row r="582" spans="1:10">
      <c r="A582" s="1222" t="s">
        <v>164</v>
      </c>
      <c r="B582" s="1175" t="e">
        <f t="shared" si="120"/>
        <v>#REF!</v>
      </c>
      <c r="C582" s="1180" t="e">
        <f>#REF!</f>
        <v>#REF!</v>
      </c>
      <c r="D582" s="1180" t="e">
        <f t="shared" si="121"/>
        <v>#REF!</v>
      </c>
      <c r="E582" s="1180" t="e">
        <f t="shared" si="122"/>
        <v>#REF!</v>
      </c>
      <c r="F582" s="1180" t="e">
        <f t="shared" si="123"/>
        <v>#REF!</v>
      </c>
      <c r="G582" s="1180" t="e">
        <f>#REF!</f>
        <v>#REF!</v>
      </c>
      <c r="H582" s="1180" t="e">
        <f>#REF!</f>
        <v>#REF!</v>
      </c>
      <c r="I582" s="1180" t="e">
        <f>#REF!+#REF!</f>
        <v>#REF!</v>
      </c>
      <c r="J582" s="1180" t="e">
        <f>#REF!+#REF!-#REF!</f>
        <v>#REF!</v>
      </c>
    </row>
    <row r="583" spans="1:10">
      <c r="A583" s="1222" t="s">
        <v>165</v>
      </c>
      <c r="B583" s="1175" t="e">
        <f t="shared" si="120"/>
        <v>#REF!</v>
      </c>
      <c r="C583" s="1180" t="e">
        <f>#REF!</f>
        <v>#REF!</v>
      </c>
      <c r="D583" s="1180" t="e">
        <f t="shared" si="121"/>
        <v>#REF!</v>
      </c>
      <c r="E583" s="1180" t="e">
        <f t="shared" si="122"/>
        <v>#REF!</v>
      </c>
      <c r="F583" s="1180" t="e">
        <f t="shared" si="123"/>
        <v>#REF!</v>
      </c>
      <c r="G583" s="1180" t="e">
        <f>#REF!</f>
        <v>#REF!</v>
      </c>
      <c r="H583" s="1180" t="e">
        <f>#REF!</f>
        <v>#REF!</v>
      </c>
      <c r="I583" s="1180" t="e">
        <f>#REF!+#REF!</f>
        <v>#REF!</v>
      </c>
      <c r="J583" s="1180" t="e">
        <f>#REF!+#REF!-#REF!</f>
        <v>#REF!</v>
      </c>
    </row>
    <row r="584" spans="1:10">
      <c r="A584" s="1222" t="s">
        <v>166</v>
      </c>
      <c r="B584" s="1175" t="e">
        <f t="shared" si="120"/>
        <v>#REF!</v>
      </c>
      <c r="C584" s="1180" t="e">
        <f>#REF!</f>
        <v>#REF!</v>
      </c>
      <c r="D584" s="1180" t="e">
        <f t="shared" si="121"/>
        <v>#REF!</v>
      </c>
      <c r="E584" s="1180" t="e">
        <f t="shared" si="122"/>
        <v>#REF!</v>
      </c>
      <c r="F584" s="1180" t="e">
        <f t="shared" si="123"/>
        <v>#REF!</v>
      </c>
      <c r="G584" s="1180" t="e">
        <f>#REF!</f>
        <v>#REF!</v>
      </c>
      <c r="H584" s="1180" t="e">
        <f>#REF!</f>
        <v>#REF!</v>
      </c>
      <c r="I584" s="1180" t="e">
        <f>#REF!+#REF!</f>
        <v>#REF!</v>
      </c>
      <c r="J584" s="1180" t="e">
        <f>#REF!+#REF!-#REF!</f>
        <v>#REF!</v>
      </c>
    </row>
    <row r="585" spans="1:10">
      <c r="A585" s="1231" t="s">
        <v>167</v>
      </c>
      <c r="B585" s="1175" t="e">
        <f>C585+D585</f>
        <v>#REF!</v>
      </c>
      <c r="C585" s="1180" t="e">
        <f>#REF!</f>
        <v>#REF!</v>
      </c>
      <c r="D585" s="1180" t="e">
        <f>E585-J585</f>
        <v>#REF!</v>
      </c>
      <c r="E585" s="1180" t="e">
        <f>I585+F585</f>
        <v>#REF!</v>
      </c>
      <c r="F585" s="1180" t="e">
        <f>G585+H585</f>
        <v>#REF!</v>
      </c>
      <c r="G585" s="1180" t="e">
        <f>#REF!</f>
        <v>#REF!</v>
      </c>
      <c r="H585" s="1180" t="e">
        <f>#REF!</f>
        <v>#REF!</v>
      </c>
      <c r="I585" s="1180" t="e">
        <f>#REF!+#REF!</f>
        <v>#REF!</v>
      </c>
      <c r="J585" s="1180" t="e">
        <f>#REF!+#REF!-#REF!</f>
        <v>#REF!</v>
      </c>
    </row>
    <row r="586" spans="1:10">
      <c r="A586" s="1231" t="s">
        <v>168</v>
      </c>
      <c r="B586" s="1175" t="e">
        <f>C586+D586</f>
        <v>#REF!</v>
      </c>
      <c r="C586" s="1180" t="e">
        <f>#REF!</f>
        <v>#REF!</v>
      </c>
      <c r="D586" s="1180" t="e">
        <f>E586-J586</f>
        <v>#REF!</v>
      </c>
      <c r="E586" s="1180" t="e">
        <f>I586+F586</f>
        <v>#REF!</v>
      </c>
      <c r="F586" s="1180" t="e">
        <f>G586+H586</f>
        <v>#REF!</v>
      </c>
      <c r="G586" s="1180" t="e">
        <f>#REF!</f>
        <v>#REF!</v>
      </c>
      <c r="H586" s="1180" t="e">
        <f>#REF!</f>
        <v>#REF!</v>
      </c>
      <c r="I586" s="1180" t="e">
        <f>#REF!+#REF!</f>
        <v>#REF!</v>
      </c>
      <c r="J586" s="1180" t="e">
        <f>#REF!+#REF!-#REF!</f>
        <v>#REF!</v>
      </c>
    </row>
    <row r="587" spans="1:10">
      <c r="A587" s="1231" t="s">
        <v>169</v>
      </c>
      <c r="B587" s="1175" t="e">
        <f t="shared" si="120"/>
        <v>#REF!</v>
      </c>
      <c r="C587" s="1180" t="e">
        <f>#REF!</f>
        <v>#REF!</v>
      </c>
      <c r="D587" s="1180" t="e">
        <f t="shared" si="121"/>
        <v>#REF!</v>
      </c>
      <c r="E587" s="1180" t="e">
        <f t="shared" si="122"/>
        <v>#REF!</v>
      </c>
      <c r="F587" s="1180" t="e">
        <f t="shared" si="123"/>
        <v>#REF!</v>
      </c>
      <c r="G587" s="1180" t="e">
        <f>#REF!</f>
        <v>#REF!</v>
      </c>
      <c r="H587" s="1180" t="e">
        <f>#REF!</f>
        <v>#REF!</v>
      </c>
      <c r="I587" s="1180" t="e">
        <f>#REF!+#REF!</f>
        <v>#REF!</v>
      </c>
      <c r="J587" s="1180" t="e">
        <f>#REF!+#REF!-#REF!</f>
        <v>#REF!</v>
      </c>
    </row>
    <row r="588" spans="1:10">
      <c r="A588" s="1231" t="s">
        <v>170</v>
      </c>
      <c r="B588" s="1175" t="e">
        <f t="shared" si="120"/>
        <v>#REF!</v>
      </c>
      <c r="C588" s="1180" t="e">
        <f>#REF!</f>
        <v>#REF!</v>
      </c>
      <c r="D588" s="1180" t="e">
        <f t="shared" si="121"/>
        <v>#REF!</v>
      </c>
      <c r="E588" s="1180" t="e">
        <f t="shared" si="122"/>
        <v>#REF!</v>
      </c>
      <c r="F588" s="1180" t="e">
        <f t="shared" si="123"/>
        <v>#REF!</v>
      </c>
      <c r="G588" s="1180" t="e">
        <f>#REF!</f>
        <v>#REF!</v>
      </c>
      <c r="H588" s="1180" t="e">
        <f>#REF!</f>
        <v>#REF!</v>
      </c>
      <c r="I588" s="1180" t="e">
        <f>#REF!+#REF!</f>
        <v>#REF!</v>
      </c>
      <c r="J588" s="1180" t="e">
        <f>#REF!+#REF!-#REF!</f>
        <v>#REF!</v>
      </c>
    </row>
    <row r="589" spans="1:10">
      <c r="A589" s="1222" t="s">
        <v>171</v>
      </c>
      <c r="B589" s="1175" t="e">
        <f t="shared" si="120"/>
        <v>#REF!</v>
      </c>
      <c r="C589" s="1180" t="e">
        <f>#REF!</f>
        <v>#REF!</v>
      </c>
      <c r="D589" s="1180" t="e">
        <f t="shared" si="121"/>
        <v>#REF!</v>
      </c>
      <c r="E589" s="1180" t="e">
        <f t="shared" si="122"/>
        <v>#REF!</v>
      </c>
      <c r="F589" s="1180" t="e">
        <f t="shared" si="123"/>
        <v>#REF!</v>
      </c>
      <c r="G589" s="1180" t="e">
        <f>#REF!</f>
        <v>#REF!</v>
      </c>
      <c r="H589" s="1180" t="e">
        <f>#REF!</f>
        <v>#REF!</v>
      </c>
      <c r="I589" s="1180" t="e">
        <f>#REF!+#REF!</f>
        <v>#REF!</v>
      </c>
      <c r="J589" s="1180" t="e">
        <f>#REF!+#REF!-#REF!</f>
        <v>#REF!</v>
      </c>
    </row>
    <row r="590" spans="1:10">
      <c r="A590" s="310">
        <v>2006</v>
      </c>
      <c r="B590" s="1175" t="e">
        <f t="shared" si="120"/>
        <v>#REF!</v>
      </c>
      <c r="C590" s="1180" t="e">
        <f>#REF!</f>
        <v>#REF!</v>
      </c>
      <c r="D590" s="1180" t="e">
        <f t="shared" si="121"/>
        <v>#REF!</v>
      </c>
      <c r="E590" s="1180" t="e">
        <f t="shared" si="122"/>
        <v>#REF!</v>
      </c>
      <c r="F590" s="1180" t="e">
        <f t="shared" si="123"/>
        <v>#REF!</v>
      </c>
      <c r="G590" s="1180" t="e">
        <f>#REF!</f>
        <v>#REF!</v>
      </c>
      <c r="H590" s="1180" t="e">
        <f>#REF!</f>
        <v>#REF!</v>
      </c>
      <c r="I590" s="1180" t="e">
        <f>#REF!+#REF!</f>
        <v>#REF!</v>
      </c>
      <c r="J590" s="1180" t="e">
        <f>#REF!+#REF!-#REF!</f>
        <v>#REF!</v>
      </c>
    </row>
    <row r="591" spans="1:10">
      <c r="A591" s="310">
        <v>2007</v>
      </c>
      <c r="B591" s="1175"/>
      <c r="C591" s="1180"/>
      <c r="D591" s="1180"/>
      <c r="E591" s="1180"/>
      <c r="F591" s="1180"/>
      <c r="G591" s="1180"/>
      <c r="H591" s="1180"/>
      <c r="I591" s="1180"/>
      <c r="J591" s="1180"/>
    </row>
    <row r="592" spans="1:10">
      <c r="A592" s="1222" t="s">
        <v>161</v>
      </c>
      <c r="B592" s="1175" t="e">
        <f t="shared" si="120"/>
        <v>#REF!</v>
      </c>
      <c r="C592" s="1180" t="e">
        <f>#REF!</f>
        <v>#REF!</v>
      </c>
      <c r="D592" s="1180" t="e">
        <f t="shared" si="121"/>
        <v>#REF!</v>
      </c>
      <c r="E592" s="1180" t="e">
        <f t="shared" si="122"/>
        <v>#REF!</v>
      </c>
      <c r="F592" s="1180" t="e">
        <f t="shared" si="123"/>
        <v>#REF!</v>
      </c>
      <c r="G592" s="1180" t="e">
        <f>#REF!</f>
        <v>#REF!</v>
      </c>
      <c r="H592" s="1180" t="e">
        <f>#REF!</f>
        <v>#REF!</v>
      </c>
      <c r="I592" s="1180" t="e">
        <f>#REF!+#REF!</f>
        <v>#REF!</v>
      </c>
      <c r="J592" s="1180" t="e">
        <f>#REF!+#REF!-#REF!</f>
        <v>#REF!</v>
      </c>
    </row>
    <row r="593" spans="1:10">
      <c r="A593" s="1222" t="s">
        <v>162</v>
      </c>
      <c r="B593" s="1175" t="e">
        <f t="shared" si="120"/>
        <v>#REF!</v>
      </c>
      <c r="C593" s="1180" t="e">
        <f>#REF!</f>
        <v>#REF!</v>
      </c>
      <c r="D593" s="1180" t="e">
        <f t="shared" si="121"/>
        <v>#REF!</v>
      </c>
      <c r="E593" s="1180" t="e">
        <f t="shared" si="122"/>
        <v>#REF!</v>
      </c>
      <c r="F593" s="1180" t="e">
        <f t="shared" si="123"/>
        <v>#REF!</v>
      </c>
      <c r="G593" s="1180" t="e">
        <f>#REF!</f>
        <v>#REF!</v>
      </c>
      <c r="H593" s="1180" t="e">
        <f>#REF!</f>
        <v>#REF!</v>
      </c>
      <c r="I593" s="1180" t="e">
        <f>#REF!+#REF!</f>
        <v>#REF!</v>
      </c>
      <c r="J593" s="1180" t="e">
        <f>#REF!+#REF!-#REF!</f>
        <v>#REF!</v>
      </c>
    </row>
    <row r="594" spans="1:10">
      <c r="A594" s="1326" t="s">
        <v>163</v>
      </c>
      <c r="B594" s="1175" t="e">
        <f t="shared" si="120"/>
        <v>#REF!</v>
      </c>
      <c r="C594" s="1180" t="e">
        <f>#REF!</f>
        <v>#REF!</v>
      </c>
      <c r="D594" s="1180" t="e">
        <f t="shared" si="121"/>
        <v>#REF!</v>
      </c>
      <c r="E594" s="1180" t="e">
        <f t="shared" si="122"/>
        <v>#REF!</v>
      </c>
      <c r="F594" s="1180" t="e">
        <f t="shared" si="123"/>
        <v>#REF!</v>
      </c>
      <c r="G594" s="1180" t="e">
        <f>#REF!</f>
        <v>#REF!</v>
      </c>
      <c r="H594" s="1180" t="e">
        <f>#REF!</f>
        <v>#REF!</v>
      </c>
      <c r="I594" s="1180" t="e">
        <f>#REF!+#REF!</f>
        <v>#REF!</v>
      </c>
      <c r="J594" s="1180" t="e">
        <f>#REF!+#REF!-#REF!</f>
        <v>#REF!</v>
      </c>
    </row>
    <row r="595" spans="1:10">
      <c r="A595" s="1326" t="s">
        <v>164</v>
      </c>
      <c r="B595" s="1175" t="e">
        <f t="shared" si="120"/>
        <v>#REF!</v>
      </c>
      <c r="C595" s="1180" t="e">
        <f>#REF!</f>
        <v>#REF!</v>
      </c>
      <c r="D595" s="1180" t="e">
        <f t="shared" si="121"/>
        <v>#REF!</v>
      </c>
      <c r="E595" s="1180" t="e">
        <f t="shared" si="122"/>
        <v>#REF!</v>
      </c>
      <c r="F595" s="1180" t="e">
        <f t="shared" si="123"/>
        <v>#REF!</v>
      </c>
      <c r="G595" s="1180" t="e">
        <f>#REF!</f>
        <v>#REF!</v>
      </c>
      <c r="H595" s="1180" t="e">
        <f>#REF!</f>
        <v>#REF!</v>
      </c>
      <c r="I595" s="1180" t="e">
        <f>#REF!+#REF!</f>
        <v>#REF!</v>
      </c>
      <c r="J595" s="1180" t="e">
        <f>#REF!+#REF!-#REF!</f>
        <v>#REF!</v>
      </c>
    </row>
    <row r="596" spans="1:10">
      <c r="A596" s="1326" t="s">
        <v>165</v>
      </c>
      <c r="B596" s="1175" t="e">
        <f t="shared" si="120"/>
        <v>#REF!</v>
      </c>
      <c r="C596" s="1180" t="e">
        <f>#REF!</f>
        <v>#REF!</v>
      </c>
      <c r="D596" s="1180" t="e">
        <f t="shared" si="121"/>
        <v>#REF!</v>
      </c>
      <c r="E596" s="1180" t="e">
        <f t="shared" si="122"/>
        <v>#REF!</v>
      </c>
      <c r="F596" s="1180" t="e">
        <f t="shared" si="123"/>
        <v>#REF!</v>
      </c>
      <c r="G596" s="1180" t="e">
        <f>#REF!</f>
        <v>#REF!</v>
      </c>
      <c r="H596" s="1180" t="e">
        <f>#REF!</f>
        <v>#REF!</v>
      </c>
      <c r="I596" s="1180" t="e">
        <f>#REF!+#REF!</f>
        <v>#REF!</v>
      </c>
      <c r="J596" s="1180" t="e">
        <f>#REF!+#REF!-#REF!</f>
        <v>#REF!</v>
      </c>
    </row>
    <row r="597" spans="1:10">
      <c r="A597" s="1326" t="s">
        <v>166</v>
      </c>
      <c r="B597" s="1175" t="e">
        <f t="shared" si="120"/>
        <v>#REF!</v>
      </c>
      <c r="C597" s="1180" t="e">
        <f>#REF!</f>
        <v>#REF!</v>
      </c>
      <c r="D597" s="1180" t="e">
        <f t="shared" si="121"/>
        <v>#REF!</v>
      </c>
      <c r="E597" s="1180" t="e">
        <f t="shared" si="122"/>
        <v>#REF!</v>
      </c>
      <c r="F597" s="1180" t="e">
        <f t="shared" si="123"/>
        <v>#REF!</v>
      </c>
      <c r="G597" s="1180" t="e">
        <f>#REF!</f>
        <v>#REF!</v>
      </c>
      <c r="H597" s="1180" t="e">
        <f>#REF!</f>
        <v>#REF!</v>
      </c>
      <c r="I597" s="1180" t="e">
        <f>#REF!+#REF!</f>
        <v>#REF!</v>
      </c>
      <c r="J597" s="1180" t="e">
        <f>#REF!+#REF!-#REF!</f>
        <v>#REF!</v>
      </c>
    </row>
    <row r="598" spans="1:10">
      <c r="A598" s="1326" t="s">
        <v>167</v>
      </c>
      <c r="B598" s="1175" t="e">
        <f t="shared" si="120"/>
        <v>#REF!</v>
      </c>
      <c r="C598" s="1180" t="e">
        <f>#REF!</f>
        <v>#REF!</v>
      </c>
      <c r="D598" s="1180" t="e">
        <f t="shared" si="121"/>
        <v>#REF!</v>
      </c>
      <c r="E598" s="1180" t="e">
        <f t="shared" si="122"/>
        <v>#REF!</v>
      </c>
      <c r="F598" s="1180" t="e">
        <f t="shared" si="123"/>
        <v>#REF!</v>
      </c>
      <c r="G598" s="1180" t="e">
        <f>#REF!</f>
        <v>#REF!</v>
      </c>
      <c r="H598" s="1180" t="e">
        <f>#REF!</f>
        <v>#REF!</v>
      </c>
      <c r="I598" s="1180" t="e">
        <f>#REF!+#REF!</f>
        <v>#REF!</v>
      </c>
      <c r="J598" s="1180" t="e">
        <f>#REF!+#REF!-#REF!</f>
        <v>#REF!</v>
      </c>
    </row>
    <row r="599" spans="1:10">
      <c r="A599" s="1326" t="s">
        <v>168</v>
      </c>
      <c r="B599" s="1175" t="e">
        <f t="shared" si="120"/>
        <v>#REF!</v>
      </c>
      <c r="C599" s="1180" t="e">
        <f>#REF!</f>
        <v>#REF!</v>
      </c>
      <c r="D599" s="1180" t="e">
        <f t="shared" si="121"/>
        <v>#REF!</v>
      </c>
      <c r="E599" s="1180" t="e">
        <f t="shared" si="122"/>
        <v>#REF!</v>
      </c>
      <c r="F599" s="1180" t="e">
        <f t="shared" si="123"/>
        <v>#REF!</v>
      </c>
      <c r="G599" s="1180" t="e">
        <f>#REF!</f>
        <v>#REF!</v>
      </c>
      <c r="H599" s="1180" t="e">
        <f>#REF!</f>
        <v>#REF!</v>
      </c>
      <c r="I599" s="1180" t="e">
        <f>#REF!+#REF!</f>
        <v>#REF!</v>
      </c>
      <c r="J599" s="1180" t="e">
        <f>#REF!+#REF!-#REF!</f>
        <v>#REF!</v>
      </c>
    </row>
    <row r="600" spans="1:10">
      <c r="A600" s="1326" t="s">
        <v>169</v>
      </c>
      <c r="B600" s="1175" t="e">
        <f t="shared" si="120"/>
        <v>#REF!</v>
      </c>
      <c r="C600" s="1180" t="e">
        <f>#REF!</f>
        <v>#REF!</v>
      </c>
      <c r="D600" s="1180" t="e">
        <f t="shared" si="121"/>
        <v>#REF!</v>
      </c>
      <c r="E600" s="1180" t="e">
        <f t="shared" si="122"/>
        <v>#REF!</v>
      </c>
      <c r="F600" s="1180" t="e">
        <f t="shared" si="123"/>
        <v>#REF!</v>
      </c>
      <c r="G600" s="1180" t="e">
        <f>#REF!</f>
        <v>#REF!</v>
      </c>
      <c r="H600" s="1180" t="e">
        <f>#REF!</f>
        <v>#REF!</v>
      </c>
      <c r="I600" s="1180" t="e">
        <f>#REF!+#REF!</f>
        <v>#REF!</v>
      </c>
      <c r="J600" s="1180" t="e">
        <f>#REF!+#REF!-#REF!</f>
        <v>#REF!</v>
      </c>
    </row>
    <row r="601" spans="1:10">
      <c r="A601" s="1326" t="s">
        <v>170</v>
      </c>
      <c r="B601" s="1175" t="e">
        <f t="shared" si="120"/>
        <v>#REF!</v>
      </c>
      <c r="C601" s="1180" t="e">
        <f>#REF!</f>
        <v>#REF!</v>
      </c>
      <c r="D601" s="1180" t="e">
        <f t="shared" si="121"/>
        <v>#REF!</v>
      </c>
      <c r="E601" s="1180" t="e">
        <f t="shared" si="122"/>
        <v>#REF!</v>
      </c>
      <c r="F601" s="1180" t="e">
        <f t="shared" si="123"/>
        <v>#REF!</v>
      </c>
      <c r="G601" s="1180" t="e">
        <f>#REF!</f>
        <v>#REF!</v>
      </c>
      <c r="H601" s="1180" t="e">
        <f>#REF!</f>
        <v>#REF!</v>
      </c>
      <c r="I601" s="1180" t="e">
        <f>#REF!+#REF!</f>
        <v>#REF!</v>
      </c>
      <c r="J601" s="1180" t="e">
        <f>#REF!+#REF!-#REF!</f>
        <v>#REF!</v>
      </c>
    </row>
    <row r="602" spans="1:10">
      <c r="A602" s="1326" t="s">
        <v>171</v>
      </c>
      <c r="B602" s="1175" t="e">
        <f t="shared" si="120"/>
        <v>#REF!</v>
      </c>
      <c r="C602" s="1180" t="e">
        <f>#REF!</f>
        <v>#REF!</v>
      </c>
      <c r="D602" s="1180" t="e">
        <f t="shared" si="121"/>
        <v>#REF!</v>
      </c>
      <c r="E602" s="1180" t="e">
        <f t="shared" si="122"/>
        <v>#REF!</v>
      </c>
      <c r="F602" s="1180" t="e">
        <f t="shared" si="123"/>
        <v>#REF!</v>
      </c>
      <c r="G602" s="1180" t="e">
        <f>#REF!</f>
        <v>#REF!</v>
      </c>
      <c r="H602" s="1180" t="e">
        <f>#REF!</f>
        <v>#REF!</v>
      </c>
      <c r="I602" s="1180" t="e">
        <f>#REF!+#REF!</f>
        <v>#REF!</v>
      </c>
      <c r="J602" s="1180" t="e">
        <f>#REF!+#REF!-#REF!</f>
        <v>#REF!</v>
      </c>
    </row>
    <row r="603" spans="1:10">
      <c r="A603" s="1326" t="s">
        <v>148</v>
      </c>
      <c r="B603" s="1175" t="e">
        <f t="shared" si="120"/>
        <v>#REF!</v>
      </c>
      <c r="C603" s="1180" t="e">
        <f>#REF!</f>
        <v>#REF!</v>
      </c>
      <c r="D603" s="1180" t="e">
        <f t="shared" si="121"/>
        <v>#REF!</v>
      </c>
      <c r="E603" s="1180" t="e">
        <f t="shared" si="122"/>
        <v>#REF!</v>
      </c>
      <c r="F603" s="1180" t="e">
        <f t="shared" si="123"/>
        <v>#REF!</v>
      </c>
      <c r="G603" s="1180" t="e">
        <f>#REF!</f>
        <v>#REF!</v>
      </c>
      <c r="H603" s="1180" t="e">
        <f>#REF!</f>
        <v>#REF!</v>
      </c>
      <c r="I603" s="1180" t="e">
        <f>#REF!+#REF!</f>
        <v>#REF!</v>
      </c>
      <c r="J603" s="1180" t="e">
        <f>#REF!+#REF!-#REF!</f>
        <v>#REF!</v>
      </c>
    </row>
    <row r="604" spans="1:10">
      <c r="A604" s="1397">
        <v>2008</v>
      </c>
      <c r="B604" s="1175"/>
      <c r="C604" s="1180"/>
      <c r="D604" s="1180"/>
      <c r="E604" s="1180"/>
      <c r="F604" s="1180"/>
      <c r="G604" s="1180"/>
      <c r="H604" s="1180"/>
      <c r="I604" s="1180"/>
      <c r="J604" s="1180"/>
    </row>
    <row r="605" spans="1:10">
      <c r="A605" s="1233" t="s">
        <v>161</v>
      </c>
      <c r="B605" s="1175" t="e">
        <f t="shared" si="120"/>
        <v>#REF!</v>
      </c>
      <c r="C605" s="1180" t="e">
        <f>#REF!</f>
        <v>#REF!</v>
      </c>
      <c r="D605" s="1180" t="e">
        <f t="shared" si="121"/>
        <v>#REF!</v>
      </c>
      <c r="E605" s="1180" t="e">
        <f t="shared" si="122"/>
        <v>#REF!</v>
      </c>
      <c r="F605" s="1180" t="e">
        <f t="shared" si="123"/>
        <v>#REF!</v>
      </c>
      <c r="G605" s="1180" t="e">
        <f>#REF!</f>
        <v>#REF!</v>
      </c>
      <c r="H605" s="1180" t="e">
        <f>#REF!</f>
        <v>#REF!</v>
      </c>
      <c r="I605" s="1180" t="e">
        <f>#REF!+#REF!</f>
        <v>#REF!</v>
      </c>
      <c r="J605" s="1180" t="e">
        <f>#REF!+#REF!-#REF!</f>
        <v>#REF!</v>
      </c>
    </row>
    <row r="606" spans="1:10">
      <c r="A606" s="1399">
        <v>2007</v>
      </c>
      <c r="B606" s="4520" t="s">
        <v>194</v>
      </c>
      <c r="C606" s="4518"/>
      <c r="D606" s="4518"/>
      <c r="E606" s="4518"/>
      <c r="F606" s="4518"/>
      <c r="G606" s="4518"/>
      <c r="H606" s="4518"/>
      <c r="I606" s="4518"/>
      <c r="J606" s="4519"/>
    </row>
    <row r="607" spans="1:10">
      <c r="A607" s="1176">
        <v>2001</v>
      </c>
      <c r="B607" s="672"/>
      <c r="C607" s="672"/>
      <c r="D607" s="672"/>
      <c r="E607" s="672"/>
      <c r="F607" s="672"/>
      <c r="G607" s="672"/>
      <c r="H607" s="672"/>
      <c r="I607" s="672"/>
      <c r="J607" s="1183"/>
    </row>
    <row r="608" spans="1:10">
      <c r="A608" s="662" t="s">
        <v>148</v>
      </c>
      <c r="B608" s="1183" t="e">
        <f>((B525-B512)/B512)*100</f>
        <v>#REF!</v>
      </c>
      <c r="C608" s="1183" t="e">
        <f t="shared" ref="C608:J608" si="124">((C525-C512)/C512)*100</f>
        <v>#REF!</v>
      </c>
      <c r="D608" s="1183" t="e">
        <f t="shared" si="124"/>
        <v>#REF!</v>
      </c>
      <c r="E608" s="1183" t="e">
        <f t="shared" si="124"/>
        <v>#REF!</v>
      </c>
      <c r="F608" s="1183" t="e">
        <f>-((F525-F512)/F512)*100</f>
        <v>#REF!</v>
      </c>
      <c r="G608" s="1183" t="e">
        <f>-((G525-G512)/G512)*100</f>
        <v>#REF!</v>
      </c>
      <c r="H608" s="1183" t="e">
        <f t="shared" si="124"/>
        <v>#REF!</v>
      </c>
      <c r="I608" s="1183" t="e">
        <f t="shared" si="124"/>
        <v>#REF!</v>
      </c>
      <c r="J608" s="1183" t="e">
        <f t="shared" si="124"/>
        <v>#REF!</v>
      </c>
    </row>
    <row r="609" spans="1:10">
      <c r="A609" s="1176">
        <v>2002</v>
      </c>
      <c r="B609" s="1183"/>
      <c r="C609" s="1183"/>
      <c r="D609" s="1183"/>
      <c r="E609" s="1183"/>
      <c r="F609" s="1183"/>
      <c r="G609" s="1183"/>
      <c r="H609" s="1183"/>
      <c r="I609" s="1183"/>
      <c r="J609" s="1183"/>
    </row>
    <row r="610" spans="1:10">
      <c r="A610" s="662" t="s">
        <v>161</v>
      </c>
      <c r="B610" s="1183">
        <f t="shared" ref="B610:E621" si="125">((B527-B514)/B514)*100</f>
        <v>15.35541022787697</v>
      </c>
      <c r="C610" s="1183">
        <f t="shared" si="125"/>
        <v>10.763585066736473</v>
      </c>
      <c r="D610" s="1183">
        <f t="shared" si="125"/>
        <v>0.34911564828837394</v>
      </c>
      <c r="E610" s="1183">
        <f t="shared" si="125"/>
        <v>85.524301026484437</v>
      </c>
      <c r="F610" s="1183">
        <f t="shared" ref="F610:G625" si="126">-((F527-F514)/F514)*100</f>
        <v>23.961079775033266</v>
      </c>
      <c r="G610" s="1183">
        <f t="shared" si="126"/>
        <v>15.880390143737166</v>
      </c>
      <c r="H610" s="1183">
        <f t="shared" ref="H610:J620" si="127">((H527-H514)/H514)*100</f>
        <v>13.818138181381814</v>
      </c>
      <c r="I610" s="1183">
        <f t="shared" si="127"/>
        <v>16.042354135692779</v>
      </c>
      <c r="J610" s="1183">
        <f t="shared" si="127"/>
        <v>13.058425059922874</v>
      </c>
    </row>
    <row r="611" spans="1:10">
      <c r="A611" s="662" t="s">
        <v>162</v>
      </c>
      <c r="B611" s="1183">
        <f t="shared" si="125"/>
        <v>26.198904618230507</v>
      </c>
      <c r="C611" s="1183">
        <f t="shared" si="125"/>
        <v>21.73207296477424</v>
      </c>
      <c r="D611" s="1183">
        <f t="shared" si="125"/>
        <v>10.441132040309837</v>
      </c>
      <c r="E611" s="1183">
        <f t="shared" si="125"/>
        <v>74.982803543512176</v>
      </c>
      <c r="F611" s="1183">
        <f t="shared" si="126"/>
        <v>28.16437979432882</v>
      </c>
      <c r="G611" s="1183">
        <f t="shared" si="126"/>
        <v>24.285228046289994</v>
      </c>
      <c r="H611" s="1183">
        <f t="shared" si="127"/>
        <v>-12.437378131093455</v>
      </c>
      <c r="I611" s="1183">
        <f t="shared" si="127"/>
        <v>21.880230376764086</v>
      </c>
      <c r="J611" s="1183">
        <f t="shared" si="127"/>
        <v>24.199579211165361</v>
      </c>
    </row>
    <row r="612" spans="1:10">
      <c r="A612" s="662" t="s">
        <v>163</v>
      </c>
      <c r="B612" s="1183">
        <f t="shared" si="125"/>
        <v>9.5984441025763143</v>
      </c>
      <c r="C612" s="1183">
        <f t="shared" si="125"/>
        <v>8.1000673035508317</v>
      </c>
      <c r="D612" s="1183">
        <f t="shared" si="125"/>
        <v>3.7592166595169654</v>
      </c>
      <c r="E612" s="1183">
        <f t="shared" si="125"/>
        <v>111.8821650543705</v>
      </c>
      <c r="F612" s="1183">
        <f t="shared" si="126"/>
        <v>57.26117905418198</v>
      </c>
      <c r="G612" s="1183">
        <f t="shared" si="126"/>
        <v>46.119529709738231</v>
      </c>
      <c r="H612" s="1183">
        <f t="shared" si="127"/>
        <v>-10.808783824323505</v>
      </c>
      <c r="I612" s="1183">
        <f t="shared" si="127"/>
        <v>24.268084000568766</v>
      </c>
      <c r="J612" s="1183">
        <f t="shared" si="127"/>
        <v>27.610851808634791</v>
      </c>
    </row>
    <row r="613" spans="1:10">
      <c r="A613" s="662" t="s">
        <v>164</v>
      </c>
      <c r="B613" s="1183">
        <f t="shared" si="125"/>
        <v>6.2516573320369657</v>
      </c>
      <c r="C613" s="1183">
        <f t="shared" si="125"/>
        <v>6.2133153039780176</v>
      </c>
      <c r="D613" s="1183">
        <f t="shared" si="125"/>
        <v>6.1100363902003343</v>
      </c>
      <c r="E613" s="1183">
        <f t="shared" si="125"/>
        <v>73.296474394486751</v>
      </c>
      <c r="F613" s="1183">
        <f t="shared" si="126"/>
        <v>14.870231666956975</v>
      </c>
      <c r="G613" s="1183">
        <f t="shared" si="126"/>
        <v>14.309926870277465</v>
      </c>
      <c r="H613" s="1183">
        <f t="shared" si="127"/>
        <v>-12.376401286328255</v>
      </c>
      <c r="I613" s="1183">
        <f t="shared" si="127"/>
        <v>23.932336619951844</v>
      </c>
      <c r="J613" s="1183">
        <f t="shared" si="127"/>
        <v>19.296349533226483</v>
      </c>
    </row>
    <row r="614" spans="1:10">
      <c r="A614" s="662" t="s">
        <v>165</v>
      </c>
      <c r="B614" s="1183" t="e">
        <f t="shared" si="125"/>
        <v>#REF!</v>
      </c>
      <c r="C614" s="1183">
        <f t="shared" si="125"/>
        <v>14.401738057559754</v>
      </c>
      <c r="D614" s="1183" t="e">
        <f t="shared" si="125"/>
        <v>#REF!</v>
      </c>
      <c r="E614" s="1183" t="e">
        <f t="shared" si="125"/>
        <v>#REF!</v>
      </c>
      <c r="F614" s="1183">
        <f t="shared" si="126"/>
        <v>-6.669132357144071</v>
      </c>
      <c r="G614" s="1183">
        <f t="shared" si="126"/>
        <v>0.11104522667241365</v>
      </c>
      <c r="H614" s="1183">
        <f t="shared" si="127"/>
        <v>-12.23250781437847</v>
      </c>
      <c r="I614" s="1183" t="e">
        <f t="shared" si="127"/>
        <v>#REF!</v>
      </c>
      <c r="J614" s="1183" t="e">
        <f t="shared" si="127"/>
        <v>#REF!</v>
      </c>
    </row>
    <row r="615" spans="1:10">
      <c r="A615" s="1178" t="s">
        <v>166</v>
      </c>
      <c r="B615" s="1183" t="e">
        <f t="shared" si="125"/>
        <v>#REF!</v>
      </c>
      <c r="C615" s="1183">
        <f t="shared" si="125"/>
        <v>12.194706194663969</v>
      </c>
      <c r="D615" s="1183" t="e">
        <f t="shared" si="125"/>
        <v>#REF!</v>
      </c>
      <c r="E615" s="1183" t="e">
        <f t="shared" si="125"/>
        <v>#REF!</v>
      </c>
      <c r="F615" s="1183" t="e">
        <f t="shared" si="126"/>
        <v>#REF!</v>
      </c>
      <c r="G615" s="1183" t="e">
        <f t="shared" si="126"/>
        <v>#REF!</v>
      </c>
      <c r="H615" s="1183" t="e">
        <f t="shared" si="127"/>
        <v>#REF!</v>
      </c>
      <c r="I615" s="1183" t="e">
        <f t="shared" si="127"/>
        <v>#REF!</v>
      </c>
      <c r="J615" s="1183" t="e">
        <f t="shared" si="127"/>
        <v>#REF!</v>
      </c>
    </row>
    <row r="616" spans="1:10">
      <c r="A616" s="662" t="s">
        <v>167</v>
      </c>
      <c r="B616" s="1183" t="e">
        <f t="shared" si="125"/>
        <v>#REF!</v>
      </c>
      <c r="C616" s="1183">
        <f t="shared" si="125"/>
        <v>23.033975161107385</v>
      </c>
      <c r="D616" s="1183" t="e">
        <f t="shared" si="125"/>
        <v>#REF!</v>
      </c>
      <c r="E616" s="1183" t="e">
        <f t="shared" si="125"/>
        <v>#REF!</v>
      </c>
      <c r="F616" s="1183" t="e">
        <f t="shared" si="126"/>
        <v>#REF!</v>
      </c>
      <c r="G616" s="1183" t="e">
        <f t="shared" si="126"/>
        <v>#REF!</v>
      </c>
      <c r="H616" s="1183" t="e">
        <f t="shared" si="127"/>
        <v>#REF!</v>
      </c>
      <c r="I616" s="1183" t="e">
        <f t="shared" si="127"/>
        <v>#REF!</v>
      </c>
      <c r="J616" s="1183" t="e">
        <f t="shared" si="127"/>
        <v>#REF!</v>
      </c>
    </row>
    <row r="617" spans="1:10">
      <c r="A617" s="662" t="s">
        <v>168</v>
      </c>
      <c r="B617" s="1183" t="e">
        <f t="shared" si="125"/>
        <v>#REF!</v>
      </c>
      <c r="C617" s="1183" t="e">
        <f t="shared" si="125"/>
        <v>#REF!</v>
      </c>
      <c r="D617" s="1183" t="e">
        <f t="shared" si="125"/>
        <v>#REF!</v>
      </c>
      <c r="E617" s="1183" t="e">
        <f t="shared" si="125"/>
        <v>#REF!</v>
      </c>
      <c r="F617" s="1183" t="e">
        <f t="shared" si="126"/>
        <v>#REF!</v>
      </c>
      <c r="G617" s="1183" t="e">
        <f t="shared" si="126"/>
        <v>#REF!</v>
      </c>
      <c r="H617" s="1183" t="e">
        <f t="shared" si="127"/>
        <v>#REF!</v>
      </c>
      <c r="I617" s="1183" t="e">
        <f t="shared" si="127"/>
        <v>#REF!</v>
      </c>
      <c r="J617" s="1183" t="e">
        <f t="shared" si="127"/>
        <v>#REF!</v>
      </c>
    </row>
    <row r="618" spans="1:10">
      <c r="A618" s="662" t="s">
        <v>169</v>
      </c>
      <c r="B618" s="1183" t="e">
        <f t="shared" si="125"/>
        <v>#REF!</v>
      </c>
      <c r="C618" s="1183" t="e">
        <f t="shared" si="125"/>
        <v>#REF!</v>
      </c>
      <c r="D618" s="1183" t="e">
        <f t="shared" si="125"/>
        <v>#REF!</v>
      </c>
      <c r="E618" s="1183" t="e">
        <f t="shared" si="125"/>
        <v>#REF!</v>
      </c>
      <c r="F618" s="1183" t="e">
        <f t="shared" si="126"/>
        <v>#REF!</v>
      </c>
      <c r="G618" s="1183" t="e">
        <f t="shared" si="126"/>
        <v>#REF!</v>
      </c>
      <c r="H618" s="1183" t="e">
        <f t="shared" si="127"/>
        <v>#REF!</v>
      </c>
      <c r="I618" s="1183" t="e">
        <f t="shared" si="127"/>
        <v>#REF!</v>
      </c>
      <c r="J618" s="1183" t="e">
        <f t="shared" si="127"/>
        <v>#REF!</v>
      </c>
    </row>
    <row r="619" spans="1:10">
      <c r="A619" s="662" t="s">
        <v>170</v>
      </c>
      <c r="B619" s="1183" t="e">
        <f t="shared" si="125"/>
        <v>#REF!</v>
      </c>
      <c r="C619" s="1183" t="e">
        <f t="shared" si="125"/>
        <v>#REF!</v>
      </c>
      <c r="D619" s="1183" t="e">
        <f t="shared" si="125"/>
        <v>#REF!</v>
      </c>
      <c r="E619" s="1183" t="e">
        <f t="shared" si="125"/>
        <v>#REF!</v>
      </c>
      <c r="F619" s="1183" t="e">
        <f t="shared" si="126"/>
        <v>#REF!</v>
      </c>
      <c r="G619" s="1183" t="e">
        <f t="shared" si="126"/>
        <v>#REF!</v>
      </c>
      <c r="H619" s="1183" t="e">
        <f t="shared" si="127"/>
        <v>#REF!</v>
      </c>
      <c r="I619" s="1183" t="e">
        <f t="shared" si="127"/>
        <v>#REF!</v>
      </c>
      <c r="J619" s="1183" t="e">
        <f t="shared" si="127"/>
        <v>#REF!</v>
      </c>
    </row>
    <row r="620" spans="1:10">
      <c r="A620" s="662" t="s">
        <v>171</v>
      </c>
      <c r="B620" s="1183" t="e">
        <f t="shared" si="125"/>
        <v>#REF!</v>
      </c>
      <c r="C620" s="1183" t="e">
        <f t="shared" si="125"/>
        <v>#REF!</v>
      </c>
      <c r="D620" s="1183" t="e">
        <f t="shared" si="125"/>
        <v>#REF!</v>
      </c>
      <c r="E620" s="1183" t="e">
        <f t="shared" si="125"/>
        <v>#REF!</v>
      </c>
      <c r="F620" s="1183" t="e">
        <f t="shared" si="126"/>
        <v>#REF!</v>
      </c>
      <c r="G620" s="1183" t="e">
        <f t="shared" si="126"/>
        <v>#REF!</v>
      </c>
      <c r="H620" s="1183" t="e">
        <f t="shared" si="127"/>
        <v>#REF!</v>
      </c>
      <c r="I620" s="1183" t="e">
        <f t="shared" si="127"/>
        <v>#REF!</v>
      </c>
      <c r="J620" s="1183" t="e">
        <f t="shared" si="127"/>
        <v>#REF!</v>
      </c>
    </row>
    <row r="621" spans="1:10">
      <c r="A621" s="127">
        <v>2002</v>
      </c>
      <c r="B621" s="1183" t="e">
        <f t="shared" si="125"/>
        <v>#REF!</v>
      </c>
      <c r="C621" s="1183" t="e">
        <f t="shared" si="125"/>
        <v>#REF!</v>
      </c>
      <c r="D621" s="1183" t="e">
        <f t="shared" si="125"/>
        <v>#REF!</v>
      </c>
      <c r="E621" s="1183" t="e">
        <f t="shared" si="125"/>
        <v>#REF!</v>
      </c>
      <c r="F621" s="1183" t="e">
        <f t="shared" si="126"/>
        <v>#REF!</v>
      </c>
      <c r="G621" s="1183" t="e">
        <f t="shared" si="126"/>
        <v>#REF!</v>
      </c>
      <c r="H621" s="1183" t="e">
        <f>((H538-H525)/H525)*100</f>
        <v>#REF!</v>
      </c>
      <c r="I621" s="1183" t="e">
        <f>((I538-I525)/I525)*100</f>
        <v>#REF!</v>
      </c>
      <c r="J621" s="1183" t="e">
        <f>((J538-J525)/J525)*100</f>
        <v>#REF!</v>
      </c>
    </row>
    <row r="622" spans="1:10">
      <c r="A622" s="127">
        <v>2003</v>
      </c>
      <c r="B622" s="1183"/>
      <c r="C622" s="1183"/>
      <c r="D622" s="1183"/>
      <c r="E622" s="1183"/>
      <c r="F622" s="1183"/>
      <c r="G622" s="1183"/>
      <c r="H622" s="1183"/>
      <c r="I622" s="1183"/>
      <c r="J622" s="1183"/>
    </row>
    <row r="623" spans="1:10">
      <c r="A623" s="124" t="s">
        <v>161</v>
      </c>
      <c r="B623" s="1183" t="e">
        <f t="shared" ref="B623:J634" si="128">((B540-B527)/B527)*100</f>
        <v>#REF!</v>
      </c>
      <c r="C623" s="1183" t="e">
        <f t="shared" si="128"/>
        <v>#REF!</v>
      </c>
      <c r="D623" s="1183" t="e">
        <f t="shared" si="128"/>
        <v>#REF!</v>
      </c>
      <c r="E623" s="1183" t="e">
        <f t="shared" si="128"/>
        <v>#REF!</v>
      </c>
      <c r="F623" s="1183" t="e">
        <f t="shared" si="126"/>
        <v>#REF!</v>
      </c>
      <c r="G623" s="1183" t="e">
        <f>-((G540-G527)/G527)*100</f>
        <v>#REF!</v>
      </c>
      <c r="H623" s="1183" t="e">
        <f t="shared" si="128"/>
        <v>#REF!</v>
      </c>
      <c r="I623" s="1183" t="e">
        <f t="shared" si="128"/>
        <v>#REF!</v>
      </c>
      <c r="J623" s="1183" t="e">
        <f t="shared" si="128"/>
        <v>#REF!</v>
      </c>
    </row>
    <row r="624" spans="1:10">
      <c r="A624" s="124" t="s">
        <v>162</v>
      </c>
      <c r="B624" s="1183" t="e">
        <f t="shared" si="128"/>
        <v>#REF!</v>
      </c>
      <c r="C624" s="1183" t="e">
        <f t="shared" si="128"/>
        <v>#REF!</v>
      </c>
      <c r="D624" s="1183" t="e">
        <f t="shared" si="128"/>
        <v>#REF!</v>
      </c>
      <c r="E624" s="1183" t="e">
        <f t="shared" si="128"/>
        <v>#REF!</v>
      </c>
      <c r="F624" s="1183" t="e">
        <f t="shared" si="126"/>
        <v>#REF!</v>
      </c>
      <c r="G624" s="1183" t="e">
        <f t="shared" si="126"/>
        <v>#REF!</v>
      </c>
      <c r="H624" s="1183" t="e">
        <f t="shared" si="128"/>
        <v>#REF!</v>
      </c>
      <c r="I624" s="1183" t="e">
        <f t="shared" si="128"/>
        <v>#REF!</v>
      </c>
      <c r="J624" s="1183" t="e">
        <f t="shared" si="128"/>
        <v>#REF!</v>
      </c>
    </row>
    <row r="625" spans="1:10">
      <c r="A625" s="124" t="s">
        <v>163</v>
      </c>
      <c r="B625" s="1183" t="e">
        <f t="shared" si="128"/>
        <v>#REF!</v>
      </c>
      <c r="C625" s="1183" t="e">
        <f t="shared" si="128"/>
        <v>#REF!</v>
      </c>
      <c r="D625" s="1183" t="e">
        <f t="shared" si="128"/>
        <v>#REF!</v>
      </c>
      <c r="E625" s="1183" t="e">
        <f t="shared" si="128"/>
        <v>#REF!</v>
      </c>
      <c r="F625" s="1183" t="e">
        <f t="shared" si="126"/>
        <v>#REF!</v>
      </c>
      <c r="G625" s="1183" t="e">
        <f t="shared" si="126"/>
        <v>#REF!</v>
      </c>
      <c r="H625" s="1183" t="e">
        <f t="shared" si="128"/>
        <v>#REF!</v>
      </c>
      <c r="I625" s="1183" t="e">
        <f t="shared" si="128"/>
        <v>#REF!</v>
      </c>
      <c r="J625" s="1183" t="e">
        <f t="shared" si="128"/>
        <v>#REF!</v>
      </c>
    </row>
    <row r="626" spans="1:10">
      <c r="A626" s="124" t="s">
        <v>164</v>
      </c>
      <c r="B626" s="1183" t="e">
        <f t="shared" si="128"/>
        <v>#REF!</v>
      </c>
      <c r="C626" s="1183" t="e">
        <f t="shared" si="128"/>
        <v>#REF!</v>
      </c>
      <c r="D626" s="1183" t="e">
        <f t="shared" si="128"/>
        <v>#REF!</v>
      </c>
      <c r="E626" s="1183" t="e">
        <f t="shared" si="128"/>
        <v>#REF!</v>
      </c>
      <c r="F626" s="1183" t="e">
        <f t="shared" ref="F626:G641" si="129">-((F543-F530)/F530)*100</f>
        <v>#REF!</v>
      </c>
      <c r="G626" s="1183" t="e">
        <f t="shared" si="129"/>
        <v>#REF!</v>
      </c>
      <c r="H626" s="1183" t="e">
        <f t="shared" si="128"/>
        <v>#REF!</v>
      </c>
      <c r="I626" s="1183" t="e">
        <f t="shared" si="128"/>
        <v>#REF!</v>
      </c>
      <c r="J626" s="1183" t="e">
        <f t="shared" si="128"/>
        <v>#REF!</v>
      </c>
    </row>
    <row r="627" spans="1:10">
      <c r="A627" s="124" t="s">
        <v>165</v>
      </c>
      <c r="B627" s="1183" t="e">
        <f t="shared" si="128"/>
        <v>#REF!</v>
      </c>
      <c r="C627" s="1183" t="e">
        <f t="shared" si="128"/>
        <v>#REF!</v>
      </c>
      <c r="D627" s="1183" t="e">
        <f t="shared" si="128"/>
        <v>#REF!</v>
      </c>
      <c r="E627" s="1183" t="e">
        <f t="shared" si="128"/>
        <v>#REF!</v>
      </c>
      <c r="F627" s="1183" t="e">
        <f t="shared" si="129"/>
        <v>#REF!</v>
      </c>
      <c r="G627" s="1183" t="e">
        <f t="shared" si="129"/>
        <v>#REF!</v>
      </c>
      <c r="H627" s="1183" t="e">
        <f t="shared" si="128"/>
        <v>#REF!</v>
      </c>
      <c r="I627" s="1183" t="e">
        <f t="shared" si="128"/>
        <v>#REF!</v>
      </c>
      <c r="J627" s="1183" t="e">
        <f t="shared" si="128"/>
        <v>#REF!</v>
      </c>
    </row>
    <row r="628" spans="1:10">
      <c r="A628" s="1220" t="s">
        <v>166</v>
      </c>
      <c r="B628" s="1183" t="e">
        <f t="shared" si="128"/>
        <v>#REF!</v>
      </c>
      <c r="C628" s="1183" t="e">
        <f t="shared" si="128"/>
        <v>#REF!</v>
      </c>
      <c r="D628" s="1183" t="e">
        <f t="shared" si="128"/>
        <v>#REF!</v>
      </c>
      <c r="E628" s="1183" t="e">
        <f t="shared" si="128"/>
        <v>#REF!</v>
      </c>
      <c r="F628" s="1183" t="e">
        <f t="shared" si="129"/>
        <v>#REF!</v>
      </c>
      <c r="G628" s="1183" t="e">
        <f t="shared" si="129"/>
        <v>#REF!</v>
      </c>
      <c r="H628" s="1183" t="e">
        <f t="shared" si="128"/>
        <v>#REF!</v>
      </c>
      <c r="I628" s="1183" t="e">
        <f t="shared" si="128"/>
        <v>#REF!</v>
      </c>
      <c r="J628" s="1183" t="e">
        <f t="shared" si="128"/>
        <v>#REF!</v>
      </c>
    </row>
    <row r="629" spans="1:10">
      <c r="A629" s="124" t="s">
        <v>167</v>
      </c>
      <c r="B629" s="1183" t="e">
        <f t="shared" si="128"/>
        <v>#REF!</v>
      </c>
      <c r="C629" s="1183" t="e">
        <f t="shared" si="128"/>
        <v>#REF!</v>
      </c>
      <c r="D629" s="1183" t="e">
        <f t="shared" si="128"/>
        <v>#REF!</v>
      </c>
      <c r="E629" s="1183" t="e">
        <f t="shared" si="128"/>
        <v>#REF!</v>
      </c>
      <c r="F629" s="1183" t="e">
        <f t="shared" si="129"/>
        <v>#REF!</v>
      </c>
      <c r="G629" s="1183" t="e">
        <f t="shared" si="129"/>
        <v>#REF!</v>
      </c>
      <c r="H629" s="1183" t="e">
        <f t="shared" si="128"/>
        <v>#REF!</v>
      </c>
      <c r="I629" s="1183" t="e">
        <f t="shared" si="128"/>
        <v>#REF!</v>
      </c>
      <c r="J629" s="1183" t="e">
        <f t="shared" si="128"/>
        <v>#REF!</v>
      </c>
    </row>
    <row r="630" spans="1:10">
      <c r="A630" s="124" t="s">
        <v>168</v>
      </c>
      <c r="B630" s="1183" t="e">
        <f t="shared" si="128"/>
        <v>#REF!</v>
      </c>
      <c r="C630" s="1183" t="e">
        <f t="shared" si="128"/>
        <v>#REF!</v>
      </c>
      <c r="D630" s="1183" t="e">
        <f t="shared" si="128"/>
        <v>#REF!</v>
      </c>
      <c r="E630" s="1183" t="e">
        <f t="shared" si="128"/>
        <v>#REF!</v>
      </c>
      <c r="F630" s="1183" t="e">
        <f t="shared" si="129"/>
        <v>#REF!</v>
      </c>
      <c r="G630" s="1183" t="e">
        <f t="shared" si="129"/>
        <v>#REF!</v>
      </c>
      <c r="H630" s="1183" t="e">
        <f t="shared" si="128"/>
        <v>#REF!</v>
      </c>
      <c r="I630" s="1183" t="e">
        <f t="shared" si="128"/>
        <v>#REF!</v>
      </c>
      <c r="J630" s="1183" t="e">
        <f t="shared" si="128"/>
        <v>#REF!</v>
      </c>
    </row>
    <row r="631" spans="1:10">
      <c r="A631" s="124" t="s">
        <v>169</v>
      </c>
      <c r="B631" s="1183" t="e">
        <f t="shared" si="128"/>
        <v>#REF!</v>
      </c>
      <c r="C631" s="1183" t="e">
        <f t="shared" si="128"/>
        <v>#REF!</v>
      </c>
      <c r="D631" s="1183" t="e">
        <f t="shared" si="128"/>
        <v>#REF!</v>
      </c>
      <c r="E631" s="1183" t="e">
        <f t="shared" si="128"/>
        <v>#REF!</v>
      </c>
      <c r="F631" s="1183" t="e">
        <f t="shared" si="129"/>
        <v>#REF!</v>
      </c>
      <c r="G631" s="1183" t="e">
        <f t="shared" si="129"/>
        <v>#REF!</v>
      </c>
      <c r="H631" s="1183" t="e">
        <f t="shared" si="128"/>
        <v>#REF!</v>
      </c>
      <c r="I631" s="1183" t="e">
        <f t="shared" si="128"/>
        <v>#REF!</v>
      </c>
      <c r="J631" s="1183" t="e">
        <f t="shared" si="128"/>
        <v>#REF!</v>
      </c>
    </row>
    <row r="632" spans="1:10">
      <c r="A632" s="124" t="s">
        <v>170</v>
      </c>
      <c r="B632" s="1183" t="e">
        <f t="shared" si="128"/>
        <v>#REF!</v>
      </c>
      <c r="C632" s="1183" t="e">
        <f t="shared" si="128"/>
        <v>#REF!</v>
      </c>
      <c r="D632" s="1183" t="e">
        <f t="shared" si="128"/>
        <v>#REF!</v>
      </c>
      <c r="E632" s="1183" t="e">
        <f t="shared" si="128"/>
        <v>#REF!</v>
      </c>
      <c r="F632" s="1183" t="e">
        <f t="shared" si="129"/>
        <v>#REF!</v>
      </c>
      <c r="G632" s="1183" t="e">
        <f t="shared" si="129"/>
        <v>#REF!</v>
      </c>
      <c r="H632" s="1183" t="e">
        <f t="shared" si="128"/>
        <v>#REF!</v>
      </c>
      <c r="I632" s="1183" t="e">
        <f t="shared" si="128"/>
        <v>#REF!</v>
      </c>
      <c r="J632" s="1183" t="e">
        <f t="shared" si="128"/>
        <v>#REF!</v>
      </c>
    </row>
    <row r="633" spans="1:10">
      <c r="A633" s="124" t="s">
        <v>171</v>
      </c>
      <c r="B633" s="1183" t="e">
        <f t="shared" si="128"/>
        <v>#REF!</v>
      </c>
      <c r="C633" s="1183" t="e">
        <f t="shared" si="128"/>
        <v>#REF!</v>
      </c>
      <c r="D633" s="1183" t="e">
        <f t="shared" si="128"/>
        <v>#REF!</v>
      </c>
      <c r="E633" s="1183" t="e">
        <f t="shared" si="128"/>
        <v>#REF!</v>
      </c>
      <c r="F633" s="1183" t="e">
        <f t="shared" si="129"/>
        <v>#REF!</v>
      </c>
      <c r="G633" s="1183" t="e">
        <f t="shared" si="129"/>
        <v>#REF!</v>
      </c>
      <c r="H633" s="1183" t="e">
        <f t="shared" si="128"/>
        <v>#REF!</v>
      </c>
      <c r="I633" s="1183" t="e">
        <f t="shared" si="128"/>
        <v>#REF!</v>
      </c>
      <c r="J633" s="1183" t="e">
        <f t="shared" si="128"/>
        <v>#REF!</v>
      </c>
    </row>
    <row r="634" spans="1:10">
      <c r="A634" s="127">
        <v>2003</v>
      </c>
      <c r="B634" s="1183" t="e">
        <f t="shared" si="128"/>
        <v>#REF!</v>
      </c>
      <c r="C634" s="1183" t="e">
        <f t="shared" si="128"/>
        <v>#REF!</v>
      </c>
      <c r="D634" s="1183" t="e">
        <f t="shared" si="128"/>
        <v>#REF!</v>
      </c>
      <c r="E634" s="1183" t="e">
        <f t="shared" si="128"/>
        <v>#REF!</v>
      </c>
      <c r="F634" s="1183" t="e">
        <f t="shared" si="129"/>
        <v>#REF!</v>
      </c>
      <c r="G634" s="1183" t="e">
        <f t="shared" si="129"/>
        <v>#REF!</v>
      </c>
      <c r="H634" s="1183" t="e">
        <f t="shared" si="128"/>
        <v>#REF!</v>
      </c>
      <c r="I634" s="1183" t="e">
        <f t="shared" si="128"/>
        <v>#REF!</v>
      </c>
      <c r="J634" s="1183" t="e">
        <f t="shared" si="128"/>
        <v>#REF!</v>
      </c>
    </row>
    <row r="635" spans="1:10">
      <c r="A635" s="310">
        <v>2004</v>
      </c>
      <c r="B635" s="1183"/>
      <c r="C635" s="1183"/>
      <c r="D635" s="1183"/>
      <c r="E635" s="1183"/>
      <c r="F635" s="1183"/>
      <c r="G635" s="1183"/>
      <c r="H635" s="1183"/>
      <c r="I635" s="1183"/>
      <c r="J635" s="1183"/>
    </row>
    <row r="636" spans="1:10">
      <c r="A636" s="124" t="s">
        <v>161</v>
      </c>
      <c r="B636" s="1183" t="e">
        <f>((B553-B540)/B540)*100</f>
        <v>#REF!</v>
      </c>
      <c r="C636" s="1183" t="e">
        <f>((C553-C540)/C540)*100</f>
        <v>#REF!</v>
      </c>
      <c r="D636" s="1183" t="e">
        <f>((D553-D540)/D540)*100</f>
        <v>#REF!</v>
      </c>
      <c r="E636" s="1183" t="e">
        <f>((E553-E540)/E540)*100</f>
        <v>#REF!</v>
      </c>
      <c r="F636" s="1183" t="e">
        <f t="shared" si="129"/>
        <v>#REF!</v>
      </c>
      <c r="G636" s="1183" t="e">
        <f t="shared" si="129"/>
        <v>#REF!</v>
      </c>
      <c r="H636" s="1183" t="e">
        <f>((H553-H540)/H540)*100</f>
        <v>#REF!</v>
      </c>
      <c r="I636" s="1183" t="e">
        <f>((I553-I540)/I540)*100</f>
        <v>#REF!</v>
      </c>
      <c r="J636" s="1183" t="e">
        <f>((J553-J540)/J540)*100</f>
        <v>#REF!</v>
      </c>
    </row>
    <row r="637" spans="1:10">
      <c r="A637" s="124" t="s">
        <v>162</v>
      </c>
      <c r="B637" s="1183" t="e">
        <f t="shared" ref="B637:J647" si="130">((B554-B541)/B541)*100</f>
        <v>#REF!</v>
      </c>
      <c r="C637" s="1183" t="e">
        <f t="shared" si="130"/>
        <v>#REF!</v>
      </c>
      <c r="D637" s="1183" t="e">
        <f t="shared" si="130"/>
        <v>#REF!</v>
      </c>
      <c r="E637" s="1183" t="e">
        <f t="shared" si="130"/>
        <v>#REF!</v>
      </c>
      <c r="F637" s="1183" t="e">
        <f t="shared" si="129"/>
        <v>#REF!</v>
      </c>
      <c r="G637" s="1183" t="e">
        <f t="shared" si="129"/>
        <v>#REF!</v>
      </c>
      <c r="H637" s="1183" t="e">
        <f t="shared" si="130"/>
        <v>#REF!</v>
      </c>
      <c r="I637" s="1183" t="e">
        <f t="shared" si="130"/>
        <v>#REF!</v>
      </c>
      <c r="J637" s="1183" t="e">
        <f t="shared" si="130"/>
        <v>#REF!</v>
      </c>
    </row>
    <row r="638" spans="1:10">
      <c r="A638" s="124" t="s">
        <v>163</v>
      </c>
      <c r="B638" s="1183" t="e">
        <f t="shared" si="130"/>
        <v>#REF!</v>
      </c>
      <c r="C638" s="1183" t="e">
        <f t="shared" si="130"/>
        <v>#REF!</v>
      </c>
      <c r="D638" s="1183" t="e">
        <f t="shared" si="130"/>
        <v>#REF!</v>
      </c>
      <c r="E638" s="1183" t="e">
        <f t="shared" si="130"/>
        <v>#REF!</v>
      </c>
      <c r="F638" s="1183" t="e">
        <f t="shared" si="129"/>
        <v>#REF!</v>
      </c>
      <c r="G638" s="1183" t="e">
        <f t="shared" si="129"/>
        <v>#REF!</v>
      </c>
      <c r="H638" s="1183" t="e">
        <f t="shared" si="130"/>
        <v>#REF!</v>
      </c>
      <c r="I638" s="1183" t="e">
        <f t="shared" si="130"/>
        <v>#REF!</v>
      </c>
      <c r="J638" s="1183" t="e">
        <f t="shared" si="130"/>
        <v>#REF!</v>
      </c>
    </row>
    <row r="639" spans="1:10">
      <c r="A639" s="124" t="s">
        <v>164</v>
      </c>
      <c r="B639" s="1183" t="e">
        <f t="shared" si="130"/>
        <v>#REF!</v>
      </c>
      <c r="C639" s="1183" t="e">
        <f t="shared" si="130"/>
        <v>#REF!</v>
      </c>
      <c r="D639" s="1183" t="e">
        <f t="shared" si="130"/>
        <v>#REF!</v>
      </c>
      <c r="E639" s="1183" t="e">
        <f t="shared" si="130"/>
        <v>#REF!</v>
      </c>
      <c r="F639" s="1183" t="e">
        <f t="shared" si="129"/>
        <v>#REF!</v>
      </c>
      <c r="G639" s="1183" t="e">
        <f t="shared" si="129"/>
        <v>#REF!</v>
      </c>
      <c r="H639" s="1183" t="e">
        <f t="shared" si="130"/>
        <v>#REF!</v>
      </c>
      <c r="I639" s="1183" t="e">
        <f t="shared" si="130"/>
        <v>#REF!</v>
      </c>
      <c r="J639" s="1183" t="e">
        <f t="shared" si="130"/>
        <v>#REF!</v>
      </c>
    </row>
    <row r="640" spans="1:10">
      <c r="A640" s="124" t="s">
        <v>165</v>
      </c>
      <c r="B640" s="1183" t="e">
        <f t="shared" si="130"/>
        <v>#REF!</v>
      </c>
      <c r="C640" s="1183" t="e">
        <f t="shared" si="130"/>
        <v>#REF!</v>
      </c>
      <c r="D640" s="1183" t="e">
        <f t="shared" si="130"/>
        <v>#REF!</v>
      </c>
      <c r="E640" s="1183" t="e">
        <f t="shared" si="130"/>
        <v>#REF!</v>
      </c>
      <c r="F640" s="1183" t="e">
        <f t="shared" si="129"/>
        <v>#REF!</v>
      </c>
      <c r="G640" s="1183" t="e">
        <f t="shared" si="129"/>
        <v>#REF!</v>
      </c>
      <c r="H640" s="1183" t="e">
        <f t="shared" si="130"/>
        <v>#REF!</v>
      </c>
      <c r="I640" s="1183" t="e">
        <f t="shared" si="130"/>
        <v>#REF!</v>
      </c>
      <c r="J640" s="1183" t="e">
        <f t="shared" si="130"/>
        <v>#REF!</v>
      </c>
    </row>
    <row r="641" spans="1:10">
      <c r="A641" s="532" t="s">
        <v>166</v>
      </c>
      <c r="B641" s="1183" t="e">
        <f t="shared" si="130"/>
        <v>#REF!</v>
      </c>
      <c r="C641" s="1183" t="e">
        <f t="shared" si="130"/>
        <v>#REF!</v>
      </c>
      <c r="D641" s="1183" t="e">
        <f t="shared" si="130"/>
        <v>#REF!</v>
      </c>
      <c r="E641" s="1183" t="e">
        <f t="shared" si="130"/>
        <v>#REF!</v>
      </c>
      <c r="F641" s="1183" t="e">
        <f t="shared" si="129"/>
        <v>#REF!</v>
      </c>
      <c r="G641" s="1183" t="e">
        <f t="shared" si="129"/>
        <v>#REF!</v>
      </c>
      <c r="H641" s="1183" t="e">
        <f t="shared" si="130"/>
        <v>#REF!</v>
      </c>
      <c r="I641" s="1183" t="e">
        <f t="shared" si="130"/>
        <v>#REF!</v>
      </c>
      <c r="J641" s="1183" t="e">
        <f t="shared" si="130"/>
        <v>#REF!</v>
      </c>
    </row>
    <row r="642" spans="1:10">
      <c r="A642" s="124" t="s">
        <v>167</v>
      </c>
      <c r="B642" s="1183" t="e">
        <f t="shared" si="130"/>
        <v>#REF!</v>
      </c>
      <c r="C642" s="1183" t="e">
        <f t="shared" si="130"/>
        <v>#REF!</v>
      </c>
      <c r="D642" s="1183" t="e">
        <f t="shared" si="130"/>
        <v>#REF!</v>
      </c>
      <c r="E642" s="1183" t="e">
        <f t="shared" si="130"/>
        <v>#REF!</v>
      </c>
      <c r="F642" s="1183" t="e">
        <f t="shared" ref="F642:G657" si="131">-((F559-F546)/F546)*100</f>
        <v>#REF!</v>
      </c>
      <c r="G642" s="1183" t="e">
        <f t="shared" si="131"/>
        <v>#REF!</v>
      </c>
      <c r="H642" s="1183" t="e">
        <f t="shared" si="130"/>
        <v>#REF!</v>
      </c>
      <c r="I642" s="1183" t="e">
        <f t="shared" si="130"/>
        <v>#REF!</v>
      </c>
      <c r="J642" s="1183" t="e">
        <f t="shared" si="130"/>
        <v>#REF!</v>
      </c>
    </row>
    <row r="643" spans="1:10">
      <c r="A643" s="124" t="s">
        <v>168</v>
      </c>
      <c r="B643" s="1183" t="e">
        <f t="shared" si="130"/>
        <v>#REF!</v>
      </c>
      <c r="C643" s="1183" t="e">
        <f t="shared" si="130"/>
        <v>#REF!</v>
      </c>
      <c r="D643" s="1183" t="e">
        <f t="shared" si="130"/>
        <v>#REF!</v>
      </c>
      <c r="E643" s="1183" t="e">
        <f t="shared" si="130"/>
        <v>#REF!</v>
      </c>
      <c r="F643" s="1183" t="e">
        <f t="shared" si="131"/>
        <v>#REF!</v>
      </c>
      <c r="G643" s="1183" t="e">
        <f t="shared" si="131"/>
        <v>#REF!</v>
      </c>
      <c r="H643" s="1183" t="e">
        <f t="shared" si="130"/>
        <v>#REF!</v>
      </c>
      <c r="I643" s="1183" t="e">
        <f t="shared" si="130"/>
        <v>#REF!</v>
      </c>
      <c r="J643" s="1183" t="e">
        <f t="shared" si="130"/>
        <v>#REF!</v>
      </c>
    </row>
    <row r="644" spans="1:10">
      <c r="A644" s="124" t="s">
        <v>169</v>
      </c>
      <c r="B644" s="1183" t="e">
        <f t="shared" si="130"/>
        <v>#REF!</v>
      </c>
      <c r="C644" s="1183" t="e">
        <f t="shared" si="130"/>
        <v>#REF!</v>
      </c>
      <c r="D644" s="1183" t="e">
        <f t="shared" si="130"/>
        <v>#REF!</v>
      </c>
      <c r="E644" s="1183" t="e">
        <f t="shared" si="130"/>
        <v>#REF!</v>
      </c>
      <c r="F644" s="1183" t="e">
        <f t="shared" si="131"/>
        <v>#REF!</v>
      </c>
      <c r="G644" s="1183" t="e">
        <f t="shared" si="131"/>
        <v>#REF!</v>
      </c>
      <c r="H644" s="1183" t="e">
        <f t="shared" si="130"/>
        <v>#REF!</v>
      </c>
      <c r="I644" s="1183" t="e">
        <f t="shared" si="130"/>
        <v>#REF!</v>
      </c>
      <c r="J644" s="1183" t="e">
        <f t="shared" si="130"/>
        <v>#REF!</v>
      </c>
    </row>
    <row r="645" spans="1:10">
      <c r="A645" s="124" t="s">
        <v>170</v>
      </c>
      <c r="B645" s="1183" t="e">
        <f t="shared" si="130"/>
        <v>#REF!</v>
      </c>
      <c r="C645" s="1183" t="e">
        <f t="shared" si="130"/>
        <v>#REF!</v>
      </c>
      <c r="D645" s="1183" t="e">
        <f t="shared" si="130"/>
        <v>#REF!</v>
      </c>
      <c r="E645" s="1183" t="e">
        <f t="shared" si="130"/>
        <v>#REF!</v>
      </c>
      <c r="F645" s="1183" t="e">
        <f t="shared" si="131"/>
        <v>#REF!</v>
      </c>
      <c r="G645" s="1183" t="e">
        <f t="shared" si="131"/>
        <v>#REF!</v>
      </c>
      <c r="H645" s="1183" t="e">
        <f t="shared" si="130"/>
        <v>#REF!</v>
      </c>
      <c r="I645" s="1183" t="e">
        <f t="shared" si="130"/>
        <v>#REF!</v>
      </c>
      <c r="J645" s="1183" t="e">
        <f t="shared" si="130"/>
        <v>#REF!</v>
      </c>
    </row>
    <row r="646" spans="1:10">
      <c r="A646" s="124" t="s">
        <v>171</v>
      </c>
      <c r="B646" s="1183" t="e">
        <f t="shared" si="130"/>
        <v>#REF!</v>
      </c>
      <c r="C646" s="1183" t="e">
        <f t="shared" si="130"/>
        <v>#REF!</v>
      </c>
      <c r="D646" s="1183" t="e">
        <f t="shared" si="130"/>
        <v>#REF!</v>
      </c>
      <c r="E646" s="1183" t="e">
        <f t="shared" si="130"/>
        <v>#REF!</v>
      </c>
      <c r="F646" s="1183" t="e">
        <f t="shared" si="131"/>
        <v>#REF!</v>
      </c>
      <c r="G646" s="1183" t="e">
        <f t="shared" si="131"/>
        <v>#REF!</v>
      </c>
      <c r="H646" s="1183" t="e">
        <f t="shared" si="130"/>
        <v>#REF!</v>
      </c>
      <c r="I646" s="1183" t="e">
        <f t="shared" si="130"/>
        <v>#REF!</v>
      </c>
      <c r="J646" s="1183" t="e">
        <f t="shared" si="130"/>
        <v>#REF!</v>
      </c>
    </row>
    <row r="647" spans="1:10">
      <c r="A647" s="310">
        <v>2004</v>
      </c>
      <c r="B647" s="1183" t="e">
        <f t="shared" si="130"/>
        <v>#REF!</v>
      </c>
      <c r="C647" s="1183" t="e">
        <f t="shared" si="130"/>
        <v>#REF!</v>
      </c>
      <c r="D647" s="1183" t="e">
        <f t="shared" si="130"/>
        <v>#REF!</v>
      </c>
      <c r="E647" s="1183" t="e">
        <f t="shared" si="130"/>
        <v>#REF!</v>
      </c>
      <c r="F647" s="1183" t="e">
        <f t="shared" si="131"/>
        <v>#REF!</v>
      </c>
      <c r="G647" s="1183" t="e">
        <f t="shared" si="131"/>
        <v>#REF!</v>
      </c>
      <c r="H647" s="1183" t="e">
        <f t="shared" si="130"/>
        <v>#REF!</v>
      </c>
      <c r="I647" s="1183" t="e">
        <f t="shared" si="130"/>
        <v>#REF!</v>
      </c>
      <c r="J647" s="1183" t="e">
        <f t="shared" si="130"/>
        <v>#REF!</v>
      </c>
    </row>
    <row r="648" spans="1:10">
      <c r="A648" s="310">
        <v>2005</v>
      </c>
      <c r="B648" s="1183"/>
      <c r="C648" s="1183"/>
      <c r="D648" s="1183"/>
      <c r="E648" s="1183"/>
      <c r="F648" s="1183"/>
      <c r="G648" s="1183"/>
      <c r="H648" s="1183"/>
      <c r="I648" s="1183"/>
      <c r="J648" s="1183"/>
    </row>
    <row r="649" spans="1:10">
      <c r="A649" s="1222" t="s">
        <v>161</v>
      </c>
      <c r="B649" s="1183" t="e">
        <f t="shared" ref="B649:J660" si="132">((B566-B553)/B553)*100</f>
        <v>#REF!</v>
      </c>
      <c r="C649" s="1183" t="e">
        <f t="shared" si="132"/>
        <v>#REF!</v>
      </c>
      <c r="D649" s="1183" t="e">
        <f t="shared" si="132"/>
        <v>#REF!</v>
      </c>
      <c r="E649" s="1183" t="e">
        <f t="shared" si="132"/>
        <v>#REF!</v>
      </c>
      <c r="F649" s="1183" t="e">
        <f t="shared" si="131"/>
        <v>#REF!</v>
      </c>
      <c r="G649" s="1183" t="e">
        <f t="shared" si="131"/>
        <v>#REF!</v>
      </c>
      <c r="H649" s="1183" t="e">
        <f t="shared" si="132"/>
        <v>#REF!</v>
      </c>
      <c r="I649" s="1183" t="e">
        <f t="shared" si="132"/>
        <v>#REF!</v>
      </c>
      <c r="J649" s="1183" t="e">
        <f t="shared" si="132"/>
        <v>#REF!</v>
      </c>
    </row>
    <row r="650" spans="1:10">
      <c r="A650" s="1222" t="s">
        <v>162</v>
      </c>
      <c r="B650" s="1183" t="e">
        <f t="shared" si="132"/>
        <v>#REF!</v>
      </c>
      <c r="C650" s="1183" t="e">
        <f t="shared" si="132"/>
        <v>#REF!</v>
      </c>
      <c r="D650" s="1183" t="e">
        <f t="shared" si="132"/>
        <v>#REF!</v>
      </c>
      <c r="E650" s="1183" t="e">
        <f t="shared" si="132"/>
        <v>#REF!</v>
      </c>
      <c r="F650" s="1183" t="e">
        <f t="shared" si="131"/>
        <v>#REF!</v>
      </c>
      <c r="G650" s="1183" t="e">
        <f t="shared" si="131"/>
        <v>#REF!</v>
      </c>
      <c r="H650" s="1183" t="e">
        <f t="shared" si="132"/>
        <v>#REF!</v>
      </c>
      <c r="I650" s="1183" t="e">
        <f t="shared" si="132"/>
        <v>#REF!</v>
      </c>
      <c r="J650" s="1183" t="e">
        <f t="shared" si="132"/>
        <v>#REF!</v>
      </c>
    </row>
    <row r="651" spans="1:10">
      <c r="A651" s="1222" t="s">
        <v>163</v>
      </c>
      <c r="B651" s="1183" t="e">
        <f t="shared" si="132"/>
        <v>#REF!</v>
      </c>
      <c r="C651" s="1183" t="e">
        <f t="shared" si="132"/>
        <v>#REF!</v>
      </c>
      <c r="D651" s="1183" t="e">
        <f t="shared" si="132"/>
        <v>#REF!</v>
      </c>
      <c r="E651" s="1183" t="e">
        <f t="shared" si="132"/>
        <v>#REF!</v>
      </c>
      <c r="F651" s="1183" t="e">
        <f t="shared" si="131"/>
        <v>#REF!</v>
      </c>
      <c r="G651" s="1183" t="e">
        <f t="shared" si="131"/>
        <v>#REF!</v>
      </c>
      <c r="H651" s="1183" t="e">
        <f t="shared" si="132"/>
        <v>#REF!</v>
      </c>
      <c r="I651" s="1183" t="e">
        <f t="shared" si="132"/>
        <v>#REF!</v>
      </c>
      <c r="J651" s="1183" t="e">
        <f t="shared" si="132"/>
        <v>#REF!</v>
      </c>
    </row>
    <row r="652" spans="1:10">
      <c r="A652" s="1222" t="s">
        <v>164</v>
      </c>
      <c r="B652" s="1183" t="e">
        <f t="shared" si="132"/>
        <v>#REF!</v>
      </c>
      <c r="C652" s="1183" t="e">
        <f t="shared" si="132"/>
        <v>#REF!</v>
      </c>
      <c r="D652" s="1183" t="e">
        <f t="shared" si="132"/>
        <v>#REF!</v>
      </c>
      <c r="E652" s="1183" t="e">
        <f t="shared" si="132"/>
        <v>#REF!</v>
      </c>
      <c r="F652" s="1183" t="e">
        <f t="shared" si="131"/>
        <v>#REF!</v>
      </c>
      <c r="G652" s="1183" t="e">
        <f t="shared" si="131"/>
        <v>#REF!</v>
      </c>
      <c r="H652" s="1183" t="e">
        <f t="shared" si="132"/>
        <v>#REF!</v>
      </c>
      <c r="I652" s="1183" t="e">
        <f t="shared" si="132"/>
        <v>#REF!</v>
      </c>
      <c r="J652" s="1183" t="e">
        <f t="shared" si="132"/>
        <v>#REF!</v>
      </c>
    </row>
    <row r="653" spans="1:10">
      <c r="A653" s="1222" t="s">
        <v>165</v>
      </c>
      <c r="B653" s="1183" t="e">
        <f t="shared" si="132"/>
        <v>#REF!</v>
      </c>
      <c r="C653" s="1183" t="e">
        <f t="shared" si="132"/>
        <v>#REF!</v>
      </c>
      <c r="D653" s="1183" t="e">
        <f t="shared" si="132"/>
        <v>#REF!</v>
      </c>
      <c r="E653" s="1183" t="e">
        <f t="shared" si="132"/>
        <v>#REF!</v>
      </c>
      <c r="F653" s="1183" t="e">
        <f t="shared" si="131"/>
        <v>#REF!</v>
      </c>
      <c r="G653" s="1183" t="e">
        <f t="shared" si="131"/>
        <v>#REF!</v>
      </c>
      <c r="H653" s="1183" t="e">
        <f t="shared" si="132"/>
        <v>#REF!</v>
      </c>
      <c r="I653" s="1183" t="e">
        <f t="shared" si="132"/>
        <v>#REF!</v>
      </c>
      <c r="J653" s="1183" t="e">
        <f t="shared" si="132"/>
        <v>#REF!</v>
      </c>
    </row>
    <row r="654" spans="1:10">
      <c r="A654" s="861" t="s">
        <v>166</v>
      </c>
      <c r="B654" s="1183" t="e">
        <f t="shared" si="132"/>
        <v>#REF!</v>
      </c>
      <c r="C654" s="1183" t="e">
        <f t="shared" si="132"/>
        <v>#REF!</v>
      </c>
      <c r="D654" s="1183" t="e">
        <f t="shared" si="132"/>
        <v>#REF!</v>
      </c>
      <c r="E654" s="1183" t="e">
        <f t="shared" si="132"/>
        <v>#REF!</v>
      </c>
      <c r="F654" s="1183" t="e">
        <f t="shared" si="131"/>
        <v>#REF!</v>
      </c>
      <c r="G654" s="1183" t="e">
        <f t="shared" si="131"/>
        <v>#REF!</v>
      </c>
      <c r="H654" s="1183" t="e">
        <f t="shared" si="132"/>
        <v>#REF!</v>
      </c>
      <c r="I654" s="1183" t="e">
        <f t="shared" si="132"/>
        <v>#REF!</v>
      </c>
      <c r="J654" s="1183" t="e">
        <f t="shared" si="132"/>
        <v>#REF!</v>
      </c>
    </row>
    <row r="655" spans="1:10">
      <c r="A655" s="1221" t="s">
        <v>167</v>
      </c>
      <c r="B655" s="1183" t="e">
        <f t="shared" si="132"/>
        <v>#REF!</v>
      </c>
      <c r="C655" s="1183" t="e">
        <f t="shared" si="132"/>
        <v>#REF!</v>
      </c>
      <c r="D655" s="1183" t="e">
        <f t="shared" si="132"/>
        <v>#REF!</v>
      </c>
      <c r="E655" s="1183" t="e">
        <f t="shared" si="132"/>
        <v>#REF!</v>
      </c>
      <c r="F655" s="1183" t="e">
        <f t="shared" si="131"/>
        <v>#REF!</v>
      </c>
      <c r="G655" s="1183" t="e">
        <f t="shared" si="131"/>
        <v>#REF!</v>
      </c>
      <c r="H655" s="1183" t="e">
        <f t="shared" si="132"/>
        <v>#REF!</v>
      </c>
      <c r="I655" s="1183" t="e">
        <f t="shared" si="132"/>
        <v>#REF!</v>
      </c>
      <c r="J655" s="1183" t="e">
        <f t="shared" si="132"/>
        <v>#REF!</v>
      </c>
    </row>
    <row r="656" spans="1:10">
      <c r="A656" s="1221" t="s">
        <v>168</v>
      </c>
      <c r="B656" s="1183" t="e">
        <f t="shared" si="132"/>
        <v>#REF!</v>
      </c>
      <c r="C656" s="1183" t="e">
        <f t="shared" si="132"/>
        <v>#REF!</v>
      </c>
      <c r="D656" s="1183" t="e">
        <f t="shared" si="132"/>
        <v>#REF!</v>
      </c>
      <c r="E656" s="1183" t="e">
        <f t="shared" si="132"/>
        <v>#REF!</v>
      </c>
      <c r="F656" s="1183" t="e">
        <f t="shared" si="131"/>
        <v>#REF!</v>
      </c>
      <c r="G656" s="1183" t="e">
        <f t="shared" si="131"/>
        <v>#REF!</v>
      </c>
      <c r="H656" s="1183" t="e">
        <f t="shared" si="132"/>
        <v>#REF!</v>
      </c>
      <c r="I656" s="1183" t="e">
        <f t="shared" si="132"/>
        <v>#REF!</v>
      </c>
      <c r="J656" s="1183" t="e">
        <f t="shared" si="132"/>
        <v>#REF!</v>
      </c>
    </row>
    <row r="657" spans="1:10">
      <c r="A657" s="1221" t="s">
        <v>169</v>
      </c>
      <c r="B657" s="1183" t="e">
        <f t="shared" si="132"/>
        <v>#REF!</v>
      </c>
      <c r="C657" s="1183" t="e">
        <f t="shared" si="132"/>
        <v>#REF!</v>
      </c>
      <c r="D657" s="1183" t="e">
        <f t="shared" si="132"/>
        <v>#REF!</v>
      </c>
      <c r="E657" s="1183" t="e">
        <f t="shared" si="132"/>
        <v>#REF!</v>
      </c>
      <c r="F657" s="1183" t="e">
        <f t="shared" si="131"/>
        <v>#REF!</v>
      </c>
      <c r="G657" s="1183" t="e">
        <f t="shared" si="131"/>
        <v>#REF!</v>
      </c>
      <c r="H657" s="1183" t="e">
        <f t="shared" si="132"/>
        <v>#REF!</v>
      </c>
      <c r="I657" s="1183" t="e">
        <f t="shared" si="132"/>
        <v>#REF!</v>
      </c>
      <c r="J657" s="1183" t="e">
        <f t="shared" si="132"/>
        <v>#REF!</v>
      </c>
    </row>
    <row r="658" spans="1:10">
      <c r="A658" s="1221" t="s">
        <v>170</v>
      </c>
      <c r="B658" s="1183" t="e">
        <f t="shared" si="132"/>
        <v>#REF!</v>
      </c>
      <c r="C658" s="1183" t="e">
        <f t="shared" si="132"/>
        <v>#REF!</v>
      </c>
      <c r="D658" s="1183" t="e">
        <f t="shared" si="132"/>
        <v>#REF!</v>
      </c>
      <c r="E658" s="1183" t="e">
        <f t="shared" si="132"/>
        <v>#REF!</v>
      </c>
      <c r="F658" s="1183" t="e">
        <f t="shared" ref="F658:G673" si="133">-((F575-F562)/F562)*100</f>
        <v>#REF!</v>
      </c>
      <c r="G658" s="1183" t="e">
        <f t="shared" si="133"/>
        <v>#REF!</v>
      </c>
      <c r="H658" s="1183" t="e">
        <f t="shared" si="132"/>
        <v>#REF!</v>
      </c>
      <c r="I658" s="1183" t="e">
        <f t="shared" si="132"/>
        <v>#REF!</v>
      </c>
      <c r="J658" s="1183" t="e">
        <f t="shared" si="132"/>
        <v>#REF!</v>
      </c>
    </row>
    <row r="659" spans="1:10">
      <c r="A659" s="861" t="s">
        <v>171</v>
      </c>
      <c r="B659" s="1183" t="e">
        <f t="shared" si="132"/>
        <v>#REF!</v>
      </c>
      <c r="C659" s="1183" t="e">
        <f t="shared" si="132"/>
        <v>#REF!</v>
      </c>
      <c r="D659" s="1183" t="e">
        <f t="shared" si="132"/>
        <v>#REF!</v>
      </c>
      <c r="E659" s="1183" t="e">
        <f t="shared" si="132"/>
        <v>#REF!</v>
      </c>
      <c r="F659" s="1183" t="e">
        <f t="shared" si="133"/>
        <v>#REF!</v>
      </c>
      <c r="G659" s="1183" t="e">
        <f t="shared" si="133"/>
        <v>#REF!</v>
      </c>
      <c r="H659" s="1183" t="e">
        <f t="shared" si="132"/>
        <v>#REF!</v>
      </c>
      <c r="I659" s="1183" t="e">
        <f t="shared" si="132"/>
        <v>#REF!</v>
      </c>
      <c r="J659" s="1183" t="e">
        <f t="shared" si="132"/>
        <v>#REF!</v>
      </c>
    </row>
    <row r="660" spans="1:10">
      <c r="A660" s="862">
        <v>2005</v>
      </c>
      <c r="B660" s="1183" t="e">
        <f t="shared" si="132"/>
        <v>#REF!</v>
      </c>
      <c r="C660" s="1183" t="e">
        <f t="shared" si="132"/>
        <v>#REF!</v>
      </c>
      <c r="D660" s="1183" t="e">
        <f t="shared" si="132"/>
        <v>#REF!</v>
      </c>
      <c r="E660" s="1183" t="e">
        <f t="shared" si="132"/>
        <v>#REF!</v>
      </c>
      <c r="F660" s="1183" t="e">
        <f t="shared" si="133"/>
        <v>#REF!</v>
      </c>
      <c r="G660" s="1183" t="e">
        <f t="shared" si="133"/>
        <v>#REF!</v>
      </c>
      <c r="H660" s="1183" t="e">
        <f t="shared" si="132"/>
        <v>#REF!</v>
      </c>
      <c r="I660" s="1183" t="e">
        <f t="shared" si="132"/>
        <v>#REF!</v>
      </c>
      <c r="J660" s="1183" t="e">
        <f t="shared" si="132"/>
        <v>#REF!</v>
      </c>
    </row>
    <row r="661" spans="1:10">
      <c r="A661" s="1185">
        <v>2006</v>
      </c>
      <c r="B661" s="1183"/>
      <c r="C661" s="1183"/>
      <c r="D661" s="1183"/>
      <c r="E661" s="1183"/>
      <c r="F661" s="1183"/>
      <c r="G661" s="1183"/>
      <c r="H661" s="1183"/>
      <c r="I661" s="1183"/>
      <c r="J661" s="1183"/>
    </row>
    <row r="662" spans="1:10">
      <c r="A662" s="1179" t="s">
        <v>161</v>
      </c>
      <c r="B662" s="1183" t="e">
        <f t="shared" ref="B662:J673" si="134">((B579-B566)/B566)*100</f>
        <v>#REF!</v>
      </c>
      <c r="C662" s="1183" t="e">
        <f t="shared" si="134"/>
        <v>#REF!</v>
      </c>
      <c r="D662" s="1183" t="e">
        <f t="shared" si="134"/>
        <v>#REF!</v>
      </c>
      <c r="E662" s="1183" t="e">
        <f t="shared" si="134"/>
        <v>#REF!</v>
      </c>
      <c r="F662" s="1183" t="e">
        <f t="shared" si="133"/>
        <v>#REF!</v>
      </c>
      <c r="G662" s="1183" t="e">
        <f t="shared" si="133"/>
        <v>#REF!</v>
      </c>
      <c r="H662" s="1183" t="e">
        <f t="shared" si="134"/>
        <v>#REF!</v>
      </c>
      <c r="I662" s="1183" t="e">
        <f t="shared" si="134"/>
        <v>#REF!</v>
      </c>
      <c r="J662" s="1183" t="e">
        <f t="shared" si="134"/>
        <v>#REF!</v>
      </c>
    </row>
    <row r="663" spans="1:10">
      <c r="A663" s="861" t="s">
        <v>162</v>
      </c>
      <c r="B663" s="1183" t="e">
        <f t="shared" si="134"/>
        <v>#REF!</v>
      </c>
      <c r="C663" s="1183" t="e">
        <f t="shared" si="134"/>
        <v>#REF!</v>
      </c>
      <c r="D663" s="1183" t="e">
        <f t="shared" si="134"/>
        <v>#REF!</v>
      </c>
      <c r="E663" s="1183" t="e">
        <f t="shared" si="134"/>
        <v>#REF!</v>
      </c>
      <c r="F663" s="1183" t="e">
        <f t="shared" si="133"/>
        <v>#REF!</v>
      </c>
      <c r="G663" s="1183" t="e">
        <f t="shared" si="133"/>
        <v>#REF!</v>
      </c>
      <c r="H663" s="1183" t="e">
        <f t="shared" si="134"/>
        <v>#REF!</v>
      </c>
      <c r="I663" s="1183" t="e">
        <f t="shared" si="134"/>
        <v>#REF!</v>
      </c>
      <c r="J663" s="1183" t="e">
        <f t="shared" si="134"/>
        <v>#REF!</v>
      </c>
    </row>
    <row r="664" spans="1:10">
      <c r="A664" s="1221" t="s">
        <v>163</v>
      </c>
      <c r="B664" s="1183" t="e">
        <f t="shared" si="134"/>
        <v>#REF!</v>
      </c>
      <c r="C664" s="1183" t="e">
        <f t="shared" si="134"/>
        <v>#REF!</v>
      </c>
      <c r="D664" s="1183" t="e">
        <f t="shared" si="134"/>
        <v>#REF!</v>
      </c>
      <c r="E664" s="1183" t="e">
        <f t="shared" si="134"/>
        <v>#REF!</v>
      </c>
      <c r="F664" s="1183" t="e">
        <f t="shared" si="133"/>
        <v>#REF!</v>
      </c>
      <c r="G664" s="1183" t="e">
        <f t="shared" si="133"/>
        <v>#REF!</v>
      </c>
      <c r="H664" s="1183" t="e">
        <f t="shared" si="134"/>
        <v>#REF!</v>
      </c>
      <c r="I664" s="1183" t="e">
        <f t="shared" si="134"/>
        <v>#REF!</v>
      </c>
      <c r="J664" s="1183" t="e">
        <f t="shared" si="134"/>
        <v>#REF!</v>
      </c>
    </row>
    <row r="665" spans="1:10">
      <c r="A665" s="861" t="s">
        <v>164</v>
      </c>
      <c r="B665" s="1183" t="e">
        <f t="shared" si="134"/>
        <v>#REF!</v>
      </c>
      <c r="C665" s="1183" t="e">
        <f t="shared" si="134"/>
        <v>#REF!</v>
      </c>
      <c r="D665" s="1183" t="e">
        <f t="shared" si="134"/>
        <v>#REF!</v>
      </c>
      <c r="E665" s="1183" t="e">
        <f t="shared" si="134"/>
        <v>#REF!</v>
      </c>
      <c r="F665" s="1183" t="e">
        <f t="shared" si="133"/>
        <v>#REF!</v>
      </c>
      <c r="G665" s="1183" t="e">
        <f t="shared" si="133"/>
        <v>#REF!</v>
      </c>
      <c r="H665" s="1183" t="e">
        <f t="shared" si="134"/>
        <v>#REF!</v>
      </c>
      <c r="I665" s="1183" t="e">
        <f t="shared" si="134"/>
        <v>#REF!</v>
      </c>
      <c r="J665" s="1183" t="e">
        <f t="shared" si="134"/>
        <v>#REF!</v>
      </c>
    </row>
    <row r="666" spans="1:10">
      <c r="A666" s="861" t="s">
        <v>165</v>
      </c>
      <c r="B666" s="1183" t="e">
        <f t="shared" si="134"/>
        <v>#REF!</v>
      </c>
      <c r="C666" s="1183" t="e">
        <f t="shared" si="134"/>
        <v>#REF!</v>
      </c>
      <c r="D666" s="1183" t="e">
        <f t="shared" si="134"/>
        <v>#REF!</v>
      </c>
      <c r="E666" s="1183" t="e">
        <f t="shared" si="134"/>
        <v>#REF!</v>
      </c>
      <c r="F666" s="1183" t="e">
        <f t="shared" si="133"/>
        <v>#REF!</v>
      </c>
      <c r="G666" s="1183" t="e">
        <f t="shared" si="133"/>
        <v>#REF!</v>
      </c>
      <c r="H666" s="1183" t="e">
        <f t="shared" si="134"/>
        <v>#REF!</v>
      </c>
      <c r="I666" s="1183" t="e">
        <f t="shared" si="134"/>
        <v>#REF!</v>
      </c>
      <c r="J666" s="1183" t="e">
        <f t="shared" si="134"/>
        <v>#REF!</v>
      </c>
    </row>
    <row r="667" spans="1:10">
      <c r="A667" s="861" t="s">
        <v>166</v>
      </c>
      <c r="B667" s="1183" t="e">
        <f t="shared" si="134"/>
        <v>#REF!</v>
      </c>
      <c r="C667" s="1183" t="e">
        <f t="shared" si="134"/>
        <v>#REF!</v>
      </c>
      <c r="D667" s="1183" t="e">
        <f t="shared" si="134"/>
        <v>#REF!</v>
      </c>
      <c r="E667" s="1183" t="e">
        <f t="shared" si="134"/>
        <v>#REF!</v>
      </c>
      <c r="F667" s="1183" t="e">
        <f t="shared" si="133"/>
        <v>#REF!</v>
      </c>
      <c r="G667" s="1183" t="e">
        <f t="shared" si="133"/>
        <v>#REF!</v>
      </c>
      <c r="H667" s="1183" t="e">
        <f t="shared" si="134"/>
        <v>#REF!</v>
      </c>
      <c r="I667" s="1183" t="e">
        <f t="shared" si="134"/>
        <v>#REF!</v>
      </c>
      <c r="J667" s="1183" t="e">
        <f t="shared" si="134"/>
        <v>#REF!</v>
      </c>
    </row>
    <row r="668" spans="1:10">
      <c r="A668" s="861" t="s">
        <v>167</v>
      </c>
      <c r="B668" s="1183" t="e">
        <f t="shared" si="134"/>
        <v>#REF!</v>
      </c>
      <c r="C668" s="1183" t="e">
        <f t="shared" si="134"/>
        <v>#REF!</v>
      </c>
      <c r="D668" s="1183" t="e">
        <f t="shared" si="134"/>
        <v>#REF!</v>
      </c>
      <c r="E668" s="1183" t="e">
        <f t="shared" si="134"/>
        <v>#REF!</v>
      </c>
      <c r="F668" s="1183" t="e">
        <f t="shared" si="133"/>
        <v>#REF!</v>
      </c>
      <c r="G668" s="1183" t="e">
        <f t="shared" si="133"/>
        <v>#REF!</v>
      </c>
      <c r="H668" s="1183" t="e">
        <f t="shared" si="134"/>
        <v>#REF!</v>
      </c>
      <c r="I668" s="1183" t="e">
        <f t="shared" si="134"/>
        <v>#REF!</v>
      </c>
      <c r="J668" s="1183" t="e">
        <f t="shared" si="134"/>
        <v>#REF!</v>
      </c>
    </row>
    <row r="669" spans="1:10">
      <c r="A669" s="861" t="s">
        <v>168</v>
      </c>
      <c r="B669" s="1183" t="e">
        <f t="shared" si="134"/>
        <v>#REF!</v>
      </c>
      <c r="C669" s="1183" t="e">
        <f t="shared" si="134"/>
        <v>#REF!</v>
      </c>
      <c r="D669" s="1183" t="e">
        <f t="shared" si="134"/>
        <v>#REF!</v>
      </c>
      <c r="E669" s="1183" t="e">
        <f t="shared" si="134"/>
        <v>#REF!</v>
      </c>
      <c r="F669" s="1183" t="e">
        <f t="shared" si="133"/>
        <v>#REF!</v>
      </c>
      <c r="G669" s="1183" t="e">
        <f t="shared" si="133"/>
        <v>#REF!</v>
      </c>
      <c r="H669" s="1183" t="e">
        <f t="shared" si="134"/>
        <v>#REF!</v>
      </c>
      <c r="I669" s="1183" t="e">
        <f t="shared" si="134"/>
        <v>#REF!</v>
      </c>
      <c r="J669" s="1183" t="e">
        <f t="shared" si="134"/>
        <v>#REF!</v>
      </c>
    </row>
    <row r="670" spans="1:10">
      <c r="A670" s="861" t="s">
        <v>169</v>
      </c>
      <c r="B670" s="1183" t="e">
        <f t="shared" si="134"/>
        <v>#REF!</v>
      </c>
      <c r="C670" s="1183" t="e">
        <f t="shared" si="134"/>
        <v>#REF!</v>
      </c>
      <c r="D670" s="1183" t="e">
        <f t="shared" si="134"/>
        <v>#REF!</v>
      </c>
      <c r="E670" s="1183" t="e">
        <f t="shared" si="134"/>
        <v>#REF!</v>
      </c>
      <c r="F670" s="1183" t="e">
        <f t="shared" si="133"/>
        <v>#REF!</v>
      </c>
      <c r="G670" s="1183" t="e">
        <f t="shared" si="133"/>
        <v>#REF!</v>
      </c>
      <c r="H670" s="1183" t="e">
        <f t="shared" si="134"/>
        <v>#REF!</v>
      </c>
      <c r="I670" s="1183" t="e">
        <f t="shared" si="134"/>
        <v>#REF!</v>
      </c>
      <c r="J670" s="1183" t="e">
        <f t="shared" si="134"/>
        <v>#REF!</v>
      </c>
    </row>
    <row r="671" spans="1:10">
      <c r="A671" s="861" t="s">
        <v>170</v>
      </c>
      <c r="B671" s="1183" t="e">
        <f t="shared" si="134"/>
        <v>#REF!</v>
      </c>
      <c r="C671" s="1183" t="e">
        <f t="shared" si="134"/>
        <v>#REF!</v>
      </c>
      <c r="D671" s="1183" t="e">
        <f t="shared" si="134"/>
        <v>#REF!</v>
      </c>
      <c r="E671" s="1183" t="e">
        <f t="shared" si="134"/>
        <v>#REF!</v>
      </c>
      <c r="F671" s="1183" t="e">
        <f t="shared" si="133"/>
        <v>#REF!</v>
      </c>
      <c r="G671" s="1183" t="e">
        <f t="shared" si="133"/>
        <v>#REF!</v>
      </c>
      <c r="H671" s="1183" t="e">
        <f t="shared" si="134"/>
        <v>#REF!</v>
      </c>
      <c r="I671" s="1183" t="e">
        <f t="shared" si="134"/>
        <v>#REF!</v>
      </c>
      <c r="J671" s="1183" t="e">
        <f t="shared" si="134"/>
        <v>#REF!</v>
      </c>
    </row>
    <row r="672" spans="1:10">
      <c r="A672" s="861" t="s">
        <v>171</v>
      </c>
      <c r="B672" s="1183" t="e">
        <f t="shared" si="134"/>
        <v>#REF!</v>
      </c>
      <c r="C672" s="1183" t="e">
        <f t="shared" si="134"/>
        <v>#REF!</v>
      </c>
      <c r="D672" s="1183" t="e">
        <f t="shared" si="134"/>
        <v>#REF!</v>
      </c>
      <c r="E672" s="1183" t="e">
        <f t="shared" si="134"/>
        <v>#REF!</v>
      </c>
      <c r="F672" s="1183" t="e">
        <f t="shared" si="133"/>
        <v>#REF!</v>
      </c>
      <c r="G672" s="1183" t="e">
        <f t="shared" si="133"/>
        <v>#REF!</v>
      </c>
      <c r="H672" s="1183" t="e">
        <f t="shared" si="134"/>
        <v>#REF!</v>
      </c>
      <c r="I672" s="1183" t="e">
        <f t="shared" si="134"/>
        <v>#REF!</v>
      </c>
      <c r="J672" s="1183" t="e">
        <f t="shared" si="134"/>
        <v>#REF!</v>
      </c>
    </row>
    <row r="673" spans="1:10">
      <c r="A673" s="861" t="s">
        <v>148</v>
      </c>
      <c r="B673" s="1183" t="e">
        <f t="shared" si="134"/>
        <v>#REF!</v>
      </c>
      <c r="C673" s="1183" t="e">
        <f t="shared" si="134"/>
        <v>#REF!</v>
      </c>
      <c r="D673" s="1183" t="e">
        <f t="shared" si="134"/>
        <v>#REF!</v>
      </c>
      <c r="E673" s="1183" t="e">
        <f t="shared" si="134"/>
        <v>#REF!</v>
      </c>
      <c r="F673" s="1183" t="e">
        <f>-((F590-F577)/F577)*100</f>
        <v>#REF!</v>
      </c>
      <c r="G673" s="1183" t="e">
        <f t="shared" si="133"/>
        <v>#REF!</v>
      </c>
      <c r="H673" s="1183" t="e">
        <f t="shared" si="134"/>
        <v>#REF!</v>
      </c>
      <c r="I673" s="1183" t="e">
        <f t="shared" si="134"/>
        <v>#REF!</v>
      </c>
      <c r="J673" s="1183" t="e">
        <f t="shared" si="134"/>
        <v>#REF!</v>
      </c>
    </row>
    <row r="674" spans="1:10">
      <c r="A674" s="862">
        <v>2007</v>
      </c>
      <c r="B674" s="1183"/>
      <c r="C674" s="1183"/>
      <c r="D674" s="1183"/>
      <c r="E674" s="1183"/>
      <c r="F674" s="1183"/>
      <c r="G674" s="1183"/>
      <c r="H674" s="1183"/>
      <c r="I674" s="1183"/>
      <c r="J674" s="1183"/>
    </row>
    <row r="675" spans="1:10">
      <c r="A675" s="861" t="s">
        <v>941</v>
      </c>
      <c r="B675" s="1183" t="e">
        <f t="shared" ref="B675:J677" si="135">((B592-B579)/B579)*100</f>
        <v>#REF!</v>
      </c>
      <c r="C675" s="1183" t="e">
        <f t="shared" si="135"/>
        <v>#REF!</v>
      </c>
      <c r="D675" s="1183" t="e">
        <f t="shared" si="135"/>
        <v>#REF!</v>
      </c>
      <c r="E675" s="1183" t="e">
        <f t="shared" si="135"/>
        <v>#REF!</v>
      </c>
      <c r="F675" s="1183" t="e">
        <f t="shared" ref="F675:G686" si="136">-((F592-F579)/F579)*100</f>
        <v>#REF!</v>
      </c>
      <c r="G675" s="1183" t="e">
        <f t="shared" si="136"/>
        <v>#REF!</v>
      </c>
      <c r="H675" s="1183" t="e">
        <f t="shared" si="135"/>
        <v>#REF!</v>
      </c>
      <c r="I675" s="1183" t="e">
        <f t="shared" si="135"/>
        <v>#REF!</v>
      </c>
      <c r="J675" s="1183" t="e">
        <f t="shared" si="135"/>
        <v>#REF!</v>
      </c>
    </row>
    <row r="676" spans="1:10">
      <c r="A676" s="861" t="s">
        <v>157</v>
      </c>
      <c r="B676" s="1183" t="e">
        <f t="shared" si="135"/>
        <v>#REF!</v>
      </c>
      <c r="C676" s="1183" t="e">
        <f t="shared" si="135"/>
        <v>#REF!</v>
      </c>
      <c r="D676" s="1183" t="e">
        <f t="shared" si="135"/>
        <v>#REF!</v>
      </c>
      <c r="E676" s="1183" t="e">
        <f t="shared" si="135"/>
        <v>#REF!</v>
      </c>
      <c r="F676" s="1183" t="e">
        <f t="shared" si="136"/>
        <v>#REF!</v>
      </c>
      <c r="G676" s="1183" t="e">
        <f t="shared" si="136"/>
        <v>#REF!</v>
      </c>
      <c r="H676" s="1183" t="e">
        <f t="shared" si="135"/>
        <v>#REF!</v>
      </c>
      <c r="I676" s="1183" t="e">
        <f t="shared" si="135"/>
        <v>#REF!</v>
      </c>
      <c r="J676" s="1183" t="e">
        <f t="shared" si="135"/>
        <v>#REF!</v>
      </c>
    </row>
    <row r="677" spans="1:10">
      <c r="A677" s="861" t="s">
        <v>163</v>
      </c>
      <c r="B677" s="1183" t="e">
        <f>((B594-B581)/B581)*100</f>
        <v>#REF!</v>
      </c>
      <c r="C677" s="1183" t="e">
        <f t="shared" si="135"/>
        <v>#REF!</v>
      </c>
      <c r="D677" s="1183" t="e">
        <f t="shared" si="135"/>
        <v>#REF!</v>
      </c>
      <c r="E677" s="1183" t="e">
        <f t="shared" si="135"/>
        <v>#REF!</v>
      </c>
      <c r="F677" s="1183" t="e">
        <f t="shared" si="136"/>
        <v>#REF!</v>
      </c>
      <c r="G677" s="1183" t="e">
        <f t="shared" si="136"/>
        <v>#REF!</v>
      </c>
      <c r="H677" s="1183" t="e">
        <f t="shared" si="135"/>
        <v>#REF!</v>
      </c>
      <c r="I677" s="1183" t="e">
        <f t="shared" si="135"/>
        <v>#REF!</v>
      </c>
      <c r="J677" s="1183" t="e">
        <f t="shared" si="135"/>
        <v>#REF!</v>
      </c>
    </row>
    <row r="678" spans="1:10">
      <c r="A678" s="861" t="s">
        <v>164</v>
      </c>
      <c r="B678" s="1183" t="e">
        <f t="shared" ref="B678:J686" si="137">((B595-B582)/B582)*100</f>
        <v>#REF!</v>
      </c>
      <c r="C678" s="1183" t="e">
        <f t="shared" si="137"/>
        <v>#REF!</v>
      </c>
      <c r="D678" s="1183" t="e">
        <f t="shared" si="137"/>
        <v>#REF!</v>
      </c>
      <c r="E678" s="1183" t="e">
        <f t="shared" si="137"/>
        <v>#REF!</v>
      </c>
      <c r="F678" s="1183" t="e">
        <f t="shared" si="136"/>
        <v>#REF!</v>
      </c>
      <c r="G678" s="1183" t="e">
        <f t="shared" si="136"/>
        <v>#REF!</v>
      </c>
      <c r="H678" s="1183" t="e">
        <f t="shared" si="137"/>
        <v>#REF!</v>
      </c>
      <c r="I678" s="1183" t="e">
        <f t="shared" si="137"/>
        <v>#REF!</v>
      </c>
      <c r="J678" s="1183" t="e">
        <f t="shared" si="137"/>
        <v>#REF!</v>
      </c>
    </row>
    <row r="679" spans="1:10">
      <c r="A679" s="861" t="s">
        <v>165</v>
      </c>
      <c r="B679" s="1183" t="e">
        <f t="shared" si="137"/>
        <v>#REF!</v>
      </c>
      <c r="C679" s="1183" t="e">
        <f t="shared" si="137"/>
        <v>#REF!</v>
      </c>
      <c r="D679" s="1183" t="e">
        <f t="shared" si="137"/>
        <v>#REF!</v>
      </c>
      <c r="E679" s="1183" t="e">
        <f t="shared" si="137"/>
        <v>#REF!</v>
      </c>
      <c r="F679" s="1183" t="e">
        <f t="shared" si="136"/>
        <v>#REF!</v>
      </c>
      <c r="G679" s="1183" t="e">
        <f t="shared" si="136"/>
        <v>#REF!</v>
      </c>
      <c r="H679" s="1183" t="e">
        <f t="shared" si="137"/>
        <v>#REF!</v>
      </c>
      <c r="I679" s="1183" t="e">
        <f t="shared" si="137"/>
        <v>#REF!</v>
      </c>
      <c r="J679" s="1183" t="e">
        <f t="shared" si="137"/>
        <v>#REF!</v>
      </c>
    </row>
    <row r="680" spans="1:10">
      <c r="A680" s="861" t="s">
        <v>166</v>
      </c>
      <c r="B680" s="1183" t="e">
        <f t="shared" si="137"/>
        <v>#REF!</v>
      </c>
      <c r="C680" s="1183" t="e">
        <f t="shared" si="137"/>
        <v>#REF!</v>
      </c>
      <c r="D680" s="1183" t="e">
        <f t="shared" si="137"/>
        <v>#REF!</v>
      </c>
      <c r="E680" s="1183" t="e">
        <f t="shared" si="137"/>
        <v>#REF!</v>
      </c>
      <c r="F680" s="1183" t="e">
        <f t="shared" si="136"/>
        <v>#REF!</v>
      </c>
      <c r="G680" s="1183" t="e">
        <f t="shared" si="136"/>
        <v>#REF!</v>
      </c>
      <c r="H680" s="1183" t="e">
        <f t="shared" si="137"/>
        <v>#REF!</v>
      </c>
      <c r="I680" s="1183" t="e">
        <f t="shared" si="137"/>
        <v>#REF!</v>
      </c>
      <c r="J680" s="1183" t="e">
        <f t="shared" si="137"/>
        <v>#REF!</v>
      </c>
    </row>
    <row r="681" spans="1:10">
      <c r="A681" s="861" t="s">
        <v>167</v>
      </c>
      <c r="B681" s="1183" t="e">
        <f t="shared" si="137"/>
        <v>#REF!</v>
      </c>
      <c r="C681" s="1183" t="e">
        <f t="shared" si="137"/>
        <v>#REF!</v>
      </c>
      <c r="D681" s="1183" t="e">
        <f t="shared" si="137"/>
        <v>#REF!</v>
      </c>
      <c r="E681" s="1183" t="e">
        <f t="shared" si="137"/>
        <v>#REF!</v>
      </c>
      <c r="F681" s="1183" t="e">
        <f t="shared" si="136"/>
        <v>#REF!</v>
      </c>
      <c r="G681" s="1183" t="e">
        <f t="shared" si="136"/>
        <v>#REF!</v>
      </c>
      <c r="H681" s="1183" t="e">
        <f t="shared" si="137"/>
        <v>#REF!</v>
      </c>
      <c r="I681" s="1183" t="e">
        <f t="shared" si="137"/>
        <v>#REF!</v>
      </c>
      <c r="J681" s="1183" t="e">
        <f t="shared" si="137"/>
        <v>#REF!</v>
      </c>
    </row>
    <row r="682" spans="1:10">
      <c r="A682" s="861" t="s">
        <v>168</v>
      </c>
      <c r="B682" s="1183" t="e">
        <f t="shared" si="137"/>
        <v>#REF!</v>
      </c>
      <c r="C682" s="1183" t="e">
        <f t="shared" si="137"/>
        <v>#REF!</v>
      </c>
      <c r="D682" s="1183" t="e">
        <f t="shared" si="137"/>
        <v>#REF!</v>
      </c>
      <c r="E682" s="1183" t="e">
        <f t="shared" si="137"/>
        <v>#REF!</v>
      </c>
      <c r="F682" s="1183" t="e">
        <f t="shared" si="136"/>
        <v>#REF!</v>
      </c>
      <c r="G682" s="1183" t="e">
        <f t="shared" si="136"/>
        <v>#REF!</v>
      </c>
      <c r="H682" s="1183" t="e">
        <f t="shared" si="137"/>
        <v>#REF!</v>
      </c>
      <c r="I682" s="1183" t="e">
        <f t="shared" si="137"/>
        <v>#REF!</v>
      </c>
      <c r="J682" s="1183" t="e">
        <f t="shared" si="137"/>
        <v>#REF!</v>
      </c>
    </row>
    <row r="683" spans="1:10">
      <c r="A683" s="861" t="s">
        <v>169</v>
      </c>
      <c r="B683" s="1183" t="e">
        <f t="shared" si="137"/>
        <v>#REF!</v>
      </c>
      <c r="C683" s="1183" t="e">
        <f t="shared" si="137"/>
        <v>#REF!</v>
      </c>
      <c r="D683" s="1183" t="e">
        <f t="shared" si="137"/>
        <v>#REF!</v>
      </c>
      <c r="E683" s="1183" t="e">
        <f t="shared" si="137"/>
        <v>#REF!</v>
      </c>
      <c r="F683" s="1183" t="e">
        <f t="shared" si="136"/>
        <v>#REF!</v>
      </c>
      <c r="G683" s="1183" t="e">
        <f t="shared" si="136"/>
        <v>#REF!</v>
      </c>
      <c r="H683" s="1183" t="e">
        <f t="shared" si="137"/>
        <v>#REF!</v>
      </c>
      <c r="I683" s="1183" t="e">
        <f t="shared" si="137"/>
        <v>#REF!</v>
      </c>
      <c r="J683" s="1183" t="e">
        <f t="shared" si="137"/>
        <v>#REF!</v>
      </c>
    </row>
    <row r="684" spans="1:10">
      <c r="A684" s="1398" t="s">
        <v>170</v>
      </c>
      <c r="B684" s="1183" t="e">
        <f t="shared" si="137"/>
        <v>#REF!</v>
      </c>
      <c r="C684" s="1183" t="e">
        <f t="shared" si="137"/>
        <v>#REF!</v>
      </c>
      <c r="D684" s="1183" t="e">
        <f t="shared" si="137"/>
        <v>#REF!</v>
      </c>
      <c r="E684" s="1183" t="e">
        <f t="shared" si="137"/>
        <v>#REF!</v>
      </c>
      <c r="F684" s="1183" t="e">
        <f t="shared" si="136"/>
        <v>#REF!</v>
      </c>
      <c r="G684" s="1183" t="e">
        <f t="shared" si="136"/>
        <v>#REF!</v>
      </c>
      <c r="H684" s="1183" t="e">
        <f t="shared" si="137"/>
        <v>#REF!</v>
      </c>
      <c r="I684" s="1183" t="e">
        <f t="shared" si="137"/>
        <v>#REF!</v>
      </c>
      <c r="J684" s="1183" t="e">
        <f t="shared" si="137"/>
        <v>#REF!</v>
      </c>
    </row>
    <row r="685" spans="1:10">
      <c r="A685" s="861" t="s">
        <v>171</v>
      </c>
      <c r="B685" s="1183" t="e">
        <f t="shared" si="137"/>
        <v>#REF!</v>
      </c>
      <c r="C685" s="1183" t="e">
        <f t="shared" si="137"/>
        <v>#REF!</v>
      </c>
      <c r="D685" s="1183" t="e">
        <f t="shared" si="137"/>
        <v>#REF!</v>
      </c>
      <c r="E685" s="1183" t="e">
        <f t="shared" si="137"/>
        <v>#REF!</v>
      </c>
      <c r="F685" s="1183" t="e">
        <f t="shared" si="136"/>
        <v>#REF!</v>
      </c>
      <c r="G685" s="1183" t="e">
        <f t="shared" si="136"/>
        <v>#REF!</v>
      </c>
      <c r="H685" s="1183" t="e">
        <f t="shared" si="137"/>
        <v>#REF!</v>
      </c>
      <c r="I685" s="1183" t="e">
        <f t="shared" si="137"/>
        <v>#REF!</v>
      </c>
      <c r="J685" s="1183" t="e">
        <f t="shared" si="137"/>
        <v>#REF!</v>
      </c>
    </row>
    <row r="686" spans="1:10">
      <c r="A686" s="861" t="s">
        <v>148</v>
      </c>
      <c r="B686" s="662" t="e">
        <f t="shared" si="137"/>
        <v>#REF!</v>
      </c>
      <c r="C686" s="1183" t="e">
        <f t="shared" si="137"/>
        <v>#REF!</v>
      </c>
      <c r="D686" s="1183" t="e">
        <f t="shared" si="137"/>
        <v>#REF!</v>
      </c>
      <c r="E686" s="1183" t="e">
        <f t="shared" si="137"/>
        <v>#REF!</v>
      </c>
      <c r="F686" s="1183" t="e">
        <f t="shared" si="136"/>
        <v>#REF!</v>
      </c>
      <c r="G686" s="1183" t="e">
        <f t="shared" si="136"/>
        <v>#REF!</v>
      </c>
      <c r="H686" s="1183" t="e">
        <f t="shared" si="137"/>
        <v>#REF!</v>
      </c>
      <c r="I686" s="1183" t="e">
        <f t="shared" si="137"/>
        <v>#REF!</v>
      </c>
      <c r="J686" s="1183" t="e">
        <f t="shared" si="137"/>
        <v>#REF!</v>
      </c>
    </row>
    <row r="687" spans="1:10">
      <c r="A687" s="862">
        <v>2008</v>
      </c>
      <c r="B687" s="662"/>
      <c r="C687" s="1183"/>
      <c r="D687" s="1183"/>
      <c r="E687" s="1183"/>
      <c r="F687" s="1183"/>
      <c r="G687" s="1183"/>
      <c r="H687" s="1183"/>
      <c r="I687" s="1183"/>
      <c r="J687" s="1183"/>
    </row>
    <row r="688" spans="1:10">
      <c r="A688" s="1328" t="s">
        <v>161</v>
      </c>
      <c r="B688" s="1327" t="e">
        <f>((B605-B592)/B592)*100</f>
        <v>#REF!</v>
      </c>
      <c r="C688" s="1396" t="e">
        <f>((C605-C592)/C592)*100</f>
        <v>#REF!</v>
      </c>
      <c r="D688" s="1396" t="e">
        <f>((D605-D592)/D592)*100</f>
        <v>#REF!</v>
      </c>
      <c r="E688" s="1396" t="e">
        <f>((E605-E592)/E592)*100</f>
        <v>#REF!</v>
      </c>
      <c r="F688" s="1396" t="e">
        <f>-((F605-F592)/F592)*100</f>
        <v>#REF!</v>
      </c>
      <c r="G688" s="1396" t="e">
        <f>-((G605-G592)/G592)*100</f>
        <v>#REF!</v>
      </c>
      <c r="H688" s="1396" t="e">
        <f>((H605-H592)/H592)*100</f>
        <v>#REF!</v>
      </c>
      <c r="I688" s="1396" t="e">
        <f>((I605-I592)/I592)*100</f>
        <v>#REF!</v>
      </c>
      <c r="J688" s="1396" t="e">
        <f>((J605-J592)/J592)*100</f>
        <v>#REF!</v>
      </c>
    </row>
    <row r="689" spans="1:10">
      <c r="A689" s="4524" t="s">
        <v>747</v>
      </c>
      <c r="B689" s="4524"/>
      <c r="C689" s="4524"/>
      <c r="D689" s="4524"/>
      <c r="E689" s="4524"/>
      <c r="F689" s="4524"/>
      <c r="G689" s="4524"/>
      <c r="H689" s="4524"/>
      <c r="I689" s="4524"/>
      <c r="J689" s="4524"/>
    </row>
    <row r="690" spans="1:10">
      <c r="A690" s="4528" t="s">
        <v>603</v>
      </c>
      <c r="B690" s="4528"/>
      <c r="C690" s="4528"/>
      <c r="D690" s="4528"/>
      <c r="E690" s="4528"/>
      <c r="F690" s="4528"/>
      <c r="G690" s="4528"/>
      <c r="H690" s="4528"/>
      <c r="I690" s="4528"/>
      <c r="J690" s="4528"/>
    </row>
    <row r="691" spans="1:10" ht="38.25">
      <c r="A691" s="4526" t="s">
        <v>227</v>
      </c>
      <c r="B691" s="682" t="s">
        <v>61</v>
      </c>
      <c r="C691" s="219"/>
      <c r="D691" s="219"/>
      <c r="E691" s="219"/>
      <c r="F691" s="676" t="s">
        <v>18</v>
      </c>
      <c r="G691" s="219"/>
      <c r="H691" s="106"/>
      <c r="I691" s="683"/>
      <c r="J691" s="693" t="s">
        <v>19</v>
      </c>
    </row>
    <row r="692" spans="1:10">
      <c r="A692" s="4527"/>
      <c r="B692" s="684" t="s">
        <v>221</v>
      </c>
      <c r="C692" s="685" t="s">
        <v>64</v>
      </c>
      <c r="D692" s="678" t="s">
        <v>65</v>
      </c>
      <c r="E692" s="703" t="s">
        <v>405</v>
      </c>
      <c r="F692" s="684" t="s">
        <v>221</v>
      </c>
      <c r="G692" s="685" t="s">
        <v>64</v>
      </c>
      <c r="H692" s="678" t="s">
        <v>65</v>
      </c>
      <c r="I692" s="703" t="s">
        <v>405</v>
      </c>
      <c r="J692" s="694" t="s">
        <v>220</v>
      </c>
    </row>
    <row r="693" spans="1:10">
      <c r="A693" s="677"/>
      <c r="B693" s="688">
        <v>21</v>
      </c>
      <c r="C693" s="686">
        <v>22</v>
      </c>
      <c r="D693" s="686">
        <v>23</v>
      </c>
      <c r="E693" s="702">
        <v>24</v>
      </c>
      <c r="F693" s="678" t="s">
        <v>70</v>
      </c>
      <c r="G693" s="678" t="s">
        <v>71</v>
      </c>
      <c r="H693" s="678" t="s">
        <v>72</v>
      </c>
      <c r="I693" s="679" t="s">
        <v>73</v>
      </c>
      <c r="J693" s="689" t="s">
        <v>74</v>
      </c>
    </row>
    <row r="694" spans="1:10">
      <c r="A694" s="1190" t="s">
        <v>645</v>
      </c>
      <c r="B694" s="1278" t="e">
        <f>I7-I6</f>
        <v>#REF!</v>
      </c>
      <c r="C694" s="1278" t="e">
        <f>J7-J6</f>
        <v>#REF!</v>
      </c>
      <c r="D694" s="1278" t="e">
        <f>K7-K6</f>
        <v>#REF!</v>
      </c>
      <c r="E694" s="1278" t="e">
        <f>L7-L6</f>
        <v>#REF!</v>
      </c>
      <c r="F694" s="714" t="e">
        <f t="shared" ref="F694:H695" si="138">B694/B6*100</f>
        <v>#REF!</v>
      </c>
      <c r="G694" s="714" t="e">
        <f t="shared" si="138"/>
        <v>#REF!</v>
      </c>
      <c r="H694" s="714" t="e">
        <f t="shared" si="138"/>
        <v>#REF!</v>
      </c>
      <c r="I694" s="714" t="e">
        <f t="shared" ref="I694:I707" si="139">E694/B6*100</f>
        <v>#REF!</v>
      </c>
      <c r="J694" s="718" t="e">
        <f>I694+F694</f>
        <v>#REF!</v>
      </c>
    </row>
    <row r="695" spans="1:10">
      <c r="A695" s="717" t="s">
        <v>646</v>
      </c>
      <c r="B695" s="1278" t="e">
        <f>I13-I7</f>
        <v>#REF!</v>
      </c>
      <c r="C695" s="1278" t="e">
        <f>J13-J7</f>
        <v>#REF!</v>
      </c>
      <c r="D695" s="1278" t="e">
        <f>K13-K7</f>
        <v>#REF!</v>
      </c>
      <c r="E695" s="1278" t="e">
        <f>L13-L7</f>
        <v>#REF!</v>
      </c>
      <c r="F695" s="714" t="e">
        <f t="shared" si="138"/>
        <v>#REF!</v>
      </c>
      <c r="G695" s="714" t="e">
        <f t="shared" si="138"/>
        <v>#REF!</v>
      </c>
      <c r="H695" s="714" t="e">
        <f t="shared" si="138"/>
        <v>#REF!</v>
      </c>
      <c r="I695" s="714" t="e">
        <f t="shared" si="139"/>
        <v>#REF!</v>
      </c>
      <c r="J695" s="718" t="e">
        <f>I695+F695</f>
        <v>#REF!</v>
      </c>
    </row>
    <row r="696" spans="1:10">
      <c r="A696" s="709" t="s">
        <v>1240</v>
      </c>
      <c r="B696" s="714" t="e">
        <f>I21-I8</f>
        <v>#REF!</v>
      </c>
      <c r="C696" s="714" t="e">
        <f>J21-J8</f>
        <v>#REF!</v>
      </c>
      <c r="D696" s="714" t="e">
        <f>K21-K8</f>
        <v>#REF!</v>
      </c>
      <c r="E696" s="714" t="e">
        <f>L21-L8</f>
        <v>#REF!</v>
      </c>
      <c r="F696" s="714" t="e">
        <f t="shared" ref="F696:F707" si="140">B696/B8*100</f>
        <v>#REF!</v>
      </c>
      <c r="G696" s="714" t="e">
        <f t="shared" ref="G696:G707" si="141">C696/B8*100</f>
        <v>#REF!</v>
      </c>
      <c r="H696" s="714" t="e">
        <f t="shared" ref="H696:H707" si="142">D696/B8*100</f>
        <v>#REF!</v>
      </c>
      <c r="I696" s="714" t="e">
        <f t="shared" si="139"/>
        <v>#REF!</v>
      </c>
      <c r="J696" s="718" t="e">
        <f>I696+F696</f>
        <v>#REF!</v>
      </c>
    </row>
    <row r="697" spans="1:10">
      <c r="A697" s="709" t="s">
        <v>162</v>
      </c>
      <c r="B697" s="714" t="e">
        <f t="shared" ref="B697:B720" si="143">I22-I9</f>
        <v>#REF!</v>
      </c>
      <c r="C697" s="714" t="e">
        <f t="shared" ref="C697:C720" si="144">J22-J9</f>
        <v>#REF!</v>
      </c>
      <c r="D697" s="714" t="e">
        <f t="shared" ref="D697:D720" si="145">K22-K9</f>
        <v>#REF!</v>
      </c>
      <c r="E697" s="714" t="e">
        <f t="shared" ref="E697:E720" si="146">L22-L9</f>
        <v>#REF!</v>
      </c>
      <c r="F697" s="714" t="e">
        <f t="shared" si="140"/>
        <v>#REF!</v>
      </c>
      <c r="G697" s="714" t="e">
        <f t="shared" si="141"/>
        <v>#REF!</v>
      </c>
      <c r="H697" s="714" t="e">
        <f t="shared" si="142"/>
        <v>#REF!</v>
      </c>
      <c r="I697" s="714" t="e">
        <f t="shared" si="139"/>
        <v>#REF!</v>
      </c>
      <c r="J697" s="718" t="e">
        <f t="shared" ref="J697:J726" si="147">I697+F697</f>
        <v>#REF!</v>
      </c>
    </row>
    <row r="698" spans="1:10">
      <c r="A698" s="709" t="s">
        <v>163</v>
      </c>
      <c r="B698" s="714" t="e">
        <f t="shared" si="143"/>
        <v>#REF!</v>
      </c>
      <c r="C698" s="714" t="e">
        <f t="shared" si="144"/>
        <v>#REF!</v>
      </c>
      <c r="D698" s="714" t="e">
        <f t="shared" si="145"/>
        <v>#REF!</v>
      </c>
      <c r="E698" s="714" t="e">
        <f t="shared" si="146"/>
        <v>#REF!</v>
      </c>
      <c r="F698" s="714" t="e">
        <f t="shared" si="140"/>
        <v>#REF!</v>
      </c>
      <c r="G698" s="714" t="e">
        <f t="shared" si="141"/>
        <v>#REF!</v>
      </c>
      <c r="H698" s="714" t="e">
        <f t="shared" si="142"/>
        <v>#REF!</v>
      </c>
      <c r="I698" s="714" t="e">
        <f t="shared" si="139"/>
        <v>#REF!</v>
      </c>
      <c r="J698" s="718" t="e">
        <f t="shared" si="147"/>
        <v>#REF!</v>
      </c>
    </row>
    <row r="699" spans="1:10">
      <c r="A699" s="709" t="s">
        <v>164</v>
      </c>
      <c r="B699" s="714" t="e">
        <f t="shared" si="143"/>
        <v>#REF!</v>
      </c>
      <c r="C699" s="714" t="e">
        <f t="shared" si="144"/>
        <v>#REF!</v>
      </c>
      <c r="D699" s="714" t="e">
        <f t="shared" si="145"/>
        <v>#REF!</v>
      </c>
      <c r="E699" s="714" t="e">
        <f t="shared" si="146"/>
        <v>#REF!</v>
      </c>
      <c r="F699" s="714" t="e">
        <f t="shared" si="140"/>
        <v>#REF!</v>
      </c>
      <c r="G699" s="714" t="e">
        <f t="shared" si="141"/>
        <v>#REF!</v>
      </c>
      <c r="H699" s="714" t="e">
        <f t="shared" si="142"/>
        <v>#REF!</v>
      </c>
      <c r="I699" s="714" t="e">
        <f t="shared" si="139"/>
        <v>#REF!</v>
      </c>
      <c r="J699" s="718" t="e">
        <f t="shared" si="147"/>
        <v>#REF!</v>
      </c>
    </row>
    <row r="700" spans="1:10">
      <c r="A700" s="709" t="s">
        <v>165</v>
      </c>
      <c r="B700" s="714" t="e">
        <f t="shared" si="143"/>
        <v>#REF!</v>
      </c>
      <c r="C700" s="714" t="e">
        <f t="shared" si="144"/>
        <v>#REF!</v>
      </c>
      <c r="D700" s="714" t="e">
        <f t="shared" si="145"/>
        <v>#REF!</v>
      </c>
      <c r="E700" s="714" t="e">
        <f t="shared" si="146"/>
        <v>#REF!</v>
      </c>
      <c r="F700" s="714" t="e">
        <f t="shared" si="140"/>
        <v>#REF!</v>
      </c>
      <c r="G700" s="714" t="e">
        <f t="shared" si="141"/>
        <v>#REF!</v>
      </c>
      <c r="H700" s="714" t="e">
        <f t="shared" si="142"/>
        <v>#REF!</v>
      </c>
      <c r="I700" s="714" t="e">
        <f t="shared" si="139"/>
        <v>#REF!</v>
      </c>
      <c r="J700" s="718" t="e">
        <f t="shared" si="147"/>
        <v>#REF!</v>
      </c>
    </row>
    <row r="701" spans="1:10">
      <c r="A701" s="709" t="s">
        <v>640</v>
      </c>
      <c r="B701" s="714" t="e">
        <f t="shared" si="143"/>
        <v>#REF!</v>
      </c>
      <c r="C701" s="714" t="e">
        <f t="shared" si="144"/>
        <v>#REF!</v>
      </c>
      <c r="D701" s="714" t="e">
        <f t="shared" si="145"/>
        <v>#REF!</v>
      </c>
      <c r="E701" s="714" t="e">
        <f t="shared" si="146"/>
        <v>#REF!</v>
      </c>
      <c r="F701" s="714" t="e">
        <f t="shared" si="140"/>
        <v>#REF!</v>
      </c>
      <c r="G701" s="714" t="e">
        <f t="shared" si="141"/>
        <v>#REF!</v>
      </c>
      <c r="H701" s="714" t="e">
        <f t="shared" si="142"/>
        <v>#REF!</v>
      </c>
      <c r="I701" s="714" t="e">
        <f t="shared" si="139"/>
        <v>#REF!</v>
      </c>
      <c r="J701" s="718" t="e">
        <f t="shared" si="147"/>
        <v>#REF!</v>
      </c>
    </row>
    <row r="702" spans="1:10">
      <c r="A702" s="709" t="s">
        <v>167</v>
      </c>
      <c r="B702" s="714" t="e">
        <f t="shared" si="143"/>
        <v>#REF!</v>
      </c>
      <c r="C702" s="714" t="e">
        <f t="shared" si="144"/>
        <v>#REF!</v>
      </c>
      <c r="D702" s="714" t="e">
        <f t="shared" si="145"/>
        <v>#REF!</v>
      </c>
      <c r="E702" s="714" t="e">
        <f t="shared" si="146"/>
        <v>#REF!</v>
      </c>
      <c r="F702" s="714" t="e">
        <f t="shared" si="140"/>
        <v>#REF!</v>
      </c>
      <c r="G702" s="714" t="e">
        <f t="shared" si="141"/>
        <v>#REF!</v>
      </c>
      <c r="H702" s="714" t="e">
        <f t="shared" si="142"/>
        <v>#REF!</v>
      </c>
      <c r="I702" s="714" t="e">
        <f t="shared" si="139"/>
        <v>#REF!</v>
      </c>
      <c r="J702" s="718" t="e">
        <f t="shared" si="147"/>
        <v>#REF!</v>
      </c>
    </row>
    <row r="703" spans="1:10">
      <c r="A703" s="713" t="s">
        <v>168</v>
      </c>
      <c r="B703" s="714" t="e">
        <f t="shared" si="143"/>
        <v>#REF!</v>
      </c>
      <c r="C703" s="714" t="e">
        <f t="shared" si="144"/>
        <v>#REF!</v>
      </c>
      <c r="D703" s="714" t="e">
        <f t="shared" si="145"/>
        <v>#REF!</v>
      </c>
      <c r="E703" s="714" t="e">
        <f t="shared" si="146"/>
        <v>#REF!</v>
      </c>
      <c r="F703" s="714" t="e">
        <f t="shared" si="140"/>
        <v>#REF!</v>
      </c>
      <c r="G703" s="714" t="e">
        <f t="shared" si="141"/>
        <v>#REF!</v>
      </c>
      <c r="H703" s="714" t="e">
        <f t="shared" si="142"/>
        <v>#REF!</v>
      </c>
      <c r="I703" s="714" t="e">
        <f t="shared" si="139"/>
        <v>#REF!</v>
      </c>
      <c r="J703" s="718" t="e">
        <f t="shared" si="147"/>
        <v>#REF!</v>
      </c>
    </row>
    <row r="704" spans="1:10">
      <c r="A704" s="713" t="s">
        <v>169</v>
      </c>
      <c r="B704" s="714" t="e">
        <f t="shared" si="143"/>
        <v>#REF!</v>
      </c>
      <c r="C704" s="714" t="e">
        <f t="shared" si="144"/>
        <v>#REF!</v>
      </c>
      <c r="D704" s="714" t="e">
        <f t="shared" si="145"/>
        <v>#REF!</v>
      </c>
      <c r="E704" s="714" t="e">
        <f t="shared" si="146"/>
        <v>#REF!</v>
      </c>
      <c r="F704" s="714" t="e">
        <f t="shared" si="140"/>
        <v>#REF!</v>
      </c>
      <c r="G704" s="714" t="e">
        <f t="shared" si="141"/>
        <v>#REF!</v>
      </c>
      <c r="H704" s="714" t="e">
        <f t="shared" si="142"/>
        <v>#REF!</v>
      </c>
      <c r="I704" s="714" t="e">
        <f t="shared" si="139"/>
        <v>#REF!</v>
      </c>
      <c r="J704" s="718" t="e">
        <f t="shared" si="147"/>
        <v>#REF!</v>
      </c>
    </row>
    <row r="705" spans="1:10">
      <c r="A705" s="713" t="s">
        <v>170</v>
      </c>
      <c r="B705" s="714" t="e">
        <f t="shared" si="143"/>
        <v>#REF!</v>
      </c>
      <c r="C705" s="714" t="e">
        <f t="shared" si="144"/>
        <v>#REF!</v>
      </c>
      <c r="D705" s="714" t="e">
        <f t="shared" si="145"/>
        <v>#REF!</v>
      </c>
      <c r="E705" s="714" t="e">
        <f t="shared" si="146"/>
        <v>#REF!</v>
      </c>
      <c r="F705" s="714" t="e">
        <f t="shared" si="140"/>
        <v>#REF!</v>
      </c>
      <c r="G705" s="714" t="e">
        <f t="shared" si="141"/>
        <v>#REF!</v>
      </c>
      <c r="H705" s="714" t="e">
        <f t="shared" si="142"/>
        <v>#REF!</v>
      </c>
      <c r="I705" s="714" t="e">
        <f t="shared" si="139"/>
        <v>#REF!</v>
      </c>
      <c r="J705" s="718" t="e">
        <f t="shared" si="147"/>
        <v>#REF!</v>
      </c>
    </row>
    <row r="706" spans="1:10">
      <c r="A706" s="715" t="s">
        <v>171</v>
      </c>
      <c r="B706" s="714" t="e">
        <f t="shared" si="143"/>
        <v>#REF!</v>
      </c>
      <c r="C706" s="714" t="e">
        <f t="shared" si="144"/>
        <v>#REF!</v>
      </c>
      <c r="D706" s="714" t="e">
        <f t="shared" si="145"/>
        <v>#REF!</v>
      </c>
      <c r="E706" s="714" t="e">
        <f t="shared" si="146"/>
        <v>#REF!</v>
      </c>
      <c r="F706" s="714" t="e">
        <f t="shared" si="140"/>
        <v>#REF!</v>
      </c>
      <c r="G706" s="714" t="e">
        <f t="shared" si="141"/>
        <v>#REF!</v>
      </c>
      <c r="H706" s="714" t="e">
        <f t="shared" si="142"/>
        <v>#REF!</v>
      </c>
      <c r="I706" s="714" t="e">
        <f t="shared" si="139"/>
        <v>#REF!</v>
      </c>
      <c r="J706" s="718" t="e">
        <f t="shared" si="147"/>
        <v>#REF!</v>
      </c>
    </row>
    <row r="707" spans="1:10">
      <c r="A707" s="716" t="s">
        <v>148</v>
      </c>
      <c r="B707" s="714" t="e">
        <f t="shared" si="143"/>
        <v>#REF!</v>
      </c>
      <c r="C707" s="714" t="e">
        <f t="shared" si="144"/>
        <v>#REF!</v>
      </c>
      <c r="D707" s="714" t="e">
        <f t="shared" si="145"/>
        <v>#REF!</v>
      </c>
      <c r="E707" s="714" t="e">
        <f t="shared" si="146"/>
        <v>#REF!</v>
      </c>
      <c r="F707" s="714" t="e">
        <f t="shared" si="140"/>
        <v>#REF!</v>
      </c>
      <c r="G707" s="714" t="e">
        <f t="shared" si="141"/>
        <v>#REF!</v>
      </c>
      <c r="H707" s="714" t="e">
        <f t="shared" si="142"/>
        <v>#REF!</v>
      </c>
      <c r="I707" s="714" t="e">
        <f t="shared" si="139"/>
        <v>#REF!</v>
      </c>
      <c r="J707" s="718" t="e">
        <f t="shared" si="147"/>
        <v>#REF!</v>
      </c>
    </row>
    <row r="708" spans="1:10">
      <c r="A708" s="112">
        <v>2005</v>
      </c>
      <c r="B708" s="699"/>
      <c r="C708" s="699"/>
      <c r="D708" s="699"/>
      <c r="E708" s="699"/>
      <c r="F708" s="699"/>
      <c r="G708" s="699"/>
      <c r="H708" s="699"/>
      <c r="I708" s="699"/>
      <c r="J708" s="708"/>
    </row>
    <row r="709" spans="1:10">
      <c r="A709" s="112" t="s">
        <v>75</v>
      </c>
      <c r="B709" s="699" t="e">
        <f t="shared" si="143"/>
        <v>#REF!</v>
      </c>
      <c r="C709" s="699" t="e">
        <f t="shared" si="144"/>
        <v>#REF!</v>
      </c>
      <c r="D709" s="699" t="e">
        <f t="shared" si="145"/>
        <v>#REF!</v>
      </c>
      <c r="E709" s="699" t="e">
        <f t="shared" si="146"/>
        <v>#REF!</v>
      </c>
      <c r="F709" s="699" t="e">
        <f t="shared" ref="F709:F720" si="148">B709/B21*100</f>
        <v>#REF!</v>
      </c>
      <c r="G709" s="699" t="e">
        <f t="shared" ref="G709:G720" si="149">C709/B21*100</f>
        <v>#REF!</v>
      </c>
      <c r="H709" s="699" t="e">
        <f t="shared" ref="H709:H720" si="150">D709/B21*100</f>
        <v>#REF!</v>
      </c>
      <c r="I709" s="699" t="e">
        <f t="shared" ref="I709:I720" si="151">E709/B21*100</f>
        <v>#REF!</v>
      </c>
      <c r="J709" s="708" t="e">
        <f t="shared" si="147"/>
        <v>#REF!</v>
      </c>
    </row>
    <row r="710" spans="1:10">
      <c r="A710" s="111" t="s">
        <v>162</v>
      </c>
      <c r="B710" s="699" t="e">
        <f t="shared" si="143"/>
        <v>#REF!</v>
      </c>
      <c r="C710" s="699" t="e">
        <f t="shared" si="144"/>
        <v>#REF!</v>
      </c>
      <c r="D710" s="699" t="e">
        <f t="shared" si="145"/>
        <v>#REF!</v>
      </c>
      <c r="E710" s="699" t="e">
        <f t="shared" si="146"/>
        <v>#REF!</v>
      </c>
      <c r="F710" s="699" t="e">
        <f t="shared" si="148"/>
        <v>#REF!</v>
      </c>
      <c r="G710" s="699" t="e">
        <f t="shared" si="149"/>
        <v>#REF!</v>
      </c>
      <c r="H710" s="699" t="e">
        <f t="shared" si="150"/>
        <v>#REF!</v>
      </c>
      <c r="I710" s="699" t="e">
        <f t="shared" si="151"/>
        <v>#REF!</v>
      </c>
      <c r="J710" s="708" t="e">
        <f t="shared" si="147"/>
        <v>#REF!</v>
      </c>
    </row>
    <row r="711" spans="1:10">
      <c r="A711" s="111" t="s">
        <v>163</v>
      </c>
      <c r="B711" s="699" t="e">
        <f>I36-I23</f>
        <v>#REF!</v>
      </c>
      <c r="C711" s="699" t="e">
        <f t="shared" si="144"/>
        <v>#REF!</v>
      </c>
      <c r="D711" s="699" t="e">
        <f t="shared" si="145"/>
        <v>#REF!</v>
      </c>
      <c r="E711" s="699" t="e">
        <f t="shared" si="146"/>
        <v>#REF!</v>
      </c>
      <c r="F711" s="699" t="e">
        <f t="shared" si="148"/>
        <v>#REF!</v>
      </c>
      <c r="G711" s="699" t="e">
        <f t="shared" si="149"/>
        <v>#REF!</v>
      </c>
      <c r="H711" s="699" t="e">
        <f t="shared" si="150"/>
        <v>#REF!</v>
      </c>
      <c r="I711" s="699" t="e">
        <f t="shared" si="151"/>
        <v>#REF!</v>
      </c>
      <c r="J711" s="708" t="e">
        <f t="shared" si="147"/>
        <v>#REF!</v>
      </c>
    </row>
    <row r="712" spans="1:10">
      <c r="A712" s="111" t="s">
        <v>164</v>
      </c>
      <c r="B712" s="699" t="e">
        <f>I37-I24</f>
        <v>#REF!</v>
      </c>
      <c r="C712" s="699" t="e">
        <f t="shared" si="144"/>
        <v>#REF!</v>
      </c>
      <c r="D712" s="699" t="e">
        <f t="shared" si="145"/>
        <v>#REF!</v>
      </c>
      <c r="E712" s="699" t="e">
        <f t="shared" si="146"/>
        <v>#REF!</v>
      </c>
      <c r="F712" s="699" t="e">
        <f t="shared" si="148"/>
        <v>#REF!</v>
      </c>
      <c r="G712" s="699" t="e">
        <f t="shared" si="149"/>
        <v>#REF!</v>
      </c>
      <c r="H712" s="699" t="e">
        <f t="shared" si="150"/>
        <v>#REF!</v>
      </c>
      <c r="I712" s="699" t="e">
        <f t="shared" si="151"/>
        <v>#REF!</v>
      </c>
      <c r="J712" s="708" t="e">
        <f t="shared" si="147"/>
        <v>#REF!</v>
      </c>
    </row>
    <row r="713" spans="1:10">
      <c r="A713" s="111" t="s">
        <v>165</v>
      </c>
      <c r="B713" s="699" t="e">
        <f>I38-I25</f>
        <v>#REF!</v>
      </c>
      <c r="C713" s="699" t="e">
        <f t="shared" si="144"/>
        <v>#REF!</v>
      </c>
      <c r="D713" s="699" t="e">
        <f t="shared" si="145"/>
        <v>#REF!</v>
      </c>
      <c r="E713" s="699" t="e">
        <f t="shared" si="146"/>
        <v>#REF!</v>
      </c>
      <c r="F713" s="699" t="e">
        <f t="shared" si="148"/>
        <v>#REF!</v>
      </c>
      <c r="G713" s="699" t="e">
        <f t="shared" si="149"/>
        <v>#REF!</v>
      </c>
      <c r="H713" s="699" t="e">
        <f t="shared" si="150"/>
        <v>#REF!</v>
      </c>
      <c r="I713" s="699" t="e">
        <f t="shared" si="151"/>
        <v>#REF!</v>
      </c>
      <c r="J713" s="708" t="e">
        <f t="shared" si="147"/>
        <v>#REF!</v>
      </c>
    </row>
    <row r="714" spans="1:10">
      <c r="A714" s="1190" t="s">
        <v>641</v>
      </c>
      <c r="B714" s="699" t="e">
        <f t="shared" si="143"/>
        <v>#REF!</v>
      </c>
      <c r="C714" s="699" t="e">
        <f t="shared" si="144"/>
        <v>#REF!</v>
      </c>
      <c r="D714" s="699" t="e">
        <f t="shared" si="145"/>
        <v>#REF!</v>
      </c>
      <c r="E714" s="699" t="e">
        <f t="shared" si="146"/>
        <v>#REF!</v>
      </c>
      <c r="F714" s="699" t="e">
        <f t="shared" si="148"/>
        <v>#REF!</v>
      </c>
      <c r="G714" s="699" t="e">
        <f t="shared" si="149"/>
        <v>#REF!</v>
      </c>
      <c r="H714" s="699" t="e">
        <f t="shared" si="150"/>
        <v>#REF!</v>
      </c>
      <c r="I714" s="699" t="e">
        <f t="shared" si="151"/>
        <v>#REF!</v>
      </c>
      <c r="J714" s="708" t="e">
        <f t="shared" si="147"/>
        <v>#REF!</v>
      </c>
    </row>
    <row r="715" spans="1:10">
      <c r="A715" s="1190" t="s">
        <v>167</v>
      </c>
      <c r="B715" s="699" t="e">
        <f t="shared" si="143"/>
        <v>#REF!</v>
      </c>
      <c r="C715" s="699" t="e">
        <f t="shared" si="144"/>
        <v>#REF!</v>
      </c>
      <c r="D715" s="699" t="e">
        <f t="shared" si="145"/>
        <v>#REF!</v>
      </c>
      <c r="E715" s="699" t="e">
        <f t="shared" si="146"/>
        <v>#REF!</v>
      </c>
      <c r="F715" s="699" t="e">
        <f t="shared" si="148"/>
        <v>#REF!</v>
      </c>
      <c r="G715" s="699" t="e">
        <f t="shared" si="149"/>
        <v>#REF!</v>
      </c>
      <c r="H715" s="699" t="e">
        <f t="shared" si="150"/>
        <v>#REF!</v>
      </c>
      <c r="I715" s="699" t="e">
        <f t="shared" si="151"/>
        <v>#REF!</v>
      </c>
      <c r="J715" s="708" t="e">
        <f t="shared" si="147"/>
        <v>#REF!</v>
      </c>
    </row>
    <row r="716" spans="1:10">
      <c r="A716" s="1190" t="s">
        <v>168</v>
      </c>
      <c r="B716" s="699" t="e">
        <f t="shared" si="143"/>
        <v>#REF!</v>
      </c>
      <c r="C716" s="699" t="e">
        <f t="shared" si="144"/>
        <v>#REF!</v>
      </c>
      <c r="D716" s="699" t="e">
        <f t="shared" si="145"/>
        <v>#REF!</v>
      </c>
      <c r="E716" s="699" t="e">
        <f t="shared" si="146"/>
        <v>#REF!</v>
      </c>
      <c r="F716" s="699" t="e">
        <f t="shared" si="148"/>
        <v>#REF!</v>
      </c>
      <c r="G716" s="699" t="e">
        <f t="shared" si="149"/>
        <v>#REF!</v>
      </c>
      <c r="H716" s="699" t="e">
        <f t="shared" si="150"/>
        <v>#REF!</v>
      </c>
      <c r="I716" s="699" t="e">
        <f t="shared" si="151"/>
        <v>#REF!</v>
      </c>
      <c r="J716" s="708" t="e">
        <f t="shared" si="147"/>
        <v>#REF!</v>
      </c>
    </row>
    <row r="717" spans="1:10">
      <c r="A717" s="1190" t="s">
        <v>169</v>
      </c>
      <c r="B717" s="699" t="e">
        <f t="shared" si="143"/>
        <v>#REF!</v>
      </c>
      <c r="C717" s="699" t="e">
        <f t="shared" si="144"/>
        <v>#REF!</v>
      </c>
      <c r="D717" s="699" t="e">
        <f t="shared" si="145"/>
        <v>#REF!</v>
      </c>
      <c r="E717" s="699" t="e">
        <f t="shared" si="146"/>
        <v>#REF!</v>
      </c>
      <c r="F717" s="699" t="e">
        <f t="shared" si="148"/>
        <v>#REF!</v>
      </c>
      <c r="G717" s="699" t="e">
        <f t="shared" si="149"/>
        <v>#REF!</v>
      </c>
      <c r="H717" s="699" t="e">
        <f t="shared" si="150"/>
        <v>#REF!</v>
      </c>
      <c r="I717" s="699" t="e">
        <f t="shared" si="151"/>
        <v>#REF!</v>
      </c>
      <c r="J717" s="708" t="e">
        <f t="shared" si="147"/>
        <v>#REF!</v>
      </c>
    </row>
    <row r="718" spans="1:10">
      <c r="A718" s="1190" t="s">
        <v>170</v>
      </c>
      <c r="B718" s="699" t="e">
        <f t="shared" si="143"/>
        <v>#REF!</v>
      </c>
      <c r="C718" s="699" t="e">
        <f t="shared" si="144"/>
        <v>#REF!</v>
      </c>
      <c r="D718" s="699" t="e">
        <f t="shared" si="145"/>
        <v>#REF!</v>
      </c>
      <c r="E718" s="699" t="e">
        <f t="shared" si="146"/>
        <v>#REF!</v>
      </c>
      <c r="F718" s="699" t="e">
        <f t="shared" si="148"/>
        <v>#REF!</v>
      </c>
      <c r="G718" s="699" t="e">
        <f t="shared" si="149"/>
        <v>#REF!</v>
      </c>
      <c r="H718" s="699" t="e">
        <f t="shared" si="150"/>
        <v>#REF!</v>
      </c>
      <c r="I718" s="699" t="e">
        <f t="shared" si="151"/>
        <v>#REF!</v>
      </c>
      <c r="J718" s="708" t="e">
        <f t="shared" si="147"/>
        <v>#REF!</v>
      </c>
    </row>
    <row r="719" spans="1:10">
      <c r="A719" s="1190" t="s">
        <v>171</v>
      </c>
      <c r="B719" s="699" t="e">
        <f t="shared" si="143"/>
        <v>#REF!</v>
      </c>
      <c r="C719" s="699" t="e">
        <f t="shared" si="144"/>
        <v>#REF!</v>
      </c>
      <c r="D719" s="699" t="e">
        <f t="shared" si="145"/>
        <v>#REF!</v>
      </c>
      <c r="E719" s="699" t="e">
        <f t="shared" si="146"/>
        <v>#REF!</v>
      </c>
      <c r="F719" s="699" t="e">
        <f t="shared" si="148"/>
        <v>#REF!</v>
      </c>
      <c r="G719" s="699" t="e">
        <f t="shared" si="149"/>
        <v>#REF!</v>
      </c>
      <c r="H719" s="699" t="e">
        <f t="shared" si="150"/>
        <v>#REF!</v>
      </c>
      <c r="I719" s="699" t="e">
        <f t="shared" si="151"/>
        <v>#REF!</v>
      </c>
      <c r="J719" s="708" t="e">
        <f t="shared" si="147"/>
        <v>#REF!</v>
      </c>
    </row>
    <row r="720" spans="1:10">
      <c r="A720" s="1190" t="s">
        <v>148</v>
      </c>
      <c r="B720" s="699" t="e">
        <f t="shared" si="143"/>
        <v>#REF!</v>
      </c>
      <c r="C720" s="699" t="e">
        <f t="shared" si="144"/>
        <v>#REF!</v>
      </c>
      <c r="D720" s="699" t="e">
        <f t="shared" si="145"/>
        <v>#REF!</v>
      </c>
      <c r="E720" s="699" t="e">
        <f t="shared" si="146"/>
        <v>#REF!</v>
      </c>
      <c r="F720" s="699" t="e">
        <f t="shared" si="148"/>
        <v>#REF!</v>
      </c>
      <c r="G720" s="699" t="e">
        <f t="shared" si="149"/>
        <v>#REF!</v>
      </c>
      <c r="H720" s="699" t="e">
        <f t="shared" si="150"/>
        <v>#REF!</v>
      </c>
      <c r="I720" s="699" t="e">
        <f t="shared" si="151"/>
        <v>#REF!</v>
      </c>
      <c r="J720" s="708" t="e">
        <f t="shared" si="147"/>
        <v>#REF!</v>
      </c>
    </row>
    <row r="721" spans="1:10">
      <c r="A721" s="1282" t="s">
        <v>639</v>
      </c>
      <c r="B721" s="699">
        <f t="shared" ref="B721:E726" si="152">I46-I34</f>
        <v>-143.62000000000012</v>
      </c>
      <c r="C721" s="699">
        <f t="shared" si="152"/>
        <v>111.49000000000001</v>
      </c>
      <c r="D721" s="699">
        <f t="shared" si="152"/>
        <v>-249.1099999999999</v>
      </c>
      <c r="E721" s="699">
        <f t="shared" si="152"/>
        <v>1452.44</v>
      </c>
      <c r="F721" s="699">
        <f t="shared" ref="F721:F726" si="153">B721/B34*100</f>
        <v>-3.4863454302706667</v>
      </c>
      <c r="G721" s="699">
        <f t="shared" ref="G721:G726" si="154">C721/B34*100</f>
        <v>2.706396407330987</v>
      </c>
      <c r="H721" s="699">
        <f t="shared" ref="H721:H726" si="155">D721/B34*100</f>
        <v>-6.0470930938220633</v>
      </c>
      <c r="I721" s="699">
        <f t="shared" ref="I721:I726" si="156">E721/B34*100</f>
        <v>35.257676902536716</v>
      </c>
      <c r="J721" s="708">
        <f>I721+F721</f>
        <v>31.771331472266048</v>
      </c>
    </row>
    <row r="722" spans="1:10">
      <c r="A722" s="1282" t="s">
        <v>162</v>
      </c>
      <c r="B722" s="699">
        <f t="shared" si="152"/>
        <v>-119.28999999999996</v>
      </c>
      <c r="C722" s="699">
        <f t="shared" si="152"/>
        <v>104.84999999999991</v>
      </c>
      <c r="D722" s="699">
        <f t="shared" si="152"/>
        <v>-218.21000000000026</v>
      </c>
      <c r="E722" s="699">
        <f t="shared" si="152"/>
        <v>1329.08</v>
      </c>
      <c r="F722" s="699">
        <f t="shared" si="153"/>
        <v>-2.8237728104457571</v>
      </c>
      <c r="G722" s="699">
        <f t="shared" si="154"/>
        <v>2.481956401837853</v>
      </c>
      <c r="H722" s="699">
        <f t="shared" si="155"/>
        <v>-5.1653572383885464</v>
      </c>
      <c r="I722" s="699">
        <f t="shared" si="156"/>
        <v>31.461312489791666</v>
      </c>
      <c r="J722" s="708">
        <f t="shared" si="147"/>
        <v>28.63753967934591</v>
      </c>
    </row>
    <row r="723" spans="1:10">
      <c r="A723" s="1282" t="s">
        <v>163</v>
      </c>
      <c r="B723" s="699">
        <f t="shared" si="152"/>
        <v>125.15999999999985</v>
      </c>
      <c r="C723" s="699">
        <f t="shared" si="152"/>
        <v>96.860000000000014</v>
      </c>
      <c r="D723" s="699">
        <f t="shared" si="152"/>
        <v>66.779999999999973</v>
      </c>
      <c r="E723" s="699">
        <f t="shared" si="152"/>
        <v>1519.5699999999997</v>
      </c>
      <c r="F723" s="699">
        <f t="shared" si="153"/>
        <v>2.9425179264135384</v>
      </c>
      <c r="G723" s="699">
        <f t="shared" si="154"/>
        <v>2.2771834959445165</v>
      </c>
      <c r="H723" s="699">
        <f t="shared" si="155"/>
        <v>1.5700011755025267</v>
      </c>
      <c r="I723" s="699">
        <f t="shared" si="156"/>
        <v>35.725167509110136</v>
      </c>
      <c r="J723" s="708">
        <f t="shared" si="147"/>
        <v>38.667685435523673</v>
      </c>
    </row>
    <row r="724" spans="1:10">
      <c r="A724" s="1282" t="s">
        <v>164</v>
      </c>
      <c r="B724" s="699">
        <f t="shared" si="152"/>
        <v>-13.079999999999927</v>
      </c>
      <c r="C724" s="699">
        <f t="shared" si="152"/>
        <v>-24.580000000000041</v>
      </c>
      <c r="D724" s="699">
        <f t="shared" si="152"/>
        <v>49.160000000000309</v>
      </c>
      <c r="E724" s="699">
        <f t="shared" si="152"/>
        <v>1392.02</v>
      </c>
      <c r="F724" s="699">
        <f t="shared" si="153"/>
        <v>-0.32938806346008381</v>
      </c>
      <c r="G724" s="699">
        <f t="shared" si="154"/>
        <v>-0.61898766053890819</v>
      </c>
      <c r="H724" s="699">
        <f t="shared" si="155"/>
        <v>1.2379753210778222</v>
      </c>
      <c r="I724" s="699">
        <f t="shared" si="156"/>
        <v>35.054646184840095</v>
      </c>
      <c r="J724" s="708">
        <f t="shared" si="147"/>
        <v>34.725258121380008</v>
      </c>
    </row>
    <row r="725" spans="1:10">
      <c r="A725" s="1282" t="s">
        <v>165</v>
      </c>
      <c r="B725" s="699">
        <f t="shared" si="152"/>
        <v>526.97999999999979</v>
      </c>
      <c r="C725" s="699">
        <f t="shared" si="152"/>
        <v>433.30999999999995</v>
      </c>
      <c r="D725" s="699">
        <f t="shared" si="152"/>
        <v>-4.7699999999999818</v>
      </c>
      <c r="E725" s="699">
        <f t="shared" si="152"/>
        <v>1258.46</v>
      </c>
      <c r="F725" s="699">
        <f t="shared" si="153"/>
        <v>12.541260408808247</v>
      </c>
      <c r="G725" s="699">
        <f t="shared" si="154"/>
        <v>10.312067911003648</v>
      </c>
      <c r="H725" s="699">
        <f t="shared" si="155"/>
        <v>-0.11351818313790872</v>
      </c>
      <c r="I725" s="699">
        <f t="shared" si="156"/>
        <v>29.949285692187246</v>
      </c>
      <c r="J725" s="708">
        <f t="shared" si="147"/>
        <v>42.490546100995495</v>
      </c>
    </row>
    <row r="726" spans="1:10">
      <c r="A726" s="1282" t="s">
        <v>647</v>
      </c>
      <c r="B726" s="699">
        <f t="shared" si="152"/>
        <v>135.93000000000006</v>
      </c>
      <c r="C726" s="699">
        <f t="shared" si="152"/>
        <v>66.290000000000077</v>
      </c>
      <c r="D726" s="699">
        <f t="shared" si="152"/>
        <v>-27.370000000000118</v>
      </c>
      <c r="E726" s="699">
        <f t="shared" si="152"/>
        <v>1330.33</v>
      </c>
      <c r="F726" s="699">
        <f t="shared" si="153"/>
        <v>3.177679333278788</v>
      </c>
      <c r="G726" s="699">
        <f t="shared" si="154"/>
        <v>1.549682652858464</v>
      </c>
      <c r="H726" s="699">
        <f t="shared" si="155"/>
        <v>-0.63983729384124743</v>
      </c>
      <c r="I726" s="699">
        <f t="shared" si="156"/>
        <v>31.099552324290208</v>
      </c>
      <c r="J726" s="708">
        <f t="shared" si="147"/>
        <v>34.277231657568997</v>
      </c>
    </row>
    <row r="728" spans="1:10">
      <c r="F728" s="699" t="e">
        <f>(F694+F695+F701+F714+F726)/5</f>
        <v>#REF!</v>
      </c>
      <c r="G728" s="699" t="e">
        <f>(G694+G695+G701+G714+G726)/5</f>
        <v>#REF!</v>
      </c>
      <c r="H728" s="699" t="e">
        <f>(H694+H695+H701+H714+H726)/5</f>
        <v>#REF!</v>
      </c>
      <c r="I728" s="699" t="e">
        <f>(I694+I695+I701+I714+I726)/5</f>
        <v>#REF!</v>
      </c>
      <c r="J728" s="699" t="e">
        <f>(J694+J695+J701+J714+J726)/5</f>
        <v>#REF!</v>
      </c>
    </row>
    <row r="729" spans="1:10">
      <c r="F729" s="117"/>
      <c r="G729" s="117"/>
      <c r="H729" s="117"/>
      <c r="I729" s="117"/>
      <c r="J729" s="117"/>
    </row>
  </sheetData>
  <mergeCells count="40">
    <mergeCell ref="A2:H2"/>
    <mergeCell ref="I2:L2"/>
    <mergeCell ref="M4:S4"/>
    <mergeCell ref="H3:H4"/>
    <mergeCell ref="D3:G3"/>
    <mergeCell ref="A113:A114"/>
    <mergeCell ref="A3:A4"/>
    <mergeCell ref="B3:B4"/>
    <mergeCell ref="C3:C4"/>
    <mergeCell ref="A112:K112"/>
    <mergeCell ref="A691:A692"/>
    <mergeCell ref="A690:J690"/>
    <mergeCell ref="A455:A459"/>
    <mergeCell ref="B455:J455"/>
    <mergeCell ref="B460:J460"/>
    <mergeCell ref="B606:J606"/>
    <mergeCell ref="A689:J689"/>
    <mergeCell ref="B456:B459"/>
    <mergeCell ref="C456:C459"/>
    <mergeCell ref="D456:J456"/>
    <mergeCell ref="A214:A218"/>
    <mergeCell ref="B214:J214"/>
    <mergeCell ref="B215:B218"/>
    <mergeCell ref="C215:C218"/>
    <mergeCell ref="D215:J215"/>
    <mergeCell ref="D216:D218"/>
    <mergeCell ref="E216:I216"/>
    <mergeCell ref="J216:J218"/>
    <mergeCell ref="E217:E218"/>
    <mergeCell ref="F217:H217"/>
    <mergeCell ref="I217:I218"/>
    <mergeCell ref="B219:J219"/>
    <mergeCell ref="B368:J368"/>
    <mergeCell ref="D457:D459"/>
    <mergeCell ref="E457:I457"/>
    <mergeCell ref="J457:J459"/>
    <mergeCell ref="E458:E459"/>
    <mergeCell ref="F458:H458"/>
    <mergeCell ref="I458:I459"/>
    <mergeCell ref="A454:J454"/>
  </mergeCells>
  <phoneticPr fontId="44"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5"/>
  <dimension ref="A1:H47"/>
  <sheetViews>
    <sheetView topLeftCell="D1" workbookViewId="0">
      <selection activeCell="O20" sqref="O20"/>
    </sheetView>
  </sheetViews>
  <sheetFormatPr defaultRowHeight="12.75"/>
  <cols>
    <col min="1" max="1" width="32.85546875" customWidth="1"/>
  </cols>
  <sheetData>
    <row r="1" spans="1:8">
      <c r="A1" t="s">
        <v>1212</v>
      </c>
    </row>
    <row r="3" spans="1:8">
      <c r="A3" t="s">
        <v>546</v>
      </c>
    </row>
    <row r="4" spans="1:8">
      <c r="A4" s="144"/>
      <c r="B4" s="144" t="s">
        <v>1179</v>
      </c>
      <c r="C4" s="144" t="s">
        <v>1179</v>
      </c>
      <c r="D4" s="144" t="s">
        <v>1179</v>
      </c>
      <c r="E4" s="144" t="s">
        <v>1180</v>
      </c>
      <c r="F4" s="4422" t="s">
        <v>1181</v>
      </c>
      <c r="G4" s="4423"/>
      <c r="H4" s="4424"/>
    </row>
    <row r="5" spans="1:8">
      <c r="A5" s="359" t="s">
        <v>146</v>
      </c>
      <c r="B5" s="359" t="s">
        <v>452</v>
      </c>
      <c r="C5" s="359" t="s">
        <v>609</v>
      </c>
      <c r="D5" s="359" t="s">
        <v>877</v>
      </c>
      <c r="E5" s="359" t="s">
        <v>1164</v>
      </c>
      <c r="F5" s="359" t="s">
        <v>998</v>
      </c>
      <c r="G5" s="359" t="s">
        <v>805</v>
      </c>
      <c r="H5" s="359" t="s">
        <v>806</v>
      </c>
    </row>
    <row r="6" spans="1:8">
      <c r="A6" s="11"/>
      <c r="B6" s="11"/>
      <c r="C6" s="11"/>
      <c r="D6" s="11"/>
      <c r="E6" s="11"/>
      <c r="F6" s="11"/>
      <c r="G6" s="11"/>
      <c r="H6" s="11"/>
    </row>
    <row r="7" spans="1:8">
      <c r="A7" s="11" t="s">
        <v>554</v>
      </c>
      <c r="B7" s="762">
        <v>-800.31354536312915</v>
      </c>
      <c r="C7" s="762">
        <v>467.37891371570072</v>
      </c>
      <c r="D7" s="762">
        <v>102.80930244724118</v>
      </c>
      <c r="E7" s="762">
        <v>-5214.8073185370622</v>
      </c>
      <c r="F7" s="762">
        <v>-3956.9148214441402</v>
      </c>
      <c r="G7" s="762">
        <v>-3697.4808224865901</v>
      </c>
      <c r="H7" s="762">
        <v>-3318.9755298105538</v>
      </c>
    </row>
    <row r="8" spans="1:8">
      <c r="A8" s="11"/>
      <c r="B8" s="762"/>
      <c r="C8" s="762"/>
      <c r="D8" s="762"/>
      <c r="E8" s="762"/>
      <c r="F8" s="762"/>
      <c r="G8" s="762"/>
      <c r="H8" s="762"/>
    </row>
    <row r="9" spans="1:8">
      <c r="A9" s="11" t="s">
        <v>555</v>
      </c>
      <c r="B9" s="762">
        <v>294.28164800000002</v>
      </c>
      <c r="C9" s="762">
        <v>310.57445100000001</v>
      </c>
      <c r="D9" s="762">
        <v>388.64488899999998</v>
      </c>
      <c r="E9" s="762">
        <v>723.16068499999994</v>
      </c>
      <c r="F9" s="762">
        <v>780.10061022232696</v>
      </c>
      <c r="G9" s="762">
        <v>841.52384759307938</v>
      </c>
      <c r="H9" s="762">
        <v>907.78340227940032</v>
      </c>
    </row>
    <row r="10" spans="1:8">
      <c r="A10" s="11" t="s">
        <v>556</v>
      </c>
      <c r="B10" s="762">
        <v>-2001.4249809999999</v>
      </c>
      <c r="C10" s="762">
        <v>-880.28801984119184</v>
      </c>
      <c r="D10" s="762">
        <v>-1334.0048343697545</v>
      </c>
      <c r="E10" s="762">
        <v>-8192.4436300840607</v>
      </c>
      <c r="F10" s="762">
        <v>-7455.1237033764955</v>
      </c>
      <c r="G10" s="762">
        <v>-7827.8798885453207</v>
      </c>
      <c r="H10" s="762">
        <v>-8219.2738829725877</v>
      </c>
    </row>
    <row r="11" spans="1:8">
      <c r="A11" s="11"/>
      <c r="B11" s="762"/>
      <c r="C11" s="762"/>
      <c r="D11" s="762"/>
      <c r="E11" s="762"/>
      <c r="F11" s="762"/>
      <c r="G11" s="762"/>
      <c r="H11" s="762"/>
    </row>
    <row r="12" spans="1:8">
      <c r="A12" s="11" t="s">
        <v>560</v>
      </c>
      <c r="B12" s="762">
        <v>-1707.143333</v>
      </c>
      <c r="C12" s="762">
        <v>-569.71356884119177</v>
      </c>
      <c r="D12" s="762">
        <v>-945.35994536975454</v>
      </c>
      <c r="E12" s="762">
        <v>-7469.2829450840609</v>
      </c>
      <c r="F12" s="762">
        <v>-6675.0230931541682</v>
      </c>
      <c r="G12" s="762">
        <v>-6986.3560409522415</v>
      </c>
      <c r="H12" s="762">
        <v>-7311.4904806931872</v>
      </c>
    </row>
    <row r="13" spans="1:8">
      <c r="A13" s="11"/>
      <c r="B13" s="762"/>
      <c r="C13" s="762"/>
      <c r="D13" s="762"/>
      <c r="E13" s="762"/>
      <c r="F13" s="762"/>
      <c r="G13" s="762"/>
      <c r="H13" s="762"/>
    </row>
    <row r="14" spans="1:8">
      <c r="A14" s="11" t="s">
        <v>1187</v>
      </c>
      <c r="B14" s="762">
        <v>93.916861778860834</v>
      </c>
      <c r="C14" s="762">
        <v>-370.5627588546547</v>
      </c>
      <c r="D14" s="762">
        <v>-165.69433978566644</v>
      </c>
      <c r="E14" s="762">
        <v>435.60136799446957</v>
      </c>
      <c r="F14" s="762">
        <v>467.15682130221501</v>
      </c>
      <c r="G14" s="762">
        <v>498.32565672325791</v>
      </c>
      <c r="H14" s="762">
        <v>528.26337441954979</v>
      </c>
    </row>
    <row r="15" spans="1:8">
      <c r="A15" s="11" t="s">
        <v>617</v>
      </c>
      <c r="B15" s="762">
        <v>746.68548994242349</v>
      </c>
      <c r="C15" s="762">
        <v>597.57363797286473</v>
      </c>
      <c r="D15" s="762">
        <v>650.90957672742604</v>
      </c>
      <c r="E15" s="762">
        <v>1202.9465051143163</v>
      </c>
      <c r="F15" s="762">
        <v>1365.3442833047491</v>
      </c>
      <c r="G15" s="762">
        <v>1549.6657615508902</v>
      </c>
      <c r="H15" s="762">
        <v>1758.8706393602604</v>
      </c>
    </row>
    <row r="16" spans="1:8">
      <c r="A16" s="11" t="s">
        <v>618</v>
      </c>
      <c r="B16" s="762">
        <v>-652.76862816356265</v>
      </c>
      <c r="C16" s="762">
        <v>-968.13639682751943</v>
      </c>
      <c r="D16" s="762">
        <v>-816.60391651309249</v>
      </c>
      <c r="E16" s="762">
        <v>-767.34513711984675</v>
      </c>
      <c r="F16" s="762">
        <v>-898.18746200253406</v>
      </c>
      <c r="G16" s="762">
        <v>-1051.3401048276323</v>
      </c>
      <c r="H16" s="762">
        <v>-1230.6072649407106</v>
      </c>
    </row>
    <row r="17" spans="1:8">
      <c r="A17" s="11"/>
      <c r="B17" s="762"/>
      <c r="C17" s="762"/>
      <c r="D17" s="762"/>
      <c r="E17" s="762"/>
      <c r="F17" s="762"/>
      <c r="G17" s="762"/>
      <c r="H17" s="762"/>
    </row>
    <row r="18" spans="1:8">
      <c r="A18" s="11" t="s">
        <v>561</v>
      </c>
      <c r="B18" s="762">
        <v>253.31653608300002</v>
      </c>
      <c r="C18" s="762">
        <v>113.35812245700002</v>
      </c>
      <c r="D18" s="762">
        <v>66.122457212012506</v>
      </c>
      <c r="E18" s="762">
        <v>230.49457149923219</v>
      </c>
      <c r="F18" s="762">
        <v>233.61777254178102</v>
      </c>
      <c r="G18" s="762">
        <v>234.38034798459356</v>
      </c>
      <c r="H18" s="762">
        <v>232.12611025361832</v>
      </c>
    </row>
    <row r="19" spans="1:8">
      <c r="A19" s="11" t="s">
        <v>617</v>
      </c>
      <c r="B19" s="762">
        <v>327.56992404300001</v>
      </c>
      <c r="C19" s="762">
        <v>198.54502164872002</v>
      </c>
      <c r="D19" s="762">
        <v>186.96960797201251</v>
      </c>
      <c r="E19" s="762">
        <v>355.73080014853031</v>
      </c>
      <c r="F19" s="762">
        <v>382.10194491251815</v>
      </c>
      <c r="G19" s="762">
        <v>410.42804346704884</v>
      </c>
      <c r="H19" s="762">
        <v>440.85402104602332</v>
      </c>
    </row>
    <row r="20" spans="1:8">
      <c r="A20" s="11" t="s">
        <v>618</v>
      </c>
      <c r="B20" s="762">
        <v>-74.253387960000012</v>
      </c>
      <c r="C20" s="762">
        <v>-85.186899191720002</v>
      </c>
      <c r="D20" s="762">
        <v>-120.84715076000001</v>
      </c>
      <c r="E20" s="762">
        <v>-125.23622864929811</v>
      </c>
      <c r="F20" s="762">
        <v>-148.48417237073713</v>
      </c>
      <c r="G20" s="762">
        <v>-176.04769548245528</v>
      </c>
      <c r="H20" s="762">
        <v>-208.727910792405</v>
      </c>
    </row>
    <row r="21" spans="1:8">
      <c r="A21" s="11"/>
      <c r="B21" s="762"/>
      <c r="C21" s="762"/>
      <c r="D21" s="762"/>
      <c r="E21" s="762"/>
      <c r="F21" s="762"/>
      <c r="G21" s="762"/>
      <c r="H21" s="762"/>
    </row>
    <row r="22" spans="1:8">
      <c r="A22" s="11" t="s">
        <v>562</v>
      </c>
      <c r="B22" s="762">
        <v>559.59638977500981</v>
      </c>
      <c r="C22" s="762">
        <v>1294.2971189545472</v>
      </c>
      <c r="D22" s="762">
        <v>1147.7411303906497</v>
      </c>
      <c r="E22" s="762">
        <v>1588.3796870532969</v>
      </c>
      <c r="F22" s="762">
        <v>2017.3336778660323</v>
      </c>
      <c r="G22" s="762">
        <v>2556.1692137577993</v>
      </c>
      <c r="H22" s="762">
        <v>3232.1254662094652</v>
      </c>
    </row>
    <row r="23" spans="1:8">
      <c r="A23" s="11" t="s">
        <v>617</v>
      </c>
      <c r="B23" s="762">
        <v>1516.8102556707304</v>
      </c>
      <c r="C23" s="762">
        <v>2904.9861616772228</v>
      </c>
      <c r="D23" s="762">
        <v>2540.8897819421409</v>
      </c>
      <c r="E23" s="762">
        <v>2972.063658364229</v>
      </c>
      <c r="F23" s="762">
        <v>3650.4637798943245</v>
      </c>
      <c r="G23" s="762">
        <v>4483.7147989133882</v>
      </c>
      <c r="H23" s="762">
        <v>5507.1628182479599</v>
      </c>
    </row>
    <row r="24" spans="1:8">
      <c r="A24" s="11" t="s">
        <v>1204</v>
      </c>
      <c r="B24" s="762">
        <v>1268.5999999999999</v>
      </c>
      <c r="C24" s="762">
        <v>2616.8000000000002</v>
      </c>
      <c r="D24" s="762">
        <v>1977.5</v>
      </c>
      <c r="E24" s="762">
        <v>2405</v>
      </c>
      <c r="F24" s="762">
        <v>1748</v>
      </c>
      <c r="G24" s="762">
        <v>2346.9549999999999</v>
      </c>
      <c r="H24" s="762">
        <v>2182.61</v>
      </c>
    </row>
    <row r="25" spans="1:8">
      <c r="A25" s="11" t="s">
        <v>618</v>
      </c>
      <c r="B25" s="762">
        <v>-957.21386589572057</v>
      </c>
      <c r="C25" s="762">
        <v>-1610.6890427226756</v>
      </c>
      <c r="D25" s="762">
        <v>-1393.1486515514912</v>
      </c>
      <c r="E25" s="762">
        <v>-1383.6839713109321</v>
      </c>
      <c r="F25" s="762">
        <v>-1633.1301020282922</v>
      </c>
      <c r="G25" s="762">
        <v>-1927.5455851555892</v>
      </c>
      <c r="H25" s="762">
        <v>-2275.0373520384946</v>
      </c>
    </row>
    <row r="26" spans="1:8">
      <c r="A26" s="11" t="s">
        <v>1205</v>
      </c>
      <c r="B26" s="762"/>
      <c r="C26" s="762"/>
      <c r="D26" s="762"/>
      <c r="E26" s="762">
        <v>-7.2778010000000002</v>
      </c>
      <c r="F26" s="762"/>
      <c r="G26" s="762"/>
      <c r="H26" s="762"/>
    </row>
    <row r="27" spans="1:8">
      <c r="A27" s="11" t="s">
        <v>142</v>
      </c>
      <c r="B27" s="762"/>
      <c r="C27" s="762"/>
      <c r="D27" s="762"/>
      <c r="E27" s="762"/>
      <c r="F27" s="762"/>
      <c r="G27" s="762"/>
      <c r="H27" s="762"/>
    </row>
    <row r="28" spans="1:8">
      <c r="A28" s="11" t="s">
        <v>563</v>
      </c>
      <c r="B28" s="762">
        <v>1084.2430000000002</v>
      </c>
      <c r="C28" s="762">
        <v>1529.41547989116</v>
      </c>
      <c r="D28" s="762">
        <v>470.96573228286979</v>
      </c>
      <c r="E28" s="762">
        <v>3033.7223142241373</v>
      </c>
      <c r="F28" s="762">
        <v>1767.9916544264879</v>
      </c>
      <c r="G28" s="762">
        <v>1569.5187467212904</v>
      </c>
      <c r="H28" s="762">
        <v>2153.868888706696</v>
      </c>
    </row>
    <row r="29" spans="1:8">
      <c r="A29" s="11"/>
      <c r="B29" s="762"/>
      <c r="C29" s="762"/>
      <c r="D29" s="762"/>
      <c r="E29" s="762"/>
      <c r="F29" s="762"/>
      <c r="G29" s="762"/>
      <c r="H29" s="762"/>
    </row>
    <row r="30" spans="1:8">
      <c r="A30" s="11" t="s">
        <v>619</v>
      </c>
      <c r="B30" s="762">
        <v>101.24299999999999</v>
      </c>
      <c r="C30" s="762">
        <v>117.9099935</v>
      </c>
      <c r="D30" s="762">
        <v>156.989284</v>
      </c>
      <c r="E30" s="762">
        <v>401.44497626658347</v>
      </c>
      <c r="F30" s="762">
        <v>501.01475091893127</v>
      </c>
      <c r="G30" s="762">
        <v>625.28066230344166</v>
      </c>
      <c r="H30" s="762">
        <v>780.36805489963331</v>
      </c>
    </row>
    <row r="31" spans="1:8">
      <c r="A31" s="11" t="s">
        <v>1267</v>
      </c>
      <c r="B31" s="762">
        <v>0</v>
      </c>
      <c r="C31" s="762">
        <v>0</v>
      </c>
      <c r="D31" s="762">
        <v>0</v>
      </c>
      <c r="E31" s="762">
        <v>0</v>
      </c>
      <c r="F31" s="762">
        <v>0</v>
      </c>
      <c r="G31" s="762">
        <v>0</v>
      </c>
      <c r="H31" s="762">
        <v>0</v>
      </c>
    </row>
    <row r="32" spans="1:8">
      <c r="A32" s="11"/>
      <c r="B32" s="762"/>
      <c r="C32" s="762"/>
      <c r="D32" s="762"/>
      <c r="E32" s="762"/>
      <c r="F32" s="762"/>
      <c r="G32" s="762"/>
      <c r="H32" s="762"/>
    </row>
    <row r="33" spans="1:8">
      <c r="A33" s="11" t="s">
        <v>1146</v>
      </c>
      <c r="B33" s="762">
        <v>983</v>
      </c>
      <c r="C33" s="762">
        <v>1411.50548639116</v>
      </c>
      <c r="D33" s="762">
        <v>1407.5976425450699</v>
      </c>
      <c r="E33" s="762">
        <v>1086.15103046172</v>
      </c>
      <c r="F33" s="762">
        <v>1322.6597019075566</v>
      </c>
      <c r="G33" s="762">
        <v>1001.0267740178488</v>
      </c>
      <c r="H33" s="762">
        <v>1431.4307090070627</v>
      </c>
    </row>
    <row r="34" spans="1:8">
      <c r="A34" s="11" t="s">
        <v>1206</v>
      </c>
      <c r="B34" s="762">
        <v>1113.6500000000001</v>
      </c>
      <c r="C34" s="762">
        <v>1560.3441343707</v>
      </c>
      <c r="D34" s="762">
        <v>1541.7903777417898</v>
      </c>
      <c r="E34" s="762">
        <v>1203.3743356011</v>
      </c>
      <c r="F34" s="762">
        <v>1675.788</v>
      </c>
      <c r="G34" s="762">
        <v>1204.0838999999999</v>
      </c>
      <c r="H34" s="762">
        <v>1692.5909000000001</v>
      </c>
    </row>
    <row r="35" spans="1:8">
      <c r="A35" s="11" t="s">
        <v>1207</v>
      </c>
      <c r="B35" s="762">
        <v>130.65</v>
      </c>
      <c r="C35" s="762">
        <v>148.83864797953999</v>
      </c>
      <c r="D35" s="762">
        <v>134.19273519672001</v>
      </c>
      <c r="E35" s="762">
        <v>117.22330513937999</v>
      </c>
      <c r="F35" s="762">
        <v>353.12829809244334</v>
      </c>
      <c r="G35" s="762">
        <v>203.05712598215109</v>
      </c>
      <c r="H35" s="762">
        <v>261.16019099293743</v>
      </c>
    </row>
    <row r="36" spans="1:8">
      <c r="A36" s="11"/>
      <c r="B36" s="762"/>
      <c r="C36" s="762"/>
      <c r="D36" s="762"/>
      <c r="E36" s="762"/>
      <c r="F36" s="762"/>
      <c r="G36" s="762"/>
      <c r="H36" s="762"/>
    </row>
    <row r="37" spans="1:8">
      <c r="A37" s="11" t="s">
        <v>564</v>
      </c>
      <c r="B37" s="762">
        <v>0</v>
      </c>
      <c r="C37" s="762">
        <v>0</v>
      </c>
      <c r="D37" s="762">
        <v>363.29436516799996</v>
      </c>
      <c r="E37" s="762">
        <v>89.210748065633396</v>
      </c>
      <c r="F37" s="762">
        <v>-55.682798399999996</v>
      </c>
      <c r="G37" s="762">
        <v>-56.788689600000005</v>
      </c>
      <c r="H37" s="762">
        <v>-57.929875199999998</v>
      </c>
    </row>
    <row r="38" spans="1:8">
      <c r="A38" s="11" t="s">
        <v>1208</v>
      </c>
      <c r="B38" s="762"/>
      <c r="C38" s="762"/>
      <c r="D38" s="762"/>
      <c r="E38" s="762">
        <v>89.210748065633396</v>
      </c>
      <c r="F38" s="762">
        <v>0</v>
      </c>
      <c r="G38" s="762">
        <v>0</v>
      </c>
      <c r="H38" s="762">
        <v>0</v>
      </c>
    </row>
    <row r="39" spans="1:8">
      <c r="A39" s="11" t="s">
        <v>1197</v>
      </c>
      <c r="B39" s="762"/>
      <c r="C39" s="762"/>
      <c r="D39" s="762"/>
      <c r="E39" s="762">
        <v>0</v>
      </c>
      <c r="F39" s="762">
        <v>55.682798399999996</v>
      </c>
      <c r="G39" s="762">
        <v>56.788689600000005</v>
      </c>
      <c r="H39" s="762">
        <v>57.929875199999998</v>
      </c>
    </row>
    <row r="40" spans="1:8">
      <c r="A40" s="11" t="s">
        <v>88</v>
      </c>
      <c r="B40" s="762">
        <v>0</v>
      </c>
      <c r="C40" s="762">
        <v>0</v>
      </c>
      <c r="D40" s="762">
        <v>-1456.9155594302001</v>
      </c>
      <c r="E40" s="762">
        <v>1456.9155594302001</v>
      </c>
      <c r="F40" s="762">
        <v>0</v>
      </c>
      <c r="G40" s="762">
        <v>0</v>
      </c>
      <c r="H40" s="762">
        <v>0</v>
      </c>
    </row>
    <row r="41" spans="1:8">
      <c r="A41" s="11"/>
      <c r="B41" s="762"/>
      <c r="C41" s="762"/>
      <c r="D41" s="762"/>
      <c r="E41" s="762"/>
      <c r="F41" s="762"/>
      <c r="G41" s="762"/>
      <c r="H41" s="762"/>
    </row>
    <row r="42" spans="1:8">
      <c r="A42" s="11" t="s">
        <v>620</v>
      </c>
      <c r="B42" s="762">
        <v>846.76304717836297</v>
      </c>
      <c r="C42" s="762">
        <v>950.51178924620331</v>
      </c>
      <c r="D42" s="762">
        <v>-1236.3885964565159</v>
      </c>
      <c r="E42" s="762">
        <v>4423.9143042445257</v>
      </c>
      <c r="F42" s="762">
        <v>3544.4942421496417</v>
      </c>
      <c r="G42" s="762">
        <v>3605.5345476591688</v>
      </c>
      <c r="H42" s="762">
        <v>2775.660635468174</v>
      </c>
    </row>
    <row r="43" spans="1:8">
      <c r="A43" s="11"/>
      <c r="B43" s="762"/>
      <c r="C43" s="762"/>
      <c r="D43" s="762"/>
      <c r="E43" s="762"/>
      <c r="F43" s="762"/>
      <c r="G43" s="762"/>
      <c r="H43" s="762"/>
    </row>
    <row r="44" spans="1:8">
      <c r="A44" s="11" t="s">
        <v>1209</v>
      </c>
      <c r="B44" s="762">
        <v>1130.692501815234</v>
      </c>
      <c r="C44" s="762">
        <v>2947.306182853064</v>
      </c>
      <c r="D44" s="762">
        <v>-662.6135617264049</v>
      </c>
      <c r="E44" s="762">
        <v>2242.8292999316009</v>
      </c>
      <c r="F44" s="762">
        <v>1355.5710751319893</v>
      </c>
      <c r="G44" s="762">
        <v>1477.5724718938691</v>
      </c>
      <c r="H44" s="762">
        <v>1610.5539943643162</v>
      </c>
    </row>
    <row r="45" spans="1:8">
      <c r="A45" s="11"/>
      <c r="B45" s="762"/>
      <c r="C45" s="762"/>
      <c r="D45" s="762"/>
      <c r="E45" s="762"/>
      <c r="F45" s="762"/>
      <c r="G45" s="762"/>
      <c r="H45" s="762"/>
    </row>
    <row r="46" spans="1:8">
      <c r="A46" s="11" t="s">
        <v>1210</v>
      </c>
      <c r="B46" s="762" t="s">
        <v>820</v>
      </c>
      <c r="C46" s="762" t="s">
        <v>820</v>
      </c>
      <c r="D46" s="762" t="s">
        <v>820</v>
      </c>
      <c r="E46" s="762">
        <v>15061.900834799868</v>
      </c>
      <c r="F46" s="762">
        <v>16417.471909931857</v>
      </c>
      <c r="G46" s="762">
        <v>17895.044381825726</v>
      </c>
      <c r="H46" s="762">
        <v>19505.598376190042</v>
      </c>
    </row>
    <row r="47" spans="1:8">
      <c r="A47" s="183" t="s">
        <v>1211</v>
      </c>
      <c r="B47" s="932" t="s">
        <v>820</v>
      </c>
      <c r="C47" s="932" t="s">
        <v>820</v>
      </c>
      <c r="D47" s="932" t="s">
        <v>820</v>
      </c>
      <c r="E47" s="932" t="s">
        <v>820</v>
      </c>
      <c r="F47" s="932">
        <v>1355.5710751319893</v>
      </c>
      <c r="G47" s="932">
        <v>1477.5724718938691</v>
      </c>
      <c r="H47" s="932">
        <v>1610.5539943643162</v>
      </c>
    </row>
  </sheetData>
  <mergeCells count="1">
    <mergeCell ref="F4:H4"/>
  </mergeCells>
  <phoneticPr fontId="44" type="noConversion"/>
  <pageMargins left="0.75" right="0.75" top="1" bottom="1" header="0.5" footer="0.5"/>
  <pageSetup scale="80" orientation="portrait" r:id="rId1"/>
  <headerFooter alignWithMargins="0"/>
</worksheet>
</file>

<file path=xl/worksheets/sheet20.xml><?xml version="1.0" encoding="utf-8"?>
<worksheet xmlns="http://schemas.openxmlformats.org/spreadsheetml/2006/main" xmlns:r="http://schemas.openxmlformats.org/officeDocument/2006/relationships">
  <dimension ref="B5:G30"/>
  <sheetViews>
    <sheetView view="pageBreakPreview" topLeftCell="A16" zoomScale="90" zoomScaleSheetLayoutView="90" workbookViewId="0">
      <selection activeCell="L27" sqref="L27"/>
    </sheetView>
  </sheetViews>
  <sheetFormatPr defaultRowHeight="12.75"/>
  <cols>
    <col min="1" max="1" width="8.5703125" style="4048" customWidth="1"/>
    <col min="2" max="2" width="8" style="4048" customWidth="1"/>
    <col min="3" max="5" width="9.140625" style="4048"/>
    <col min="6" max="6" width="9.28515625" style="4048" bestFit="1" customWidth="1"/>
    <col min="7" max="7" width="9.140625" style="4048"/>
    <col min="8" max="8" width="10.28515625" style="4048" customWidth="1"/>
    <col min="9" max="16384" width="9.140625" style="4048"/>
  </cols>
  <sheetData>
    <row r="5" spans="2:7" ht="18">
      <c r="B5" s="4049" t="s">
        <v>2051</v>
      </c>
      <c r="C5" s="4045"/>
      <c r="D5" s="4045"/>
      <c r="E5" s="4045"/>
      <c r="F5" s="4045"/>
      <c r="G5" s="4045"/>
    </row>
    <row r="7" spans="2:7" ht="15.75">
      <c r="C7" s="2926" t="s">
        <v>2052</v>
      </c>
    </row>
    <row r="27" spans="2:7" ht="15.75">
      <c r="C27" s="2926" t="s">
        <v>2053</v>
      </c>
    </row>
    <row r="30" spans="2:7" ht="15.75">
      <c r="B30" s="2926" t="s">
        <v>2097</v>
      </c>
      <c r="C30" s="1619"/>
      <c r="D30" s="1619"/>
      <c r="E30" s="1619"/>
      <c r="F30" s="4046" t="s">
        <v>165</v>
      </c>
      <c r="G30" s="4047">
        <v>2016</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dimension ref="B1:L14"/>
  <sheetViews>
    <sheetView zoomScale="85" zoomScaleNormal="85" zoomScaleSheetLayoutView="100" workbookViewId="0">
      <selection activeCell="C3" sqref="C3"/>
    </sheetView>
  </sheetViews>
  <sheetFormatPr defaultRowHeight="12.75"/>
  <cols>
    <col min="1" max="16384" width="9.140625" style="4067"/>
  </cols>
  <sheetData>
    <row r="1" spans="2:12" ht="18">
      <c r="B1" s="4053" t="s">
        <v>2083</v>
      </c>
      <c r="C1" s="4050"/>
      <c r="D1" s="4050"/>
      <c r="E1" s="1978"/>
      <c r="F1" s="1978"/>
      <c r="G1" s="1978"/>
      <c r="H1" s="1978"/>
      <c r="I1" s="1978"/>
      <c r="J1" s="1978"/>
      <c r="K1" s="1978"/>
      <c r="L1" s="1978"/>
    </row>
    <row r="2" spans="2:12">
      <c r="B2" s="1978"/>
      <c r="C2" s="1978"/>
      <c r="D2" s="1978"/>
      <c r="E2" s="1978"/>
      <c r="F2" s="1978"/>
      <c r="G2" s="1978"/>
      <c r="H2" s="1978"/>
      <c r="I2" s="1978"/>
      <c r="J2" s="1978"/>
      <c r="K2" s="1978"/>
      <c r="L2" s="1978"/>
    </row>
    <row r="3" spans="2:12" ht="14.25">
      <c r="B3" s="1918" t="s">
        <v>2054</v>
      </c>
      <c r="C3" s="1918" t="s">
        <v>2055</v>
      </c>
      <c r="D3" s="1918"/>
      <c r="E3" s="1918"/>
      <c r="F3" s="1978"/>
      <c r="G3" s="1978"/>
      <c r="H3" s="1978"/>
      <c r="I3" s="1978"/>
      <c r="J3" s="1978"/>
      <c r="K3" s="1978"/>
      <c r="L3" s="1978"/>
    </row>
    <row r="4" spans="2:12" ht="14.25">
      <c r="B4" s="1918"/>
      <c r="C4" s="1918"/>
      <c r="D4" s="1918"/>
      <c r="E4" s="1918"/>
      <c r="F4" s="1978"/>
      <c r="G4" s="1978"/>
      <c r="H4" s="1978"/>
      <c r="I4" s="1978"/>
      <c r="J4" s="1978"/>
      <c r="K4" s="1978"/>
      <c r="L4" s="1978"/>
    </row>
    <row r="5" spans="2:12" ht="14.25">
      <c r="B5" s="1918" t="s">
        <v>2056</v>
      </c>
      <c r="C5" s="1918" t="s">
        <v>2057</v>
      </c>
      <c r="D5" s="1918"/>
      <c r="E5" s="1918"/>
      <c r="F5" s="1978"/>
      <c r="G5" s="1978"/>
      <c r="H5" s="1978"/>
      <c r="I5" s="1978"/>
      <c r="J5" s="1978"/>
      <c r="K5" s="1978"/>
      <c r="L5" s="1978"/>
    </row>
    <row r="6" spans="2:12" ht="14.25">
      <c r="B6" s="1918"/>
      <c r="C6" s="1918"/>
      <c r="D6" s="1918"/>
      <c r="E6" s="1918"/>
      <c r="F6" s="1978"/>
      <c r="G6" s="1978"/>
      <c r="H6" s="1978"/>
      <c r="I6" s="1978"/>
      <c r="J6" s="1978"/>
      <c r="K6" s="1978"/>
      <c r="L6" s="1978"/>
    </row>
    <row r="7" spans="2:12" ht="14.25">
      <c r="B7" s="1918" t="s">
        <v>2058</v>
      </c>
      <c r="C7" s="1918" t="s">
        <v>2059</v>
      </c>
      <c r="D7" s="1918"/>
      <c r="E7" s="1918"/>
      <c r="F7" s="1978"/>
      <c r="G7" s="1978"/>
      <c r="H7" s="1978"/>
      <c r="I7" s="1978"/>
      <c r="J7" s="1978"/>
      <c r="K7" s="1978"/>
      <c r="L7" s="1978"/>
    </row>
    <row r="8" spans="2:12" ht="14.25">
      <c r="B8" s="1918"/>
      <c r="C8" s="1918"/>
      <c r="D8" s="1918"/>
      <c r="E8" s="1918"/>
      <c r="F8" s="1978"/>
      <c r="G8" s="1978"/>
      <c r="H8" s="1978"/>
      <c r="I8" s="1978"/>
      <c r="J8" s="1978"/>
      <c r="K8" s="1978"/>
      <c r="L8" s="1978"/>
    </row>
    <row r="9" spans="2:12" ht="14.25">
      <c r="B9" s="1918" t="s">
        <v>244</v>
      </c>
      <c r="C9" s="1918" t="s">
        <v>2060</v>
      </c>
      <c r="D9" s="1918"/>
      <c r="E9" s="1918"/>
      <c r="F9" s="1978"/>
      <c r="G9" s="1978"/>
      <c r="H9" s="1978"/>
      <c r="I9" s="1978"/>
      <c r="J9" s="1978"/>
      <c r="K9" s="1978"/>
      <c r="L9" s="1978"/>
    </row>
    <row r="10" spans="2:12" ht="14.25">
      <c r="B10" s="1918"/>
      <c r="C10" s="1918"/>
      <c r="D10" s="1918"/>
      <c r="E10" s="1918"/>
      <c r="F10" s="1978"/>
      <c r="G10" s="1978"/>
      <c r="H10" s="1978"/>
      <c r="I10" s="1978"/>
      <c r="J10" s="1978"/>
      <c r="K10" s="1978"/>
      <c r="L10" s="1978"/>
    </row>
    <row r="11" spans="2:12" ht="14.25">
      <c r="B11" s="1918" t="s">
        <v>2061</v>
      </c>
      <c r="C11" s="1918" t="s">
        <v>2062</v>
      </c>
      <c r="D11" s="1918"/>
      <c r="E11" s="1918"/>
      <c r="F11" s="1978"/>
      <c r="G11" s="1978"/>
      <c r="H11" s="1978"/>
      <c r="I11" s="1978"/>
      <c r="J11" s="1978"/>
      <c r="K11" s="1978"/>
      <c r="L11" s="1978"/>
    </row>
    <row r="12" spans="2:12" ht="14.25">
      <c r="B12" s="1918"/>
      <c r="C12" s="1918"/>
      <c r="D12" s="1918"/>
      <c r="E12" s="1918"/>
      <c r="F12" s="1978"/>
      <c r="G12" s="1978"/>
      <c r="H12" s="1978"/>
      <c r="I12" s="1978"/>
      <c r="J12" s="1978"/>
      <c r="K12" s="1978"/>
      <c r="L12" s="1978"/>
    </row>
    <row r="13" spans="2:12" ht="14.25">
      <c r="B13" s="1918" t="s">
        <v>2063</v>
      </c>
      <c r="C13" s="1918" t="s">
        <v>2064</v>
      </c>
      <c r="D13" s="1918"/>
      <c r="E13" s="1918"/>
      <c r="F13" s="1978"/>
      <c r="G13" s="1978"/>
      <c r="H13" s="1978"/>
      <c r="I13" s="1978"/>
      <c r="J13" s="1978"/>
      <c r="K13" s="1978"/>
      <c r="L13" s="1978"/>
    </row>
    <row r="14" spans="2:12">
      <c r="B14" s="1978"/>
      <c r="C14" s="1978"/>
      <c r="D14" s="1978"/>
      <c r="E14" s="1978"/>
      <c r="F14" s="1978"/>
      <c r="G14" s="1978"/>
      <c r="H14" s="1978"/>
      <c r="I14" s="1978"/>
      <c r="J14" s="1978"/>
      <c r="K14" s="1978"/>
      <c r="L14" s="1978"/>
    </row>
  </sheetData>
  <pageMargins left="0.7" right="0.7" top="0.75" bottom="0.75" header="0.3" footer="0.3"/>
  <pageSetup scale="77" orientation="portrait" r:id="rId1"/>
</worksheet>
</file>

<file path=xl/worksheets/sheet22.xml><?xml version="1.0" encoding="utf-8"?>
<worksheet xmlns="http://schemas.openxmlformats.org/spreadsheetml/2006/main" xmlns:r="http://schemas.openxmlformats.org/officeDocument/2006/relationships">
  <dimension ref="A1:Q12"/>
  <sheetViews>
    <sheetView zoomScale="90" zoomScaleNormal="90" zoomScaleSheetLayoutView="100" workbookViewId="0">
      <selection activeCell="M4" sqref="M4"/>
    </sheetView>
  </sheetViews>
  <sheetFormatPr defaultRowHeight="12.75"/>
  <cols>
    <col min="1" max="16384" width="9.140625" style="4067"/>
  </cols>
  <sheetData>
    <row r="1" spans="1:17" ht="18">
      <c r="E1" s="4052" t="s">
        <v>2067</v>
      </c>
    </row>
    <row r="2" spans="1:17" ht="18">
      <c r="E2" s="4052"/>
    </row>
    <row r="3" spans="1:17" ht="30.75" customHeight="1">
      <c r="A3" s="4541" t="s">
        <v>2105</v>
      </c>
      <c r="B3" s="4541"/>
      <c r="C3" s="4541"/>
      <c r="D3" s="4541"/>
      <c r="E3" s="4541"/>
      <c r="F3" s="4541"/>
      <c r="G3" s="4541"/>
      <c r="H3" s="4541"/>
      <c r="I3" s="4541"/>
      <c r="J3" s="4541"/>
      <c r="K3" s="4068"/>
      <c r="L3" s="4068"/>
      <c r="M3" s="4068"/>
      <c r="N3" s="4068"/>
      <c r="O3" s="4068"/>
      <c r="P3" s="4068"/>
      <c r="Q3" s="4068"/>
    </row>
    <row r="4" spans="1:17" ht="36" customHeight="1">
      <c r="A4" s="4541"/>
      <c r="B4" s="4541"/>
      <c r="C4" s="4541"/>
      <c r="D4" s="4541"/>
      <c r="E4" s="4541"/>
      <c r="F4" s="4541"/>
      <c r="G4" s="4541"/>
      <c r="H4" s="4541"/>
      <c r="I4" s="4541"/>
      <c r="J4" s="4541"/>
      <c r="K4" s="4068"/>
      <c r="L4" s="4068"/>
      <c r="M4" s="4068"/>
      <c r="N4" s="4068"/>
      <c r="O4" s="4068"/>
      <c r="P4" s="4068"/>
      <c r="Q4" s="4068"/>
    </row>
    <row r="5" spans="1:17" ht="15">
      <c r="A5" s="4054"/>
      <c r="B5" s="4054"/>
      <c r="C5" s="4054"/>
      <c r="D5" s="4054"/>
      <c r="E5" s="4054"/>
      <c r="F5" s="4054"/>
      <c r="G5" s="4054"/>
      <c r="H5" s="4054"/>
      <c r="I5" s="4054"/>
      <c r="J5" s="4054"/>
      <c r="K5" s="4068"/>
      <c r="L5" s="4068"/>
      <c r="M5" s="4068"/>
      <c r="N5" s="4068"/>
      <c r="O5" s="4068"/>
      <c r="P5" s="4068"/>
      <c r="Q5" s="4068"/>
    </row>
    <row r="6" spans="1:17" ht="25.5" customHeight="1">
      <c r="A6" s="4542" t="s">
        <v>2065</v>
      </c>
      <c r="B6" s="4542"/>
      <c r="C6" s="4542"/>
      <c r="D6" s="4542"/>
      <c r="E6" s="4542"/>
      <c r="F6" s="4542"/>
      <c r="G6" s="4542"/>
      <c r="H6" s="4542"/>
      <c r="I6" s="4542"/>
      <c r="J6" s="4542"/>
      <c r="K6" s="4069"/>
      <c r="L6" s="4069"/>
      <c r="M6" s="4069"/>
      <c r="N6" s="4069"/>
      <c r="O6" s="4069"/>
      <c r="P6" s="4069"/>
      <c r="Q6" s="4069"/>
    </row>
    <row r="7" spans="1:17" ht="21" customHeight="1">
      <c r="A7" s="4542"/>
      <c r="B7" s="4542"/>
      <c r="C7" s="4542"/>
      <c r="D7" s="4542"/>
      <c r="E7" s="4542"/>
      <c r="F7" s="4542"/>
      <c r="G7" s="4542"/>
      <c r="H7" s="4542"/>
      <c r="I7" s="4542"/>
      <c r="J7" s="4542"/>
      <c r="K7" s="4069"/>
      <c r="L7" s="4069"/>
      <c r="M7" s="4069"/>
      <c r="N7" s="4069"/>
      <c r="O7" s="4069"/>
      <c r="P7" s="4069"/>
      <c r="Q7" s="4069"/>
    </row>
    <row r="8" spans="1:17" ht="14.25" customHeight="1">
      <c r="A8" s="4542"/>
      <c r="B8" s="4542"/>
      <c r="C8" s="4542"/>
      <c r="D8" s="4542"/>
      <c r="E8" s="4542"/>
      <c r="F8" s="4542"/>
      <c r="G8" s="4542"/>
      <c r="H8" s="4542"/>
      <c r="I8" s="4542"/>
      <c r="J8" s="4542"/>
    </row>
    <row r="9" spans="1:17" ht="14.25">
      <c r="A9" s="4066"/>
      <c r="B9" s="4066"/>
      <c r="C9" s="4066"/>
      <c r="D9" s="4066"/>
      <c r="E9" s="4066"/>
      <c r="F9" s="4066"/>
      <c r="G9" s="4066"/>
      <c r="H9" s="4066"/>
      <c r="I9" s="4066"/>
      <c r="J9" s="4066"/>
    </row>
    <row r="10" spans="1:17" ht="20.25" customHeight="1">
      <c r="A10" s="4543" t="s">
        <v>2066</v>
      </c>
      <c r="B10" s="4543"/>
      <c r="C10" s="4543"/>
      <c r="D10" s="4543"/>
      <c r="E10" s="4543"/>
      <c r="F10" s="4543"/>
      <c r="G10" s="4543"/>
      <c r="H10" s="4543"/>
      <c r="I10" s="4543"/>
      <c r="J10" s="4543"/>
      <c r="K10" s="4070"/>
      <c r="L10" s="4070"/>
      <c r="M10" s="4070"/>
      <c r="N10" s="4070"/>
      <c r="O10" s="4070"/>
      <c r="P10" s="4070"/>
      <c r="Q10" s="4070"/>
    </row>
    <row r="11" spans="1:17">
      <c r="A11" s="4051"/>
      <c r="B11" s="4051"/>
      <c r="C11" s="4051"/>
      <c r="D11" s="4051"/>
      <c r="E11" s="4051"/>
      <c r="F11" s="4051"/>
      <c r="G11" s="4051"/>
      <c r="H11" s="4051"/>
      <c r="I11" s="4051"/>
      <c r="J11" s="4051"/>
    </row>
    <row r="12" spans="1:17">
      <c r="A12" s="4071"/>
    </row>
  </sheetData>
  <mergeCells count="3">
    <mergeCell ref="A3:J4"/>
    <mergeCell ref="A6:J8"/>
    <mergeCell ref="A10:J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AU125"/>
  <sheetViews>
    <sheetView showGridLines="0" zoomScale="70" zoomScaleNormal="70" zoomScaleSheetLayoutView="90" workbookViewId="0">
      <pane xSplit="2" ySplit="3" topLeftCell="C43" activePane="bottomRight" state="frozen"/>
      <selection activeCell="K31" sqref="K31"/>
      <selection pane="topRight" activeCell="K31" sqref="K31"/>
      <selection pane="bottomLeft" activeCell="K31" sqref="K31"/>
      <selection pane="bottomRight" activeCell="B5" sqref="B5"/>
    </sheetView>
  </sheetViews>
  <sheetFormatPr defaultRowHeight="18"/>
  <cols>
    <col min="1" max="1" width="9.140625" style="2958" customWidth="1"/>
    <col min="2" max="2" width="61.28515625" style="2958" customWidth="1"/>
    <col min="3" max="3" width="13.140625" style="1998" customWidth="1"/>
    <col min="4" max="5" width="13.140625" style="2958" customWidth="1"/>
    <col min="6" max="6" width="13.7109375" style="2958" customWidth="1"/>
    <col min="7" max="7" width="13.7109375" style="1993" customWidth="1"/>
    <col min="8" max="8" width="10.7109375" style="2958" bestFit="1" customWidth="1"/>
    <col min="9" max="14" width="9.140625" style="2958"/>
    <col min="15" max="15" width="10.7109375" style="2958" bestFit="1" customWidth="1"/>
    <col min="16" max="16384" width="9.140625" style="2958"/>
  </cols>
  <sheetData>
    <row r="1" spans="1:8">
      <c r="A1" s="2957"/>
      <c r="B1" s="4547" t="s">
        <v>1633</v>
      </c>
      <c r="C1" s="4547"/>
      <c r="D1" s="4547"/>
      <c r="E1" s="4547"/>
      <c r="F1" s="4547"/>
      <c r="G1" s="4547"/>
    </row>
    <row r="2" spans="1:8">
      <c r="B2" s="3204"/>
      <c r="C2" s="1992"/>
      <c r="D2" s="2957"/>
      <c r="E2" s="2957"/>
    </row>
    <row r="3" spans="1:8" ht="17.25" customHeight="1">
      <c r="B3" s="2967" t="s">
        <v>610</v>
      </c>
      <c r="C3" s="3179" t="s">
        <v>1490</v>
      </c>
      <c r="D3" s="3130" t="s">
        <v>1652</v>
      </c>
      <c r="E3" s="3130" t="s">
        <v>1646</v>
      </c>
      <c r="F3" s="3177" t="s">
        <v>1698</v>
      </c>
      <c r="G3" s="3176" t="s">
        <v>1802</v>
      </c>
    </row>
    <row r="4" spans="1:8" ht="7.5" customHeight="1">
      <c r="B4" s="2959"/>
      <c r="C4" s="3186"/>
      <c r="D4" s="3187"/>
      <c r="E4" s="3188"/>
      <c r="F4" s="3189"/>
      <c r="G4" s="3190"/>
    </row>
    <row r="5" spans="1:8" ht="17.25" customHeight="1">
      <c r="B5" s="2960" t="s">
        <v>1678</v>
      </c>
      <c r="C5" s="3191"/>
      <c r="D5" s="3192"/>
      <c r="E5" s="3193"/>
      <c r="F5" s="3194"/>
      <c r="G5" s="3195"/>
    </row>
    <row r="6" spans="1:8" ht="17.25" customHeight="1">
      <c r="B6" s="2959" t="s">
        <v>1685</v>
      </c>
      <c r="C6" s="3134">
        <v>11.73</v>
      </c>
      <c r="D6" s="3131">
        <v>7.9</v>
      </c>
      <c r="E6" s="3132">
        <v>5.0999999999999996</v>
      </c>
      <c r="F6" s="3134">
        <v>2.0499999999999998</v>
      </c>
      <c r="G6" s="3199">
        <v>5.5</v>
      </c>
      <c r="H6" s="2957"/>
    </row>
    <row r="7" spans="1:8" ht="17.25" customHeight="1">
      <c r="B7" s="2959" t="s">
        <v>1564</v>
      </c>
      <c r="C7" s="3134">
        <v>8.33</v>
      </c>
      <c r="D7" s="3131">
        <v>13.53</v>
      </c>
      <c r="E7" s="3131">
        <v>5.51</v>
      </c>
      <c r="F7" s="3134">
        <v>8.08</v>
      </c>
      <c r="G7" s="3185">
        <v>4.74</v>
      </c>
    </row>
    <row r="8" spans="1:8" ht="17.25" customHeight="1">
      <c r="B8" s="2959" t="s">
        <v>1647</v>
      </c>
      <c r="C8" s="3134"/>
      <c r="D8" s="3131">
        <v>0.11</v>
      </c>
      <c r="E8" s="3131">
        <v>-0.17</v>
      </c>
      <c r="F8" s="3134">
        <v>3.59</v>
      </c>
      <c r="G8" s="3185">
        <v>-1.7</v>
      </c>
    </row>
    <row r="9" spans="1:8" ht="17.25" customHeight="1">
      <c r="B9" s="2959" t="s">
        <v>1684</v>
      </c>
      <c r="C9" s="3134"/>
      <c r="D9" s="3131">
        <v>0.1</v>
      </c>
      <c r="E9" s="3131">
        <v>-0.16896648831315764</v>
      </c>
      <c r="F9" s="3134">
        <v>3.59</v>
      </c>
      <c r="G9" s="3185">
        <v>-1.7</v>
      </c>
    </row>
    <row r="10" spans="1:8" ht="17.25" customHeight="1">
      <c r="B10" s="2959" t="s">
        <v>1648</v>
      </c>
      <c r="C10" s="3134">
        <v>9.8679471788715407</v>
      </c>
      <c r="D10" s="3131">
        <v>7.4300699300699176</v>
      </c>
      <c r="E10" s="3131">
        <v>4.8820179007323032</v>
      </c>
      <c r="F10" s="3134">
        <v>5.6051202482544733</v>
      </c>
      <c r="G10" s="3185">
        <v>-2.2000000000000002</v>
      </c>
    </row>
    <row r="11" spans="1:8" ht="17.25" customHeight="1">
      <c r="B11" s="2959"/>
      <c r="C11" s="3134"/>
      <c r="D11" s="3131"/>
      <c r="E11" s="3132"/>
      <c r="F11" s="3134"/>
      <c r="G11" s="3196"/>
    </row>
    <row r="12" spans="1:8" ht="17.25" customHeight="1">
      <c r="B12" s="2960" t="s">
        <v>1759</v>
      </c>
      <c r="C12" s="3134"/>
      <c r="D12" s="3131"/>
      <c r="E12" s="3132"/>
      <c r="F12" s="3134"/>
      <c r="G12" s="3196"/>
    </row>
    <row r="13" spans="1:8" ht="17.25" customHeight="1">
      <c r="B13" s="2959" t="s">
        <v>571</v>
      </c>
      <c r="C13" s="3134">
        <v>28171.8</v>
      </c>
      <c r="D13" s="3131">
        <v>32646.400000000001</v>
      </c>
      <c r="E13" s="3133">
        <v>30656.116999999998</v>
      </c>
      <c r="F13" s="3134">
        <v>33171.752</v>
      </c>
      <c r="G13" s="3184">
        <v>36400.135999999999</v>
      </c>
      <c r="H13" s="3198"/>
    </row>
    <row r="14" spans="1:8" ht="17.25" customHeight="1">
      <c r="B14" s="2959" t="s">
        <v>1338</v>
      </c>
      <c r="C14" s="3134">
        <v>10497.7</v>
      </c>
      <c r="D14" s="3131">
        <v>12501.5</v>
      </c>
      <c r="E14" s="3133">
        <v>9562.6360000000004</v>
      </c>
      <c r="F14" s="3134">
        <v>11179.825000000001</v>
      </c>
      <c r="G14" s="3184">
        <v>11153.268</v>
      </c>
    </row>
    <row r="15" spans="1:8" ht="17.25" customHeight="1">
      <c r="B15" s="2959" t="s">
        <v>579</v>
      </c>
      <c r="C15" s="3134">
        <v>29842.400000000001</v>
      </c>
      <c r="D15" s="3131">
        <v>33688</v>
      </c>
      <c r="E15" s="3133">
        <v>34900.809000000001</v>
      </c>
      <c r="F15" s="3134">
        <v>37773.339999999997</v>
      </c>
      <c r="G15" s="3184">
        <v>39211.019</v>
      </c>
      <c r="H15" s="3198"/>
    </row>
    <row r="16" spans="1:8" ht="17.25" customHeight="1">
      <c r="B16" s="2959" t="s">
        <v>580</v>
      </c>
      <c r="C16" s="3134">
        <v>2938.8999999999996</v>
      </c>
      <c r="D16" s="3131">
        <v>3439.2000000000007</v>
      </c>
      <c r="E16" s="3133">
        <v>2996.93</v>
      </c>
      <c r="F16" s="3134">
        <v>2730.6</v>
      </c>
      <c r="G16" s="3184">
        <v>3202.7330000000002</v>
      </c>
    </row>
    <row r="17" spans="2:8" ht="17.25" customHeight="1">
      <c r="B17" s="2959" t="s">
        <v>581</v>
      </c>
      <c r="C17" s="3134">
        <v>-1670.7</v>
      </c>
      <c r="D17" s="3131">
        <v>-1041.7</v>
      </c>
      <c r="E17" s="3133">
        <v>-4244.692</v>
      </c>
      <c r="F17" s="3134">
        <v>-4601.5879999999997</v>
      </c>
      <c r="G17" s="3184">
        <v>-2810.8829999999998</v>
      </c>
      <c r="H17" s="3198"/>
    </row>
    <row r="18" spans="2:8" ht="17.25" customHeight="1">
      <c r="B18" s="2959" t="s">
        <v>595</v>
      </c>
      <c r="C18" s="3134">
        <v>-2.3045205957131256</v>
      </c>
      <c r="D18" s="3131">
        <v>-1.2262505913772113</v>
      </c>
      <c r="E18" s="3131">
        <v>-4.3556316811721265</v>
      </c>
      <c r="F18" s="3131">
        <v>-4.3667299782165871</v>
      </c>
      <c r="G18" s="3184">
        <v>-2.2999999999999998</v>
      </c>
    </row>
    <row r="19" spans="2:8" ht="17.25" customHeight="1">
      <c r="B19" s="2959"/>
      <c r="C19" s="3134"/>
      <c r="D19" s="3131"/>
      <c r="E19" s="3132"/>
      <c r="F19" s="3132"/>
      <c r="G19" s="3195"/>
    </row>
    <row r="20" spans="2:8" ht="17.25" customHeight="1">
      <c r="B20" s="2960" t="s">
        <v>1679</v>
      </c>
      <c r="C20" s="3134"/>
      <c r="D20" s="3131"/>
      <c r="E20" s="3132"/>
      <c r="F20" s="3132"/>
      <c r="G20" s="3195"/>
    </row>
    <row r="21" spans="2:8" ht="17.25" customHeight="1">
      <c r="B21" s="2959" t="s">
        <v>1601</v>
      </c>
      <c r="C21" s="3134">
        <v>21.212827038141999</v>
      </c>
      <c r="D21" s="3131">
        <v>-1.0207324568910479</v>
      </c>
      <c r="E21" s="3131">
        <v>18.610948759153619</v>
      </c>
      <c r="F21" s="3131">
        <v>6.621484352558328</v>
      </c>
      <c r="G21" s="3196">
        <v>7.8193141778084705</v>
      </c>
      <c r="H21" s="1994"/>
    </row>
    <row r="22" spans="2:8" ht="17.25" customHeight="1">
      <c r="B22" s="2959" t="s">
        <v>1340</v>
      </c>
      <c r="C22" s="3134">
        <v>29.357553123600066</v>
      </c>
      <c r="D22" s="3131">
        <v>30.065134830476431</v>
      </c>
      <c r="E22" s="3131">
        <v>7.0652928830689357</v>
      </c>
      <c r="F22" s="3131">
        <v>6.4369184465123723</v>
      </c>
      <c r="G22" s="3196">
        <v>14.002596264712647</v>
      </c>
      <c r="H22" s="1994"/>
    </row>
    <row r="23" spans="2:8" ht="17.25" customHeight="1">
      <c r="B23" s="2959"/>
      <c r="C23" s="3134"/>
      <c r="D23" s="3131"/>
      <c r="E23" s="3132"/>
      <c r="F23" s="3132"/>
      <c r="G23" s="3196"/>
      <c r="H23" s="1994"/>
    </row>
    <row r="24" spans="2:8" ht="17.25" customHeight="1">
      <c r="B24" s="2960" t="s">
        <v>1680</v>
      </c>
      <c r="C24" s="3134"/>
      <c r="D24" s="3131"/>
      <c r="E24" s="3132"/>
      <c r="F24" s="3132"/>
      <c r="G24" s="3196"/>
      <c r="H24" s="1994"/>
    </row>
    <row r="25" spans="2:8" ht="17.25" customHeight="1">
      <c r="B25" s="2959" t="s">
        <v>1731</v>
      </c>
      <c r="C25" s="3134" t="s">
        <v>1764</v>
      </c>
      <c r="D25" s="3131" t="s">
        <v>1764</v>
      </c>
      <c r="E25" s="3131" t="s">
        <v>1765</v>
      </c>
      <c r="F25" s="3134" t="s">
        <v>1766</v>
      </c>
      <c r="G25" s="3183" t="s">
        <v>1803</v>
      </c>
    </row>
    <row r="26" spans="2:8" ht="17.25" customHeight="1">
      <c r="B26" s="2959" t="s">
        <v>261</v>
      </c>
      <c r="C26" s="3134" t="s">
        <v>1563</v>
      </c>
      <c r="D26" s="3131" t="s">
        <v>601</v>
      </c>
      <c r="E26" s="3131" t="s">
        <v>1763</v>
      </c>
      <c r="F26" s="3134" t="s">
        <v>601</v>
      </c>
      <c r="G26" s="3183" t="s">
        <v>1804</v>
      </c>
    </row>
    <row r="27" spans="2:8" ht="17.25" customHeight="1">
      <c r="B27" s="2959" t="s">
        <v>1696</v>
      </c>
      <c r="C27" s="3134">
        <v>2</v>
      </c>
      <c r="D27" s="3131">
        <v>4.12</v>
      </c>
      <c r="E27" s="3131">
        <v>3</v>
      </c>
      <c r="F27" s="3131">
        <v>2.2799999999999998</v>
      </c>
      <c r="G27" s="3183">
        <v>0.13</v>
      </c>
    </row>
    <row r="28" spans="2:8" ht="17.25" customHeight="1">
      <c r="B28" s="2959"/>
      <c r="C28" s="3134"/>
      <c r="D28" s="3131"/>
      <c r="E28" s="3132"/>
      <c r="F28" s="3132"/>
      <c r="G28" s="3195"/>
    </row>
    <row r="29" spans="2:8" ht="17.25" customHeight="1">
      <c r="B29" s="2960" t="s">
        <v>1760</v>
      </c>
      <c r="C29" s="3134"/>
      <c r="D29" s="3131"/>
      <c r="E29" s="3132"/>
      <c r="F29" s="3132"/>
      <c r="G29" s="3195"/>
    </row>
    <row r="30" spans="2:8" ht="17.25" customHeight="1">
      <c r="B30" s="2959" t="s">
        <v>1676</v>
      </c>
      <c r="C30" s="3131">
        <v>-20835.337758976661</v>
      </c>
      <c r="D30" s="3131">
        <v>-19880.622604943073</v>
      </c>
      <c r="E30" s="3131">
        <v>-20708.521364766762</v>
      </c>
      <c r="F30" s="3131">
        <v>-24170.507237485181</v>
      </c>
      <c r="G30" s="3182">
        <v>-26021.640104231497</v>
      </c>
    </row>
    <row r="31" spans="2:8" ht="17.25" customHeight="1">
      <c r="B31" s="2959" t="s">
        <v>1341</v>
      </c>
      <c r="C31" s="3131">
        <v>-15160.015241426911</v>
      </c>
      <c r="D31" s="3131">
        <v>-12795.145149518981</v>
      </c>
      <c r="E31" s="3131">
        <v>-17468.843404320756</v>
      </c>
      <c r="F31" s="3131">
        <v>-17362.449740492222</v>
      </c>
      <c r="G31" s="3182">
        <v>-19048.736572005106</v>
      </c>
    </row>
    <row r="32" spans="2:8" ht="17.25" customHeight="1">
      <c r="B32" s="2959" t="s">
        <v>588</v>
      </c>
      <c r="C32" s="3131">
        <v>-23431.05085406718</v>
      </c>
      <c r="D32" s="3131">
        <v>-19600.603938542601</v>
      </c>
      <c r="E32" s="3131">
        <v>-25769.319199181831</v>
      </c>
      <c r="F32" s="3131">
        <v>-29694.081636433959</v>
      </c>
      <c r="G32" s="3182">
        <v>-36084.749031903251</v>
      </c>
    </row>
    <row r="33" spans="2:7" ht="17.25" customHeight="1">
      <c r="B33" s="2959" t="s">
        <v>1342</v>
      </c>
      <c r="C33" s="3131">
        <v>-32.320188706769279</v>
      </c>
      <c r="D33" s="3131">
        <v>-23.073103744828991</v>
      </c>
      <c r="E33" s="3131">
        <v>-26.442828621297732</v>
      </c>
      <c r="F33" s="3131">
        <v>-28.17854107265293</v>
      </c>
      <c r="G33" s="3182">
        <v>-30.184886812935495</v>
      </c>
    </row>
    <row r="34" spans="2:7" ht="17.25" customHeight="1">
      <c r="B34" s="2959" t="s">
        <v>1341</v>
      </c>
      <c r="C34" s="3131">
        <v>-15160.015241426911</v>
      </c>
      <c r="D34" s="3131">
        <v>-12795.145149518981</v>
      </c>
      <c r="E34" s="3131">
        <v>-17468.843404320756</v>
      </c>
      <c r="F34" s="3131">
        <v>-17362.449740492222</v>
      </c>
      <c r="G34" s="3182">
        <v>-19048.736572005106</v>
      </c>
    </row>
    <row r="35" spans="2:7" ht="17.25" customHeight="1">
      <c r="B35" s="2959" t="s">
        <v>1342</v>
      </c>
      <c r="C35" s="3131">
        <v>-20.911334982458374</v>
      </c>
      <c r="D35" s="3131">
        <v>-15.061970151055876</v>
      </c>
      <c r="E35" s="3131">
        <v>-17.925410787235972</v>
      </c>
      <c r="F35" s="3131">
        <v>-16.476296829939187</v>
      </c>
      <c r="G35" s="3182">
        <v>-15.934265105932818</v>
      </c>
    </row>
    <row r="36" spans="2:7" ht="17.25" customHeight="1">
      <c r="B36" s="2959" t="s">
        <v>1756</v>
      </c>
      <c r="C36" s="3131">
        <v>11784.356748668924</v>
      </c>
      <c r="D36" s="3131">
        <v>11232.07816636307</v>
      </c>
      <c r="E36" s="3131">
        <v>17933.716861932662</v>
      </c>
      <c r="F36" s="3131">
        <v>18710.005465017104</v>
      </c>
      <c r="G36" s="3182">
        <v>24217.700327381495</v>
      </c>
    </row>
    <row r="37" spans="2:7" ht="17.25" customHeight="1">
      <c r="B37" s="2959" t="s">
        <v>1343</v>
      </c>
      <c r="C37" s="3131">
        <v>7186.45291490411</v>
      </c>
      <c r="D37" s="3131">
        <v>9675.3548644931507</v>
      </c>
      <c r="E37" s="3131">
        <v>14275.732737808219</v>
      </c>
      <c r="F37" s="3131">
        <v>16347.453792712326</v>
      </c>
      <c r="G37" s="3182">
        <v>22889.990813082193</v>
      </c>
    </row>
    <row r="38" spans="2:7" ht="17.25" customHeight="1">
      <c r="B38" s="2959" t="s">
        <v>589</v>
      </c>
      <c r="C38" s="3131">
        <v>-1823.4193887353192</v>
      </c>
      <c r="D38" s="3131">
        <v>-9487.3210995462941</v>
      </c>
      <c r="E38" s="3131">
        <v>1079.0626854584789</v>
      </c>
      <c r="F38" s="3131">
        <v>3157.9531944398682</v>
      </c>
      <c r="G38" s="3182">
        <v>-2342.8434133963719</v>
      </c>
    </row>
    <row r="39" spans="2:7" ht="17.25" customHeight="1">
      <c r="B39" s="2959" t="s">
        <v>581</v>
      </c>
      <c r="C39" s="3131">
        <v>797.53525601143053</v>
      </c>
      <c r="D39" s="3131">
        <v>-9068.4242026272768</v>
      </c>
      <c r="E39" s="3131">
        <v>9212.1625025590329</v>
      </c>
      <c r="F39" s="3131">
        <v>4280.4914895831407</v>
      </c>
      <c r="G39" s="3182">
        <v>-560.41210280853727</v>
      </c>
    </row>
    <row r="40" spans="2:7" ht="17.25" customHeight="1">
      <c r="B40" s="2959" t="s">
        <v>595</v>
      </c>
      <c r="C40" s="3131">
        <v>1.1000996129081713</v>
      </c>
      <c r="D40" s="3131">
        <v>-10.675012519277253</v>
      </c>
      <c r="E40" s="3131">
        <v>9.452932473840745</v>
      </c>
      <c r="F40" s="3131">
        <v>4.0620217431599004</v>
      </c>
      <c r="G40" s="3182">
        <v>-0.46878463466433179</v>
      </c>
    </row>
    <row r="41" spans="2:7" ht="17.25" customHeight="1">
      <c r="B41" s="2959"/>
      <c r="C41" s="3134"/>
      <c r="D41" s="3131"/>
      <c r="E41" s="3132"/>
      <c r="F41" s="3132"/>
      <c r="G41" s="3195"/>
    </row>
    <row r="42" spans="2:7" ht="17.25" customHeight="1">
      <c r="B42" s="2960" t="s">
        <v>1681</v>
      </c>
      <c r="C42" s="3134"/>
      <c r="D42" s="3131"/>
      <c r="E42" s="3132"/>
      <c r="F42" s="3132"/>
      <c r="G42" s="3195" t="s">
        <v>143</v>
      </c>
    </row>
    <row r="43" spans="2:7" ht="17.25" customHeight="1">
      <c r="B43" s="2959" t="s">
        <v>1761</v>
      </c>
      <c r="C43" s="3134">
        <v>796.18189541479728</v>
      </c>
      <c r="D43" s="3134">
        <v>674.2930490756363</v>
      </c>
      <c r="E43" s="3134">
        <v>916.86453074916858</v>
      </c>
      <c r="F43" s="3134">
        <v>997.90950168245058</v>
      </c>
      <c r="G43" s="3196">
        <v>958.45060894692028</v>
      </c>
    </row>
    <row r="44" spans="2:7" ht="17.25" customHeight="1">
      <c r="B44" s="2959" t="s">
        <v>137</v>
      </c>
      <c r="C44" s="3134">
        <v>8.3784565726262876</v>
      </c>
      <c r="D44" s="3134">
        <v>8.9552380741685038</v>
      </c>
      <c r="E44" s="3134">
        <v>12.970701545125184</v>
      </c>
      <c r="F44" s="3131">
        <v>12.614058593946883</v>
      </c>
      <c r="G44" s="3196">
        <v>11.841584475954551</v>
      </c>
    </row>
    <row r="45" spans="2:7" ht="17.25" customHeight="1">
      <c r="B45" s="2959" t="s">
        <v>1689</v>
      </c>
      <c r="C45" s="3134">
        <v>79.531104105835041</v>
      </c>
      <c r="D45" s="3134">
        <v>87.411276238032912</v>
      </c>
      <c r="E45" s="3134">
        <v>98.433703278438088</v>
      </c>
      <c r="F45" s="3131">
        <v>100.30678727170219</v>
      </c>
      <c r="G45" s="3200">
        <v>98.906508219248181</v>
      </c>
    </row>
    <row r="46" spans="2:7">
      <c r="B46" s="2959" t="s">
        <v>1690</v>
      </c>
      <c r="C46" s="3134">
        <v>51.653528652690639</v>
      </c>
      <c r="D46" s="3134">
        <v>127.12988281751309</v>
      </c>
      <c r="E46" s="3134">
        <v>229.20411266075956</v>
      </c>
      <c r="F46" s="3134">
        <v>27.140829328373229</v>
      </c>
      <c r="G46" s="3201">
        <v>19.844511794972256</v>
      </c>
    </row>
    <row r="47" spans="2:7">
      <c r="B47" s="2961"/>
      <c r="C47" s="3136"/>
      <c r="D47" s="3135"/>
      <c r="E47" s="3136"/>
      <c r="F47" s="3136"/>
      <c r="G47" s="3195"/>
    </row>
    <row r="48" spans="2:7" ht="17.25" customHeight="1">
      <c r="B48" s="2960" t="s">
        <v>1556</v>
      </c>
      <c r="C48" s="3134"/>
      <c r="D48" s="3131"/>
      <c r="E48" s="3134"/>
      <c r="F48" s="3134"/>
      <c r="G48" s="3195"/>
    </row>
    <row r="49" spans="2:7" ht="17.25" customHeight="1">
      <c r="B49" s="2959" t="s">
        <v>1686</v>
      </c>
      <c r="C49" s="3134"/>
      <c r="D49" s="3131"/>
      <c r="E49" s="3134"/>
      <c r="F49" s="3134"/>
      <c r="G49" s="3195"/>
    </row>
    <row r="50" spans="2:7" ht="17.25" customHeight="1">
      <c r="B50" s="2959" t="s">
        <v>1687</v>
      </c>
      <c r="C50" s="3134">
        <v>72496.639999999999</v>
      </c>
      <c r="D50" s="3131">
        <v>84950.01</v>
      </c>
      <c r="E50" s="3131">
        <v>97452.96</v>
      </c>
      <c r="F50" s="3131">
        <v>105378.35</v>
      </c>
      <c r="G50" s="3182">
        <v>119545.74902178999</v>
      </c>
    </row>
    <row r="51" spans="2:7" ht="17.25" customHeight="1">
      <c r="B51" s="2959" t="s">
        <v>1557</v>
      </c>
      <c r="C51" s="3134">
        <v>45.332958333333345</v>
      </c>
      <c r="D51" s="3131">
        <v>50.270039999999995</v>
      </c>
      <c r="E51" s="3131">
        <v>54.857727899610147</v>
      </c>
      <c r="F51" s="3131">
        <v>61.471157565789468</v>
      </c>
      <c r="G51" s="3182">
        <v>62.050931165029148</v>
      </c>
    </row>
    <row r="52" spans="2:7" ht="17.25" customHeight="1">
      <c r="B52" s="2959" t="s">
        <v>1558</v>
      </c>
      <c r="C52" s="3134">
        <v>50639.795564975997</v>
      </c>
      <c r="D52" s="3131">
        <v>50122.898735541006</v>
      </c>
      <c r="E52" s="3131">
        <v>59451.245735814999</v>
      </c>
      <c r="F52" s="3131">
        <v>63387.800669612989</v>
      </c>
      <c r="G52" s="3182">
        <v>68344.292054373014</v>
      </c>
    </row>
    <row r="53" spans="2:7" ht="17.25" customHeight="1">
      <c r="B53" s="2959" t="s">
        <v>1559</v>
      </c>
      <c r="C53" s="3134">
        <v>30270.278956636001</v>
      </c>
      <c r="D53" s="3131">
        <v>31960.201322221008</v>
      </c>
      <c r="E53" s="3131">
        <v>37794.125305645</v>
      </c>
      <c r="F53" s="3131">
        <v>39701.841684742991</v>
      </c>
      <c r="G53" s="3182">
        <v>41675.504334275014</v>
      </c>
    </row>
    <row r="54" spans="2:7" ht="17.25" customHeight="1">
      <c r="B54" s="2962" t="s">
        <v>598</v>
      </c>
      <c r="C54" s="3134"/>
      <c r="D54" s="3131"/>
      <c r="E54" s="3131"/>
      <c r="F54" s="3131"/>
      <c r="G54" s="3182"/>
    </row>
    <row r="55" spans="2:7" ht="17.25" customHeight="1">
      <c r="B55" s="2963" t="s">
        <v>1560</v>
      </c>
      <c r="C55" s="3134">
        <v>35144.506963619999</v>
      </c>
      <c r="D55" s="3131">
        <v>35168.555644410008</v>
      </c>
      <c r="E55" s="3131">
        <v>48566.382606624997</v>
      </c>
      <c r="F55" s="3131">
        <v>53886.461494811512</v>
      </c>
      <c r="G55" s="3182">
        <v>58248.736068217506</v>
      </c>
    </row>
    <row r="56" spans="2:7" ht="17.25" customHeight="1">
      <c r="B56" s="2963" t="s">
        <v>199</v>
      </c>
      <c r="C56" s="3134">
        <v>30705.716185640002</v>
      </c>
      <c r="D56" s="3131">
        <v>46466.080596448002</v>
      </c>
      <c r="E56" s="3131">
        <v>52432.260981580999</v>
      </c>
      <c r="F56" s="3131">
        <v>52299.011466129996</v>
      </c>
      <c r="G56" s="3182">
        <v>56255.122860815973</v>
      </c>
    </row>
    <row r="57" spans="2:7" ht="17.25" customHeight="1">
      <c r="B57" s="2964" t="s">
        <v>602</v>
      </c>
      <c r="C57" s="3134">
        <v>33625.174926840002</v>
      </c>
      <c r="D57" s="3131">
        <v>43734.629105578002</v>
      </c>
      <c r="E57" s="3131">
        <v>46824.608743211</v>
      </c>
      <c r="F57" s="3131">
        <v>49838.670620909994</v>
      </c>
      <c r="G57" s="3182">
        <v>56820.535281605975</v>
      </c>
    </row>
    <row r="58" spans="2:7" ht="17.25" customHeight="1">
      <c r="B58" s="2962" t="s">
        <v>603</v>
      </c>
      <c r="C58" s="3134"/>
      <c r="D58" s="3131"/>
      <c r="E58" s="3131"/>
      <c r="F58" s="3131"/>
      <c r="G58" s="3182"/>
    </row>
    <row r="59" spans="2:7" ht="17.25" customHeight="1">
      <c r="B59" s="2963" t="s">
        <v>1561</v>
      </c>
      <c r="C59" s="3134">
        <v>6893.6794676700001</v>
      </c>
      <c r="D59" s="3131">
        <v>6390.6904204000002</v>
      </c>
      <c r="E59" s="3131">
        <v>5681.242274180001</v>
      </c>
      <c r="F59" s="3131">
        <v>5704.5772202399994</v>
      </c>
      <c r="G59" s="3182">
        <v>5946.0605407500007</v>
      </c>
    </row>
    <row r="60" spans="2:7" ht="17.25" customHeight="1">
      <c r="B60" s="2966" t="s">
        <v>1682</v>
      </c>
      <c r="C60" s="3134">
        <v>23376.599488966</v>
      </c>
      <c r="D60" s="3131">
        <v>25569.510901821006</v>
      </c>
      <c r="E60" s="3131">
        <v>32112.883031464997</v>
      </c>
      <c r="F60" s="3131">
        <v>33997.264464502994</v>
      </c>
      <c r="G60" s="3182">
        <v>35729.443793525017</v>
      </c>
    </row>
    <row r="61" spans="2:7" ht="17.25" customHeight="1">
      <c r="B61" s="2966" t="s">
        <v>1683</v>
      </c>
      <c r="C61" s="3134">
        <v>20369.51660834</v>
      </c>
      <c r="D61" s="3131">
        <v>18162.697413320002</v>
      </c>
      <c r="E61" s="3131">
        <v>21657.120430169998</v>
      </c>
      <c r="F61" s="3131">
        <v>23685.958984869998</v>
      </c>
      <c r="G61" s="3182">
        <v>26668.787720098</v>
      </c>
    </row>
    <row r="62" spans="2:7" ht="17.25" customHeight="1">
      <c r="B62" s="2959" t="s">
        <v>1755</v>
      </c>
      <c r="C62" s="3134">
        <v>19727.626879979998</v>
      </c>
      <c r="D62" s="3131">
        <v>16743.109754600002</v>
      </c>
      <c r="E62" s="3131">
        <v>23997.376380819998</v>
      </c>
      <c r="F62" s="3131">
        <v>26638.205917209998</v>
      </c>
      <c r="G62" s="3182">
        <v>26248.806551450001</v>
      </c>
    </row>
    <row r="63" spans="2:7" ht="17.25" customHeight="1">
      <c r="B63" s="2959" t="s">
        <v>1688</v>
      </c>
      <c r="C63" s="3134">
        <v>11927.352111979999</v>
      </c>
      <c r="D63" s="3131">
        <v>9397.6726866000008</v>
      </c>
      <c r="E63" s="3131">
        <v>16607.647412819999</v>
      </c>
      <c r="F63" s="3131">
        <v>18543.669899209999</v>
      </c>
      <c r="G63" s="3182">
        <v>16916.618533450001</v>
      </c>
    </row>
    <row r="64" spans="2:7" ht="17.25" customHeight="1">
      <c r="B64" s="2959" t="s">
        <v>1677</v>
      </c>
      <c r="C64" s="3134">
        <v>2.5669481622427837</v>
      </c>
      <c r="D64" s="3131">
        <v>2.9936433237421882</v>
      </c>
      <c r="E64" s="3131">
        <v>2.4774060627449113</v>
      </c>
      <c r="F64" s="3131">
        <v>2.3795822010918681</v>
      </c>
      <c r="G64" s="3182">
        <v>2.6037104551939194</v>
      </c>
    </row>
    <row r="65" spans="2:47" ht="17.25" customHeight="1">
      <c r="B65" s="2959" t="s">
        <v>1691</v>
      </c>
      <c r="C65" s="3134">
        <v>1.4316139943136115</v>
      </c>
      <c r="D65" s="3131">
        <v>1.6948343400531198</v>
      </c>
      <c r="E65" s="3131">
        <v>1.6392080400308882</v>
      </c>
      <c r="F65" s="3131">
        <v>1.6624389691203871</v>
      </c>
      <c r="G65" s="3182">
        <v>1.7491694687053365</v>
      </c>
    </row>
    <row r="66" spans="2:47" ht="17.25" customHeight="1">
      <c r="B66" s="2959" t="s">
        <v>1692</v>
      </c>
      <c r="C66" s="3134">
        <v>2.4716786817713698</v>
      </c>
      <c r="D66" s="3131">
        <v>2.3977027997128499</v>
      </c>
      <c r="E66" s="3137">
        <v>3.0356141334828939</v>
      </c>
      <c r="F66" s="3137">
        <v>1.5090154453289788</v>
      </c>
      <c r="G66" s="3199">
        <v>1.3</v>
      </c>
    </row>
    <row r="67" spans="2:47" ht="17.25" customHeight="1">
      <c r="B67" s="2965" t="s">
        <v>1693</v>
      </c>
      <c r="C67" s="3180">
        <v>3.3</v>
      </c>
      <c r="D67" s="3138">
        <v>3.1</v>
      </c>
      <c r="E67" s="3139">
        <v>2.1</v>
      </c>
      <c r="F67" s="3178">
        <v>2.9</v>
      </c>
      <c r="G67" s="3199">
        <v>2.6</v>
      </c>
    </row>
    <row r="68" spans="2:47" ht="116.25" customHeight="1">
      <c r="B68" s="4546" t="s">
        <v>1817</v>
      </c>
      <c r="C68" s="4546"/>
      <c r="D68" s="4546"/>
      <c r="E68" s="4546"/>
      <c r="F68" s="4546"/>
      <c r="G68" s="4546"/>
      <c r="X68" s="3329"/>
    </row>
    <row r="69" spans="2:47">
      <c r="B69" s="4545"/>
      <c r="C69" s="4545"/>
      <c r="D69" s="4545"/>
      <c r="E69" s="4545"/>
      <c r="F69" s="4545"/>
      <c r="G69" s="4544"/>
      <c r="H69" s="4544"/>
      <c r="I69" s="4544"/>
      <c r="J69" s="4544"/>
      <c r="K69" s="4544"/>
      <c r="L69" s="4544"/>
      <c r="M69" s="4544"/>
      <c r="N69" s="4544"/>
      <c r="O69" s="4544"/>
      <c r="P69" s="4544"/>
      <c r="Q69" s="4544"/>
      <c r="R69" s="4544"/>
      <c r="S69" s="4544"/>
      <c r="U69" s="2957"/>
      <c r="V69" s="2957"/>
      <c r="W69" s="2957"/>
      <c r="X69" s="3330"/>
      <c r="Y69" s="1992"/>
      <c r="Z69" s="2957"/>
    </row>
    <row r="70" spans="2:47">
      <c r="B70" s="1996"/>
      <c r="C70" s="1995"/>
      <c r="D70" s="2956"/>
      <c r="E70" s="2956"/>
      <c r="F70" s="2956"/>
      <c r="G70" s="2958"/>
      <c r="X70" s="3329"/>
    </row>
    <row r="71" spans="2:47">
      <c r="B71" s="1996"/>
      <c r="C71" s="1995"/>
      <c r="D71" s="2956"/>
      <c r="E71" s="2956"/>
      <c r="F71" s="2956"/>
      <c r="G71" s="2958"/>
    </row>
    <row r="72" spans="2:47">
      <c r="C72" s="1995" t="s">
        <v>143</v>
      </c>
      <c r="D72" s="2956"/>
      <c r="E72" s="2956"/>
      <c r="F72" s="2956"/>
      <c r="G72" s="2958"/>
    </row>
    <row r="73" spans="2:47">
      <c r="C73" s="1995"/>
      <c r="D73" s="2956"/>
      <c r="E73" s="2956"/>
      <c r="F73" s="2956"/>
      <c r="G73" s="2958"/>
      <c r="Y73" s="3204"/>
      <c r="Z73" s="3204"/>
    </row>
    <row r="74" spans="2:47">
      <c r="C74" s="1998" t="s">
        <v>143</v>
      </c>
      <c r="G74" s="2958"/>
      <c r="Y74" s="3204"/>
      <c r="Z74" s="3328"/>
      <c r="AA74" s="1997"/>
      <c r="AB74" s="1997"/>
      <c r="AC74" s="1997"/>
      <c r="AD74" s="1997"/>
      <c r="AE74" s="1997"/>
      <c r="AF74" s="1997"/>
      <c r="AG74" s="1997"/>
      <c r="AH74" s="1997"/>
      <c r="AI74" s="1997"/>
      <c r="AJ74" s="1997"/>
      <c r="AK74" s="1997"/>
      <c r="AL74" s="1997"/>
      <c r="AM74" s="1997"/>
      <c r="AN74" s="1997"/>
      <c r="AO74" s="1997"/>
      <c r="AP74" s="1997"/>
      <c r="AQ74" s="1997"/>
      <c r="AR74" s="2956"/>
      <c r="AS74" s="2956"/>
      <c r="AT74" s="2956"/>
      <c r="AU74" s="1993"/>
    </row>
    <row r="75" spans="2:47">
      <c r="G75" s="2958"/>
    </row>
    <row r="76" spans="2:47">
      <c r="G76" s="2958"/>
    </row>
    <row r="77" spans="2:47">
      <c r="G77" s="2958"/>
    </row>
    <row r="78" spans="2:47">
      <c r="G78" s="2958"/>
    </row>
    <row r="79" spans="2:47">
      <c r="G79" s="2958"/>
    </row>
    <row r="80" spans="2:47">
      <c r="G80" s="2958"/>
    </row>
    <row r="81" spans="3:7">
      <c r="G81" s="2958"/>
    </row>
    <row r="82" spans="3:7">
      <c r="G82" s="2958"/>
    </row>
    <row r="83" spans="3:7">
      <c r="G83" s="2958"/>
    </row>
    <row r="84" spans="3:7">
      <c r="G84" s="2958"/>
    </row>
    <row r="85" spans="3:7">
      <c r="G85" s="2958"/>
    </row>
    <row r="86" spans="3:7">
      <c r="G86" s="2958"/>
    </row>
    <row r="87" spans="3:7">
      <c r="G87" s="2958"/>
    </row>
    <row r="88" spans="3:7">
      <c r="G88" s="2958"/>
    </row>
    <row r="89" spans="3:7">
      <c r="G89" s="2958"/>
    </row>
    <row r="90" spans="3:7">
      <c r="G90" s="2958"/>
    </row>
    <row r="91" spans="3:7">
      <c r="G91" s="2958"/>
    </row>
    <row r="92" spans="3:7">
      <c r="G92" s="2958"/>
    </row>
    <row r="93" spans="3:7">
      <c r="C93" s="3181"/>
      <c r="G93" s="2958"/>
    </row>
    <row r="94" spans="3:7">
      <c r="C94" s="3181"/>
      <c r="G94" s="2958"/>
    </row>
    <row r="95" spans="3:7">
      <c r="C95" s="3181"/>
      <c r="G95" s="2958"/>
    </row>
    <row r="96" spans="3:7">
      <c r="C96" s="3181"/>
      <c r="G96" s="2958"/>
    </row>
    <row r="97" spans="3:7">
      <c r="C97" s="3181"/>
      <c r="G97" s="2958"/>
    </row>
    <row r="98" spans="3:7">
      <c r="C98" s="3181"/>
      <c r="G98" s="2958"/>
    </row>
    <row r="99" spans="3:7">
      <c r="C99" s="3181"/>
      <c r="G99" s="2958"/>
    </row>
    <row r="100" spans="3:7">
      <c r="C100" s="3181"/>
      <c r="G100" s="2958"/>
    </row>
    <row r="101" spans="3:7">
      <c r="C101" s="3181"/>
      <c r="G101" s="2958"/>
    </row>
    <row r="102" spans="3:7">
      <c r="C102" s="3181"/>
      <c r="G102" s="2958"/>
    </row>
    <row r="103" spans="3:7">
      <c r="C103" s="3181"/>
      <c r="G103" s="2958"/>
    </row>
    <row r="104" spans="3:7">
      <c r="C104" s="3181"/>
      <c r="G104" s="2958"/>
    </row>
    <row r="105" spans="3:7">
      <c r="C105" s="3181"/>
      <c r="G105" s="2958"/>
    </row>
    <row r="106" spans="3:7">
      <c r="C106" s="3181"/>
      <c r="G106" s="2958"/>
    </row>
    <row r="107" spans="3:7">
      <c r="C107" s="3181"/>
      <c r="G107" s="2958"/>
    </row>
    <row r="108" spans="3:7">
      <c r="C108" s="3181"/>
      <c r="G108" s="2958"/>
    </row>
    <row r="109" spans="3:7">
      <c r="C109" s="3181"/>
      <c r="G109" s="2958"/>
    </row>
    <row r="110" spans="3:7">
      <c r="C110" s="3181"/>
      <c r="G110" s="2958"/>
    </row>
    <row r="111" spans="3:7">
      <c r="C111" s="3181"/>
      <c r="G111" s="2958"/>
    </row>
    <row r="112" spans="3:7">
      <c r="C112" s="3181"/>
      <c r="G112" s="2958"/>
    </row>
    <row r="113" spans="3:7">
      <c r="C113" s="3181"/>
      <c r="G113" s="2958"/>
    </row>
    <row r="114" spans="3:7">
      <c r="C114" s="3181"/>
      <c r="G114" s="2958"/>
    </row>
    <row r="115" spans="3:7">
      <c r="C115" s="3181"/>
      <c r="G115" s="2958"/>
    </row>
    <row r="116" spans="3:7">
      <c r="C116" s="3181"/>
      <c r="G116" s="2958"/>
    </row>
    <row r="117" spans="3:7">
      <c r="C117" s="3181"/>
      <c r="G117" s="2958"/>
    </row>
    <row r="118" spans="3:7">
      <c r="C118" s="3181"/>
      <c r="G118" s="2958"/>
    </row>
    <row r="119" spans="3:7" ht="18" customHeight="1">
      <c r="C119" s="3181"/>
      <c r="G119" s="2958"/>
    </row>
    <row r="120" spans="3:7">
      <c r="C120" s="3181"/>
      <c r="G120" s="2958"/>
    </row>
    <row r="121" spans="3:7" ht="18" customHeight="1">
      <c r="C121" s="3181"/>
      <c r="G121" s="2958"/>
    </row>
    <row r="122" spans="3:7">
      <c r="C122" s="3181"/>
      <c r="G122" s="2958"/>
    </row>
    <row r="123" spans="3:7">
      <c r="C123" s="3181"/>
      <c r="G123" s="2958"/>
    </row>
    <row r="124" spans="3:7">
      <c r="C124" s="3181"/>
      <c r="G124" s="2958"/>
    </row>
    <row r="125" spans="3:7">
      <c r="G125" s="2958"/>
    </row>
  </sheetData>
  <mergeCells count="4">
    <mergeCell ref="G69:S69"/>
    <mergeCell ref="B69:F69"/>
    <mergeCell ref="B68:G68"/>
    <mergeCell ref="B1:G1"/>
  </mergeCells>
  <pageMargins left="0.75" right="0.75" top="1" bottom="0.59" header="0.5" footer="0.5"/>
  <pageSetup scale="56" orientation="portrait" r:id="rId1"/>
  <headerFooter alignWithMargins="0"/>
  <colBreaks count="1" manualBreakCount="1">
    <brk id="6" max="1048575" man="1"/>
  </colBreaks>
</worksheet>
</file>

<file path=xl/worksheets/sheet24.xml><?xml version="1.0" encoding="utf-8"?>
<worksheet xmlns="http://schemas.openxmlformats.org/spreadsheetml/2006/main" xmlns:r="http://schemas.openxmlformats.org/officeDocument/2006/relationships">
  <sheetPr codeName="Sheet23" enableFormatConditionsCalculation="0"/>
  <dimension ref="A1:AC260"/>
  <sheetViews>
    <sheetView zoomScale="70" zoomScaleNormal="70" zoomScaleSheetLayoutView="70" workbookViewId="0">
      <pane xSplit="1" ySplit="8" topLeftCell="B9" activePane="bottomRight" state="frozen"/>
      <selection activeCell="K31" sqref="K31"/>
      <selection pane="topRight" activeCell="K31" sqref="K31"/>
      <selection pane="bottomLeft" activeCell="K31" sqref="K31"/>
      <selection pane="bottomRight" activeCell="E257" sqref="E257"/>
    </sheetView>
  </sheetViews>
  <sheetFormatPr defaultRowHeight="13.5" customHeight="1"/>
  <cols>
    <col min="1" max="1" width="9.140625" style="2"/>
    <col min="2" max="2" width="8.7109375" style="2" customWidth="1"/>
    <col min="3" max="3" width="11" style="35" customWidth="1"/>
    <col min="4" max="4" width="11.140625" style="2" customWidth="1"/>
    <col min="5" max="5" width="14.28515625" style="2" customWidth="1"/>
    <col min="6" max="6" width="10.7109375" style="2" customWidth="1"/>
    <col min="7" max="7" width="11.42578125" style="2" customWidth="1"/>
    <col min="8" max="8" width="12.140625" style="2" customWidth="1"/>
    <col min="9" max="9" width="11.7109375" style="2" customWidth="1"/>
    <col min="10" max="10" width="11.42578125" style="2" customWidth="1"/>
    <col min="11" max="11" width="11.28515625" style="2" customWidth="1"/>
    <col min="12" max="12" width="9.140625" style="2" customWidth="1"/>
    <col min="13" max="13" width="14.85546875" style="2" customWidth="1"/>
    <col min="14" max="14" width="9.7109375" style="2" bestFit="1" customWidth="1"/>
    <col min="15" max="15" width="9.140625" style="2"/>
    <col min="16" max="16" width="13.28515625" style="2" customWidth="1"/>
    <col min="17" max="17" width="12.28515625" style="2" bestFit="1" customWidth="1"/>
    <col min="18" max="18" width="10.28515625" style="2" customWidth="1"/>
    <col min="19" max="19" width="10.28515625" style="2" bestFit="1" customWidth="1"/>
    <col min="20" max="16384" width="9.140625" style="2"/>
  </cols>
  <sheetData>
    <row r="1" spans="1:21" ht="18">
      <c r="B1" s="4549" t="s">
        <v>2072</v>
      </c>
      <c r="C1" s="4549"/>
      <c r="D1" s="4549"/>
      <c r="E1" s="4549"/>
      <c r="F1" s="4549"/>
      <c r="G1" s="4549"/>
      <c r="H1" s="4549"/>
      <c r="I1" s="4549"/>
      <c r="J1" s="4549"/>
      <c r="K1" s="4549"/>
      <c r="L1" s="3480"/>
      <c r="M1" s="3480"/>
    </row>
    <row r="2" spans="1:21" ht="13.5" customHeight="1">
      <c r="A2" s="1537"/>
      <c r="B2" s="1619"/>
      <c r="C2" s="2926"/>
      <c r="D2" s="1619"/>
      <c r="E2" s="1619"/>
      <c r="F2" s="1619"/>
      <c r="G2" s="1619"/>
      <c r="H2" s="1619"/>
      <c r="I2" s="1619"/>
      <c r="J2" s="4550"/>
      <c r="K2" s="4550"/>
      <c r="L2" s="1537"/>
    </row>
    <row r="3" spans="1:21" ht="13.5" customHeight="1">
      <c r="A3" s="1537"/>
      <c r="B3" s="4554" t="s">
        <v>227</v>
      </c>
      <c r="C3" s="4551" t="s">
        <v>220</v>
      </c>
      <c r="D3" s="4552"/>
      <c r="E3" s="4552"/>
      <c r="F3" s="4552"/>
      <c r="G3" s="4552"/>
      <c r="H3" s="4552"/>
      <c r="I3" s="4552"/>
      <c r="J3" s="4552"/>
      <c r="K3" s="4553"/>
      <c r="L3" s="1982"/>
      <c r="M3" s="485"/>
    </row>
    <row r="4" spans="1:21" ht="13.5" customHeight="1">
      <c r="A4" s="1537"/>
      <c r="B4" s="4555"/>
      <c r="C4" s="4554" t="s">
        <v>152</v>
      </c>
      <c r="D4" s="4551" t="s">
        <v>221</v>
      </c>
      <c r="E4" s="4552"/>
      <c r="F4" s="4552"/>
      <c r="G4" s="4552"/>
      <c r="H4" s="4553"/>
      <c r="I4" s="4551" t="s">
        <v>1671</v>
      </c>
      <c r="J4" s="4552"/>
      <c r="K4" s="4553"/>
      <c r="L4" s="1982"/>
      <c r="M4" s="485"/>
      <c r="Q4" s="4500"/>
      <c r="R4" s="4500"/>
      <c r="S4" s="4500"/>
      <c r="T4" s="4500"/>
      <c r="U4" s="115"/>
    </row>
    <row r="5" spans="1:21" ht="13.5" customHeight="1">
      <c r="A5" s="1537"/>
      <c r="B5" s="4555"/>
      <c r="C5" s="4555"/>
      <c r="D5" s="4554" t="s">
        <v>152</v>
      </c>
      <c r="E5" s="4551" t="s">
        <v>228</v>
      </c>
      <c r="F5" s="4552"/>
      <c r="G5" s="4552"/>
      <c r="H5" s="4553"/>
      <c r="I5" s="4554" t="s">
        <v>152</v>
      </c>
      <c r="J5" s="4554" t="s">
        <v>219</v>
      </c>
      <c r="K5" s="4554" t="s">
        <v>233</v>
      </c>
      <c r="L5" s="1979"/>
      <c r="M5" s="486"/>
      <c r="Q5" s="123"/>
      <c r="R5" s="518"/>
      <c r="S5" s="518"/>
      <c r="T5" s="518"/>
      <c r="U5" s="115"/>
    </row>
    <row r="6" spans="1:21" ht="13.5" customHeight="1">
      <c r="A6" s="1537"/>
      <c r="B6" s="4555"/>
      <c r="C6" s="4555"/>
      <c r="D6" s="4555"/>
      <c r="E6" s="4554" t="s">
        <v>1540</v>
      </c>
      <c r="F6" s="4551" t="s">
        <v>1670</v>
      </c>
      <c r="G6" s="4552"/>
      <c r="H6" s="4553"/>
      <c r="I6" s="4555"/>
      <c r="J6" s="4555"/>
      <c r="K6" s="4555"/>
      <c r="L6" s="1979"/>
      <c r="M6" s="486"/>
      <c r="Q6" s="189"/>
      <c r="R6" s="73"/>
      <c r="S6" s="73"/>
      <c r="T6" s="73"/>
      <c r="U6" s="115"/>
    </row>
    <row r="7" spans="1:21" ht="36.75" customHeight="1">
      <c r="A7" s="1537"/>
      <c r="B7" s="4556"/>
      <c r="C7" s="4556"/>
      <c r="D7" s="4556"/>
      <c r="E7" s="4556"/>
      <c r="F7" s="4079" t="s">
        <v>152</v>
      </c>
      <c r="G7" s="4082" t="s">
        <v>230</v>
      </c>
      <c r="H7" s="4082" t="s">
        <v>231</v>
      </c>
      <c r="I7" s="4556"/>
      <c r="J7" s="4556"/>
      <c r="K7" s="4556"/>
      <c r="L7" s="1979"/>
      <c r="Q7" s="189"/>
      <c r="R7" s="73"/>
      <c r="S7" s="73"/>
      <c r="T7" s="73"/>
      <c r="U7" s="115"/>
    </row>
    <row r="8" spans="1:21" s="60" customFormat="1" ht="13.5" customHeight="1">
      <c r="A8" s="1930"/>
      <c r="B8" s="4082"/>
      <c r="C8" s="4557" t="s">
        <v>1757</v>
      </c>
      <c r="D8" s="4558"/>
      <c r="E8" s="4558"/>
      <c r="F8" s="4558"/>
      <c r="G8" s="4558"/>
      <c r="H8" s="4558"/>
      <c r="I8" s="4558"/>
      <c r="J8" s="4558"/>
      <c r="K8" s="4559"/>
      <c r="L8" s="1983"/>
      <c r="M8" s="2739"/>
      <c r="Q8" s="190"/>
      <c r="R8" s="73"/>
      <c r="S8" s="73"/>
      <c r="T8" s="73"/>
    </row>
    <row r="9" spans="1:21" s="60" customFormat="1" ht="0.75" customHeight="1">
      <c r="A9" s="1930"/>
      <c r="B9" s="4083">
        <v>1997</v>
      </c>
      <c r="C9" s="1980"/>
      <c r="D9" s="1980"/>
      <c r="E9" s="1980"/>
      <c r="F9" s="1980"/>
      <c r="G9" s="1980"/>
      <c r="H9" s="1980"/>
      <c r="I9" s="1980"/>
      <c r="J9" s="1980"/>
      <c r="K9" s="4084"/>
      <c r="L9" s="1664"/>
      <c r="M9" s="2740"/>
      <c r="Q9" s="190"/>
      <c r="R9" s="73"/>
      <c r="S9" s="73"/>
      <c r="T9" s="73"/>
    </row>
    <row r="10" spans="1:21" s="60" customFormat="1" ht="13.5" hidden="1" customHeight="1">
      <c r="A10" s="1930"/>
      <c r="B10" s="4085" t="s">
        <v>161</v>
      </c>
      <c r="C10" s="4086">
        <f t="shared" ref="C10:C21" si="0">D10+I10</f>
        <v>4119.5</v>
      </c>
      <c r="D10" s="4087">
        <v>2140.23</v>
      </c>
      <c r="E10" s="4088">
        <v>618.84</v>
      </c>
      <c r="F10" s="4085">
        <f t="shared" ref="F10:F21" si="1">G10+H10</f>
        <v>1497.26</v>
      </c>
      <c r="G10" s="4089">
        <v>676.7</v>
      </c>
      <c r="H10" s="4089">
        <v>820.56</v>
      </c>
      <c r="I10" s="4085">
        <f t="shared" ref="I10:I21" si="2">J10+K10</f>
        <v>1979.27</v>
      </c>
      <c r="J10" s="4089">
        <v>1869.59</v>
      </c>
      <c r="K10" s="4090">
        <v>109.68</v>
      </c>
      <c r="L10" s="1665"/>
      <c r="M10" s="3166"/>
      <c r="N10" s="134"/>
      <c r="P10" s="1174"/>
      <c r="Q10" s="1174"/>
      <c r="R10" s="1174"/>
      <c r="S10" s="1174"/>
      <c r="T10" s="1174"/>
      <c r="U10" s="1174"/>
    </row>
    <row r="11" spans="1:21" s="60" customFormat="1" ht="13.5" hidden="1" customHeight="1">
      <c r="A11" s="1930"/>
      <c r="B11" s="4085" t="s">
        <v>162</v>
      </c>
      <c r="C11" s="4086">
        <f t="shared" si="0"/>
        <v>4224.49</v>
      </c>
      <c r="D11" s="4087">
        <v>2075.0700000000002</v>
      </c>
      <c r="E11" s="4088">
        <v>626.1</v>
      </c>
      <c r="F11" s="4085">
        <f t="shared" si="1"/>
        <v>1424.82</v>
      </c>
      <c r="G11" s="4089">
        <v>691.8</v>
      </c>
      <c r="H11" s="4089">
        <v>733.02</v>
      </c>
      <c r="I11" s="4085">
        <f t="shared" si="2"/>
        <v>2149.42</v>
      </c>
      <c r="J11" s="4089">
        <v>2042.67</v>
      </c>
      <c r="K11" s="4090">
        <v>106.75</v>
      </c>
      <c r="L11" s="1665"/>
      <c r="M11" s="3165"/>
      <c r="N11" s="134"/>
      <c r="P11" s="1174"/>
      <c r="Q11" s="1174"/>
      <c r="R11" s="1174"/>
      <c r="S11" s="1174"/>
      <c r="T11" s="1174"/>
      <c r="U11" s="1174"/>
    </row>
    <row r="12" spans="1:21" s="60" customFormat="1" ht="13.5" hidden="1" customHeight="1">
      <c r="A12" s="1930"/>
      <c r="B12" s="4085" t="s">
        <v>163</v>
      </c>
      <c r="C12" s="4086">
        <f t="shared" si="0"/>
        <v>4253.49</v>
      </c>
      <c r="D12" s="4087">
        <v>2072.41</v>
      </c>
      <c r="E12" s="4088">
        <v>605.46</v>
      </c>
      <c r="F12" s="4085">
        <f t="shared" si="1"/>
        <v>1442.7800000000002</v>
      </c>
      <c r="G12" s="4089">
        <v>706.46</v>
      </c>
      <c r="H12" s="4089">
        <v>736.32</v>
      </c>
      <c r="I12" s="4085">
        <f t="shared" si="2"/>
        <v>2181.0800000000004</v>
      </c>
      <c r="J12" s="4089">
        <v>2086.7600000000002</v>
      </c>
      <c r="K12" s="4090">
        <v>94.32</v>
      </c>
      <c r="L12" s="1665"/>
      <c r="M12" s="3165"/>
      <c r="N12" s="134"/>
      <c r="P12" s="1174"/>
      <c r="Q12" s="1174"/>
      <c r="R12" s="1174"/>
      <c r="S12" s="1174"/>
      <c r="T12" s="1174"/>
      <c r="U12" s="1174"/>
    </row>
    <row r="13" spans="1:21" s="60" customFormat="1" ht="13.5" hidden="1" customHeight="1">
      <c r="A13" s="1930"/>
      <c r="B13" s="4085" t="s">
        <v>164</v>
      </c>
      <c r="C13" s="4086">
        <f t="shared" si="0"/>
        <v>3971</v>
      </c>
      <c r="D13" s="4087">
        <v>1788.39</v>
      </c>
      <c r="E13" s="4088">
        <v>574.80999999999995</v>
      </c>
      <c r="F13" s="4085">
        <f t="shared" si="1"/>
        <v>1156.76</v>
      </c>
      <c r="G13" s="4089">
        <v>608.36</v>
      </c>
      <c r="H13" s="4089">
        <v>548.4</v>
      </c>
      <c r="I13" s="4085">
        <f t="shared" si="2"/>
        <v>2182.61</v>
      </c>
      <c r="J13" s="4089">
        <v>2069.3000000000002</v>
      </c>
      <c r="K13" s="4090">
        <v>113.31</v>
      </c>
      <c r="L13" s="1665"/>
      <c r="M13" s="3165"/>
      <c r="N13" s="134"/>
      <c r="P13" s="1174"/>
      <c r="Q13" s="1174"/>
      <c r="R13" s="1174"/>
      <c r="S13" s="1174"/>
      <c r="T13" s="1174"/>
      <c r="U13" s="1174"/>
    </row>
    <row r="14" spans="1:21" s="60" customFormat="1" ht="13.5" hidden="1" customHeight="1">
      <c r="A14" s="1930"/>
      <c r="B14" s="4085" t="s">
        <v>165</v>
      </c>
      <c r="C14" s="4086">
        <f t="shared" si="0"/>
        <v>4201.97</v>
      </c>
      <c r="D14" s="4087">
        <v>1822.99</v>
      </c>
      <c r="E14" s="4088">
        <v>581.26</v>
      </c>
      <c r="F14" s="4085">
        <f t="shared" si="1"/>
        <v>1184.9099999999999</v>
      </c>
      <c r="G14" s="4089">
        <v>613.65</v>
      </c>
      <c r="H14" s="4089">
        <v>571.26</v>
      </c>
      <c r="I14" s="4085">
        <f t="shared" si="2"/>
        <v>2378.98</v>
      </c>
      <c r="J14" s="4089">
        <v>2275.61</v>
      </c>
      <c r="K14" s="4090">
        <v>103.37</v>
      </c>
      <c r="L14" s="1665"/>
      <c r="M14" s="3165"/>
      <c r="N14" s="134"/>
    </row>
    <row r="15" spans="1:21" s="60" customFormat="1" ht="13.5" hidden="1" customHeight="1">
      <c r="A15" s="1930"/>
      <c r="B15" s="4085" t="s">
        <v>166</v>
      </c>
      <c r="C15" s="4086">
        <f t="shared" si="0"/>
        <v>4277.6500000000005</v>
      </c>
      <c r="D15" s="4087">
        <v>1973.18</v>
      </c>
      <c r="E15" s="4088">
        <v>616.97</v>
      </c>
      <c r="F15" s="4085">
        <f t="shared" si="1"/>
        <v>1331.85</v>
      </c>
      <c r="G15" s="4089">
        <v>791.64</v>
      </c>
      <c r="H15" s="4089">
        <v>540.21</v>
      </c>
      <c r="I15" s="4085">
        <f t="shared" si="2"/>
        <v>2304.4700000000003</v>
      </c>
      <c r="J15" s="4089">
        <v>2191.65</v>
      </c>
      <c r="K15" s="4090">
        <v>112.82</v>
      </c>
      <c r="L15" s="1665"/>
      <c r="M15" s="3165"/>
      <c r="N15" s="134"/>
    </row>
    <row r="16" spans="1:21" s="60" customFormat="1" ht="13.5" hidden="1" customHeight="1">
      <c r="A16" s="1930"/>
      <c r="B16" s="4085" t="s">
        <v>167</v>
      </c>
      <c r="C16" s="4086">
        <f t="shared" si="0"/>
        <v>4479.1400000000003</v>
      </c>
      <c r="D16" s="4087">
        <v>1859.45</v>
      </c>
      <c r="E16" s="4088">
        <v>636.29</v>
      </c>
      <c r="F16" s="4085">
        <f t="shared" si="1"/>
        <v>1197.47</v>
      </c>
      <c r="G16" s="4089">
        <v>652.83000000000004</v>
      </c>
      <c r="H16" s="4089">
        <v>544.64</v>
      </c>
      <c r="I16" s="4085">
        <f t="shared" si="2"/>
        <v>2619.69</v>
      </c>
      <c r="J16" s="4089">
        <v>2524.16</v>
      </c>
      <c r="K16" s="4090">
        <v>95.53</v>
      </c>
      <c r="L16" s="1665"/>
      <c r="M16" s="3165"/>
      <c r="N16" s="134"/>
    </row>
    <row r="17" spans="1:21" s="60" customFormat="1" ht="13.5" hidden="1" customHeight="1">
      <c r="A17" s="1930"/>
      <c r="B17" s="4085" t="s">
        <v>168</v>
      </c>
      <c r="C17" s="4086">
        <f t="shared" si="0"/>
        <v>4851.6099999999997</v>
      </c>
      <c r="D17" s="4087">
        <v>2189.9499999999998</v>
      </c>
      <c r="E17" s="4088">
        <v>616.69000000000005</v>
      </c>
      <c r="F17" s="4085">
        <f t="shared" si="1"/>
        <v>1547.3</v>
      </c>
      <c r="G17" s="4089">
        <v>1058.55</v>
      </c>
      <c r="H17" s="4089">
        <v>488.75</v>
      </c>
      <c r="I17" s="4085">
        <f t="shared" si="2"/>
        <v>2661.66</v>
      </c>
      <c r="J17" s="4089">
        <v>2559.1799999999998</v>
      </c>
      <c r="K17" s="4090">
        <v>102.48</v>
      </c>
      <c r="L17" s="1665"/>
      <c r="M17" s="3165"/>
      <c r="N17" s="134"/>
    </row>
    <row r="18" spans="1:21" s="60" customFormat="1" ht="13.5" hidden="1" customHeight="1">
      <c r="A18" s="1930"/>
      <c r="B18" s="4085" t="s">
        <v>169</v>
      </c>
      <c r="C18" s="4086">
        <f t="shared" si="0"/>
        <v>5304.5300000000007</v>
      </c>
      <c r="D18" s="4087">
        <v>2076.58</v>
      </c>
      <c r="E18" s="4088">
        <v>645.69000000000005</v>
      </c>
      <c r="F18" s="4085">
        <f t="shared" si="1"/>
        <v>1404.83</v>
      </c>
      <c r="G18" s="4089">
        <v>910.97</v>
      </c>
      <c r="H18" s="4089">
        <v>493.86</v>
      </c>
      <c r="I18" s="4085">
        <f t="shared" si="2"/>
        <v>3227.9500000000003</v>
      </c>
      <c r="J18" s="4089">
        <v>3121.01</v>
      </c>
      <c r="K18" s="4090">
        <v>106.94</v>
      </c>
      <c r="L18" s="1665"/>
      <c r="M18" s="3165"/>
      <c r="N18" s="134"/>
    </row>
    <row r="19" spans="1:21" s="60" customFormat="1" ht="13.5" hidden="1" customHeight="1">
      <c r="A19" s="1930"/>
      <c r="B19" s="4085" t="s">
        <v>170</v>
      </c>
      <c r="C19" s="4086">
        <f t="shared" si="0"/>
        <v>5283.39</v>
      </c>
      <c r="D19" s="4087">
        <v>1934.86</v>
      </c>
      <c r="E19" s="4088">
        <v>654.51</v>
      </c>
      <c r="F19" s="4085">
        <f t="shared" si="1"/>
        <v>1254.1399999999999</v>
      </c>
      <c r="G19" s="4089">
        <v>764.55</v>
      </c>
      <c r="H19" s="4089">
        <v>489.59</v>
      </c>
      <c r="I19" s="4085">
        <f t="shared" si="2"/>
        <v>3348.53</v>
      </c>
      <c r="J19" s="4089">
        <v>3243.55</v>
      </c>
      <c r="K19" s="4090">
        <v>104.98</v>
      </c>
      <c r="L19" s="1665"/>
      <c r="M19" s="3165"/>
      <c r="N19" s="134"/>
    </row>
    <row r="20" spans="1:21" s="60" customFormat="1" ht="13.5" hidden="1" customHeight="1">
      <c r="A20" s="1930"/>
      <c r="B20" s="4085" t="s">
        <v>171</v>
      </c>
      <c r="C20" s="4086">
        <f t="shared" si="0"/>
        <v>5561.05</v>
      </c>
      <c r="D20" s="4087">
        <v>2105.5700000000002</v>
      </c>
      <c r="E20" s="4088">
        <v>662.96</v>
      </c>
      <c r="F20" s="4085">
        <f t="shared" si="1"/>
        <v>1414.74</v>
      </c>
      <c r="G20" s="4089">
        <v>908.88</v>
      </c>
      <c r="H20" s="4089">
        <v>505.86</v>
      </c>
      <c r="I20" s="4085">
        <f t="shared" si="2"/>
        <v>3455.48</v>
      </c>
      <c r="J20" s="4089">
        <v>3351.78</v>
      </c>
      <c r="K20" s="4090">
        <v>103.7</v>
      </c>
      <c r="L20" s="1665"/>
      <c r="M20" s="3165"/>
      <c r="N20" s="134"/>
    </row>
    <row r="21" spans="1:21" s="60" customFormat="1" ht="13.5" hidden="1" customHeight="1">
      <c r="A21" s="1930"/>
      <c r="B21" s="4091">
        <v>1997</v>
      </c>
      <c r="C21" s="4092">
        <f t="shared" si="0"/>
        <v>5652.16</v>
      </c>
      <c r="D21" s="4093">
        <v>2196.46</v>
      </c>
      <c r="E21" s="4094">
        <v>720.94</v>
      </c>
      <c r="F21" s="4085">
        <f t="shared" si="1"/>
        <v>1447.17</v>
      </c>
      <c r="G21" s="4089">
        <v>930.03</v>
      </c>
      <c r="H21" s="4089">
        <v>517.14</v>
      </c>
      <c r="I21" s="4085">
        <f t="shared" si="2"/>
        <v>3455.7000000000003</v>
      </c>
      <c r="J21" s="4089">
        <v>3359.3</v>
      </c>
      <c r="K21" s="4090">
        <v>96.4</v>
      </c>
      <c r="L21" s="1665"/>
      <c r="M21" s="3165"/>
      <c r="N21" s="134"/>
    </row>
    <row r="22" spans="1:21" s="60" customFormat="1" ht="13.5" hidden="1" customHeight="1">
      <c r="A22" s="1930"/>
      <c r="B22" s="4091">
        <v>1998</v>
      </c>
      <c r="C22" s="4092"/>
      <c r="D22" s="4095"/>
      <c r="E22" s="1980"/>
      <c r="F22" s="4085"/>
      <c r="G22" s="1980"/>
      <c r="H22" s="1980"/>
      <c r="I22" s="4085"/>
      <c r="J22" s="1980"/>
      <c r="K22" s="4084"/>
      <c r="L22" s="1665"/>
      <c r="M22" s="3165"/>
      <c r="N22" s="134"/>
      <c r="O22" s="134"/>
      <c r="P22" s="3104"/>
      <c r="Q22" s="3104"/>
      <c r="R22" s="3104"/>
      <c r="S22" s="3104"/>
      <c r="T22" s="123"/>
      <c r="U22" s="123"/>
    </row>
    <row r="23" spans="1:21" s="60" customFormat="1" ht="13.5" hidden="1" customHeight="1">
      <c r="A23" s="1930"/>
      <c r="B23" s="4096" t="s">
        <v>161</v>
      </c>
      <c r="C23" s="4092">
        <f t="shared" ref="C23:C34" si="3">D23+I23</f>
        <v>5597.08</v>
      </c>
      <c r="D23" s="4093">
        <v>2078.54</v>
      </c>
      <c r="E23" s="4094">
        <v>781.27</v>
      </c>
      <c r="F23" s="4085">
        <f t="shared" ref="F23:F34" si="4">G23+H23</f>
        <v>1268.97</v>
      </c>
      <c r="G23" s="4089">
        <v>763.2</v>
      </c>
      <c r="H23" s="4089">
        <v>505.77</v>
      </c>
      <c r="I23" s="4085">
        <f t="shared" ref="I23:I34" si="5">J23+K23</f>
        <v>3518.54</v>
      </c>
      <c r="J23" s="4089">
        <v>3419.88</v>
      </c>
      <c r="K23" s="4090">
        <v>98.66</v>
      </c>
      <c r="L23" s="1665"/>
      <c r="M23" s="3166"/>
      <c r="N23" s="134"/>
      <c r="O23" s="134"/>
      <c r="P23" s="3104"/>
      <c r="Q23" s="3104"/>
      <c r="R23" s="3104"/>
      <c r="S23" s="3104"/>
      <c r="T23" s="123"/>
      <c r="U23" s="123"/>
    </row>
    <row r="24" spans="1:21" s="60" customFormat="1" ht="13.5" hidden="1" customHeight="1">
      <c r="A24" s="1930"/>
      <c r="B24" s="4096" t="s">
        <v>162</v>
      </c>
      <c r="C24" s="4092">
        <f t="shared" si="3"/>
        <v>5533.31</v>
      </c>
      <c r="D24" s="4093">
        <v>1931.45</v>
      </c>
      <c r="E24" s="4094">
        <v>737.59</v>
      </c>
      <c r="F24" s="4085">
        <f t="shared" si="4"/>
        <v>1175.71</v>
      </c>
      <c r="G24" s="4089">
        <v>661.41</v>
      </c>
      <c r="H24" s="4089">
        <v>514.29999999999995</v>
      </c>
      <c r="I24" s="4085">
        <f t="shared" si="5"/>
        <v>3601.86</v>
      </c>
      <c r="J24" s="4089">
        <v>3519.38</v>
      </c>
      <c r="K24" s="4090">
        <v>82.48</v>
      </c>
      <c r="L24" s="1665"/>
      <c r="M24" s="3165"/>
      <c r="N24" s="3095"/>
      <c r="O24" s="3095"/>
      <c r="P24" s="3104"/>
      <c r="Q24" s="3104"/>
      <c r="R24" s="3104"/>
      <c r="S24" s="3104"/>
      <c r="T24" s="123"/>
      <c r="U24" s="123"/>
    </row>
    <row r="25" spans="1:21" s="60" customFormat="1" ht="13.5" hidden="1" customHeight="1">
      <c r="A25" s="1930"/>
      <c r="B25" s="4096" t="s">
        <v>163</v>
      </c>
      <c r="C25" s="4092">
        <f t="shared" si="3"/>
        <v>5463.2800000000007</v>
      </c>
      <c r="D25" s="4093">
        <v>1953.12</v>
      </c>
      <c r="E25" s="4094">
        <v>710.31</v>
      </c>
      <c r="F25" s="4085">
        <f t="shared" si="4"/>
        <v>1224.57</v>
      </c>
      <c r="G25" s="4089">
        <v>685.54</v>
      </c>
      <c r="H25" s="4089">
        <v>539.03</v>
      </c>
      <c r="I25" s="4085">
        <f t="shared" si="5"/>
        <v>3510.1600000000003</v>
      </c>
      <c r="J25" s="4089">
        <v>3421.88</v>
      </c>
      <c r="K25" s="4090">
        <v>88.28</v>
      </c>
      <c r="L25" s="1665"/>
      <c r="M25" s="3165"/>
      <c r="N25" s="3095"/>
      <c r="O25" s="3095"/>
      <c r="P25" s="3104"/>
      <c r="Q25" s="3104"/>
      <c r="R25" s="3104"/>
      <c r="S25" s="3104"/>
      <c r="T25" s="123"/>
      <c r="U25" s="123"/>
    </row>
    <row r="26" spans="1:21" s="60" customFormat="1" ht="13.5" hidden="1" customHeight="1">
      <c r="A26" s="1930"/>
      <c r="B26" s="4096" t="s">
        <v>164</v>
      </c>
      <c r="C26" s="4092">
        <f t="shared" si="3"/>
        <v>5615.73</v>
      </c>
      <c r="D26" s="4093">
        <v>1913.55</v>
      </c>
      <c r="E26" s="4094">
        <v>671.67</v>
      </c>
      <c r="F26" s="4085">
        <f t="shared" si="4"/>
        <v>1223.54</v>
      </c>
      <c r="G26" s="4089">
        <v>675.11</v>
      </c>
      <c r="H26" s="4089">
        <v>548.42999999999995</v>
      </c>
      <c r="I26" s="4085">
        <f t="shared" si="5"/>
        <v>3702.18</v>
      </c>
      <c r="J26" s="4089">
        <v>3609.24</v>
      </c>
      <c r="K26" s="4090">
        <v>92.94</v>
      </c>
      <c r="L26" s="1665"/>
      <c r="M26" s="3165"/>
      <c r="N26" s="3095"/>
      <c r="O26" s="3095"/>
      <c r="P26" s="3104"/>
      <c r="Q26" s="3104"/>
      <c r="R26" s="3104"/>
      <c r="S26" s="3104"/>
      <c r="T26" s="123"/>
      <c r="U26" s="123"/>
    </row>
    <row r="27" spans="1:21" s="60" customFormat="1" ht="13.5" hidden="1" customHeight="1">
      <c r="A27" s="1930"/>
      <c r="B27" s="4096" t="s">
        <v>165</v>
      </c>
      <c r="C27" s="4092">
        <f t="shared" si="3"/>
        <v>5580.91</v>
      </c>
      <c r="D27" s="4093">
        <v>1809.91</v>
      </c>
      <c r="E27" s="4094">
        <v>556.67999999999995</v>
      </c>
      <c r="F27" s="4085">
        <f t="shared" si="4"/>
        <v>1234.0700000000002</v>
      </c>
      <c r="G27" s="4089">
        <v>682.69</v>
      </c>
      <c r="H27" s="4089">
        <v>551.38</v>
      </c>
      <c r="I27" s="4085">
        <f t="shared" si="5"/>
        <v>3771</v>
      </c>
      <c r="J27" s="4089">
        <v>3677.11</v>
      </c>
      <c r="K27" s="4090">
        <v>93.89</v>
      </c>
      <c r="L27" s="1665"/>
      <c r="M27" s="3165"/>
      <c r="N27" s="3095"/>
      <c r="O27" s="3095"/>
      <c r="P27" s="3104"/>
      <c r="Q27" s="3104"/>
      <c r="R27" s="3104"/>
      <c r="S27" s="3104"/>
      <c r="T27" s="123"/>
      <c r="U27" s="123"/>
    </row>
    <row r="28" spans="1:21" s="60" customFormat="1" ht="13.5" hidden="1" customHeight="1">
      <c r="A28" s="1930"/>
      <c r="B28" s="4096" t="s">
        <v>166</v>
      </c>
      <c r="C28" s="4092">
        <f t="shared" si="3"/>
        <v>6063.09</v>
      </c>
      <c r="D28" s="4093">
        <v>2500.16</v>
      </c>
      <c r="E28" s="4094">
        <v>1050.28</v>
      </c>
      <c r="F28" s="4085">
        <f t="shared" si="4"/>
        <v>1327.08</v>
      </c>
      <c r="G28" s="4089">
        <v>743.5</v>
      </c>
      <c r="H28" s="4089">
        <v>583.58000000000004</v>
      </c>
      <c r="I28" s="4085">
        <f t="shared" si="5"/>
        <v>3562.9300000000003</v>
      </c>
      <c r="J28" s="4089">
        <v>3298.44</v>
      </c>
      <c r="K28" s="4090">
        <v>264.49</v>
      </c>
      <c r="L28" s="1665"/>
      <c r="M28" s="3165"/>
      <c r="N28" s="3095"/>
      <c r="O28" s="3095"/>
      <c r="P28" s="3104"/>
      <c r="Q28" s="3104"/>
      <c r="R28" s="3104"/>
      <c r="S28" s="3104"/>
      <c r="T28" s="123"/>
      <c r="U28" s="123"/>
    </row>
    <row r="29" spans="1:21" s="60" customFormat="1" ht="13.5" hidden="1" customHeight="1">
      <c r="A29" s="1930"/>
      <c r="B29" s="4096" t="s">
        <v>167</v>
      </c>
      <c r="C29" s="4092">
        <f t="shared" si="3"/>
        <v>5945.4</v>
      </c>
      <c r="D29" s="4093">
        <v>1995.38</v>
      </c>
      <c r="E29" s="4094">
        <v>702.58</v>
      </c>
      <c r="F29" s="4085">
        <f t="shared" si="4"/>
        <v>1170.0999999999999</v>
      </c>
      <c r="G29" s="4089">
        <v>574.57000000000005</v>
      </c>
      <c r="H29" s="4089">
        <v>595.53</v>
      </c>
      <c r="I29" s="4085">
        <f t="shared" si="5"/>
        <v>3950.02</v>
      </c>
      <c r="J29" s="4089">
        <v>3390.37</v>
      </c>
      <c r="K29" s="4090">
        <v>559.65</v>
      </c>
      <c r="L29" s="1665"/>
      <c r="M29" s="3165"/>
      <c r="N29" s="3095"/>
      <c r="O29" s="3095"/>
      <c r="P29" s="4560"/>
      <c r="Q29" s="4560"/>
      <c r="R29" s="4560"/>
      <c r="S29" s="4560"/>
      <c r="T29" s="123"/>
      <c r="U29" s="123"/>
    </row>
    <row r="30" spans="1:21" s="60" customFormat="1" ht="13.5" hidden="1" customHeight="1">
      <c r="A30" s="1930"/>
      <c r="B30" s="4096" t="s">
        <v>168</v>
      </c>
      <c r="C30" s="4092">
        <f t="shared" si="3"/>
        <v>6254.26</v>
      </c>
      <c r="D30" s="4093">
        <v>2310.2600000000002</v>
      </c>
      <c r="E30" s="4094">
        <v>735.66</v>
      </c>
      <c r="F30" s="4085">
        <f t="shared" si="4"/>
        <v>1425.27</v>
      </c>
      <c r="G30" s="4089">
        <v>795.25</v>
      </c>
      <c r="H30" s="4089">
        <v>630.02</v>
      </c>
      <c r="I30" s="4085">
        <f t="shared" si="5"/>
        <v>3944</v>
      </c>
      <c r="J30" s="4089">
        <v>3419.79</v>
      </c>
      <c r="K30" s="4090">
        <v>524.21</v>
      </c>
      <c r="L30" s="1665"/>
      <c r="M30" s="3165"/>
      <c r="N30" s="3095"/>
      <c r="O30" s="3095"/>
      <c r="P30" s="3104"/>
      <c r="Q30" s="3105"/>
      <c r="R30" s="3105"/>
      <c r="S30" s="3105"/>
      <c r="T30" s="123"/>
      <c r="U30" s="123"/>
    </row>
    <row r="31" spans="1:21" s="60" customFormat="1" ht="13.5" hidden="1" customHeight="1">
      <c r="A31" s="1930"/>
      <c r="B31" s="4096" t="s">
        <v>169</v>
      </c>
      <c r="C31" s="4092">
        <f t="shared" si="3"/>
        <v>6510.67</v>
      </c>
      <c r="D31" s="4093">
        <v>2628.68</v>
      </c>
      <c r="E31" s="4094">
        <v>843.47</v>
      </c>
      <c r="F31" s="4085">
        <f t="shared" si="4"/>
        <v>1635.93</v>
      </c>
      <c r="G31" s="4089">
        <v>1008.59</v>
      </c>
      <c r="H31" s="4089">
        <v>627.34</v>
      </c>
      <c r="I31" s="4085">
        <f t="shared" si="5"/>
        <v>3881.99</v>
      </c>
      <c r="J31" s="4089">
        <v>3335.39</v>
      </c>
      <c r="K31" s="4090">
        <v>546.6</v>
      </c>
      <c r="L31" s="1665"/>
      <c r="M31" s="3165"/>
      <c r="N31" s="3095"/>
      <c r="O31" s="3095"/>
      <c r="P31" s="3104"/>
      <c r="Q31" s="3105"/>
      <c r="R31" s="3105"/>
      <c r="S31" s="3105"/>
      <c r="T31" s="123"/>
      <c r="U31" s="123"/>
    </row>
    <row r="32" spans="1:21" s="60" customFormat="1" ht="13.5" hidden="1" customHeight="1">
      <c r="A32" s="1930"/>
      <c r="B32" s="4096" t="s">
        <v>170</v>
      </c>
      <c r="C32" s="4092">
        <f t="shared" si="3"/>
        <v>7030.07</v>
      </c>
      <c r="D32" s="4093">
        <v>2852.62</v>
      </c>
      <c r="E32" s="4094">
        <v>735.53</v>
      </c>
      <c r="F32" s="4085">
        <f t="shared" si="4"/>
        <v>1968.01</v>
      </c>
      <c r="G32" s="4089">
        <v>1309.73</v>
      </c>
      <c r="H32" s="4089">
        <v>658.28</v>
      </c>
      <c r="I32" s="4085">
        <f t="shared" si="5"/>
        <v>4177.45</v>
      </c>
      <c r="J32" s="4089">
        <v>3748.15</v>
      </c>
      <c r="K32" s="4090">
        <v>429.3</v>
      </c>
      <c r="L32" s="1665"/>
      <c r="M32" s="3165"/>
      <c r="N32" s="3095"/>
      <c r="O32" s="3095"/>
      <c r="P32" s="3104"/>
      <c r="Q32" s="3105"/>
      <c r="R32" s="3105"/>
      <c r="S32" s="3105"/>
      <c r="T32" s="123"/>
      <c r="U32" s="123"/>
    </row>
    <row r="33" spans="1:21" s="60" customFormat="1" ht="13.5" hidden="1" customHeight="1">
      <c r="A33" s="1930"/>
      <c r="B33" s="4096" t="s">
        <v>171</v>
      </c>
      <c r="C33" s="4092">
        <f t="shared" si="3"/>
        <v>6870.22</v>
      </c>
      <c r="D33" s="4093">
        <v>2774</v>
      </c>
      <c r="E33" s="4094">
        <v>804.8</v>
      </c>
      <c r="F33" s="4085">
        <f t="shared" si="4"/>
        <v>1819.9</v>
      </c>
      <c r="G33" s="4089">
        <v>1148.44</v>
      </c>
      <c r="H33" s="4089">
        <v>671.46</v>
      </c>
      <c r="I33" s="4085">
        <f t="shared" si="5"/>
        <v>4096.22</v>
      </c>
      <c r="J33" s="4089">
        <v>3803.33</v>
      </c>
      <c r="K33" s="4090">
        <v>292.89</v>
      </c>
      <c r="L33" s="1665"/>
      <c r="M33" s="3165"/>
      <c r="N33" s="3095"/>
      <c r="O33" s="3095"/>
      <c r="P33" s="3104"/>
      <c r="Q33" s="3105"/>
      <c r="R33" s="3105"/>
      <c r="S33" s="3105"/>
      <c r="T33" s="123"/>
      <c r="U33" s="123"/>
    </row>
    <row r="34" spans="1:21" s="60" customFormat="1" ht="13.5" hidden="1" customHeight="1">
      <c r="A34" s="1930"/>
      <c r="B34" s="4091">
        <v>1998</v>
      </c>
      <c r="C34" s="4092">
        <f t="shared" si="3"/>
        <v>6578.3099999999995</v>
      </c>
      <c r="D34" s="4093">
        <v>2791.99</v>
      </c>
      <c r="E34" s="4097">
        <v>768.79</v>
      </c>
      <c r="F34" s="4098">
        <f t="shared" si="4"/>
        <v>1860.44</v>
      </c>
      <c r="G34" s="4089">
        <v>1176.97</v>
      </c>
      <c r="H34" s="4089">
        <v>683.47</v>
      </c>
      <c r="I34" s="4085">
        <f t="shared" si="5"/>
        <v>3786.3199999999997</v>
      </c>
      <c r="J34" s="4089">
        <v>3598.43</v>
      </c>
      <c r="K34" s="4090">
        <v>187.89</v>
      </c>
      <c r="L34" s="1665"/>
      <c r="M34" s="3165"/>
      <c r="N34" s="3095"/>
      <c r="O34" s="3095"/>
      <c r="P34" s="3096"/>
      <c r="Q34" s="218"/>
      <c r="R34" s="218"/>
      <c r="S34" s="218"/>
      <c r="T34" s="123"/>
      <c r="U34" s="123"/>
    </row>
    <row r="35" spans="1:21" s="60" customFormat="1" ht="13.5" hidden="1" customHeight="1">
      <c r="A35" s="1930"/>
      <c r="B35" s="4091">
        <v>1999</v>
      </c>
      <c r="C35" s="4092"/>
      <c r="D35" s="4095"/>
      <c r="E35" s="4084"/>
      <c r="F35" s="4098"/>
      <c r="G35" s="1980"/>
      <c r="H35" s="1980"/>
      <c r="I35" s="4085"/>
      <c r="J35" s="1980"/>
      <c r="K35" s="4084"/>
      <c r="L35" s="1665"/>
      <c r="M35" s="3165"/>
      <c r="N35" s="3095"/>
      <c r="O35" s="3095"/>
      <c r="P35" s="3096"/>
      <c r="Q35" s="218"/>
      <c r="R35" s="218"/>
      <c r="S35" s="218"/>
      <c r="T35" s="123"/>
      <c r="U35" s="123"/>
    </row>
    <row r="36" spans="1:21" s="60" customFormat="1" ht="13.5" hidden="1" customHeight="1">
      <c r="A36" s="1930"/>
      <c r="B36" s="4096" t="s">
        <v>161</v>
      </c>
      <c r="C36" s="4092">
        <f t="shared" ref="C36:C47" si="6">D36+I36</f>
        <v>6853.71</v>
      </c>
      <c r="D36" s="4093">
        <v>2821.9</v>
      </c>
      <c r="E36" s="4099">
        <v>742.22</v>
      </c>
      <c r="F36" s="4098">
        <f t="shared" ref="F36:F47" si="7">G36+H36</f>
        <v>1916.93</v>
      </c>
      <c r="G36" s="4089">
        <v>1245.8900000000001</v>
      </c>
      <c r="H36" s="4089">
        <v>671.04</v>
      </c>
      <c r="I36" s="4085">
        <f t="shared" ref="I36:I47" si="8">J36+K36</f>
        <v>4031.81</v>
      </c>
      <c r="J36" s="4089">
        <v>3734.96</v>
      </c>
      <c r="K36" s="4090">
        <v>296.85000000000002</v>
      </c>
      <c r="L36" s="1665"/>
      <c r="M36" s="2741"/>
      <c r="N36" s="134"/>
      <c r="O36" s="134"/>
      <c r="P36" s="3096"/>
      <c r="Q36" s="218"/>
      <c r="R36" s="218"/>
      <c r="S36" s="218"/>
      <c r="T36" s="123"/>
      <c r="U36" s="123"/>
    </row>
    <row r="37" spans="1:21" s="60" customFormat="1" ht="13.5" hidden="1" customHeight="1">
      <c r="A37" s="1930"/>
      <c r="B37" s="4096" t="s">
        <v>162</v>
      </c>
      <c r="C37" s="4092">
        <f t="shared" si="6"/>
        <v>6876.34</v>
      </c>
      <c r="D37" s="4087">
        <v>2850.62</v>
      </c>
      <c r="E37" s="4100">
        <v>743.38</v>
      </c>
      <c r="F37" s="4098">
        <f t="shared" si="7"/>
        <v>1944.5099999999998</v>
      </c>
      <c r="G37" s="4089">
        <v>1302.3399999999999</v>
      </c>
      <c r="H37" s="4089">
        <v>642.16999999999996</v>
      </c>
      <c r="I37" s="4085">
        <f t="shared" si="8"/>
        <v>4025.7200000000003</v>
      </c>
      <c r="J37" s="4089">
        <v>3743.9</v>
      </c>
      <c r="K37" s="4090">
        <v>281.82</v>
      </c>
      <c r="L37" s="1665"/>
      <c r="M37" s="2741"/>
      <c r="N37" s="3167"/>
      <c r="O37" s="3095"/>
      <c r="P37" s="3095"/>
      <c r="Q37" s="3095"/>
      <c r="R37" s="218"/>
      <c r="S37" s="218"/>
      <c r="T37" s="123"/>
      <c r="U37" s="123"/>
    </row>
    <row r="38" spans="1:21" s="60" customFormat="1" ht="13.5" hidden="1" customHeight="1">
      <c r="A38" s="1930"/>
      <c r="B38" s="4096" t="s">
        <v>163</v>
      </c>
      <c r="C38" s="4092">
        <f t="shared" si="6"/>
        <v>7319.3899999999994</v>
      </c>
      <c r="D38" s="4087">
        <v>2878.94</v>
      </c>
      <c r="E38" s="4100">
        <v>740.69</v>
      </c>
      <c r="F38" s="4098">
        <f t="shared" si="7"/>
        <v>1974.4</v>
      </c>
      <c r="G38" s="4089">
        <v>1329.29</v>
      </c>
      <c r="H38" s="4089">
        <v>645.11</v>
      </c>
      <c r="I38" s="4085">
        <f t="shared" si="8"/>
        <v>4440.45</v>
      </c>
      <c r="J38" s="4089">
        <v>4166.57</v>
      </c>
      <c r="K38" s="4090">
        <v>273.88</v>
      </c>
      <c r="L38" s="1665"/>
      <c r="M38" s="3166"/>
      <c r="P38" s="3095"/>
      <c r="Q38" s="3095"/>
      <c r="R38" s="218"/>
      <c r="S38" s="218"/>
      <c r="T38" s="123"/>
      <c r="U38" s="123"/>
    </row>
    <row r="39" spans="1:21" s="60" customFormat="1" ht="13.5" hidden="1" customHeight="1">
      <c r="A39" s="1930"/>
      <c r="B39" s="4096" t="s">
        <v>164</v>
      </c>
      <c r="C39" s="4092">
        <f t="shared" si="6"/>
        <v>7346.25</v>
      </c>
      <c r="D39" s="4087">
        <v>2609.9899999999998</v>
      </c>
      <c r="E39" s="4100">
        <v>742.97</v>
      </c>
      <c r="F39" s="4098">
        <f t="shared" si="7"/>
        <v>1702.75</v>
      </c>
      <c r="G39" s="4089">
        <v>1013.41</v>
      </c>
      <c r="H39" s="4089">
        <v>689.34</v>
      </c>
      <c r="I39" s="4085">
        <f t="shared" si="8"/>
        <v>4736.26</v>
      </c>
      <c r="J39" s="4089">
        <v>4422.04</v>
      </c>
      <c r="K39" s="4090">
        <v>314.22000000000003</v>
      </c>
      <c r="L39" s="1665"/>
      <c r="M39" s="3165"/>
      <c r="N39" s="534"/>
      <c r="O39" s="534"/>
      <c r="P39" s="3095"/>
      <c r="Q39" s="3095"/>
      <c r="R39" s="218"/>
      <c r="S39" s="218"/>
      <c r="T39" s="123"/>
      <c r="U39" s="123"/>
    </row>
    <row r="40" spans="1:21" s="60" customFormat="1" ht="13.5" hidden="1" customHeight="1">
      <c r="A40" s="1930"/>
      <c r="B40" s="4096" t="s">
        <v>165</v>
      </c>
      <c r="C40" s="4092">
        <f t="shared" si="6"/>
        <v>7322.5499999999993</v>
      </c>
      <c r="D40" s="4087">
        <v>2836.45</v>
      </c>
      <c r="E40" s="4100">
        <v>745.58</v>
      </c>
      <c r="F40" s="4098">
        <f t="shared" si="7"/>
        <v>1926.1</v>
      </c>
      <c r="G40" s="4089">
        <v>1204.68</v>
      </c>
      <c r="H40" s="4089">
        <v>721.42</v>
      </c>
      <c r="I40" s="4085">
        <f t="shared" si="8"/>
        <v>4486.0999999999995</v>
      </c>
      <c r="J40" s="4089">
        <v>4211.1499999999996</v>
      </c>
      <c r="K40" s="4090">
        <v>274.95</v>
      </c>
      <c r="L40" s="1665"/>
      <c r="M40" s="3165"/>
      <c r="N40" s="534"/>
      <c r="O40" s="534"/>
      <c r="P40" s="3095"/>
      <c r="Q40" s="3095"/>
      <c r="R40" s="218"/>
      <c r="S40" s="218"/>
      <c r="T40" s="123"/>
      <c r="U40" s="123"/>
    </row>
    <row r="41" spans="1:21" s="60" customFormat="1" ht="13.5" hidden="1" customHeight="1">
      <c r="A41" s="1930"/>
      <c r="B41" s="4096" t="s">
        <v>166</v>
      </c>
      <c r="C41" s="4092">
        <f t="shared" si="6"/>
        <v>7359.2300000000005</v>
      </c>
      <c r="D41" s="4087">
        <v>2868.45</v>
      </c>
      <c r="E41" s="4100">
        <v>852.82</v>
      </c>
      <c r="F41" s="4098">
        <f t="shared" si="7"/>
        <v>1832.63</v>
      </c>
      <c r="G41" s="4089">
        <v>1047.98</v>
      </c>
      <c r="H41" s="4089">
        <v>784.65</v>
      </c>
      <c r="I41" s="4085">
        <f t="shared" si="8"/>
        <v>4490.7800000000007</v>
      </c>
      <c r="J41" s="4089">
        <v>4269.8100000000004</v>
      </c>
      <c r="K41" s="4090">
        <v>220.97</v>
      </c>
      <c r="L41" s="1665"/>
      <c r="M41" s="3165"/>
      <c r="N41" s="534"/>
      <c r="O41" s="534"/>
      <c r="P41" s="3095"/>
      <c r="Q41" s="3095"/>
      <c r="R41" s="218"/>
      <c r="S41" s="218"/>
      <c r="T41" s="123"/>
      <c r="U41" s="123"/>
    </row>
    <row r="42" spans="1:21" s="60" customFormat="1" ht="13.5" hidden="1" customHeight="1">
      <c r="A42" s="1930"/>
      <c r="B42" s="4096" t="s">
        <v>167</v>
      </c>
      <c r="C42" s="4092">
        <f t="shared" si="6"/>
        <v>7235.23</v>
      </c>
      <c r="D42" s="4087">
        <v>2872.16</v>
      </c>
      <c r="E42" s="4100">
        <v>812.36</v>
      </c>
      <c r="F42" s="4098">
        <f t="shared" si="7"/>
        <v>1874.71</v>
      </c>
      <c r="G42" s="4089">
        <v>1068.56</v>
      </c>
      <c r="H42" s="4089">
        <v>806.15</v>
      </c>
      <c r="I42" s="4085">
        <f t="shared" si="8"/>
        <v>4363.07</v>
      </c>
      <c r="J42" s="4089">
        <v>4029.15</v>
      </c>
      <c r="K42" s="4090">
        <v>333.92</v>
      </c>
      <c r="L42" s="1665"/>
      <c r="M42" s="3165"/>
      <c r="N42" s="534"/>
      <c r="O42" s="534"/>
      <c r="P42" s="3095"/>
      <c r="Q42" s="3095"/>
      <c r="R42" s="218"/>
      <c r="S42" s="218"/>
      <c r="T42" s="123"/>
      <c r="U42" s="123"/>
    </row>
    <row r="43" spans="1:21" s="60" customFormat="1" ht="13.5" hidden="1" customHeight="1">
      <c r="A43" s="1930"/>
      <c r="B43" s="4096" t="s">
        <v>168</v>
      </c>
      <c r="C43" s="4092">
        <f t="shared" si="6"/>
        <v>8212.85</v>
      </c>
      <c r="D43" s="4087">
        <v>3009.13</v>
      </c>
      <c r="E43" s="4100">
        <v>830.57</v>
      </c>
      <c r="F43" s="4098">
        <f t="shared" si="7"/>
        <v>1994.93</v>
      </c>
      <c r="G43" s="4089">
        <v>1163.93</v>
      </c>
      <c r="H43" s="4089">
        <v>831</v>
      </c>
      <c r="I43" s="4085">
        <f t="shared" si="8"/>
        <v>5203.72</v>
      </c>
      <c r="J43" s="4089">
        <v>4928.01</v>
      </c>
      <c r="K43" s="4090">
        <v>275.70999999999998</v>
      </c>
      <c r="L43" s="1665"/>
      <c r="M43" s="3165"/>
      <c r="N43" s="534"/>
      <c r="O43" s="534"/>
      <c r="P43" s="3095"/>
      <c r="Q43" s="3095"/>
      <c r="R43" s="218"/>
      <c r="S43" s="218"/>
      <c r="T43" s="123"/>
      <c r="U43" s="123"/>
    </row>
    <row r="44" spans="1:21" s="60" customFormat="1" ht="13.5" hidden="1" customHeight="1">
      <c r="A44" s="1930"/>
      <c r="B44" s="4096" t="s">
        <v>169</v>
      </c>
      <c r="C44" s="4092">
        <f t="shared" si="6"/>
        <v>8200.880000000001</v>
      </c>
      <c r="D44" s="4087">
        <v>3458.79</v>
      </c>
      <c r="E44" s="4100">
        <v>831</v>
      </c>
      <c r="F44" s="4098">
        <f t="shared" si="7"/>
        <v>2440.92</v>
      </c>
      <c r="G44" s="4089">
        <v>1584.96</v>
      </c>
      <c r="H44" s="4089">
        <v>855.96</v>
      </c>
      <c r="I44" s="4085">
        <f t="shared" si="8"/>
        <v>4742.09</v>
      </c>
      <c r="J44" s="4089">
        <v>4546.8500000000004</v>
      </c>
      <c r="K44" s="4090">
        <v>195.24</v>
      </c>
      <c r="L44" s="1665"/>
      <c r="M44" s="3165"/>
      <c r="N44" s="534"/>
      <c r="O44" s="534"/>
      <c r="P44" s="3095"/>
      <c r="Q44" s="3095"/>
      <c r="R44" s="218"/>
      <c r="S44" s="218"/>
      <c r="T44" s="123"/>
      <c r="U44" s="123"/>
    </row>
    <row r="45" spans="1:21" s="60" customFormat="1" ht="13.5" hidden="1" customHeight="1">
      <c r="A45" s="1930"/>
      <c r="B45" s="4096" t="s">
        <v>170</v>
      </c>
      <c r="C45" s="4092">
        <f t="shared" si="6"/>
        <v>9040.99</v>
      </c>
      <c r="D45" s="4087">
        <v>3677.92</v>
      </c>
      <c r="E45" s="4100">
        <v>875.67</v>
      </c>
      <c r="F45" s="4098">
        <f t="shared" si="7"/>
        <v>2623.91</v>
      </c>
      <c r="G45" s="4089">
        <v>1736.79</v>
      </c>
      <c r="H45" s="4089">
        <v>887.12</v>
      </c>
      <c r="I45" s="4085">
        <f t="shared" si="8"/>
        <v>5363.07</v>
      </c>
      <c r="J45" s="4089">
        <v>5190.04</v>
      </c>
      <c r="K45" s="4090">
        <v>173.03</v>
      </c>
      <c r="L45" s="1665"/>
      <c r="M45" s="3165"/>
      <c r="N45" s="534"/>
      <c r="O45" s="534"/>
      <c r="P45" s="3095"/>
      <c r="Q45" s="3095"/>
      <c r="R45" s="218"/>
      <c r="S45" s="218"/>
      <c r="T45" s="123"/>
      <c r="U45" s="123"/>
    </row>
    <row r="46" spans="1:21" s="60" customFormat="1" ht="13.5" hidden="1" customHeight="1">
      <c r="A46" s="1930"/>
      <c r="B46" s="4096" t="s">
        <v>171</v>
      </c>
      <c r="C46" s="4092">
        <f t="shared" si="6"/>
        <v>8698.86</v>
      </c>
      <c r="D46" s="4087">
        <v>3435.58</v>
      </c>
      <c r="E46" s="4100">
        <v>893.13</v>
      </c>
      <c r="F46" s="4098">
        <f t="shared" si="7"/>
        <v>2364.15</v>
      </c>
      <c r="G46" s="4089">
        <v>1459.94</v>
      </c>
      <c r="H46" s="4089">
        <v>904.21</v>
      </c>
      <c r="I46" s="4085">
        <f t="shared" si="8"/>
        <v>5263.28</v>
      </c>
      <c r="J46" s="4089">
        <v>5084.9399999999996</v>
      </c>
      <c r="K46" s="4090">
        <v>178.34</v>
      </c>
      <c r="L46" s="1665"/>
      <c r="M46" s="3165"/>
      <c r="N46" s="534"/>
      <c r="O46" s="534"/>
      <c r="P46" s="3095"/>
      <c r="Q46" s="3095"/>
      <c r="R46" s="218"/>
      <c r="S46" s="218"/>
      <c r="T46" s="123"/>
      <c r="U46" s="123"/>
    </row>
    <row r="47" spans="1:21" s="60" customFormat="1" ht="13.5" hidden="1" customHeight="1">
      <c r="A47" s="1930"/>
      <c r="B47" s="4091">
        <v>1999</v>
      </c>
      <c r="C47" s="4092">
        <f t="shared" si="6"/>
        <v>8643.36</v>
      </c>
      <c r="D47" s="4087">
        <v>3902.66</v>
      </c>
      <c r="E47" s="4100">
        <v>969.15</v>
      </c>
      <c r="F47" s="4098">
        <f t="shared" si="7"/>
        <v>2754.93</v>
      </c>
      <c r="G47" s="4089">
        <v>1848.05</v>
      </c>
      <c r="H47" s="4089">
        <v>906.88</v>
      </c>
      <c r="I47" s="4085">
        <f t="shared" si="8"/>
        <v>4740.7</v>
      </c>
      <c r="J47" s="4089">
        <v>4367.83</v>
      </c>
      <c r="K47" s="4090">
        <v>372.87</v>
      </c>
      <c r="L47" s="1665"/>
      <c r="M47" s="3165"/>
      <c r="N47" s="534"/>
      <c r="O47" s="534"/>
      <c r="P47" s="3095"/>
      <c r="Q47" s="3095"/>
      <c r="R47" s="218"/>
      <c r="S47" s="218"/>
      <c r="T47" s="123"/>
      <c r="U47" s="123"/>
    </row>
    <row r="48" spans="1:21" s="60" customFormat="1" ht="13.5" hidden="1" customHeight="1">
      <c r="A48" s="1930"/>
      <c r="B48" s="4101">
        <v>2000</v>
      </c>
      <c r="C48" s="4092"/>
      <c r="D48" s="4102"/>
      <c r="E48" s="4103"/>
      <c r="F48" s="4102"/>
      <c r="G48" s="4102"/>
      <c r="H48" s="4102"/>
      <c r="I48" s="4102"/>
      <c r="J48" s="4102"/>
      <c r="K48" s="4103"/>
      <c r="L48" s="1665"/>
      <c r="M48" s="3165"/>
      <c r="N48" s="534"/>
      <c r="O48" s="534"/>
      <c r="P48" s="3095"/>
      <c r="Q48" s="3095"/>
      <c r="R48" s="218"/>
      <c r="S48" s="218"/>
      <c r="T48" s="123"/>
      <c r="U48" s="123"/>
    </row>
    <row r="49" spans="1:21" s="60" customFormat="1" ht="13.5" hidden="1" customHeight="1">
      <c r="A49" s="1930"/>
      <c r="B49" s="4104" t="s">
        <v>161</v>
      </c>
      <c r="C49" s="4092">
        <f t="shared" ref="C49:C60" si="9">D49+I49</f>
        <v>8775.39</v>
      </c>
      <c r="D49" s="4105">
        <v>3430.65</v>
      </c>
      <c r="E49" s="4100">
        <v>975.65</v>
      </c>
      <c r="F49" s="4098">
        <f t="shared" ref="F49:F60" si="10">G49+H49</f>
        <v>2275.41</v>
      </c>
      <c r="G49" s="4106">
        <v>1368.74</v>
      </c>
      <c r="H49" s="4106">
        <v>906.67</v>
      </c>
      <c r="I49" s="4085">
        <f t="shared" ref="I49:I60" si="11">J49+K49</f>
        <v>5344.74</v>
      </c>
      <c r="J49" s="4106">
        <v>5002.54</v>
      </c>
      <c r="K49" s="4107">
        <v>342.2</v>
      </c>
      <c r="L49" s="1665"/>
      <c r="M49" s="3165"/>
      <c r="N49" s="534"/>
      <c r="O49" s="534"/>
      <c r="P49" s="3095"/>
      <c r="Q49" s="3095"/>
      <c r="R49" s="218"/>
      <c r="S49" s="218"/>
      <c r="T49" s="123"/>
      <c r="U49" s="123"/>
    </row>
    <row r="50" spans="1:21" s="60" customFormat="1" ht="13.5" hidden="1" customHeight="1">
      <c r="A50" s="1930"/>
      <c r="B50" s="4104" t="s">
        <v>162</v>
      </c>
      <c r="C50" s="4092">
        <f t="shared" si="9"/>
        <v>8511.6200000000008</v>
      </c>
      <c r="D50" s="4105">
        <v>3128.53</v>
      </c>
      <c r="E50" s="4100">
        <v>977.52</v>
      </c>
      <c r="F50" s="4098">
        <f t="shared" si="10"/>
        <v>1970.0500000000002</v>
      </c>
      <c r="G50" s="4106">
        <v>1066.22</v>
      </c>
      <c r="H50" s="4106">
        <v>903.83</v>
      </c>
      <c r="I50" s="4085">
        <f t="shared" si="11"/>
        <v>5383.09</v>
      </c>
      <c r="J50" s="4106">
        <v>5065.63</v>
      </c>
      <c r="K50" s="4107">
        <v>317.45999999999998</v>
      </c>
      <c r="L50" s="1665"/>
      <c r="M50" s="3165"/>
      <c r="N50" s="534"/>
      <c r="O50" s="534"/>
      <c r="P50" s="3095"/>
      <c r="Q50" s="3095"/>
      <c r="R50" s="218"/>
      <c r="S50" s="218"/>
      <c r="T50" s="123"/>
      <c r="U50" s="123"/>
    </row>
    <row r="51" spans="1:21" s="60" customFormat="1" ht="13.5" hidden="1" customHeight="1">
      <c r="A51" s="1930"/>
      <c r="B51" s="4104" t="s">
        <v>163</v>
      </c>
      <c r="C51" s="4092">
        <f t="shared" si="9"/>
        <v>9066.67</v>
      </c>
      <c r="D51" s="4106">
        <v>4117.21</v>
      </c>
      <c r="E51" s="4108">
        <v>1040.68</v>
      </c>
      <c r="F51" s="4085">
        <f t="shared" si="10"/>
        <v>2979.48</v>
      </c>
      <c r="G51" s="4106">
        <v>2048.13</v>
      </c>
      <c r="H51" s="4106">
        <v>931.35</v>
      </c>
      <c r="I51" s="4085">
        <f t="shared" si="11"/>
        <v>4949.46</v>
      </c>
      <c r="J51" s="4106">
        <v>4653.0200000000004</v>
      </c>
      <c r="K51" s="4107">
        <v>296.44</v>
      </c>
      <c r="L51" s="1665"/>
      <c r="M51" s="3166"/>
      <c r="N51" s="534"/>
      <c r="O51" s="534"/>
      <c r="P51" s="3095"/>
      <c r="Q51" s="3095"/>
      <c r="R51" s="218"/>
      <c r="S51" s="218"/>
      <c r="T51" s="123"/>
      <c r="U51" s="123"/>
    </row>
    <row r="52" spans="1:21" s="60" customFormat="1" ht="13.5" hidden="1" customHeight="1">
      <c r="A52" s="1930"/>
      <c r="B52" s="4104" t="s">
        <v>164</v>
      </c>
      <c r="C52" s="4092">
        <f t="shared" si="9"/>
        <v>8358.15</v>
      </c>
      <c r="D52" s="4106">
        <v>3500.56</v>
      </c>
      <c r="E52" s="4108">
        <v>991.28</v>
      </c>
      <c r="F52" s="4085">
        <f t="shared" si="10"/>
        <v>2412.1999999999998</v>
      </c>
      <c r="G52" s="4106">
        <v>1443.12</v>
      </c>
      <c r="H52" s="4106">
        <v>969.08</v>
      </c>
      <c r="I52" s="4085">
        <f t="shared" si="11"/>
        <v>4857.59</v>
      </c>
      <c r="J52" s="4106">
        <v>4569.71</v>
      </c>
      <c r="K52" s="4107">
        <v>287.88</v>
      </c>
      <c r="L52" s="1665"/>
      <c r="M52" s="3165"/>
      <c r="N52" s="534"/>
      <c r="O52" s="534"/>
      <c r="P52" s="3095"/>
      <c r="Q52" s="3095"/>
      <c r="R52" s="218"/>
      <c r="S52" s="218"/>
      <c r="T52" s="123"/>
      <c r="U52" s="123"/>
    </row>
    <row r="53" spans="1:21" s="60" customFormat="1" ht="13.5" hidden="1" customHeight="1">
      <c r="A53" s="1930"/>
      <c r="B53" s="4104" t="s">
        <v>165</v>
      </c>
      <c r="C53" s="4092">
        <f t="shared" si="9"/>
        <v>8277.2099999999991</v>
      </c>
      <c r="D53" s="4106">
        <v>3460.56</v>
      </c>
      <c r="E53" s="4108">
        <v>1022.7</v>
      </c>
      <c r="F53" s="4085">
        <f t="shared" si="10"/>
        <v>2340.5100000000002</v>
      </c>
      <c r="G53" s="4106">
        <v>1227.8399999999999</v>
      </c>
      <c r="H53" s="4106">
        <v>1112.67</v>
      </c>
      <c r="I53" s="4085">
        <f t="shared" si="11"/>
        <v>4816.6499999999996</v>
      </c>
      <c r="J53" s="4106">
        <v>4557.95</v>
      </c>
      <c r="K53" s="4107">
        <v>258.7</v>
      </c>
      <c r="L53" s="1665"/>
      <c r="M53" s="3165"/>
      <c r="N53" s="534"/>
      <c r="O53" s="534"/>
      <c r="P53" s="3095"/>
      <c r="Q53" s="3095"/>
      <c r="R53" s="218"/>
      <c r="S53" s="218"/>
      <c r="T53" s="123"/>
      <c r="U53" s="123"/>
    </row>
    <row r="54" spans="1:21" s="60" customFormat="1" ht="13.5" hidden="1" customHeight="1">
      <c r="A54" s="1930"/>
      <c r="B54" s="4104" t="s">
        <v>166</v>
      </c>
      <c r="C54" s="4092">
        <f t="shared" si="9"/>
        <v>8930.5400000000009</v>
      </c>
      <c r="D54" s="4106">
        <v>3691.66</v>
      </c>
      <c r="E54" s="4088">
        <v>1119.3900000000001</v>
      </c>
      <c r="F54" s="4085">
        <f t="shared" si="10"/>
        <v>2474.7600000000002</v>
      </c>
      <c r="G54" s="4106">
        <v>1311.14</v>
      </c>
      <c r="H54" s="4106">
        <v>1163.6199999999999</v>
      </c>
      <c r="I54" s="4085">
        <f t="shared" si="11"/>
        <v>5238.88</v>
      </c>
      <c r="J54" s="4106">
        <v>5016.58</v>
      </c>
      <c r="K54" s="4107">
        <v>222.3</v>
      </c>
      <c r="L54" s="1665"/>
      <c r="M54" s="3165"/>
      <c r="N54" s="534"/>
      <c r="O54" s="534"/>
      <c r="P54" s="3095"/>
      <c r="Q54" s="3095"/>
      <c r="R54" s="218"/>
      <c r="S54" s="218"/>
      <c r="T54" s="123"/>
      <c r="U54" s="123"/>
    </row>
    <row r="55" spans="1:21" s="60" customFormat="1" ht="13.5" hidden="1" customHeight="1">
      <c r="A55" s="1930"/>
      <c r="B55" s="4104" t="s">
        <v>167</v>
      </c>
      <c r="C55" s="4092">
        <f t="shared" si="9"/>
        <v>9564.5400000000009</v>
      </c>
      <c r="D55" s="4106">
        <v>3853.99</v>
      </c>
      <c r="E55" s="4088">
        <v>1086.93</v>
      </c>
      <c r="F55" s="4085">
        <f t="shared" si="10"/>
        <v>2669.47</v>
      </c>
      <c r="G55" s="4106">
        <v>1458.12</v>
      </c>
      <c r="H55" s="4106">
        <v>1211.3499999999999</v>
      </c>
      <c r="I55" s="4085">
        <f t="shared" si="11"/>
        <v>5710.55</v>
      </c>
      <c r="J55" s="4106">
        <v>5466.34</v>
      </c>
      <c r="K55" s="4107">
        <v>244.21</v>
      </c>
      <c r="L55" s="1665"/>
      <c r="M55" s="3165"/>
      <c r="N55" s="534"/>
      <c r="O55" s="534"/>
      <c r="P55" s="3095"/>
      <c r="Q55" s="3095"/>
      <c r="R55" s="218"/>
      <c r="S55" s="218"/>
      <c r="T55" s="123"/>
      <c r="U55" s="123"/>
    </row>
    <row r="56" spans="1:21" s="60" customFormat="1" ht="13.5" hidden="1" customHeight="1">
      <c r="A56" s="1930"/>
      <c r="B56" s="4104" t="s">
        <v>168</v>
      </c>
      <c r="C56" s="4092">
        <f t="shared" si="9"/>
        <v>9650.49</v>
      </c>
      <c r="D56" s="4106">
        <v>3871.74</v>
      </c>
      <c r="E56" s="4088">
        <v>1121.72</v>
      </c>
      <c r="F56" s="4085">
        <f t="shared" si="10"/>
        <v>2652.01</v>
      </c>
      <c r="G56" s="4106">
        <v>1404.91</v>
      </c>
      <c r="H56" s="4106">
        <v>1247.0999999999999</v>
      </c>
      <c r="I56" s="4085">
        <f t="shared" si="11"/>
        <v>5778.75</v>
      </c>
      <c r="J56" s="4106">
        <v>5558.18</v>
      </c>
      <c r="K56" s="4107">
        <v>220.57</v>
      </c>
      <c r="L56" s="1665"/>
      <c r="M56" s="3165"/>
      <c r="N56" s="534"/>
      <c r="O56" s="534"/>
      <c r="P56" s="3095"/>
      <c r="Q56" s="3095"/>
      <c r="R56" s="218"/>
      <c r="S56" s="218"/>
      <c r="T56" s="123"/>
      <c r="U56" s="123"/>
    </row>
    <row r="57" spans="1:21" s="60" customFormat="1" ht="13.5" hidden="1" customHeight="1">
      <c r="A57" s="1930"/>
      <c r="B57" s="4104" t="s">
        <v>169</v>
      </c>
      <c r="C57" s="4092">
        <f t="shared" si="9"/>
        <v>10369.189999999999</v>
      </c>
      <c r="D57" s="4106">
        <v>4554.25</v>
      </c>
      <c r="E57" s="4088">
        <v>1205.1500000000001</v>
      </c>
      <c r="F57" s="4085">
        <f t="shared" si="10"/>
        <v>3251.02</v>
      </c>
      <c r="G57" s="4106">
        <v>2031.47</v>
      </c>
      <c r="H57" s="4106">
        <v>1219.55</v>
      </c>
      <c r="I57" s="4085">
        <f t="shared" si="11"/>
        <v>5814.94</v>
      </c>
      <c r="J57" s="4106">
        <v>5516.4</v>
      </c>
      <c r="K57" s="4107">
        <v>298.54000000000002</v>
      </c>
      <c r="L57" s="1665"/>
      <c r="M57" s="3165"/>
      <c r="N57" s="534"/>
      <c r="O57" s="534"/>
      <c r="P57" s="3095"/>
      <c r="Q57" s="3095"/>
      <c r="R57" s="218"/>
      <c r="S57" s="218"/>
      <c r="T57" s="123"/>
      <c r="U57" s="123"/>
    </row>
    <row r="58" spans="1:21" s="60" customFormat="1" ht="13.5" hidden="1" customHeight="1">
      <c r="A58" s="1930"/>
      <c r="B58" s="4104" t="s">
        <v>170</v>
      </c>
      <c r="C58" s="4092">
        <f t="shared" si="9"/>
        <v>9848.36</v>
      </c>
      <c r="D58" s="4106">
        <v>4390.3999999999996</v>
      </c>
      <c r="E58" s="4088">
        <v>1384.57</v>
      </c>
      <c r="F58" s="4085">
        <f t="shared" si="10"/>
        <v>2907.45</v>
      </c>
      <c r="G58" s="4106">
        <v>1723.51</v>
      </c>
      <c r="H58" s="4106">
        <v>1183.94</v>
      </c>
      <c r="I58" s="4085">
        <f t="shared" si="11"/>
        <v>5457.96</v>
      </c>
      <c r="J58" s="4106">
        <v>5204.9399999999996</v>
      </c>
      <c r="K58" s="4107">
        <v>253.02</v>
      </c>
      <c r="L58" s="1665"/>
      <c r="M58" s="3165"/>
      <c r="N58" s="534"/>
      <c r="O58" s="534"/>
      <c r="P58" s="3095"/>
      <c r="Q58" s="3095"/>
      <c r="R58" s="218"/>
      <c r="S58" s="218"/>
      <c r="T58" s="123"/>
      <c r="U58" s="123"/>
    </row>
    <row r="59" spans="1:21" s="60" customFormat="1" ht="13.5" hidden="1" customHeight="1">
      <c r="A59" s="1930"/>
      <c r="B59" s="4104" t="s">
        <v>171</v>
      </c>
      <c r="C59" s="4092">
        <f t="shared" si="9"/>
        <v>10047.82</v>
      </c>
      <c r="D59" s="4107">
        <v>4004.91</v>
      </c>
      <c r="E59" s="4109">
        <v>1208.73</v>
      </c>
      <c r="F59" s="4085">
        <f t="shared" si="10"/>
        <v>2692.61</v>
      </c>
      <c r="G59" s="4110">
        <v>1445.18</v>
      </c>
      <c r="H59" s="4110">
        <v>1247.43</v>
      </c>
      <c r="I59" s="4085">
        <f t="shared" si="11"/>
        <v>6042.91</v>
      </c>
      <c r="J59" s="4110">
        <v>5815.66</v>
      </c>
      <c r="K59" s="4110">
        <v>227.25</v>
      </c>
      <c r="L59" s="1665"/>
      <c r="M59" s="3165"/>
      <c r="N59" s="534"/>
      <c r="O59" s="534"/>
      <c r="P59" s="3095"/>
      <c r="Q59" s="3095"/>
      <c r="R59" s="218"/>
      <c r="S59" s="218"/>
      <c r="T59" s="123"/>
      <c r="U59" s="123"/>
    </row>
    <row r="60" spans="1:21" s="60" customFormat="1" ht="13.5" hidden="1" customHeight="1">
      <c r="A60" s="1930"/>
      <c r="B60" s="4101">
        <v>2000</v>
      </c>
      <c r="C60" s="4092">
        <f t="shared" si="9"/>
        <v>10035.35</v>
      </c>
      <c r="D60" s="4111">
        <v>4039.03</v>
      </c>
      <c r="E60" s="4112">
        <v>1269.57</v>
      </c>
      <c r="F60" s="4113">
        <f t="shared" si="10"/>
        <v>2669.46</v>
      </c>
      <c r="G60" s="4113">
        <v>1424.27</v>
      </c>
      <c r="H60" s="4113">
        <v>1245.19</v>
      </c>
      <c r="I60" s="4113">
        <f t="shared" si="11"/>
        <v>5996.32</v>
      </c>
      <c r="J60" s="4113">
        <v>5815.41</v>
      </c>
      <c r="K60" s="4113">
        <v>180.91</v>
      </c>
      <c r="L60" s="1665"/>
      <c r="M60" s="3165"/>
      <c r="N60" s="534"/>
      <c r="O60" s="534"/>
      <c r="P60" s="3095"/>
      <c r="Q60" s="3095"/>
      <c r="R60" s="218"/>
      <c r="S60" s="218"/>
      <c r="T60" s="123"/>
      <c r="U60" s="123"/>
    </row>
    <row r="61" spans="1:21" s="60" customFormat="1" ht="13.5" hidden="1" customHeight="1">
      <c r="A61" s="1930"/>
      <c r="B61" s="4114">
        <v>2001</v>
      </c>
      <c r="C61" s="4092"/>
      <c r="D61" s="4113"/>
      <c r="E61" s="4112"/>
      <c r="F61" s="4113"/>
      <c r="G61" s="4113"/>
      <c r="H61" s="4113"/>
      <c r="I61" s="4113"/>
      <c r="J61" s="4113"/>
      <c r="K61" s="4113"/>
      <c r="L61" s="1665"/>
      <c r="M61" s="3165"/>
      <c r="N61" s="534"/>
      <c r="O61" s="534"/>
      <c r="P61" s="3095"/>
      <c r="Q61" s="3095"/>
      <c r="R61" s="218"/>
      <c r="S61" s="218"/>
      <c r="T61" s="123"/>
      <c r="U61" s="123"/>
    </row>
    <row r="62" spans="1:21" s="60" customFormat="1" ht="13.5" hidden="1" customHeight="1">
      <c r="A62" s="1930"/>
      <c r="B62" s="4113" t="s">
        <v>161</v>
      </c>
      <c r="C62" s="4092">
        <f t="shared" ref="C62:C73" si="12">D62+I62</f>
        <v>9121.15</v>
      </c>
      <c r="D62" s="4115">
        <v>3965.1</v>
      </c>
      <c r="E62" s="4116">
        <v>1276.1199999999999</v>
      </c>
      <c r="F62" s="4115">
        <f t="shared" ref="F62:F73" si="13">G62+H62</f>
        <v>2594.2200000000003</v>
      </c>
      <c r="G62" s="4115">
        <v>1335.94</v>
      </c>
      <c r="H62" s="4115">
        <v>1258.28</v>
      </c>
      <c r="I62" s="4115">
        <f t="shared" ref="I62:I73" si="14">J62+K62</f>
        <v>5156.05</v>
      </c>
      <c r="J62" s="4115">
        <v>4902.92</v>
      </c>
      <c r="K62" s="4115">
        <v>253.13</v>
      </c>
      <c r="L62" s="1665"/>
      <c r="M62" s="3165"/>
      <c r="N62" s="534"/>
      <c r="O62" s="534"/>
      <c r="P62" s="3095"/>
      <c r="Q62" s="3095"/>
      <c r="R62" s="218"/>
      <c r="S62" s="218"/>
    </row>
    <row r="63" spans="1:21" s="60" customFormat="1" ht="13.5" hidden="1" customHeight="1">
      <c r="A63" s="1930"/>
      <c r="B63" s="4113" t="s">
        <v>162</v>
      </c>
      <c r="C63" s="4092">
        <f t="shared" si="12"/>
        <v>8952.1299999999992</v>
      </c>
      <c r="D63" s="4117">
        <v>3803.86</v>
      </c>
      <c r="E63" s="4117">
        <v>1318.54</v>
      </c>
      <c r="F63" s="4117">
        <f t="shared" si="13"/>
        <v>2397.5100000000002</v>
      </c>
      <c r="G63" s="4117">
        <v>1168.8800000000001</v>
      </c>
      <c r="H63" s="4117">
        <v>1228.6300000000001</v>
      </c>
      <c r="I63" s="4117">
        <f t="shared" si="14"/>
        <v>5148.2699999999995</v>
      </c>
      <c r="J63" s="4117">
        <v>4855.1899999999996</v>
      </c>
      <c r="K63" s="4117">
        <v>293.08</v>
      </c>
      <c r="L63" s="1665"/>
      <c r="M63" s="3165"/>
      <c r="N63" s="534"/>
      <c r="O63" s="534"/>
      <c r="P63" s="3095"/>
      <c r="Q63" s="3095"/>
      <c r="R63" s="218"/>
      <c r="S63" s="218"/>
    </row>
    <row r="64" spans="1:21" s="60" customFormat="1" ht="13.5" hidden="1" customHeight="1">
      <c r="A64" s="1930"/>
      <c r="B64" s="4113" t="s">
        <v>163</v>
      </c>
      <c r="C64" s="4092">
        <f t="shared" si="12"/>
        <v>10062.36</v>
      </c>
      <c r="D64" s="4117">
        <v>4323.78</v>
      </c>
      <c r="E64" s="4117">
        <v>1346.36</v>
      </c>
      <c r="F64" s="4117">
        <f t="shared" si="13"/>
        <v>2879.1</v>
      </c>
      <c r="G64" s="4117">
        <v>1636.26</v>
      </c>
      <c r="H64" s="4117">
        <v>1242.8399999999999</v>
      </c>
      <c r="I64" s="4117">
        <f t="shared" si="14"/>
        <v>5738.58</v>
      </c>
      <c r="J64" s="4117">
        <v>5540.97</v>
      </c>
      <c r="K64" s="4117">
        <v>197.61</v>
      </c>
      <c r="L64" s="1665"/>
      <c r="M64" s="3166"/>
      <c r="N64" s="534"/>
      <c r="O64" s="534"/>
      <c r="P64" s="3095"/>
      <c r="Q64" s="3095"/>
      <c r="R64" s="218"/>
      <c r="S64" s="218"/>
    </row>
    <row r="65" spans="1:19" s="60" customFormat="1" ht="13.5" hidden="1" customHeight="1">
      <c r="A65" s="1930"/>
      <c r="B65" s="4113" t="s">
        <v>164</v>
      </c>
      <c r="C65" s="4092">
        <f t="shared" si="12"/>
        <v>9955.7599999999984</v>
      </c>
      <c r="D65" s="4117">
        <v>4216.7299999999996</v>
      </c>
      <c r="E65" s="4117">
        <v>1346.77</v>
      </c>
      <c r="F65" s="4117">
        <f t="shared" si="13"/>
        <v>2769.21</v>
      </c>
      <c r="G65" s="4117">
        <v>1478.64</v>
      </c>
      <c r="H65" s="4117">
        <v>1290.57</v>
      </c>
      <c r="I65" s="4117">
        <f t="shared" si="14"/>
        <v>5739.03</v>
      </c>
      <c r="J65" s="4117">
        <v>5436.58</v>
      </c>
      <c r="K65" s="4117">
        <v>302.45</v>
      </c>
      <c r="L65" s="1665"/>
      <c r="M65" s="3165"/>
      <c r="N65" s="534"/>
      <c r="O65" s="534"/>
      <c r="P65" s="3095"/>
      <c r="Q65" s="3095"/>
      <c r="R65" s="218"/>
      <c r="S65" s="218"/>
    </row>
    <row r="66" spans="1:19" s="60" customFormat="1" ht="13.5" hidden="1" customHeight="1">
      <c r="A66" s="1930"/>
      <c r="B66" s="4113" t="s">
        <v>165</v>
      </c>
      <c r="C66" s="4092">
        <f t="shared" si="12"/>
        <v>9874.6</v>
      </c>
      <c r="D66" s="4117">
        <f>[10]MSL!D62</f>
        <v>4286.95</v>
      </c>
      <c r="E66" s="4117">
        <v>1349.43</v>
      </c>
      <c r="F66" s="4117">
        <f t="shared" si="13"/>
        <v>2837.66</v>
      </c>
      <c r="G66" s="4117">
        <v>1453.52</v>
      </c>
      <c r="H66" s="4117">
        <v>1384.14</v>
      </c>
      <c r="I66" s="4117">
        <f t="shared" si="14"/>
        <v>5587.6500000000005</v>
      </c>
      <c r="J66" s="4117">
        <v>5277.72</v>
      </c>
      <c r="K66" s="4117">
        <v>309.93</v>
      </c>
      <c r="L66" s="1665"/>
      <c r="M66" s="3165"/>
      <c r="N66" s="534"/>
      <c r="O66" s="534"/>
      <c r="P66" s="3095"/>
      <c r="Q66" s="3095"/>
      <c r="R66" s="218"/>
      <c r="S66" s="218"/>
    </row>
    <row r="67" spans="1:19" s="60" customFormat="1" ht="13.5" hidden="1" customHeight="1">
      <c r="A67" s="1930"/>
      <c r="B67" s="4113" t="s">
        <v>166</v>
      </c>
      <c r="C67" s="4092">
        <f t="shared" si="12"/>
        <v>9419.82</v>
      </c>
      <c r="D67" s="4117">
        <f>[10]MSL!D63</f>
        <v>4477.8599999999997</v>
      </c>
      <c r="E67" s="4117">
        <f>[10]MSL!E63</f>
        <v>1483.09</v>
      </c>
      <c r="F67" s="4117">
        <f t="shared" si="13"/>
        <v>2889.7</v>
      </c>
      <c r="G67" s="4117">
        <f>1195.61+292.7</f>
        <v>1488.31</v>
      </c>
      <c r="H67" s="4117">
        <f>1084.85+316.54</f>
        <v>1401.3899999999999</v>
      </c>
      <c r="I67" s="4117">
        <f t="shared" si="14"/>
        <v>4941.96</v>
      </c>
      <c r="J67" s="4117">
        <f>[10]DMBL!D46</f>
        <v>4710.49</v>
      </c>
      <c r="K67" s="4117">
        <f>[10]DMBL!E46</f>
        <v>231.47</v>
      </c>
      <c r="L67" s="1665"/>
      <c r="M67" s="3165"/>
      <c r="N67" s="534"/>
      <c r="O67" s="534"/>
      <c r="P67" s="3095"/>
      <c r="Q67" s="3095"/>
      <c r="R67" s="218"/>
      <c r="S67" s="218"/>
    </row>
    <row r="68" spans="1:19" s="60" customFormat="1" ht="13.5" hidden="1" customHeight="1">
      <c r="A68" s="1930"/>
      <c r="B68" s="4113" t="s">
        <v>167</v>
      </c>
      <c r="C68" s="4092">
        <f t="shared" si="12"/>
        <v>10539.5</v>
      </c>
      <c r="D68" s="4117">
        <f>[10]MSL!D64</f>
        <v>4736.32</v>
      </c>
      <c r="E68" s="4117">
        <f>[10]MSL!E64</f>
        <v>1432.59</v>
      </c>
      <c r="F68" s="4117">
        <f t="shared" si="13"/>
        <v>3194.34</v>
      </c>
      <c r="G68" s="4117">
        <v>1773.87</v>
      </c>
      <c r="H68" s="4117">
        <v>1420.47</v>
      </c>
      <c r="I68" s="4117">
        <f t="shared" si="14"/>
        <v>5803.18</v>
      </c>
      <c r="J68" s="4117">
        <v>5513.59</v>
      </c>
      <c r="K68" s="4117">
        <v>289.58999999999997</v>
      </c>
      <c r="L68" s="1665"/>
      <c r="M68" s="3165"/>
      <c r="N68" s="534"/>
      <c r="O68" s="534"/>
      <c r="P68" s="3095"/>
      <c r="Q68" s="3095"/>
      <c r="R68" s="218"/>
      <c r="S68" s="218"/>
    </row>
    <row r="69" spans="1:19" s="60" customFormat="1" ht="13.5" hidden="1" customHeight="1">
      <c r="A69" s="1930"/>
      <c r="B69" s="4113" t="s">
        <v>168</v>
      </c>
      <c r="C69" s="4092">
        <f t="shared" si="12"/>
        <v>10507.22</v>
      </c>
      <c r="D69" s="4117">
        <f>[10]MSL!D65</f>
        <v>4756.3399999999992</v>
      </c>
      <c r="E69" s="4117">
        <f>[10]MSL!E65</f>
        <v>1408.25</v>
      </c>
      <c r="F69" s="4117">
        <f t="shared" si="13"/>
        <v>3230.06</v>
      </c>
      <c r="G69" s="4117">
        <v>1806.6</v>
      </c>
      <c r="H69" s="4117">
        <v>1423.46</v>
      </c>
      <c r="I69" s="4117">
        <f t="shared" si="14"/>
        <v>5750.88</v>
      </c>
      <c r="J69" s="4117">
        <v>5593.88</v>
      </c>
      <c r="K69" s="4117">
        <v>157</v>
      </c>
      <c r="L69" s="1665"/>
      <c r="M69" s="3165"/>
      <c r="N69" s="534"/>
      <c r="O69" s="534"/>
      <c r="P69" s="3095"/>
      <c r="Q69" s="3095"/>
      <c r="R69" s="218"/>
      <c r="S69" s="218"/>
    </row>
    <row r="70" spans="1:19" s="60" customFormat="1" ht="13.5" hidden="1" customHeight="1">
      <c r="A70" s="1930"/>
      <c r="B70" s="4113" t="s">
        <v>169</v>
      </c>
      <c r="C70" s="4092">
        <f t="shared" si="12"/>
        <v>10360.94</v>
      </c>
      <c r="D70" s="4117">
        <f>[10]MSL!D66</f>
        <v>4452.5</v>
      </c>
      <c r="E70" s="4117">
        <f>[10]MSL!E66</f>
        <v>1407.53</v>
      </c>
      <c r="F70" s="4117">
        <f t="shared" si="13"/>
        <v>3005.65</v>
      </c>
      <c r="G70" s="4117">
        <v>1571.4</v>
      </c>
      <c r="H70" s="4117">
        <v>1434.25</v>
      </c>
      <c r="I70" s="4117">
        <f t="shared" si="14"/>
        <v>5908.4400000000005</v>
      </c>
      <c r="J70" s="4117">
        <f>[10]DMBL!D49</f>
        <v>5728.3</v>
      </c>
      <c r="K70" s="4117">
        <f>[10]DMBL!E49</f>
        <v>180.14</v>
      </c>
      <c r="L70" s="1665"/>
      <c r="M70" s="3165"/>
      <c r="N70" s="534"/>
      <c r="O70" s="534"/>
      <c r="P70" s="3095"/>
      <c r="Q70" s="3095"/>
      <c r="R70" s="218"/>
      <c r="S70" s="218"/>
    </row>
    <row r="71" spans="1:19" s="60" customFormat="1" ht="13.5" hidden="1" customHeight="1">
      <c r="A71" s="1930"/>
      <c r="B71" s="4113" t="s">
        <v>170</v>
      </c>
      <c r="C71" s="4092">
        <f t="shared" si="12"/>
        <v>10719.77</v>
      </c>
      <c r="D71" s="4117">
        <f>[10]MSL!D67</f>
        <v>5168.1399999999994</v>
      </c>
      <c r="E71" s="4117">
        <f>[10]MSL!E67</f>
        <v>1441.23</v>
      </c>
      <c r="F71" s="4117">
        <f t="shared" si="13"/>
        <v>3678.4700000000003</v>
      </c>
      <c r="G71" s="4117">
        <v>2219.27</v>
      </c>
      <c r="H71" s="4117">
        <v>1459.2</v>
      </c>
      <c r="I71" s="4117">
        <f t="shared" si="14"/>
        <v>5551.63</v>
      </c>
      <c r="J71" s="4117">
        <f>[10]DMBL!D50</f>
        <v>5288.38</v>
      </c>
      <c r="K71" s="4117">
        <f>[10]DMBL!E50</f>
        <v>263.25</v>
      </c>
      <c r="L71" s="1665"/>
      <c r="M71" s="3165"/>
      <c r="N71" s="534"/>
      <c r="O71" s="534"/>
      <c r="P71" s="3095"/>
      <c r="Q71" s="3095"/>
      <c r="R71" s="218"/>
      <c r="S71" s="218"/>
    </row>
    <row r="72" spans="1:19" s="60" customFormat="1" ht="13.5" hidden="1" customHeight="1">
      <c r="A72" s="1930"/>
      <c r="B72" s="4113" t="s">
        <v>171</v>
      </c>
      <c r="C72" s="4092">
        <f t="shared" si="12"/>
        <v>10234.1</v>
      </c>
      <c r="D72" s="4117">
        <f>[10]MSL!D68</f>
        <v>4694.4800000000005</v>
      </c>
      <c r="E72" s="4117">
        <f>[10]MSL!E68</f>
        <v>1596.94</v>
      </c>
      <c r="F72" s="4117">
        <f t="shared" si="13"/>
        <v>3009.17</v>
      </c>
      <c r="G72" s="4117">
        <v>1502.32</v>
      </c>
      <c r="H72" s="4117">
        <v>1506.85</v>
      </c>
      <c r="I72" s="4117">
        <f t="shared" si="14"/>
        <v>5539.62</v>
      </c>
      <c r="J72" s="4117">
        <f>[10]DMBL!D51</f>
        <v>5319.42</v>
      </c>
      <c r="K72" s="4117">
        <f>[10]DMBL!E51</f>
        <v>220.2</v>
      </c>
      <c r="L72" s="1665"/>
      <c r="M72" s="3165"/>
      <c r="N72" s="534"/>
      <c r="O72" s="534"/>
      <c r="P72" s="3095"/>
      <c r="Q72" s="3097"/>
      <c r="R72" s="3098"/>
      <c r="S72" s="3098"/>
    </row>
    <row r="73" spans="1:19" s="60" customFormat="1" ht="13.5" hidden="1" customHeight="1">
      <c r="A73" s="1930"/>
      <c r="B73" s="4114">
        <v>2001</v>
      </c>
      <c r="C73" s="4092">
        <f t="shared" si="12"/>
        <v>10802.05</v>
      </c>
      <c r="D73" s="4117">
        <f>[10]MSL!D69</f>
        <v>4934.4599999999991</v>
      </c>
      <c r="E73" s="4117">
        <f>[10]MSL!E69</f>
        <v>1609.85</v>
      </c>
      <c r="F73" s="4117">
        <f t="shared" si="13"/>
        <v>3238.21</v>
      </c>
      <c r="G73" s="4117">
        <v>1616.3</v>
      </c>
      <c r="H73" s="4117">
        <v>1621.91</v>
      </c>
      <c r="I73" s="4117">
        <f t="shared" si="14"/>
        <v>5867.59</v>
      </c>
      <c r="J73" s="4117">
        <f>[10]DMBL!D52</f>
        <v>5628.3</v>
      </c>
      <c r="K73" s="4117">
        <f>[10]DMBL!E52</f>
        <v>239.29</v>
      </c>
      <c r="L73" s="1665"/>
      <c r="M73" s="3165"/>
      <c r="N73" s="534"/>
      <c r="O73" s="534"/>
      <c r="P73" s="3095"/>
      <c r="Q73" s="3095"/>
      <c r="R73" s="218"/>
      <c r="S73" s="218"/>
    </row>
    <row r="74" spans="1:19" s="60" customFormat="1" ht="13.5" hidden="1" customHeight="1">
      <c r="A74" s="1930"/>
      <c r="B74" s="4118">
        <v>2002</v>
      </c>
      <c r="C74" s="4092"/>
      <c r="D74" s="1711"/>
      <c r="E74" s="4117"/>
      <c r="F74" s="4117"/>
      <c r="G74" s="4117"/>
      <c r="H74" s="4117"/>
      <c r="I74" s="4117"/>
      <c r="J74" s="4117"/>
      <c r="K74" s="4117"/>
      <c r="L74" s="1665"/>
      <c r="M74" s="3165"/>
      <c r="N74" s="534"/>
      <c r="O74" s="534"/>
      <c r="P74" s="3095"/>
      <c r="Q74" s="3095"/>
      <c r="R74" s="218"/>
      <c r="S74" s="218"/>
    </row>
    <row r="75" spans="1:19" s="60" customFormat="1" ht="15.75" hidden="1" customHeight="1">
      <c r="A75" s="1930"/>
      <c r="B75" s="4119" t="s">
        <v>161</v>
      </c>
      <c r="C75" s="4092">
        <f t="shared" ref="C75:C86" si="15">D75+I75</f>
        <v>10521.740000000002</v>
      </c>
      <c r="D75" s="4117">
        <v>4847.3900000000003</v>
      </c>
      <c r="E75" s="4117">
        <v>1623.71</v>
      </c>
      <c r="F75" s="4117">
        <f t="shared" ref="F75:F86" si="16">G75+H75</f>
        <v>3166.23</v>
      </c>
      <c r="G75" s="4117">
        <v>1537.39</v>
      </c>
      <c r="H75" s="4117">
        <v>1628.84</v>
      </c>
      <c r="I75" s="4117">
        <f t="shared" ref="I75:I86" si="17">J75+K75</f>
        <v>5674.35</v>
      </c>
      <c r="J75" s="4117">
        <f>[10]DMBL!D54</f>
        <v>5316.64</v>
      </c>
      <c r="K75" s="4117">
        <v>357.71</v>
      </c>
      <c r="L75" s="1665"/>
      <c r="M75" s="3165"/>
      <c r="N75" s="534"/>
      <c r="O75" s="534"/>
      <c r="P75" s="3095"/>
      <c r="Q75" s="3095"/>
      <c r="R75" s="218"/>
      <c r="S75" s="218"/>
    </row>
    <row r="76" spans="1:19" s="60" customFormat="1" ht="13.5" hidden="1" customHeight="1">
      <c r="A76" s="1930"/>
      <c r="B76" s="4119" t="s">
        <v>162</v>
      </c>
      <c r="C76" s="4092">
        <f t="shared" si="15"/>
        <v>11297.490000000002</v>
      </c>
      <c r="D76" s="4117">
        <v>5155.3100000000004</v>
      </c>
      <c r="E76" s="4117">
        <v>1615.46</v>
      </c>
      <c r="F76" s="4117">
        <f t="shared" si="16"/>
        <v>3535.8100000000004</v>
      </c>
      <c r="G76" s="4117">
        <v>2030.14</v>
      </c>
      <c r="H76" s="4117">
        <v>1505.67</v>
      </c>
      <c r="I76" s="4117">
        <f t="shared" si="17"/>
        <v>6142.18</v>
      </c>
      <c r="J76" s="4117">
        <f>[10]DMBL!D55</f>
        <v>5798.31</v>
      </c>
      <c r="K76" s="4117">
        <v>343.87</v>
      </c>
      <c r="L76" s="1665"/>
      <c r="M76" s="3165"/>
      <c r="N76" s="534"/>
      <c r="O76" s="534"/>
      <c r="P76" s="3095"/>
      <c r="Q76" s="3095"/>
      <c r="R76" s="218"/>
      <c r="S76" s="218"/>
    </row>
    <row r="77" spans="1:19" s="60" customFormat="1" ht="13.5" hidden="1" customHeight="1">
      <c r="A77" s="1930"/>
      <c r="B77" s="4119" t="s">
        <v>163</v>
      </c>
      <c r="C77" s="4092">
        <f t="shared" si="15"/>
        <v>11028.19</v>
      </c>
      <c r="D77" s="4117">
        <v>4820.6000000000004</v>
      </c>
      <c r="E77" s="4117">
        <v>1614.65</v>
      </c>
      <c r="F77" s="4117">
        <f t="shared" si="16"/>
        <v>3137.85</v>
      </c>
      <c r="G77" s="4117">
        <v>1626.36</v>
      </c>
      <c r="H77" s="4117">
        <v>1511.49</v>
      </c>
      <c r="I77" s="4117">
        <f t="shared" si="17"/>
        <v>6207.59</v>
      </c>
      <c r="J77" s="4117">
        <f>[10]DMBL!D56</f>
        <v>5846.53</v>
      </c>
      <c r="K77" s="4117">
        <v>361.06</v>
      </c>
      <c r="L77" s="1665"/>
      <c r="M77" s="3166"/>
      <c r="N77" s="534"/>
      <c r="O77" s="534"/>
      <c r="P77" s="3095"/>
      <c r="Q77" s="3095"/>
      <c r="R77" s="218"/>
      <c r="S77" s="218"/>
    </row>
    <row r="78" spans="1:19" s="60" customFormat="1" ht="13.5" hidden="1" customHeight="1">
      <c r="A78" s="1930"/>
      <c r="B78" s="4119" t="s">
        <v>164</v>
      </c>
      <c r="C78" s="4092">
        <f t="shared" si="15"/>
        <v>10578.16</v>
      </c>
      <c r="D78" s="4117">
        <v>4746.37</v>
      </c>
      <c r="E78" s="4117">
        <v>1494.23</v>
      </c>
      <c r="F78" s="4117">
        <f t="shared" si="16"/>
        <v>3143.81</v>
      </c>
      <c r="G78" s="4117">
        <v>1663.34</v>
      </c>
      <c r="H78" s="4117">
        <v>1480.47</v>
      </c>
      <c r="I78" s="4117">
        <f t="shared" si="17"/>
        <v>5831.79</v>
      </c>
      <c r="J78" s="4117">
        <f>[10]DMBL!D57</f>
        <v>5492.66</v>
      </c>
      <c r="K78" s="4117">
        <v>339.13</v>
      </c>
      <c r="L78" s="1665"/>
      <c r="M78" s="3165"/>
      <c r="N78" s="534"/>
      <c r="O78" s="534"/>
      <c r="P78" s="3095"/>
      <c r="Q78" s="3095"/>
      <c r="R78" s="218"/>
      <c r="S78" s="218"/>
    </row>
    <row r="79" spans="1:19" s="60" customFormat="1" ht="13.5" hidden="1" customHeight="1">
      <c r="A79" s="1930"/>
      <c r="B79" s="4119" t="s">
        <v>165</v>
      </c>
      <c r="C79" s="4092">
        <f t="shared" si="15"/>
        <v>11456.220000000001</v>
      </c>
      <c r="D79" s="4117">
        <v>5055.46</v>
      </c>
      <c r="E79" s="4117">
        <v>1512.41</v>
      </c>
      <c r="F79" s="4117">
        <f t="shared" si="16"/>
        <v>3409.6</v>
      </c>
      <c r="G79" s="4117">
        <v>1829.57</v>
      </c>
      <c r="H79" s="4117">
        <v>1580.03</v>
      </c>
      <c r="I79" s="4117">
        <f t="shared" si="17"/>
        <v>6400.76</v>
      </c>
      <c r="J79" s="4117">
        <f>[10]DMBL!D58</f>
        <v>6069.27</v>
      </c>
      <c r="K79" s="4117">
        <v>331.49</v>
      </c>
      <c r="L79" s="1665"/>
      <c r="M79" s="3165"/>
      <c r="N79" s="534"/>
      <c r="O79" s="534"/>
      <c r="P79" s="3095"/>
      <c r="Q79" s="3099"/>
      <c r="R79" s="218"/>
      <c r="S79" s="218"/>
    </row>
    <row r="80" spans="1:19" s="60" customFormat="1" ht="13.5" hidden="1" customHeight="1">
      <c r="A80" s="1930"/>
      <c r="B80" s="4119" t="s">
        <v>166</v>
      </c>
      <c r="C80" s="4092">
        <f t="shared" si="15"/>
        <v>11076.89</v>
      </c>
      <c r="D80" s="4117">
        <f>[10]MSL!D76</f>
        <v>5019.4500000000007</v>
      </c>
      <c r="E80" s="4117">
        <f>[10]MSL!E76</f>
        <v>1600.19</v>
      </c>
      <c r="F80" s="4117">
        <f t="shared" si="16"/>
        <v>3313.59</v>
      </c>
      <c r="G80" s="4117">
        <f>1329.73+324.45</f>
        <v>1654.18</v>
      </c>
      <c r="H80" s="4117">
        <f>1274.68+384.73</f>
        <v>1659.41</v>
      </c>
      <c r="I80" s="4117">
        <f t="shared" si="17"/>
        <v>6057.44</v>
      </c>
      <c r="J80" s="4117">
        <f>[10]DMBL!D59</f>
        <v>5764.5599999999995</v>
      </c>
      <c r="K80" s="4117">
        <v>292.88</v>
      </c>
      <c r="L80" s="1665"/>
      <c r="M80" s="3165"/>
      <c r="N80" s="534"/>
      <c r="O80" s="534"/>
      <c r="P80" s="3099"/>
      <c r="Q80" s="3095"/>
      <c r="R80" s="218"/>
      <c r="S80" s="700"/>
    </row>
    <row r="81" spans="1:19" s="60" customFormat="1" ht="13.5" hidden="1" customHeight="1">
      <c r="A81" s="1930"/>
      <c r="B81" s="4119" t="s">
        <v>167</v>
      </c>
      <c r="C81" s="4092">
        <f t="shared" si="15"/>
        <v>12228.189999999999</v>
      </c>
      <c r="D81" s="4117">
        <f>[10]MSL!D77</f>
        <v>6287.45</v>
      </c>
      <c r="E81" s="4117">
        <f>[10]MSL!E77</f>
        <v>1583.55</v>
      </c>
      <c r="F81" s="4117">
        <f t="shared" si="16"/>
        <v>4599.41</v>
      </c>
      <c r="G81" s="4117">
        <v>2914.52</v>
      </c>
      <c r="H81" s="4117">
        <v>1684.89</v>
      </c>
      <c r="I81" s="4117">
        <f t="shared" si="17"/>
        <v>5940.74</v>
      </c>
      <c r="J81" s="4117">
        <f>[10]DMBL!D60</f>
        <v>5510.04</v>
      </c>
      <c r="K81" s="4117">
        <f>[10]DMBL!E60</f>
        <v>430.7</v>
      </c>
      <c r="L81" s="1665"/>
      <c r="M81" s="3165"/>
      <c r="N81" s="534"/>
      <c r="O81" s="534"/>
      <c r="P81" s="3095"/>
      <c r="Q81" s="3100"/>
      <c r="R81" s="3101"/>
      <c r="S81" s="3102"/>
    </row>
    <row r="82" spans="1:19" s="60" customFormat="1" ht="13.5" hidden="1" customHeight="1">
      <c r="A82" s="1930"/>
      <c r="B82" s="4119" t="s">
        <v>168</v>
      </c>
      <c r="C82" s="4092">
        <f t="shared" si="15"/>
        <v>11002.900000000001</v>
      </c>
      <c r="D82" s="4117">
        <f>[10]MSL!D78</f>
        <v>5245.29</v>
      </c>
      <c r="E82" s="4117">
        <f>[10]MSL!E78</f>
        <v>1538.42</v>
      </c>
      <c r="F82" s="4117">
        <f t="shared" si="16"/>
        <v>3589.56</v>
      </c>
      <c r="G82" s="4117">
        <v>1864.62</v>
      </c>
      <c r="H82" s="4117">
        <v>1724.94</v>
      </c>
      <c r="I82" s="4117">
        <f t="shared" si="17"/>
        <v>5757.6100000000006</v>
      </c>
      <c r="J82" s="4117">
        <f>[10]DMBL!D61</f>
        <v>5416.13</v>
      </c>
      <c r="K82" s="4117">
        <f>[10]DMBL!E61</f>
        <v>341.48</v>
      </c>
      <c r="L82" s="1665"/>
      <c r="M82" s="3165"/>
      <c r="N82" s="534"/>
      <c r="O82" s="534"/>
      <c r="P82" s="3099"/>
      <c r="Q82" s="3095"/>
      <c r="R82" s="218"/>
      <c r="S82" s="218"/>
    </row>
    <row r="83" spans="1:19" s="60" customFormat="1" ht="13.5" hidden="1" customHeight="1">
      <c r="A83" s="1930"/>
      <c r="B83" s="4119" t="s">
        <v>169</v>
      </c>
      <c r="C83" s="4092">
        <f t="shared" si="15"/>
        <v>11095.37</v>
      </c>
      <c r="D83" s="4117">
        <f>[10]MSL!D79</f>
        <v>5263.1900000000005</v>
      </c>
      <c r="E83" s="4117">
        <f>[10]MSL!E79</f>
        <v>1546.19</v>
      </c>
      <c r="F83" s="4117">
        <f t="shared" si="16"/>
        <v>3621.33</v>
      </c>
      <c r="G83" s="4117">
        <v>1958.99</v>
      </c>
      <c r="H83" s="4117">
        <v>1662.34</v>
      </c>
      <c r="I83" s="4117">
        <f t="shared" si="17"/>
        <v>5832.18</v>
      </c>
      <c r="J83" s="4117">
        <f>[10]DMBL!D62</f>
        <v>5577.18</v>
      </c>
      <c r="K83" s="4117">
        <f>[10]DMBL!E62</f>
        <v>255</v>
      </c>
      <c r="L83" s="1665"/>
      <c r="M83" s="3165"/>
      <c r="N83" s="534"/>
      <c r="O83" s="534"/>
      <c r="P83" s="3099"/>
      <c r="Q83" s="3095"/>
      <c r="R83" s="218"/>
      <c r="S83" s="218"/>
    </row>
    <row r="84" spans="1:19" s="60" customFormat="1" ht="13.5" hidden="1" customHeight="1">
      <c r="A84" s="1930"/>
      <c r="B84" s="4119" t="s">
        <v>170</v>
      </c>
      <c r="C84" s="4092">
        <f t="shared" si="15"/>
        <v>12140.630000000001</v>
      </c>
      <c r="D84" s="4117">
        <f>[10]MSL!D80</f>
        <v>6130.96</v>
      </c>
      <c r="E84" s="4117">
        <f>[10]MSL!E80</f>
        <v>1585.69</v>
      </c>
      <c r="F84" s="4117">
        <f t="shared" si="16"/>
        <v>4461.99</v>
      </c>
      <c r="G84" s="4117">
        <v>2793.96</v>
      </c>
      <c r="H84" s="4117">
        <v>1668.03</v>
      </c>
      <c r="I84" s="4117">
        <f t="shared" si="17"/>
        <v>6009.67</v>
      </c>
      <c r="J84" s="4117">
        <f>[10]DMBL!D63</f>
        <v>5786.78</v>
      </c>
      <c r="K84" s="4117">
        <f>[10]DMBL!E63</f>
        <v>222.89</v>
      </c>
      <c r="L84" s="1665"/>
      <c r="M84" s="3165"/>
      <c r="N84" s="534"/>
      <c r="O84" s="534"/>
      <c r="P84" s="3099"/>
      <c r="Q84" s="3095"/>
      <c r="R84" s="218"/>
      <c r="S84" s="218"/>
    </row>
    <row r="85" spans="1:19" s="60" customFormat="1" ht="13.5" hidden="1" customHeight="1">
      <c r="A85" s="1930"/>
      <c r="B85" s="4119" t="s">
        <v>171</v>
      </c>
      <c r="C85" s="4092">
        <f t="shared" si="15"/>
        <v>15618.67</v>
      </c>
      <c r="D85" s="4117">
        <f>[10]MSL!D81</f>
        <v>9273.67</v>
      </c>
      <c r="E85" s="4117">
        <f>[10]MSL!E81</f>
        <v>1570.66</v>
      </c>
      <c r="F85" s="4117">
        <f t="shared" si="16"/>
        <v>7588.71</v>
      </c>
      <c r="G85" s="4117">
        <v>5909.84</v>
      </c>
      <c r="H85" s="4117">
        <v>1678.87</v>
      </c>
      <c r="I85" s="4117">
        <f t="shared" si="17"/>
        <v>6345</v>
      </c>
      <c r="J85" s="4117">
        <f>[10]DMBL!D64</f>
        <v>6061.82</v>
      </c>
      <c r="K85" s="4117">
        <f>[10]DMBL!E64</f>
        <v>283.18</v>
      </c>
      <c r="L85" s="1665"/>
      <c r="M85" s="3165"/>
      <c r="N85" s="534"/>
      <c r="O85" s="534"/>
      <c r="P85" s="3099"/>
      <c r="Q85" s="3095"/>
      <c r="R85" s="218"/>
      <c r="S85" s="218"/>
    </row>
    <row r="86" spans="1:19" s="60" customFormat="1" ht="13.5" hidden="1" customHeight="1">
      <c r="A86" s="1930"/>
      <c r="B86" s="4118">
        <v>2002</v>
      </c>
      <c r="C86" s="4092">
        <f t="shared" si="15"/>
        <v>13875.669999999998</v>
      </c>
      <c r="D86" s="4117">
        <f>[10]MSL!D82</f>
        <v>7143.4</v>
      </c>
      <c r="E86" s="4117">
        <f>[10]MSL!E82</f>
        <v>1648.29</v>
      </c>
      <c r="F86" s="4117">
        <f t="shared" si="16"/>
        <v>5322.78</v>
      </c>
      <c r="G86" s="4117">
        <v>3633.85</v>
      </c>
      <c r="H86" s="4117">
        <v>1688.93</v>
      </c>
      <c r="I86" s="4117">
        <f t="shared" si="17"/>
        <v>6732.2699999999995</v>
      </c>
      <c r="J86" s="4117">
        <f>[10]DMBL!D65</f>
        <v>6260.8099999999995</v>
      </c>
      <c r="K86" s="4117">
        <f>[10]DMBL!E65</f>
        <v>471.46000000000004</v>
      </c>
      <c r="L86" s="1665"/>
      <c r="M86" s="3165"/>
      <c r="N86" s="534"/>
      <c r="O86" s="534"/>
      <c r="P86" s="3095"/>
      <c r="Q86" s="3095"/>
      <c r="R86" s="218"/>
      <c r="S86" s="218"/>
    </row>
    <row r="87" spans="1:19" s="60" customFormat="1" ht="13.5" hidden="1" customHeight="1">
      <c r="A87" s="1930"/>
      <c r="B87" s="4118">
        <v>2003</v>
      </c>
      <c r="C87" s="4092"/>
      <c r="D87" s="4117"/>
      <c r="E87" s="4117"/>
      <c r="F87" s="4117"/>
      <c r="G87" s="4117"/>
      <c r="H87" s="4117"/>
      <c r="I87" s="4117"/>
      <c r="J87" s="4117"/>
      <c r="K87" s="4117"/>
      <c r="L87" s="1665"/>
      <c r="M87" s="3165"/>
      <c r="N87" s="534"/>
      <c r="O87" s="534"/>
      <c r="P87" s="3095"/>
      <c r="Q87" s="3095"/>
      <c r="R87" s="218"/>
      <c r="S87" s="218"/>
    </row>
    <row r="88" spans="1:19" s="60" customFormat="1" ht="15.75" hidden="1" customHeight="1">
      <c r="A88" s="1930"/>
      <c r="B88" s="4119" t="s">
        <v>161</v>
      </c>
      <c r="C88" s="4092">
        <f t="shared" ref="C88:C99" si="18">D88+I88</f>
        <v>14578.770193389999</v>
      </c>
      <c r="D88" s="4117">
        <f>[10]MSL!D84</f>
        <v>7688.5139311500006</v>
      </c>
      <c r="E88" s="4117">
        <f>[10]MSL!E84</f>
        <v>1651.5371685300001</v>
      </c>
      <c r="F88" s="4117">
        <f t="shared" ref="F88:F99" si="19">G88+H88</f>
        <v>6036.976762620001</v>
      </c>
      <c r="G88" s="4117">
        <f>'[11]DMB Liabilites'!D11</f>
        <v>4289.3067069600002</v>
      </c>
      <c r="H88" s="4117">
        <f>'[11]DMB Liabilites'!J11</f>
        <v>1747.6700556600003</v>
      </c>
      <c r="I88" s="4117">
        <f t="shared" ref="I88:I99" si="20">J88+K88</f>
        <v>6890.2562622399992</v>
      </c>
      <c r="J88" s="4117">
        <f>[10]DMBL!D67</f>
        <v>6400.6685472599993</v>
      </c>
      <c r="K88" s="4117">
        <f>[10]DMBL!E67</f>
        <v>489.58771497999999</v>
      </c>
      <c r="L88" s="1665"/>
      <c r="M88" s="3165" t="s">
        <v>171</v>
      </c>
      <c r="N88" s="534" t="e">
        <f>(N34/N21-1)*100</f>
        <v>#DIV/0!</v>
      </c>
      <c r="O88" s="534" t="e">
        <f>(O34/O21-1)*100</f>
        <v>#DIV/0!</v>
      </c>
      <c r="P88" s="3095"/>
      <c r="Q88" s="3095"/>
      <c r="R88" s="218"/>
      <c r="S88" s="218"/>
    </row>
    <row r="89" spans="1:19" s="60" customFormat="1" ht="13.5" hidden="1" customHeight="1">
      <c r="A89" s="1930"/>
      <c r="B89" s="4119" t="s">
        <v>162</v>
      </c>
      <c r="C89" s="4092">
        <f t="shared" si="18"/>
        <v>14081.26732956</v>
      </c>
      <c r="D89" s="4117">
        <f>[10]MSL!D85</f>
        <v>7143.9133135499997</v>
      </c>
      <c r="E89" s="4117">
        <f>[10]MSL!E85</f>
        <v>1750.19737007</v>
      </c>
      <c r="F89" s="4117">
        <f t="shared" si="19"/>
        <v>5393.7159434799996</v>
      </c>
      <c r="G89" s="4117">
        <f>'[11]DMB Liabilites'!D12</f>
        <v>3657.5704795299998</v>
      </c>
      <c r="H89" s="4117">
        <f>'[11]DMB Liabilites'!J12</f>
        <v>1736.14546395</v>
      </c>
      <c r="I89" s="4117">
        <f t="shared" si="20"/>
        <v>6937.3540160099992</v>
      </c>
      <c r="J89" s="4117">
        <f>[10]DMBL!D68</f>
        <v>6458.8240160099995</v>
      </c>
      <c r="K89" s="4117">
        <v>478.53</v>
      </c>
      <c r="L89" s="1665"/>
      <c r="M89" s="3165" t="s">
        <v>148</v>
      </c>
      <c r="N89" s="534" t="e">
        <f>(N35/N22-1)*100</f>
        <v>#DIV/0!</v>
      </c>
      <c r="O89" s="534" t="e">
        <f>(O35/O22-1)*100</f>
        <v>#DIV/0!</v>
      </c>
      <c r="P89" s="3103"/>
      <c r="Q89" s="3095"/>
      <c r="R89" s="218"/>
      <c r="S89" s="218"/>
    </row>
    <row r="90" spans="1:19" s="60" customFormat="1" ht="13.5" hidden="1" customHeight="1">
      <c r="A90" s="1930"/>
      <c r="B90" s="4119" t="s">
        <v>163</v>
      </c>
      <c r="C90" s="4092">
        <f t="shared" si="18"/>
        <v>14174.58266973</v>
      </c>
      <c r="D90" s="4117">
        <f>[10]MSL!D86</f>
        <v>7062.2141319699995</v>
      </c>
      <c r="E90" s="4117">
        <f>[10]MSL!E86</f>
        <v>1711.39276473</v>
      </c>
      <c r="F90" s="4117">
        <f t="shared" si="19"/>
        <v>5350.8213672399997</v>
      </c>
      <c r="G90" s="4117">
        <f>'[11]DMB Liabilites'!D13</f>
        <v>3578.2908980699999</v>
      </c>
      <c r="H90" s="4117">
        <f>'[11]DMB Liabilites'!J13</f>
        <v>1772.5304691700001</v>
      </c>
      <c r="I90" s="4117">
        <f t="shared" si="20"/>
        <v>7112.3685377599995</v>
      </c>
      <c r="J90" s="4117">
        <f>[10]DMBL!D69</f>
        <v>6461.38853776</v>
      </c>
      <c r="K90" s="4117">
        <v>650.98</v>
      </c>
      <c r="L90" s="1665"/>
      <c r="M90" s="2741"/>
      <c r="N90" s="134"/>
      <c r="O90" s="3095"/>
      <c r="P90" s="3103"/>
      <c r="Q90" s="3095"/>
      <c r="R90" s="218"/>
      <c r="S90" s="218"/>
    </row>
    <row r="91" spans="1:19" s="60" customFormat="1" ht="13.5" hidden="1" customHeight="1">
      <c r="A91" s="1930"/>
      <c r="B91" s="4119" t="s">
        <v>164</v>
      </c>
      <c r="C91" s="4092">
        <f t="shared" si="18"/>
        <v>15560.780653849999</v>
      </c>
      <c r="D91" s="4117">
        <f>[10]MSL!D87</f>
        <v>7632.5782238899992</v>
      </c>
      <c r="E91" s="4117">
        <f>[10]MSL!E87</f>
        <v>1613.7985066000001</v>
      </c>
      <c r="F91" s="4117">
        <f t="shared" si="19"/>
        <v>6018.7797172899991</v>
      </c>
      <c r="G91" s="4117">
        <f>'[11]DMB Liabilites'!D14</f>
        <v>4234.5208667799998</v>
      </c>
      <c r="H91" s="4117">
        <f>'[11]DMB Liabilites'!J14</f>
        <v>1784.2588505099998</v>
      </c>
      <c r="I91" s="4117">
        <f t="shared" si="20"/>
        <v>7928.2024299599998</v>
      </c>
      <c r="J91" s="4117">
        <f>[10]DMBL!D70</f>
        <v>6556.1824299599994</v>
      </c>
      <c r="K91" s="4117">
        <v>1372.02</v>
      </c>
      <c r="L91" s="1665"/>
      <c r="M91" s="2741"/>
      <c r="N91" s="134"/>
      <c r="O91" s="3095"/>
      <c r="P91" s="3103"/>
      <c r="Q91" s="3095"/>
      <c r="R91" s="218"/>
      <c r="S91" s="218"/>
    </row>
    <row r="92" spans="1:19" s="60" customFormat="1" ht="13.5" hidden="1" customHeight="1">
      <c r="A92" s="1930"/>
      <c r="B92" s="4119" t="s">
        <v>165</v>
      </c>
      <c r="C92" s="4092">
        <f t="shared" si="18"/>
        <v>16350.80496335</v>
      </c>
      <c r="D92" s="4117">
        <f>[10]MSL!D88</f>
        <v>8069.1888151499988</v>
      </c>
      <c r="E92" s="4117">
        <f>[10]MSL!E88</f>
        <v>1607.90494367</v>
      </c>
      <c r="F92" s="4117">
        <f t="shared" si="19"/>
        <v>6461.2838714799991</v>
      </c>
      <c r="G92" s="4117">
        <f>'[11]DMB Liabilites'!D15</f>
        <v>4547.1613629899994</v>
      </c>
      <c r="H92" s="4117">
        <f>'[11]DMB Liabilites'!J15</f>
        <v>1914.1225084899995</v>
      </c>
      <c r="I92" s="4117">
        <f t="shared" si="20"/>
        <v>8281.6161482000007</v>
      </c>
      <c r="J92" s="4117">
        <f>[10]DMBL!D71</f>
        <v>7053.6261482</v>
      </c>
      <c r="K92" s="4117">
        <v>1227.99</v>
      </c>
      <c r="L92" s="1665"/>
      <c r="M92" s="2741"/>
      <c r="N92" s="134"/>
      <c r="O92" s="3095"/>
      <c r="P92" s="3103"/>
      <c r="Q92" s="3095"/>
      <c r="R92" s="218"/>
      <c r="S92" s="218"/>
    </row>
    <row r="93" spans="1:19" s="60" customFormat="1" ht="13.5" hidden="1" customHeight="1">
      <c r="A93" s="1930"/>
      <c r="B93" s="4119" t="s">
        <v>166</v>
      </c>
      <c r="C93" s="4092">
        <f t="shared" si="18"/>
        <v>15904.656409930001</v>
      </c>
      <c r="D93" s="4120">
        <f>[10]MSL!D89</f>
        <v>7502.5334454000003</v>
      </c>
      <c r="E93" s="4117">
        <f>[10]MSL!E89</f>
        <v>1699.00336236</v>
      </c>
      <c r="F93" s="4117">
        <f t="shared" si="19"/>
        <v>5803.5300830400001</v>
      </c>
      <c r="G93" s="4117">
        <f>'[11]DMB Liabilites'!D16</f>
        <v>3770.5655964600001</v>
      </c>
      <c r="H93" s="4117">
        <f>'[11]DMB Liabilites'!J16</f>
        <v>2032.9644865800001</v>
      </c>
      <c r="I93" s="4117">
        <f t="shared" si="20"/>
        <v>8402.1229645300009</v>
      </c>
      <c r="J93" s="4117">
        <f>[10]DMBL!D72</f>
        <v>7211.5929645300002</v>
      </c>
      <c r="K93" s="4117">
        <v>1190.53</v>
      </c>
      <c r="L93" s="1665"/>
      <c r="M93" s="2741"/>
      <c r="N93" s="134"/>
      <c r="O93" s="3095"/>
      <c r="P93" s="3103"/>
      <c r="Q93" s="3095"/>
      <c r="R93" s="218"/>
      <c r="S93" s="218"/>
    </row>
    <row r="94" spans="1:19" s="60" customFormat="1" ht="13.5" hidden="1" customHeight="1">
      <c r="A94" s="1930"/>
      <c r="B94" s="4119" t="s">
        <v>167</v>
      </c>
      <c r="C94" s="4092">
        <f t="shared" si="18"/>
        <v>17121.991946850001</v>
      </c>
      <c r="D94" s="4117">
        <f>[10]MSL!D90</f>
        <v>8582.8990694800013</v>
      </c>
      <c r="E94" s="4117">
        <f>[10]MSL!E90</f>
        <v>1688.1594045200002</v>
      </c>
      <c r="F94" s="4117">
        <f t="shared" si="19"/>
        <v>6894.7396649600014</v>
      </c>
      <c r="G94" s="4117">
        <f>'[11]DMB Liabilites'!D17</f>
        <v>4825.7734197700011</v>
      </c>
      <c r="H94" s="4117">
        <f>'[11]DMB Liabilites'!J17</f>
        <v>2068.9662451899999</v>
      </c>
      <c r="I94" s="4117">
        <f t="shared" si="20"/>
        <v>8539.0928773699998</v>
      </c>
      <c r="J94" s="4117">
        <f>[10]DMBL!D73</f>
        <v>7391.8428773699989</v>
      </c>
      <c r="K94" s="4117">
        <v>1147.25</v>
      </c>
      <c r="L94" s="1665"/>
      <c r="M94" s="2741"/>
      <c r="N94" s="134"/>
      <c r="O94" s="3095"/>
      <c r="P94" s="3103"/>
      <c r="Q94" s="3095"/>
      <c r="R94" s="218"/>
      <c r="S94" s="218"/>
    </row>
    <row r="95" spans="1:19" s="60" customFormat="1" ht="13.5" hidden="1" customHeight="1">
      <c r="A95" s="1930"/>
      <c r="B95" s="4119" t="s">
        <v>168</v>
      </c>
      <c r="C95" s="4092">
        <f t="shared" si="18"/>
        <v>16413.957345280003</v>
      </c>
      <c r="D95" s="4117">
        <f>[10]MSL!D91</f>
        <v>7870.7722320899993</v>
      </c>
      <c r="E95" s="4117">
        <f>[10]MSL!E91</f>
        <v>1566.9731435800002</v>
      </c>
      <c r="F95" s="4117">
        <f t="shared" si="19"/>
        <v>6303.7990885099989</v>
      </c>
      <c r="G95" s="4117">
        <f>'[11]DMB Liabilites'!D18</f>
        <v>4211.7290146199994</v>
      </c>
      <c r="H95" s="4117">
        <f>'[11]DMB Liabilites'!J18</f>
        <v>2092.0700738899995</v>
      </c>
      <c r="I95" s="4117">
        <f t="shared" si="20"/>
        <v>8543.1851131900021</v>
      </c>
      <c r="J95" s="4117">
        <f>[10]DMBL!D74</f>
        <v>7378.3851131900019</v>
      </c>
      <c r="K95" s="4117">
        <v>1164.8</v>
      </c>
      <c r="L95" s="1665"/>
      <c r="M95" s="2741"/>
      <c r="N95" s="134"/>
      <c r="O95" s="3095"/>
      <c r="P95" s="3103"/>
      <c r="Q95" s="3095"/>
      <c r="R95" s="218"/>
      <c r="S95" s="218"/>
    </row>
    <row r="96" spans="1:19" s="60" customFormat="1" ht="13.5" hidden="1" customHeight="1">
      <c r="A96" s="1930"/>
      <c r="B96" s="4119" t="s">
        <v>169</v>
      </c>
      <c r="C96" s="4092">
        <f t="shared" si="18"/>
        <v>17381.002089140002</v>
      </c>
      <c r="D96" s="4117">
        <f>[10]MSL!D92</f>
        <v>9239.065809650001</v>
      </c>
      <c r="E96" s="4117">
        <f>[10]MSL!E92</f>
        <v>1678.7375259600001</v>
      </c>
      <c r="F96" s="4117">
        <f t="shared" si="19"/>
        <v>7560.3282836900016</v>
      </c>
      <c r="G96" s="4117">
        <f>'[11]DMB Liabilites'!D19</f>
        <v>5489.2883090600017</v>
      </c>
      <c r="H96" s="4117">
        <f>'[11]DMB Liabilites'!J19</f>
        <v>2071.03997463</v>
      </c>
      <c r="I96" s="4117">
        <f t="shared" si="20"/>
        <v>8141.9362794900007</v>
      </c>
      <c r="J96" s="4117">
        <f>[10]DMBL!D75</f>
        <v>7014.7362794900009</v>
      </c>
      <c r="K96" s="4117">
        <v>1127.2</v>
      </c>
      <c r="L96" s="1665"/>
      <c r="M96" s="2741"/>
      <c r="N96" s="134"/>
      <c r="O96" s="3095"/>
      <c r="P96" s="3103"/>
      <c r="Q96" s="3095"/>
      <c r="R96" s="218"/>
      <c r="S96" s="218"/>
    </row>
    <row r="97" spans="1:21" s="60" customFormat="1" ht="13.5" hidden="1" customHeight="1">
      <c r="A97" s="1930"/>
      <c r="B97" s="4119" t="s">
        <v>170</v>
      </c>
      <c r="C97" s="4092">
        <f t="shared" si="18"/>
        <v>16611.261971879998</v>
      </c>
      <c r="D97" s="4117">
        <f>[10]MSL!D93</f>
        <v>8698.4799208099994</v>
      </c>
      <c r="E97" s="4117">
        <f>[10]MSL!E93</f>
        <v>1671.6179934499999</v>
      </c>
      <c r="F97" s="4117">
        <f t="shared" si="19"/>
        <v>7026.8619273599998</v>
      </c>
      <c r="G97" s="4117">
        <f>'[11]DMB Liabilites'!D20</f>
        <v>4924.1563331300003</v>
      </c>
      <c r="H97" s="4117">
        <f>'[11]DMB Liabilites'!J20</f>
        <v>2102.7055942299999</v>
      </c>
      <c r="I97" s="4117">
        <f t="shared" si="20"/>
        <v>7912.7820510700003</v>
      </c>
      <c r="J97" s="4117">
        <f>[10]DMBL!D76</f>
        <v>6786.2220510700008</v>
      </c>
      <c r="K97" s="4117">
        <v>1126.56</v>
      </c>
      <c r="L97" s="1665"/>
      <c r="M97" s="2741"/>
      <c r="N97" s="134"/>
      <c r="O97" s="3095"/>
      <c r="P97" s="3103"/>
      <c r="Q97" s="3095"/>
      <c r="R97" s="218"/>
      <c r="S97" s="218"/>
    </row>
    <row r="98" spans="1:21" s="60" customFormat="1" ht="13.5" hidden="1" customHeight="1">
      <c r="A98" s="1930"/>
      <c r="B98" s="4119" t="s">
        <v>171</v>
      </c>
      <c r="C98" s="4092">
        <f t="shared" si="18"/>
        <v>16898.223147050001</v>
      </c>
      <c r="D98" s="4117">
        <f>[10]MSL!D94</f>
        <v>8785.0292108100002</v>
      </c>
      <c r="E98" s="4117">
        <f>[10]MSL!E94</f>
        <v>1691.3288987999999</v>
      </c>
      <c r="F98" s="4117">
        <f t="shared" si="19"/>
        <v>7093.7003120099998</v>
      </c>
      <c r="G98" s="4117">
        <f>'[11]DMB Liabilites'!D21</f>
        <v>4958.4767859900003</v>
      </c>
      <c r="H98" s="4117">
        <f>'[11]DMB Liabilites'!J21</f>
        <v>2135.22352602</v>
      </c>
      <c r="I98" s="4117">
        <f t="shared" si="20"/>
        <v>8113.1939362400008</v>
      </c>
      <c r="J98" s="4117">
        <f>[10]DMBL!D77</f>
        <v>7005.0564319400009</v>
      </c>
      <c r="K98" s="4117">
        <f>[10]DMBL!E77</f>
        <v>1108.1375043</v>
      </c>
      <c r="L98" s="1665"/>
      <c r="M98" s="2741"/>
      <c r="N98" s="134"/>
      <c r="O98" s="3095"/>
      <c r="P98" s="3103"/>
      <c r="Q98" s="3095"/>
      <c r="R98" s="218"/>
      <c r="S98" s="218"/>
    </row>
    <row r="99" spans="1:21" s="60" customFormat="1" ht="13.5" hidden="1" customHeight="1">
      <c r="A99" s="1930"/>
      <c r="B99" s="4118">
        <v>2003</v>
      </c>
      <c r="C99" s="4092">
        <f t="shared" si="18"/>
        <v>15796.904161449998</v>
      </c>
      <c r="D99" s="4117">
        <f>[10]MSL!D95</f>
        <v>7739.80791744</v>
      </c>
      <c r="E99" s="4117">
        <f>[10]MSL!E95</f>
        <v>1802.3129809499999</v>
      </c>
      <c r="F99" s="4117">
        <f t="shared" si="19"/>
        <v>5937.4949364900003</v>
      </c>
      <c r="G99" s="4117">
        <f>'[11]DMB Liabilites'!D22</f>
        <v>3788.0886597799999</v>
      </c>
      <c r="H99" s="4117">
        <f>'[11]DMB Liabilites'!J22</f>
        <v>2149.4062767099999</v>
      </c>
      <c r="I99" s="4117">
        <f t="shared" si="20"/>
        <v>8057.0962440099993</v>
      </c>
      <c r="J99" s="4117">
        <f>[10]DMBL!D78</f>
        <v>7010.7478494099996</v>
      </c>
      <c r="K99" s="4117">
        <f>[10]DMBL!E78</f>
        <v>1046.3483946000001</v>
      </c>
      <c r="L99" s="1665"/>
      <c r="M99" s="2741"/>
      <c r="N99" s="134"/>
      <c r="O99" s="3095"/>
      <c r="P99" s="3103"/>
      <c r="Q99" s="3095"/>
      <c r="R99" s="218"/>
      <c r="S99" s="218"/>
    </row>
    <row r="100" spans="1:21" s="60" customFormat="1" ht="13.5" hidden="1" customHeight="1">
      <c r="A100" s="1930"/>
      <c r="B100" s="4121">
        <v>2004</v>
      </c>
      <c r="C100" s="4092"/>
      <c r="D100" s="4117"/>
      <c r="E100" s="4117"/>
      <c r="F100" s="4117"/>
      <c r="G100" s="4117"/>
      <c r="H100" s="4117"/>
      <c r="I100" s="4117"/>
      <c r="J100" s="4117"/>
      <c r="K100" s="4117"/>
      <c r="L100" s="1665"/>
      <c r="M100" s="2741"/>
      <c r="N100" s="134"/>
      <c r="O100" s="3095"/>
      <c r="P100" s="3103"/>
      <c r="Q100" s="3095"/>
      <c r="R100" s="218"/>
      <c r="S100" s="218"/>
    </row>
    <row r="101" spans="1:21" s="60" customFormat="1" ht="15" hidden="1" customHeight="1">
      <c r="A101" s="1930"/>
      <c r="B101" s="4119" t="s">
        <v>161</v>
      </c>
      <c r="C101" s="4092">
        <f t="shared" ref="C101:C112" si="21">D101+I101</f>
        <v>16717.734814390002</v>
      </c>
      <c r="D101" s="4117">
        <f>[10]MSL!D97</f>
        <v>8232.8677434199999</v>
      </c>
      <c r="E101" s="4117">
        <f>[10]MSL!E97</f>
        <v>1786.1975058200001</v>
      </c>
      <c r="F101" s="4117">
        <f t="shared" ref="F101:F112" si="22">G101+H101</f>
        <v>6446.6702376000003</v>
      </c>
      <c r="G101" s="4117">
        <f>'[11]DMB Liabilites'!D23</f>
        <v>4259.3595696500006</v>
      </c>
      <c r="H101" s="4117">
        <f>'[11]DMB Liabilites'!J23</f>
        <v>2187.3106679499997</v>
      </c>
      <c r="I101" s="4117">
        <f t="shared" ref="I101:I112" si="23">J101+K101</f>
        <v>8484.86707097</v>
      </c>
      <c r="J101" s="4117">
        <f>[10]DMBL!D80</f>
        <v>7291.3895889100004</v>
      </c>
      <c r="K101" s="4117">
        <f>[10]DMBL!E80</f>
        <v>1193.4774820600001</v>
      </c>
      <c r="L101" s="1665"/>
      <c r="M101" s="2741"/>
      <c r="N101" s="134"/>
      <c r="O101" s="3095"/>
      <c r="P101" s="3103"/>
      <c r="Q101" s="3095"/>
      <c r="R101" s="218"/>
      <c r="S101" s="218"/>
    </row>
    <row r="102" spans="1:21" s="60" customFormat="1" ht="13.5" hidden="1" customHeight="1">
      <c r="A102" s="1930"/>
      <c r="B102" s="4119" t="s">
        <v>162</v>
      </c>
      <c r="C102" s="4092">
        <f t="shared" si="21"/>
        <v>16730.342765649999</v>
      </c>
      <c r="D102" s="4117">
        <f>[10]MSL!D98</f>
        <v>8109.4280628199995</v>
      </c>
      <c r="E102" s="4117">
        <f>[10]MSL!E98</f>
        <v>1811.5375903199999</v>
      </c>
      <c r="F102" s="4117">
        <f t="shared" si="22"/>
        <v>6297.8904724999993</v>
      </c>
      <c r="G102" s="4117">
        <f>'[11]DMB Liabilites'!D24</f>
        <v>4135.1649251199997</v>
      </c>
      <c r="H102" s="4117">
        <f>'[11]DMB Liabilites'!J24</f>
        <v>2162.7255473799996</v>
      </c>
      <c r="I102" s="4117">
        <f t="shared" si="23"/>
        <v>8620.9147028299994</v>
      </c>
      <c r="J102" s="4117">
        <f>[10]DMBL!D81</f>
        <v>7466.2524743900003</v>
      </c>
      <c r="K102" s="4117">
        <f>[10]DMBL!E81</f>
        <v>1154.66222844</v>
      </c>
      <c r="L102" s="1665"/>
      <c r="M102" s="2741"/>
      <c r="N102" s="134"/>
      <c r="O102" s="3095"/>
      <c r="P102" s="3103"/>
      <c r="Q102" s="3095"/>
      <c r="R102" s="218"/>
      <c r="S102" s="218"/>
    </row>
    <row r="103" spans="1:21" s="60" customFormat="1" ht="13.5" hidden="1" customHeight="1">
      <c r="A103" s="1930"/>
      <c r="B103" s="4119" t="s">
        <v>163</v>
      </c>
      <c r="C103" s="4092">
        <f t="shared" si="21"/>
        <v>16112.818657570002</v>
      </c>
      <c r="D103" s="4117">
        <f>[10]MSL!D99</f>
        <v>7364.0978657599999</v>
      </c>
      <c r="E103" s="4117">
        <f>[10]MSL!E99</f>
        <v>1865.3454459100001</v>
      </c>
      <c r="F103" s="4117">
        <f t="shared" si="22"/>
        <v>5498.7524198499996</v>
      </c>
      <c r="G103" s="4117">
        <f>'[11]DMB Liabilites'!D25</f>
        <v>3344.0235588400001</v>
      </c>
      <c r="H103" s="4117">
        <f>'[11]DMB Liabilites'!J25</f>
        <v>2154.7288610099999</v>
      </c>
      <c r="I103" s="4117">
        <f t="shared" si="23"/>
        <v>8748.7207918100012</v>
      </c>
      <c r="J103" s="4117">
        <f>[10]DMBL!D82</f>
        <v>7484.6924795700015</v>
      </c>
      <c r="K103" s="4117">
        <f>[10]DMBL!E82</f>
        <v>1264.0283122399999</v>
      </c>
      <c r="L103" s="1665"/>
      <c r="M103" s="2741"/>
      <c r="N103" s="134"/>
      <c r="O103" s="3095"/>
      <c r="P103" s="3103"/>
      <c r="Q103" s="3095"/>
      <c r="R103" s="218"/>
      <c r="S103" s="218"/>
    </row>
    <row r="104" spans="1:21" s="60" customFormat="1" ht="13.5" hidden="1" customHeight="1">
      <c r="A104" s="1930"/>
      <c r="B104" s="4119" t="s">
        <v>164</v>
      </c>
      <c r="C104" s="4092">
        <f t="shared" si="21"/>
        <v>18245.877553629998</v>
      </c>
      <c r="D104" s="4117">
        <f>[10]MSL!D100</f>
        <v>9563.6460115199989</v>
      </c>
      <c r="E104" s="4117">
        <f>[10]MSL!E100</f>
        <v>1830.4324098100001</v>
      </c>
      <c r="F104" s="4117">
        <f t="shared" si="22"/>
        <v>7733.2136017099983</v>
      </c>
      <c r="G104" s="4117">
        <f>'[11]DMB Liabilites'!D26</f>
        <v>5491.582455759999</v>
      </c>
      <c r="H104" s="4117">
        <f>'[11]DMB Liabilites'!J26</f>
        <v>2241.6311459499998</v>
      </c>
      <c r="I104" s="4117">
        <f t="shared" si="23"/>
        <v>8682.2315421099993</v>
      </c>
      <c r="J104" s="4117">
        <f>[10]DMBL!D83</f>
        <v>7505.8460034099999</v>
      </c>
      <c r="K104" s="4117">
        <f>[10]DMBL!E83</f>
        <v>1176.3855386999999</v>
      </c>
      <c r="L104" s="1665"/>
      <c r="M104" s="2741"/>
      <c r="N104" s="134"/>
      <c r="O104" s="3095"/>
      <c r="P104" s="3103"/>
      <c r="Q104" s="3095"/>
      <c r="R104" s="218"/>
      <c r="S104" s="218"/>
    </row>
    <row r="105" spans="1:21" s="60" customFormat="1" ht="13.5" hidden="1" customHeight="1">
      <c r="A105" s="1930"/>
      <c r="B105" s="4119" t="s">
        <v>165</v>
      </c>
      <c r="C105" s="4092">
        <f t="shared" si="21"/>
        <v>17038.366468849999</v>
      </c>
      <c r="D105" s="4117">
        <f>[10]MSL!D101</f>
        <v>8672.6727537999996</v>
      </c>
      <c r="E105" s="4117">
        <f>[10]MSL!E101</f>
        <v>1901.33244193</v>
      </c>
      <c r="F105" s="4117">
        <f t="shared" si="22"/>
        <v>6771.3403118699998</v>
      </c>
      <c r="G105" s="4117">
        <f>'[11]DMB Liabilites'!D27</f>
        <v>4542.6945003700002</v>
      </c>
      <c r="H105" s="4117">
        <f>'[11]DMB Liabilites'!J27</f>
        <v>2228.6458114999996</v>
      </c>
      <c r="I105" s="4117">
        <f t="shared" si="23"/>
        <v>8365.6937150499998</v>
      </c>
      <c r="J105" s="4117">
        <f>[10]DMBL!D84</f>
        <v>7639.2676026499994</v>
      </c>
      <c r="K105" s="4117">
        <f>[10]DMBL!E84</f>
        <v>726.42611239999997</v>
      </c>
      <c r="L105" s="1665"/>
      <c r="M105" s="2741"/>
      <c r="N105" s="134"/>
      <c r="O105" s="3095"/>
      <c r="P105" s="3103"/>
      <c r="Q105" s="3095"/>
      <c r="R105" s="218"/>
      <c r="S105" s="218"/>
    </row>
    <row r="106" spans="1:21" s="60" customFormat="1" ht="13.5" hidden="1" customHeight="1">
      <c r="A106" s="1930"/>
      <c r="B106" s="4119" t="s">
        <v>166</v>
      </c>
      <c r="C106" s="4092">
        <f t="shared" si="21"/>
        <v>16592.661009060001</v>
      </c>
      <c r="D106" s="4117">
        <f>[10]MSL!D102</f>
        <v>8524.6633790699998</v>
      </c>
      <c r="E106" s="4117">
        <f>[10]MSL!E102</f>
        <v>2015.2190587100001</v>
      </c>
      <c r="F106" s="4117">
        <f t="shared" si="22"/>
        <v>6509.4443203600003</v>
      </c>
      <c r="G106" s="4117">
        <f>'[11]DMB Liabilites'!D28</f>
        <v>4127.0715338500004</v>
      </c>
      <c r="H106" s="4117">
        <f>'[11]DMB Liabilites'!J28</f>
        <v>2382.37278651</v>
      </c>
      <c r="I106" s="4117">
        <f t="shared" si="23"/>
        <v>8067.9976299900009</v>
      </c>
      <c r="J106" s="4117">
        <f>[10]DMBL!D85</f>
        <v>7463.6011830800007</v>
      </c>
      <c r="K106" s="4117">
        <f>[10]DMBL!E85</f>
        <v>604.3964469099999</v>
      </c>
      <c r="L106" s="1665"/>
      <c r="M106" s="2741"/>
      <c r="N106" s="134"/>
      <c r="O106" s="3095"/>
      <c r="P106" s="3103"/>
      <c r="Q106" s="3095"/>
      <c r="R106" s="218"/>
      <c r="S106" s="218"/>
    </row>
    <row r="107" spans="1:21" s="60" customFormat="1" ht="13.5" hidden="1" customHeight="1">
      <c r="A107" s="1930"/>
      <c r="B107" s="4119" t="s">
        <v>167</v>
      </c>
      <c r="C107" s="4092">
        <f t="shared" si="21"/>
        <v>16234.032255590002</v>
      </c>
      <c r="D107" s="4117">
        <f>[10]MSL!D103</f>
        <v>7819.1832951700007</v>
      </c>
      <c r="E107" s="4117">
        <f>[10]MSL!E103</f>
        <v>1898.2921826700001</v>
      </c>
      <c r="F107" s="4117">
        <f t="shared" si="22"/>
        <v>5920.8911125000004</v>
      </c>
      <c r="G107" s="4117">
        <f>'[11]DMB Liabilites'!D29</f>
        <v>3520.2183540400006</v>
      </c>
      <c r="H107" s="4117">
        <f>'[11]DMB Liabilites'!J29</f>
        <v>2400.6727584599998</v>
      </c>
      <c r="I107" s="4117">
        <f t="shared" si="23"/>
        <v>8414.8489604200004</v>
      </c>
      <c r="J107" s="4117">
        <f>[10]DMBL!D86</f>
        <v>7837.1815196200005</v>
      </c>
      <c r="K107" s="4117">
        <f>[10]DMBL!E86</f>
        <v>577.66744080000001</v>
      </c>
      <c r="L107" s="1665"/>
      <c r="M107" s="2741"/>
      <c r="N107" s="134"/>
      <c r="O107" s="3095"/>
      <c r="P107" s="3103"/>
      <c r="Q107" s="3095"/>
      <c r="R107" s="218"/>
      <c r="S107" s="218"/>
    </row>
    <row r="108" spans="1:21" s="60" customFormat="1" ht="13.5" hidden="1" customHeight="1">
      <c r="A108" s="1930"/>
      <c r="B108" s="4119" t="s">
        <v>168</v>
      </c>
      <c r="C108" s="4092">
        <f t="shared" si="21"/>
        <v>16334.245540040001</v>
      </c>
      <c r="D108" s="4117">
        <f>[10]MSL!D104</f>
        <v>7607.7991423599997</v>
      </c>
      <c r="E108" s="4117">
        <f>[10]MSL!E104</f>
        <v>1877.1259997000002</v>
      </c>
      <c r="F108" s="4117">
        <f t="shared" si="22"/>
        <v>5730.6731426599999</v>
      </c>
      <c r="G108" s="4117">
        <f>'[11]DMB Liabilites'!D30</f>
        <v>3301.8066055699996</v>
      </c>
      <c r="H108" s="4117">
        <f>'[11]DMB Liabilites'!J30</f>
        <v>2428.8665370900003</v>
      </c>
      <c r="I108" s="4117">
        <f t="shared" si="23"/>
        <v>8726.4463976800016</v>
      </c>
      <c r="J108" s="4117">
        <f>[10]DMBL!D87</f>
        <v>8032.5989489100011</v>
      </c>
      <c r="K108" s="4117">
        <f>[10]DMBL!E87</f>
        <v>693.84744877000003</v>
      </c>
      <c r="L108" s="1665"/>
      <c r="M108" s="2741"/>
      <c r="N108" s="134"/>
      <c r="O108" s="3095"/>
      <c r="P108" s="3103"/>
      <c r="Q108" s="3095"/>
      <c r="R108" s="218"/>
      <c r="S108" s="218"/>
    </row>
    <row r="109" spans="1:21" s="60" customFormat="1" ht="13.5" hidden="1" customHeight="1">
      <c r="A109" s="1930"/>
      <c r="B109" s="4119" t="s">
        <v>169</v>
      </c>
      <c r="C109" s="4092">
        <f t="shared" si="21"/>
        <v>15390.82489249</v>
      </c>
      <c r="D109" s="4117">
        <f>[10]MSL!D105</f>
        <v>7092.799251729999</v>
      </c>
      <c r="E109" s="4117">
        <f>[10]MSL!E105</f>
        <v>1877.16377874</v>
      </c>
      <c r="F109" s="4117">
        <f t="shared" si="22"/>
        <v>5215.6354729899995</v>
      </c>
      <c r="G109" s="4117">
        <f>'[11]DMB Liabilites'!D31</f>
        <v>2787.2670351599995</v>
      </c>
      <c r="H109" s="4117">
        <f>'[11]DMB Liabilites'!J31</f>
        <v>2428.3684378299999</v>
      </c>
      <c r="I109" s="4117">
        <f t="shared" si="23"/>
        <v>8298.0256407600009</v>
      </c>
      <c r="J109" s="4117">
        <f>[10]DMBL!D88</f>
        <v>7730.2909562800005</v>
      </c>
      <c r="K109" s="4117">
        <f>[10]DMBL!E88</f>
        <v>567.73468448000006</v>
      </c>
      <c r="L109" s="1665"/>
      <c r="M109" s="2741"/>
      <c r="N109" s="134"/>
      <c r="O109" s="3095"/>
      <c r="P109" s="3103"/>
      <c r="Q109" s="3095"/>
      <c r="R109" s="218"/>
      <c r="S109" s="218"/>
    </row>
    <row r="110" spans="1:21" s="60" customFormat="1" ht="13.5" hidden="1" customHeight="1">
      <c r="A110" s="1930"/>
      <c r="B110" s="4119" t="s">
        <v>170</v>
      </c>
      <c r="C110" s="4092">
        <f t="shared" si="21"/>
        <v>17994.544103660002</v>
      </c>
      <c r="D110" s="4117">
        <f>[10]MSL!D106</f>
        <v>8538.8367249300009</v>
      </c>
      <c r="E110" s="4117">
        <f>[10]MSL!E106</f>
        <v>1930.0046202100002</v>
      </c>
      <c r="F110" s="4117">
        <f t="shared" si="22"/>
        <v>6608.8321047200006</v>
      </c>
      <c r="G110" s="4117">
        <f>'[11]DMB Liabilites'!D32</f>
        <v>4189.1750098600005</v>
      </c>
      <c r="H110" s="4117">
        <f>'[11]DMB Liabilites'!J32</f>
        <v>2419.6570948599997</v>
      </c>
      <c r="I110" s="4117">
        <f t="shared" si="23"/>
        <v>9455.7073787299996</v>
      </c>
      <c r="J110" s="4117">
        <f>[10]DMBL!D89</f>
        <v>8947.7962803899991</v>
      </c>
      <c r="K110" s="4117">
        <f>[10]DMBL!E89</f>
        <v>507.91109833999997</v>
      </c>
      <c r="L110" s="1665"/>
      <c r="M110" s="2741"/>
      <c r="N110" s="134"/>
      <c r="O110" s="3095"/>
      <c r="P110" s="3103"/>
      <c r="Q110" s="3095"/>
      <c r="R110" s="218"/>
      <c r="S110" s="218"/>
    </row>
    <row r="111" spans="1:21" s="60" customFormat="1" ht="18" hidden="1" customHeight="1">
      <c r="A111" s="1930"/>
      <c r="B111" s="4119" t="s">
        <v>171</v>
      </c>
      <c r="C111" s="4092">
        <f t="shared" si="21"/>
        <v>19610.019660369999</v>
      </c>
      <c r="D111" s="4117">
        <f>[10]MSL!D107</f>
        <v>10035.915977189999</v>
      </c>
      <c r="E111" s="4117">
        <f>[10]MSL!E107</f>
        <v>2000.3480705999998</v>
      </c>
      <c r="F111" s="4117">
        <f t="shared" si="22"/>
        <v>8035.5679065899994</v>
      </c>
      <c r="G111" s="4117">
        <f>'[11]DMB Liabilites'!D33</f>
        <v>5584.9297151399996</v>
      </c>
      <c r="H111" s="4117">
        <f>'[11]DMB Liabilites'!J33</f>
        <v>2450.6381914499998</v>
      </c>
      <c r="I111" s="4117">
        <f t="shared" si="23"/>
        <v>9574.1036831799993</v>
      </c>
      <c r="J111" s="4117">
        <f>[10]DMBL!D90</f>
        <v>9015.9913391499995</v>
      </c>
      <c r="K111" s="4117">
        <f>[10]DMBL!E90</f>
        <v>558.11234403000003</v>
      </c>
      <c r="L111" s="1665"/>
      <c r="M111" s="2741"/>
      <c r="N111" s="134"/>
      <c r="O111" s="3095"/>
      <c r="P111" s="3103"/>
      <c r="Q111" s="3095"/>
      <c r="R111" s="218"/>
      <c r="S111" s="218"/>
      <c r="U111" s="60">
        <f>56966-56289</f>
        <v>677</v>
      </c>
    </row>
    <row r="112" spans="1:21" s="60" customFormat="1" ht="18" hidden="1" customHeight="1">
      <c r="A112" s="1930"/>
      <c r="B112" s="4121">
        <v>2004</v>
      </c>
      <c r="C112" s="4092">
        <f t="shared" si="21"/>
        <v>18428.941758519999</v>
      </c>
      <c r="D112" s="4113">
        <f>[10]MSL!D108</f>
        <v>8892.9008393999993</v>
      </c>
      <c r="E112" s="4111">
        <f>[10]MSL!E108</f>
        <v>2070.6814472700003</v>
      </c>
      <c r="F112" s="4113">
        <f t="shared" si="22"/>
        <v>6822.2193921299986</v>
      </c>
      <c r="G112" s="4111">
        <f>'[11]DMB Liabilites'!D34</f>
        <v>4354.0114150699992</v>
      </c>
      <c r="H112" s="4113">
        <f>'[11]DMB Liabilites'!J34</f>
        <v>2468.2079770599998</v>
      </c>
      <c r="I112" s="4113">
        <f t="shared" si="23"/>
        <v>9536.0409191199997</v>
      </c>
      <c r="J112" s="4113">
        <f>[10]DMBL!D91</f>
        <v>8947.3491612399994</v>
      </c>
      <c r="K112" s="4113">
        <f>[10]DMBL!E91</f>
        <v>588.69175787999995</v>
      </c>
      <c r="L112" s="1665"/>
      <c r="M112" s="2741"/>
      <c r="N112" s="134"/>
      <c r="O112" s="3095"/>
      <c r="P112" s="3103"/>
      <c r="Q112" s="3095"/>
      <c r="R112" s="218"/>
      <c r="S112" s="218"/>
    </row>
    <row r="113" spans="1:19" s="60" customFormat="1" ht="18" hidden="1" customHeight="1">
      <c r="A113" s="1930"/>
      <c r="B113" s="4121">
        <v>2005</v>
      </c>
      <c r="C113" s="4092"/>
      <c r="D113" s="4113"/>
      <c r="E113" s="4113"/>
      <c r="F113" s="4113"/>
      <c r="G113" s="4113"/>
      <c r="H113" s="4113"/>
      <c r="I113" s="4113"/>
      <c r="J113" s="4113"/>
      <c r="K113" s="4111"/>
      <c r="L113" s="1665"/>
      <c r="M113" s="2741"/>
      <c r="N113" s="134"/>
      <c r="O113" s="3095"/>
      <c r="P113" s="3103"/>
      <c r="Q113" s="3095"/>
      <c r="R113" s="218"/>
      <c r="S113" s="218"/>
    </row>
    <row r="114" spans="1:19" s="60" customFormat="1" ht="18" hidden="1" customHeight="1">
      <c r="A114" s="1930"/>
      <c r="B114" s="4122" t="s">
        <v>161</v>
      </c>
      <c r="C114" s="4092">
        <f t="shared" ref="C114:C125" si="24">D114+I114</f>
        <v>18145.365899030003</v>
      </c>
      <c r="D114" s="4113">
        <f>[10]MSL!D110</f>
        <v>8581.5930879400003</v>
      </c>
      <c r="E114" s="4113">
        <f>[10]MSL!E110</f>
        <v>2019.5036517200001</v>
      </c>
      <c r="F114" s="4113">
        <f t="shared" ref="F114:F125" si="25">G114+H114</f>
        <v>6562.0894362200006</v>
      </c>
      <c r="G114" s="4113">
        <f>'[11]DMB Liabilites'!D35</f>
        <v>4077.4490789100005</v>
      </c>
      <c r="H114" s="4113">
        <f>'[11]DMB Liabilites'!J35</f>
        <v>2484.6403573100001</v>
      </c>
      <c r="I114" s="4113">
        <f t="shared" ref="I114:I125" si="26">J114+K114</f>
        <v>9563.7728110900007</v>
      </c>
      <c r="J114" s="4113">
        <f>[10]DMBL!D93</f>
        <v>8981.1652829200011</v>
      </c>
      <c r="K114" s="4113">
        <f>[10]DMBL!E93</f>
        <v>582.60752817000002</v>
      </c>
      <c r="L114" s="1665"/>
      <c r="M114" s="2741"/>
      <c r="N114" s="134"/>
      <c r="O114" s="3095"/>
      <c r="P114" s="3103"/>
      <c r="Q114" s="3095"/>
      <c r="R114" s="218"/>
      <c r="S114" s="218"/>
    </row>
    <row r="115" spans="1:19" s="60" customFormat="1" ht="18" hidden="1" customHeight="1">
      <c r="A115" s="1930"/>
      <c r="B115" s="4122" t="s">
        <v>162</v>
      </c>
      <c r="C115" s="4092">
        <f t="shared" si="24"/>
        <v>18241.466013680001</v>
      </c>
      <c r="D115" s="4113">
        <f>[10]MSL!D111</f>
        <v>8680.5142610399998</v>
      </c>
      <c r="E115" s="4113">
        <f>[10]MSL!E111</f>
        <v>2171.2586620500001</v>
      </c>
      <c r="F115" s="4113">
        <f t="shared" si="25"/>
        <v>6509.2555989899993</v>
      </c>
      <c r="G115" s="4113">
        <f>'[11]DMB Liabilites'!D36</f>
        <v>4108.2699595399999</v>
      </c>
      <c r="H115" s="4113">
        <f>'[11]DMB Liabilites'!J36</f>
        <v>2400.9856394499993</v>
      </c>
      <c r="I115" s="4113">
        <f t="shared" si="26"/>
        <v>9560.9517526400014</v>
      </c>
      <c r="J115" s="4113">
        <f>[10]DMBL!D94</f>
        <v>9073.7486067900008</v>
      </c>
      <c r="K115" s="4113">
        <f>[10]DMBL!E94</f>
        <v>487.20314585000006</v>
      </c>
      <c r="L115" s="1665"/>
      <c r="M115" s="2741"/>
      <c r="N115" s="134"/>
      <c r="O115" s="3095"/>
      <c r="P115" s="3103"/>
      <c r="Q115" s="3095"/>
      <c r="R115" s="218"/>
      <c r="S115" s="218"/>
    </row>
    <row r="116" spans="1:19" s="60" customFormat="1" ht="18" hidden="1" customHeight="1">
      <c r="A116" s="1930"/>
      <c r="B116" s="4122" t="s">
        <v>163</v>
      </c>
      <c r="C116" s="4092">
        <f t="shared" si="24"/>
        <v>18298.568756909997</v>
      </c>
      <c r="D116" s="4113">
        <f>[10]MSL!D112</f>
        <v>9674.1984073299991</v>
      </c>
      <c r="E116" s="4113">
        <f>[10]MSL!E112</f>
        <v>2177.5256963499996</v>
      </c>
      <c r="F116" s="4113">
        <f t="shared" si="25"/>
        <v>7496.6727109799995</v>
      </c>
      <c r="G116" s="4113">
        <f>'[11]DMB Liabilites'!D37</f>
        <v>4980.77217277</v>
      </c>
      <c r="H116" s="4113">
        <f>'[11]DMB Liabilites'!J37</f>
        <v>2515.9005382099999</v>
      </c>
      <c r="I116" s="4113">
        <f t="shared" si="26"/>
        <v>8624.37034958</v>
      </c>
      <c r="J116" s="4113">
        <f>[10]DMBL!D95</f>
        <v>8163.0069617999998</v>
      </c>
      <c r="K116" s="4113">
        <f>[10]DMBL!E95</f>
        <v>461.36338778000004</v>
      </c>
      <c r="L116" s="1665"/>
      <c r="M116" s="2741"/>
      <c r="N116" s="134"/>
      <c r="O116" s="3095"/>
      <c r="P116" s="3103"/>
      <c r="Q116" s="3095"/>
      <c r="R116" s="218"/>
      <c r="S116" s="218"/>
    </row>
    <row r="117" spans="1:19" s="60" customFormat="1" ht="18" hidden="1" customHeight="1">
      <c r="A117" s="1930"/>
      <c r="B117" s="4122" t="s">
        <v>164</v>
      </c>
      <c r="C117" s="4092">
        <f t="shared" si="24"/>
        <v>17375.470958459999</v>
      </c>
      <c r="D117" s="4123">
        <f>[10]MSL!D113</f>
        <v>8691.6410733100001</v>
      </c>
      <c r="E117" s="4123">
        <f>[10]MSL!E113</f>
        <v>2074.21988951</v>
      </c>
      <c r="F117" s="4123">
        <f t="shared" si="25"/>
        <v>6617.4211838000001</v>
      </c>
      <c r="G117" s="4113">
        <f>'[11]DMB Liabilites'!D38</f>
        <v>4042.4768397600001</v>
      </c>
      <c r="H117" s="4113">
        <f>'[11]DMB Liabilites'!J38</f>
        <v>2574.94434404</v>
      </c>
      <c r="I117" s="4123">
        <f t="shared" si="26"/>
        <v>8683.8298851499985</v>
      </c>
      <c r="J117" s="4123">
        <f>[10]DMBL!D96</f>
        <v>8228.3448226499986</v>
      </c>
      <c r="K117" s="4123">
        <f>[10]DMBL!E96</f>
        <v>455.48506249999997</v>
      </c>
      <c r="L117" s="1665"/>
      <c r="M117" s="2741"/>
      <c r="N117" s="134"/>
      <c r="O117" s="3095"/>
      <c r="P117" s="3103"/>
      <c r="Q117" s="3095"/>
      <c r="R117" s="218"/>
      <c r="S117" s="218"/>
    </row>
    <row r="118" spans="1:19" s="60" customFormat="1" ht="18" hidden="1" customHeight="1">
      <c r="A118" s="1930"/>
      <c r="B118" s="4122" t="s">
        <v>165</v>
      </c>
      <c r="C118" s="4092">
        <f t="shared" si="24"/>
        <v>18998.316548510003</v>
      </c>
      <c r="D118" s="4123">
        <f>[10]MSL!D114</f>
        <v>9182.1089999899996</v>
      </c>
      <c r="E118" s="4123">
        <f>[10]MSL!E114</f>
        <v>2099.93105156</v>
      </c>
      <c r="F118" s="4123">
        <f t="shared" si="25"/>
        <v>7082.1779484299996</v>
      </c>
      <c r="G118" s="4113">
        <f>'[11]DMB Liabilites'!D39</f>
        <v>4429.0863886699999</v>
      </c>
      <c r="H118" s="4113">
        <f>'[11]DMB Liabilites'!J39</f>
        <v>2653.0915597599997</v>
      </c>
      <c r="I118" s="4123">
        <f t="shared" si="26"/>
        <v>9816.2075485200021</v>
      </c>
      <c r="J118" s="4123">
        <f>[10]DMBL!D97</f>
        <v>9323.9799788900018</v>
      </c>
      <c r="K118" s="4123">
        <f>[10]DMBL!E97</f>
        <v>492.22756963</v>
      </c>
      <c r="L118" s="1665"/>
      <c r="M118" s="2741"/>
      <c r="N118" s="134"/>
      <c r="O118" s="3095"/>
      <c r="P118" s="3103"/>
      <c r="Q118" s="3095"/>
      <c r="R118" s="218"/>
      <c r="S118" s="218"/>
    </row>
    <row r="119" spans="1:19" s="60" customFormat="1" ht="18" hidden="1" customHeight="1">
      <c r="A119" s="1930"/>
      <c r="B119" s="4122" t="s">
        <v>166</v>
      </c>
      <c r="C119" s="4092">
        <f t="shared" si="24"/>
        <v>18376.93068981</v>
      </c>
      <c r="D119" s="4123">
        <f>[10]MSL!D115</f>
        <v>9331.8539046099995</v>
      </c>
      <c r="E119" s="4123">
        <f>[10]MSL!E115</f>
        <v>2303.3597982299998</v>
      </c>
      <c r="F119" s="4123">
        <f t="shared" si="25"/>
        <v>7028.4941063799997</v>
      </c>
      <c r="G119" s="4113">
        <f>'[11]DMB Liabilites'!D40</f>
        <v>4159.1109465500003</v>
      </c>
      <c r="H119" s="4113">
        <f>'[11]DMB Liabilites'!J40</f>
        <v>2869.3831598299998</v>
      </c>
      <c r="I119" s="4123">
        <f t="shared" si="26"/>
        <v>9045.0767852000008</v>
      </c>
      <c r="J119" s="4123">
        <f>[10]DMBL!D98</f>
        <v>8559.8728751500003</v>
      </c>
      <c r="K119" s="4123">
        <f>[10]DMBL!E98</f>
        <v>485.20391004999999</v>
      </c>
      <c r="L119" s="1665"/>
      <c r="M119" s="2741"/>
      <c r="N119" s="134"/>
      <c r="O119" s="347"/>
      <c r="P119" s="2734"/>
      <c r="Q119" s="347"/>
      <c r="R119" s="73"/>
      <c r="S119" s="73"/>
    </row>
    <row r="120" spans="1:19" s="60" customFormat="1" ht="18" hidden="1" customHeight="1">
      <c r="A120" s="1930"/>
      <c r="B120" s="4122" t="s">
        <v>167</v>
      </c>
      <c r="C120" s="4092">
        <f t="shared" si="24"/>
        <v>18451.2641286</v>
      </c>
      <c r="D120" s="4123">
        <f>[10]MSL!D116</f>
        <v>9157.1916331200009</v>
      </c>
      <c r="E120" s="4123">
        <f>[10]MSL!E116</f>
        <v>2118.0679180799998</v>
      </c>
      <c r="F120" s="4123">
        <f t="shared" si="25"/>
        <v>7039.1237150400002</v>
      </c>
      <c r="G120" s="4113">
        <f>'[11]DMB Liabilites'!D41</f>
        <v>4131.4287196499999</v>
      </c>
      <c r="H120" s="4113">
        <f>'[11]DMB Liabilites'!J41</f>
        <v>2907.6949953900003</v>
      </c>
      <c r="I120" s="4123">
        <f t="shared" si="26"/>
        <v>9294.0724954799989</v>
      </c>
      <c r="J120" s="4123">
        <f>[10]DMBL!D99</f>
        <v>8784.7535697999992</v>
      </c>
      <c r="K120" s="4123">
        <f>[10]DMBL!E99</f>
        <v>509.31892568000001</v>
      </c>
      <c r="L120" s="1665"/>
      <c r="M120" s="2741"/>
      <c r="N120" s="134"/>
      <c r="O120" s="347"/>
      <c r="P120" s="2734"/>
      <c r="Q120" s="347"/>
      <c r="R120" s="73"/>
      <c r="S120" s="73"/>
    </row>
    <row r="121" spans="1:19" s="60" customFormat="1" ht="18" hidden="1" customHeight="1">
      <c r="A121" s="1930"/>
      <c r="B121" s="4122" t="s">
        <v>168</v>
      </c>
      <c r="C121" s="4092">
        <f t="shared" si="24"/>
        <v>17682.673120350002</v>
      </c>
      <c r="D121" s="4123">
        <f>[10]MSL!D117</f>
        <v>8827.58700537</v>
      </c>
      <c r="E121" s="4123">
        <f>[10]MSL!E117</f>
        <v>2193.0799375000001</v>
      </c>
      <c r="F121" s="4123">
        <f t="shared" si="25"/>
        <v>6634.5070678699994</v>
      </c>
      <c r="G121" s="4113">
        <f>'[11]DMB Liabilites'!D42</f>
        <v>3716.29521204</v>
      </c>
      <c r="H121" s="4113">
        <f>'[11]DMB Liabilites'!J42</f>
        <v>2918.2118558299999</v>
      </c>
      <c r="I121" s="4123">
        <f t="shared" si="26"/>
        <v>8855.0861149800003</v>
      </c>
      <c r="J121" s="4123">
        <f>[10]DMBL!D100</f>
        <v>8420.4471072400011</v>
      </c>
      <c r="K121" s="4123">
        <f>[10]DMBL!E100</f>
        <v>434.63900774000001</v>
      </c>
      <c r="L121" s="1665"/>
      <c r="M121" s="2741"/>
      <c r="N121" s="134"/>
      <c r="O121" s="347"/>
      <c r="P121" s="2734"/>
      <c r="Q121" s="347"/>
      <c r="R121" s="73"/>
      <c r="S121" s="73"/>
    </row>
    <row r="122" spans="1:19" s="60" customFormat="1" ht="18" hidden="1" customHeight="1">
      <c r="A122" s="1930"/>
      <c r="B122" s="4122" t="s">
        <v>169</v>
      </c>
      <c r="C122" s="4092">
        <f t="shared" si="24"/>
        <v>18037.224067440002</v>
      </c>
      <c r="D122" s="4123">
        <f>[10]MSL!D118</f>
        <v>8735.9355462799995</v>
      </c>
      <c r="E122" s="4123">
        <f>[10]MSL!E118</f>
        <v>2167.9642688400004</v>
      </c>
      <c r="F122" s="4123">
        <f t="shared" si="25"/>
        <v>6567.9712774399995</v>
      </c>
      <c r="G122" s="4113">
        <f>'[11]DMB Liabilites'!D43</f>
        <v>3621.4585942999997</v>
      </c>
      <c r="H122" s="4113">
        <f>'[11]DMB Liabilites'!J43</f>
        <v>2946.5126831399998</v>
      </c>
      <c r="I122" s="4123">
        <f t="shared" si="26"/>
        <v>9301.2885211600005</v>
      </c>
      <c r="J122" s="4123">
        <f>[10]DMBL!D101</f>
        <v>8687.8707374200003</v>
      </c>
      <c r="K122" s="4123">
        <f>[10]DMBL!E101</f>
        <v>613.41778374</v>
      </c>
      <c r="L122" s="1665"/>
      <c r="M122" s="2741"/>
      <c r="N122" s="134"/>
      <c r="O122" s="347"/>
      <c r="P122" s="2734"/>
      <c r="Q122" s="347"/>
      <c r="R122" s="73"/>
      <c r="S122" s="73"/>
    </row>
    <row r="123" spans="1:19" s="60" customFormat="1" ht="18" hidden="1" customHeight="1">
      <c r="A123" s="1930"/>
      <c r="B123" s="4122" t="s">
        <v>170</v>
      </c>
      <c r="C123" s="4092">
        <f t="shared" si="24"/>
        <v>18760.876153390003</v>
      </c>
      <c r="D123" s="4123">
        <f>[10]MSL!D119</f>
        <v>9774.6615910200017</v>
      </c>
      <c r="E123" s="4123">
        <f>[10]MSL!E119</f>
        <v>2346.6934075500003</v>
      </c>
      <c r="F123" s="4123">
        <f t="shared" si="25"/>
        <v>7427.9681834700004</v>
      </c>
      <c r="G123" s="4113">
        <f>'[11]DMB Liabilites'!D44</f>
        <v>4502.0738885000001</v>
      </c>
      <c r="H123" s="4113">
        <f>'[11]DMB Liabilites'!J44</f>
        <v>2925.8942949699999</v>
      </c>
      <c r="I123" s="4123">
        <f t="shared" si="26"/>
        <v>8986.2145623699998</v>
      </c>
      <c r="J123" s="4123">
        <f>[10]DMBL!D102</f>
        <v>8390.9627161299995</v>
      </c>
      <c r="K123" s="4123">
        <f>[10]DMBL!E102</f>
        <v>595.25184623999996</v>
      </c>
      <c r="L123" s="1665"/>
      <c r="M123" s="2741"/>
      <c r="N123" s="134"/>
      <c r="O123" s="347"/>
      <c r="P123" s="2734"/>
      <c r="Q123" s="347"/>
      <c r="R123" s="73"/>
      <c r="S123" s="73"/>
    </row>
    <row r="124" spans="1:19" s="60" customFormat="1" ht="18" hidden="1" customHeight="1">
      <c r="A124" s="1930"/>
      <c r="B124" s="4122" t="s">
        <v>171</v>
      </c>
      <c r="C124" s="4092">
        <f t="shared" si="24"/>
        <v>21546.524521209998</v>
      </c>
      <c r="D124" s="4123">
        <f>[10]MSL!D120</f>
        <v>10911.91528189</v>
      </c>
      <c r="E124" s="4123">
        <f>[10]MSL!E120</f>
        <v>2284.9616578499999</v>
      </c>
      <c r="F124" s="4123">
        <f t="shared" si="25"/>
        <v>8626.9536240400012</v>
      </c>
      <c r="G124" s="4113">
        <f>'[11]DMB Liabilites'!D45</f>
        <v>5595.0147279100001</v>
      </c>
      <c r="H124" s="4113">
        <f>'[11]DMB Liabilites'!J45</f>
        <v>3031.9388961300006</v>
      </c>
      <c r="I124" s="4123">
        <f t="shared" si="26"/>
        <v>10634.609239319998</v>
      </c>
      <c r="J124" s="4123">
        <f>[10]DMBL!D103</f>
        <v>10073.686840569999</v>
      </c>
      <c r="K124" s="4123">
        <f>[10]DMBL!E103</f>
        <v>560.92239874999996</v>
      </c>
      <c r="L124" s="1665"/>
      <c r="M124" s="2741"/>
      <c r="N124" s="134"/>
      <c r="O124" s="347"/>
      <c r="P124" s="2734"/>
      <c r="Q124" s="347"/>
      <c r="R124" s="73"/>
      <c r="S124" s="73"/>
    </row>
    <row r="125" spans="1:19" s="60" customFormat="1" ht="18" hidden="1" customHeight="1">
      <c r="A125" s="1930"/>
      <c r="B125" s="4121">
        <v>2005</v>
      </c>
      <c r="C125" s="4092">
        <f t="shared" si="24"/>
        <v>20869.287370980001</v>
      </c>
      <c r="D125" s="4123">
        <f>[10]MSL!D121</f>
        <v>10235.00399196</v>
      </c>
      <c r="E125" s="4123">
        <f>[10]MSL!E121</f>
        <v>2404.4104927999997</v>
      </c>
      <c r="F125" s="4123">
        <f t="shared" si="25"/>
        <v>7830.5934991600006</v>
      </c>
      <c r="G125" s="4123">
        <f>'[11]DMB Liabilites'!D46</f>
        <v>4819.2484791400011</v>
      </c>
      <c r="H125" s="4123">
        <f>'[11]DMB Liabilites'!J46</f>
        <v>3011.3450200199995</v>
      </c>
      <c r="I125" s="4123">
        <f t="shared" si="26"/>
        <v>10634.28337902</v>
      </c>
      <c r="J125" s="4123">
        <f>[10]DMBL!D104</f>
        <v>10131.499256000001</v>
      </c>
      <c r="K125" s="4123">
        <f>[10]DMBL!E104</f>
        <v>502.78412302000004</v>
      </c>
      <c r="L125" s="1665"/>
      <c r="M125" s="2741"/>
      <c r="N125" s="134"/>
      <c r="O125" s="347"/>
      <c r="P125" s="2734"/>
      <c r="Q125" s="347"/>
      <c r="R125" s="73"/>
      <c r="S125" s="73"/>
    </row>
    <row r="126" spans="1:19" s="60" customFormat="1" ht="18" hidden="1" customHeight="1">
      <c r="A126" s="1930"/>
      <c r="B126" s="4121">
        <v>2006</v>
      </c>
      <c r="C126" s="4092"/>
      <c r="D126" s="4113"/>
      <c r="E126" s="4111"/>
      <c r="F126" s="4113"/>
      <c r="G126" s="4123"/>
      <c r="H126" s="4123"/>
      <c r="I126" s="4113"/>
      <c r="J126" s="4113"/>
      <c r="K126" s="4113"/>
      <c r="L126" s="1665"/>
      <c r="M126" s="2741"/>
      <c r="N126" s="134"/>
      <c r="O126" s="347"/>
      <c r="P126" s="2734"/>
      <c r="Q126" s="347"/>
      <c r="R126" s="73"/>
      <c r="S126" s="73"/>
    </row>
    <row r="127" spans="1:19" s="60" customFormat="1" ht="18" hidden="1" customHeight="1">
      <c r="A127" s="1930"/>
      <c r="B127" s="4122" t="s">
        <v>161</v>
      </c>
      <c r="C127" s="4092">
        <f t="shared" ref="C127:C134" si="27">D127+I127</f>
        <v>21474.994315620002</v>
      </c>
      <c r="D127" s="4113">
        <f>[10]MSL!D123</f>
        <v>9604.4441596600009</v>
      </c>
      <c r="E127" s="4113">
        <f>[10]MSL!E123</f>
        <v>2376.7920547399999</v>
      </c>
      <c r="F127" s="4113">
        <f t="shared" ref="F127:F134" si="28">G127+H127</f>
        <v>7227.652104920001</v>
      </c>
      <c r="G127" s="4123">
        <f>'[11]DMB Liabilites'!D47</f>
        <v>4287.8728152700005</v>
      </c>
      <c r="H127" s="4123">
        <f>'[11]DMB Liabilites'!J47</f>
        <v>2939.7792896500005</v>
      </c>
      <c r="I127" s="4113">
        <f t="shared" ref="I127:I134" si="29">J127+K127</f>
        <v>11870.55015596</v>
      </c>
      <c r="J127" s="4113">
        <f>[10]DMBL!D106</f>
        <v>11272.089496000001</v>
      </c>
      <c r="K127" s="4111">
        <f>[10]DMBL!E106</f>
        <v>598.46065995999993</v>
      </c>
      <c r="L127" s="1665"/>
      <c r="M127" s="2741"/>
      <c r="N127" s="134"/>
      <c r="O127" s="347"/>
      <c r="P127" s="2734"/>
      <c r="Q127" s="347"/>
      <c r="R127" s="73"/>
      <c r="S127" s="73"/>
    </row>
    <row r="128" spans="1:19" s="60" customFormat="1" ht="18" hidden="1" customHeight="1">
      <c r="A128" s="1930"/>
      <c r="B128" s="4124" t="s">
        <v>162</v>
      </c>
      <c r="C128" s="4092">
        <f t="shared" si="27"/>
        <v>21563.099889750003</v>
      </c>
      <c r="D128" s="4113">
        <f>[10]MSL!D124</f>
        <v>9558.8981561499986</v>
      </c>
      <c r="E128" s="4113">
        <f>[10]MSL!E124</f>
        <v>2398.7306136299994</v>
      </c>
      <c r="F128" s="4113">
        <f t="shared" si="28"/>
        <v>7160.1675425199992</v>
      </c>
      <c r="G128" s="4123">
        <f>'[11]DMB Liabilites'!D48</f>
        <v>4229.3463313399998</v>
      </c>
      <c r="H128" s="4123">
        <f>'[11]DMB Liabilites'!J48</f>
        <v>2930.8212111799999</v>
      </c>
      <c r="I128" s="4113">
        <f t="shared" si="29"/>
        <v>12004.201733600003</v>
      </c>
      <c r="J128" s="4113">
        <f>[10]DMBL!D107</f>
        <v>11387.989654100002</v>
      </c>
      <c r="K128" s="4113">
        <f>[10]DMBL!E107</f>
        <v>616.21207950000007</v>
      </c>
      <c r="L128" s="1665"/>
      <c r="M128" s="2741"/>
      <c r="N128" s="134"/>
      <c r="O128" s="347"/>
      <c r="P128" s="2734"/>
      <c r="Q128" s="347"/>
      <c r="R128" s="73"/>
      <c r="S128" s="73"/>
    </row>
    <row r="129" spans="1:29" s="60" customFormat="1" ht="18" hidden="1" customHeight="1">
      <c r="A129" s="1930"/>
      <c r="B129" s="4124" t="s">
        <v>163</v>
      </c>
      <c r="C129" s="4092">
        <f t="shared" si="27"/>
        <v>22222.971421459999</v>
      </c>
      <c r="D129" s="4113">
        <f>[10]MSL!D125</f>
        <v>10404.828712729999</v>
      </c>
      <c r="E129" s="4113">
        <f>[10]MSL!E125</f>
        <v>2270.0232655599998</v>
      </c>
      <c r="F129" s="4113">
        <f t="shared" si="28"/>
        <v>8134.8054471699998</v>
      </c>
      <c r="G129" s="4123">
        <f>'[11]DMB Liabilites'!D49</f>
        <v>5145.9153705799999</v>
      </c>
      <c r="H129" s="4123">
        <f>'[11]DMB Liabilites'!J49</f>
        <v>2988.8900765899998</v>
      </c>
      <c r="I129" s="4113">
        <f t="shared" si="29"/>
        <v>11818.14270873</v>
      </c>
      <c r="J129" s="4113">
        <f>[10]DMBL!D108</f>
        <v>11167.04505377</v>
      </c>
      <c r="K129" s="4113">
        <f>[10]DMBL!E108</f>
        <v>651.09765496</v>
      </c>
      <c r="L129" s="1665"/>
      <c r="M129" s="3885"/>
      <c r="N129" s="1930"/>
      <c r="O129" s="3886"/>
      <c r="P129" s="3887"/>
      <c r="Q129" s="3886"/>
      <c r="R129" s="3888"/>
      <c r="S129" s="3888"/>
      <c r="T129" s="1930"/>
      <c r="U129" s="1930"/>
      <c r="V129" s="1930"/>
      <c r="W129" s="1930"/>
      <c r="X129" s="1930"/>
      <c r="Y129" s="1930"/>
      <c r="Z129" s="1930"/>
      <c r="AA129" s="1930"/>
      <c r="AB129" s="1930"/>
      <c r="AC129" s="1930"/>
    </row>
    <row r="130" spans="1:29" s="60" customFormat="1" ht="18" hidden="1" customHeight="1">
      <c r="A130" s="1930"/>
      <c r="B130" s="4124" t="s">
        <v>164</v>
      </c>
      <c r="C130" s="4092">
        <f t="shared" si="27"/>
        <v>24667.238667420002</v>
      </c>
      <c r="D130" s="4113">
        <f>[10]MSL!D126</f>
        <v>11844.737276399999</v>
      </c>
      <c r="E130" s="4113">
        <f>[10]MSL!E126</f>
        <v>2324.1714184699999</v>
      </c>
      <c r="F130" s="4113">
        <f t="shared" si="28"/>
        <v>9520.5658579299998</v>
      </c>
      <c r="G130" s="4123">
        <f>'[11]DMB Liabilites'!D50</f>
        <v>6505.6770045800004</v>
      </c>
      <c r="H130" s="4123">
        <f>'[11]DMB Liabilites'!J50</f>
        <v>3014.8888533499999</v>
      </c>
      <c r="I130" s="4113">
        <f t="shared" si="29"/>
        <v>12822.501391020001</v>
      </c>
      <c r="J130" s="4113">
        <f>[10]DMBL!D109</f>
        <v>12152.732979910001</v>
      </c>
      <c r="K130" s="4113">
        <f>[10]DMBL!E109</f>
        <v>669.76841110999999</v>
      </c>
      <c r="L130" s="1665"/>
      <c r="M130" s="3885"/>
      <c r="N130" s="1930"/>
      <c r="O130" s="3886"/>
      <c r="P130" s="3887"/>
      <c r="S130" s="3888"/>
      <c r="T130" s="1930"/>
      <c r="U130" s="1930"/>
      <c r="V130" s="1930"/>
      <c r="W130" s="1930"/>
      <c r="X130" s="1930"/>
      <c r="Y130" s="1930"/>
      <c r="Z130" s="1930"/>
      <c r="AA130" s="1930"/>
      <c r="AB130" s="1930"/>
      <c r="AC130" s="1930"/>
    </row>
    <row r="131" spans="1:29" s="60" customFormat="1" ht="18" hidden="1" customHeight="1">
      <c r="A131" s="1930"/>
      <c r="B131" s="4124" t="s">
        <v>165</v>
      </c>
      <c r="C131" s="4092">
        <f t="shared" si="27"/>
        <v>22679.376996499999</v>
      </c>
      <c r="D131" s="4123">
        <f>[10]MSL!D127</f>
        <v>10000.768741620001</v>
      </c>
      <c r="E131" s="4123">
        <f>[10]MSL!E127</f>
        <v>2327.4908968</v>
      </c>
      <c r="F131" s="4123">
        <f t="shared" si="28"/>
        <v>7673.2778448200006</v>
      </c>
      <c r="G131" s="4123">
        <f>'[11]DMB Liabilites'!D51</f>
        <v>4548.72515638</v>
      </c>
      <c r="H131" s="4123">
        <f>'[11]DMB Liabilites'!J51</f>
        <v>3124.5526884400001</v>
      </c>
      <c r="I131" s="4123">
        <f t="shared" si="29"/>
        <v>12678.608254879999</v>
      </c>
      <c r="J131" s="4123">
        <f>[10]DMBL!D110</f>
        <v>12061.228278199998</v>
      </c>
      <c r="K131" s="4123">
        <f>[10]DMBL!E110</f>
        <v>617.37997668000003</v>
      </c>
      <c r="L131" s="1665"/>
      <c r="M131" s="3885"/>
      <c r="N131" s="1930"/>
      <c r="O131" s="3886"/>
      <c r="P131" s="3887"/>
      <c r="R131" s="3888"/>
      <c r="S131" s="3888"/>
      <c r="T131" s="1930"/>
      <c r="U131" s="1930"/>
      <c r="V131" s="1930"/>
      <c r="W131" s="1930"/>
      <c r="X131" s="1930"/>
      <c r="Y131" s="1930"/>
      <c r="Z131" s="1930"/>
      <c r="AA131" s="1930"/>
      <c r="AB131" s="1930"/>
      <c r="AC131" s="1930"/>
    </row>
    <row r="132" spans="1:29" s="60" customFormat="1" ht="18" hidden="1" customHeight="1">
      <c r="A132" s="1930"/>
      <c r="B132" s="4124" t="s">
        <v>166</v>
      </c>
      <c r="C132" s="4092">
        <f t="shared" si="27"/>
        <v>23208.686624630001</v>
      </c>
      <c r="D132" s="4123">
        <f>[10]MSL!D128</f>
        <v>10678.06964365</v>
      </c>
      <c r="E132" s="4123">
        <f>[10]MSL!E128</f>
        <v>2614.9272281399999</v>
      </c>
      <c r="F132" s="4123">
        <f t="shared" si="28"/>
        <v>8063.1424155100003</v>
      </c>
      <c r="G132" s="4123">
        <f>'[11]DMB Liabilites'!D52</f>
        <v>4738.4108753300006</v>
      </c>
      <c r="H132" s="4123">
        <f>'[11]DMB Liabilites'!J52</f>
        <v>3324.7315401799997</v>
      </c>
      <c r="I132" s="4123">
        <f t="shared" si="29"/>
        <v>12530.616980980001</v>
      </c>
      <c r="J132" s="4123">
        <f>[10]DMBL!D111</f>
        <v>11853.76784095</v>
      </c>
      <c r="K132" s="4123">
        <f>[10]DMBL!E111</f>
        <v>676.84914002999994</v>
      </c>
      <c r="L132" s="1665"/>
      <c r="M132" s="3885"/>
      <c r="N132" s="1930"/>
      <c r="O132" s="3886"/>
      <c r="P132" s="3887"/>
      <c r="Q132" s="3886"/>
      <c r="R132" s="3888"/>
      <c r="S132" s="3888"/>
      <c r="T132" s="1930"/>
      <c r="U132" s="1930"/>
      <c r="V132" s="1930"/>
      <c r="W132" s="1930"/>
      <c r="X132" s="1930"/>
      <c r="Y132" s="1930"/>
      <c r="Z132" s="1930"/>
      <c r="AA132" s="1930"/>
      <c r="AB132" s="1930"/>
      <c r="AC132" s="1930"/>
    </row>
    <row r="133" spans="1:29" s="60" customFormat="1" ht="18" hidden="1" customHeight="1">
      <c r="A133" s="1930"/>
      <c r="B133" s="4124" t="s">
        <v>167</v>
      </c>
      <c r="C133" s="4092">
        <f t="shared" si="27"/>
        <v>22967.90052797</v>
      </c>
      <c r="D133" s="4123">
        <f>[10]MSL!D129</f>
        <v>10527.92068616</v>
      </c>
      <c r="E133" s="4123">
        <f>[10]MSL!E129</f>
        <v>2439.35021603</v>
      </c>
      <c r="F133" s="4123">
        <f t="shared" si="28"/>
        <v>8088.5704701299992</v>
      </c>
      <c r="G133" s="4123">
        <f>'[11]DMB Liabilites'!D53</f>
        <v>4814.7850536999995</v>
      </c>
      <c r="H133" s="4123">
        <f>'[11]DMB Liabilites'!J53</f>
        <v>3273.7854164299997</v>
      </c>
      <c r="I133" s="4123">
        <f t="shared" si="29"/>
        <v>12439.979841809998</v>
      </c>
      <c r="J133" s="4123">
        <f>[10]DMBL!D112</f>
        <v>11737.338742209999</v>
      </c>
      <c r="K133" s="4123">
        <f>[10]DMBL!E112</f>
        <v>702.64109959999996</v>
      </c>
      <c r="L133" s="1665"/>
      <c r="M133" s="3885"/>
      <c r="N133" s="1930"/>
      <c r="O133" s="3886"/>
      <c r="P133" s="3887"/>
      <c r="Q133" s="3886"/>
      <c r="R133" s="3888"/>
      <c r="S133" s="3888"/>
      <c r="T133" s="1930"/>
      <c r="U133" s="1930"/>
      <c r="V133" s="1930"/>
      <c r="W133" s="1930"/>
      <c r="X133" s="1930"/>
      <c r="Y133" s="1930"/>
      <c r="Z133" s="1930"/>
      <c r="AA133" s="1930"/>
      <c r="AB133" s="1930"/>
      <c r="AC133" s="1930"/>
    </row>
    <row r="134" spans="1:29" s="60" customFormat="1" ht="18" hidden="1" customHeight="1">
      <c r="A134" s="1930"/>
      <c r="B134" s="4124" t="s">
        <v>168</v>
      </c>
      <c r="C134" s="4092">
        <f t="shared" si="27"/>
        <v>23048.692718369999</v>
      </c>
      <c r="D134" s="4123">
        <f>[10]MSL!D130</f>
        <v>10363.81561362</v>
      </c>
      <c r="E134" s="4123">
        <f>[10]MSL!E130</f>
        <v>2463.8162628</v>
      </c>
      <c r="F134" s="4123">
        <f t="shared" si="28"/>
        <v>7899.9993508199996</v>
      </c>
      <c r="G134" s="4123">
        <f>'[11]DMB Liabilites'!D54</f>
        <v>4570.62472755</v>
      </c>
      <c r="H134" s="4123">
        <f>'[11]DMB Liabilites'!J54</f>
        <v>3329.3746232699996</v>
      </c>
      <c r="I134" s="4123">
        <f t="shared" si="29"/>
        <v>12684.877104749999</v>
      </c>
      <c r="J134" s="4123">
        <f>[10]DMBL!D113</f>
        <v>11933.59944025</v>
      </c>
      <c r="K134" s="4123">
        <f>[10]DMBL!E113</f>
        <v>751.27766450000001</v>
      </c>
      <c r="L134" s="1665"/>
      <c r="M134" s="3885"/>
      <c r="N134" s="1930"/>
      <c r="O134" s="3886"/>
      <c r="P134" s="3887"/>
      <c r="Q134" s="3886"/>
      <c r="R134" s="3888"/>
      <c r="S134" s="3888"/>
      <c r="T134" s="1930"/>
      <c r="U134" s="1930"/>
      <c r="V134" s="1930"/>
      <c r="W134" s="1930"/>
      <c r="X134" s="1930"/>
      <c r="Y134" s="1930"/>
      <c r="Z134" s="1930"/>
      <c r="AA134" s="1930"/>
      <c r="AB134" s="1930"/>
      <c r="AC134" s="1930"/>
    </row>
    <row r="135" spans="1:29" s="60" customFormat="1" ht="18" hidden="1" customHeight="1">
      <c r="A135" s="1930"/>
      <c r="B135" s="4124" t="s">
        <v>169</v>
      </c>
      <c r="C135" s="4092">
        <f>D135+I135</f>
        <v>23475.93172887</v>
      </c>
      <c r="D135" s="4123">
        <f>[10]MSL!D131</f>
        <v>10592.139037430001</v>
      </c>
      <c r="E135" s="4123">
        <f>[10]MSL!E131</f>
        <v>2547.0088977300002</v>
      </c>
      <c r="F135" s="4123">
        <f>G135+H135</f>
        <v>8045.1301397000007</v>
      </c>
      <c r="G135" s="4123">
        <f>'[11]DMB Liabilites'!D55</f>
        <v>4722.0201121600003</v>
      </c>
      <c r="H135" s="4123">
        <f>'[11]DMB Liabilites'!J55</f>
        <v>3323.1100275399999</v>
      </c>
      <c r="I135" s="4123">
        <f>J135+K135</f>
        <v>12883.79269144</v>
      </c>
      <c r="J135" s="4123">
        <f>[10]DMBL!D114</f>
        <v>12095.40401151</v>
      </c>
      <c r="K135" s="4123">
        <f>[10]DMBL!E114</f>
        <v>788.38867993000008</v>
      </c>
      <c r="L135" s="1665"/>
      <c r="M135" s="3885"/>
      <c r="N135" s="1930"/>
      <c r="O135" s="3886"/>
      <c r="P135" s="3887"/>
      <c r="Q135" s="3886"/>
      <c r="R135" s="3888"/>
      <c r="S135" s="3888"/>
      <c r="T135" s="1930"/>
      <c r="U135" s="1930"/>
      <c r="V135" s="1930"/>
      <c r="W135" s="1930"/>
      <c r="X135" s="1930"/>
      <c r="Y135" s="1930"/>
      <c r="Z135" s="1930"/>
      <c r="AA135" s="1930"/>
      <c r="AB135" s="1930"/>
      <c r="AC135" s="1930"/>
    </row>
    <row r="136" spans="1:29" s="60" customFormat="1" ht="18" hidden="1" customHeight="1">
      <c r="A136" s="1930"/>
      <c r="B136" s="4124" t="s">
        <v>170</v>
      </c>
      <c r="C136" s="4092">
        <f>D136+I136</f>
        <v>23933.725253099998</v>
      </c>
      <c r="D136" s="4123">
        <f>[10]MSL!D132</f>
        <v>11069.070144790001</v>
      </c>
      <c r="E136" s="4123">
        <f>[10]MSL!E132</f>
        <v>2543.98572947</v>
      </c>
      <c r="F136" s="4123">
        <f>G136+H136</f>
        <v>8525.0844153200014</v>
      </c>
      <c r="G136" s="4123">
        <f>'[11]DMB Liabilites'!D56</f>
        <v>5206.7045894500006</v>
      </c>
      <c r="H136" s="4123">
        <f>'[11]DMB Liabilites'!J56</f>
        <v>3318.3798258700003</v>
      </c>
      <c r="I136" s="4123">
        <f>J136+K136</f>
        <v>12864.655108309998</v>
      </c>
      <c r="J136" s="4123">
        <f>[10]DMBL!D115</f>
        <v>12038.380409489999</v>
      </c>
      <c r="K136" s="4123">
        <f>[10]DMBL!E115</f>
        <v>826.27469881999991</v>
      </c>
      <c r="L136" s="1665"/>
      <c r="M136" s="3885"/>
      <c r="N136" s="1930"/>
      <c r="O136" s="3886"/>
      <c r="P136" s="3887"/>
      <c r="Q136" s="3886"/>
      <c r="R136" s="3888"/>
      <c r="S136" s="3888"/>
      <c r="T136" s="1930"/>
      <c r="U136" s="1930"/>
      <c r="V136" s="1930"/>
      <c r="W136" s="1930"/>
      <c r="X136" s="1930"/>
      <c r="Y136" s="1930"/>
      <c r="Z136" s="1930"/>
      <c r="AA136" s="1930"/>
      <c r="AB136" s="1930"/>
      <c r="AC136" s="1930"/>
    </row>
    <row r="137" spans="1:29" s="60" customFormat="1" ht="18" hidden="1" customHeight="1">
      <c r="A137" s="1930"/>
      <c r="B137" s="4124" t="s">
        <v>171</v>
      </c>
      <c r="C137" s="4092">
        <f>D137+I137</f>
        <v>24334.192963270005</v>
      </c>
      <c r="D137" s="4123">
        <f>[10]MSL!D133</f>
        <v>11921.563733310002</v>
      </c>
      <c r="E137" s="4123">
        <f>[10]MSL!E133</f>
        <v>2571.6920613100001</v>
      </c>
      <c r="F137" s="4123">
        <f>G137+H137</f>
        <v>9349.8716720000011</v>
      </c>
      <c r="G137" s="4123">
        <f>'[11]DMB Liabilites'!D57</f>
        <v>5895.0572578199999</v>
      </c>
      <c r="H137" s="4123">
        <f>'[11]DMB Liabilites'!J57</f>
        <v>3454.8144141800003</v>
      </c>
      <c r="I137" s="4123">
        <f>J137+K137</f>
        <v>12412.629229960001</v>
      </c>
      <c r="J137" s="4123">
        <f>[10]DMBL!D116</f>
        <v>11660.20989265</v>
      </c>
      <c r="K137" s="4123">
        <f>[10]DMBL!E116</f>
        <v>752.41933730999995</v>
      </c>
      <c r="L137" s="1665"/>
      <c r="M137" s="3885"/>
      <c r="N137" s="1930"/>
      <c r="O137" s="3886"/>
      <c r="P137" s="3887"/>
      <c r="Q137" s="3886"/>
      <c r="R137" s="3888"/>
      <c r="S137" s="3888"/>
      <c r="T137" s="1930"/>
      <c r="U137" s="1930"/>
      <c r="V137" s="1930"/>
      <c r="W137" s="1930"/>
      <c r="X137" s="1930"/>
      <c r="Y137" s="1930"/>
      <c r="Z137" s="1930"/>
      <c r="AA137" s="1930"/>
      <c r="AB137" s="1930"/>
      <c r="AC137" s="1930"/>
    </row>
    <row r="138" spans="1:29" s="60" customFormat="1" ht="18" hidden="1" customHeight="1">
      <c r="A138" s="1930"/>
      <c r="B138" s="4121">
        <v>2006</v>
      </c>
      <c r="C138" s="4092">
        <v>24671.828323760001</v>
      </c>
      <c r="D138" s="4123">
        <v>12553.437770140001</v>
      </c>
      <c r="E138" s="4123">
        <v>2762.5270715399997</v>
      </c>
      <c r="F138" s="4123">
        <v>9790.9106986000006</v>
      </c>
      <c r="G138" s="4123">
        <v>6129.2131885099998</v>
      </c>
      <c r="H138" s="4123">
        <v>3661.6975100900004</v>
      </c>
      <c r="I138" s="4123">
        <v>12118.39055362</v>
      </c>
      <c r="J138" s="4123">
        <v>11386.50836329</v>
      </c>
      <c r="K138" s="4123">
        <v>731.88219032999996</v>
      </c>
      <c r="L138" s="1665"/>
      <c r="M138" s="3885"/>
      <c r="N138" s="1930"/>
      <c r="O138" s="3886"/>
      <c r="P138" s="3887"/>
      <c r="Q138" s="3886"/>
      <c r="R138" s="3888"/>
      <c r="S138" s="3888"/>
      <c r="T138" s="1930"/>
      <c r="U138" s="1930"/>
      <c r="V138" s="1930"/>
      <c r="W138" s="1930"/>
      <c r="X138" s="1930"/>
      <c r="Y138" s="1930"/>
      <c r="Z138" s="1930"/>
      <c r="AA138" s="1930"/>
      <c r="AB138" s="1930"/>
      <c r="AC138" s="1930"/>
    </row>
    <row r="139" spans="1:29" s="60" customFormat="1" ht="18" hidden="1" customHeight="1">
      <c r="A139" s="1930"/>
      <c r="B139" s="4125">
        <v>2007</v>
      </c>
      <c r="C139" s="4092"/>
      <c r="D139" s="4123"/>
      <c r="E139" s="4123"/>
      <c r="F139" s="4123"/>
      <c r="G139" s="4123"/>
      <c r="H139" s="4123"/>
      <c r="I139" s="4123"/>
      <c r="J139" s="4123"/>
      <c r="K139" s="4123"/>
      <c r="L139" s="1665"/>
      <c r="M139" s="3885"/>
      <c r="N139" s="1930"/>
      <c r="O139" s="3886"/>
      <c r="P139" s="3887"/>
      <c r="Q139" s="3886"/>
      <c r="R139" s="3888"/>
      <c r="S139" s="3888"/>
      <c r="T139" s="1930"/>
      <c r="U139" s="1930"/>
      <c r="V139" s="1930"/>
      <c r="W139" s="1930"/>
      <c r="X139" s="1930"/>
      <c r="Y139" s="1930"/>
      <c r="Z139" s="1930"/>
      <c r="AA139" s="1930"/>
      <c r="AB139" s="1930"/>
      <c r="AC139" s="1930"/>
    </row>
    <row r="140" spans="1:29" s="60" customFormat="1" ht="18" hidden="1" customHeight="1">
      <c r="A140" s="1930"/>
      <c r="B140" s="4124" t="s">
        <v>161</v>
      </c>
      <c r="C140" s="4092">
        <v>24967.927045890003</v>
      </c>
      <c r="D140" s="4113">
        <v>11945.10691826</v>
      </c>
      <c r="E140" s="4111">
        <v>2782.0653314900001</v>
      </c>
      <c r="F140" s="4113">
        <v>9163.0415867700012</v>
      </c>
      <c r="G140" s="4123">
        <v>5738.3701209500005</v>
      </c>
      <c r="H140" s="4123">
        <v>3424.6714658200003</v>
      </c>
      <c r="I140" s="4113">
        <v>13022.820127630002</v>
      </c>
      <c r="J140" s="4113">
        <v>11756.141374420002</v>
      </c>
      <c r="K140" s="4113">
        <v>1266.67875321</v>
      </c>
      <c r="L140" s="1665"/>
      <c r="M140" s="3885"/>
      <c r="N140" s="1930"/>
      <c r="O140" s="3886"/>
      <c r="P140" s="3887"/>
      <c r="Q140" s="3886"/>
      <c r="R140" s="3888"/>
      <c r="S140" s="3888"/>
      <c r="T140" s="1930"/>
      <c r="U140" s="1930"/>
      <c r="V140" s="1930"/>
      <c r="W140" s="1930"/>
      <c r="X140" s="1930"/>
      <c r="Y140" s="1930"/>
      <c r="Z140" s="1930"/>
      <c r="AA140" s="1930"/>
      <c r="AB140" s="1930"/>
      <c r="AC140" s="1930"/>
    </row>
    <row r="141" spans="1:29" s="60" customFormat="1" ht="18" hidden="1" customHeight="1">
      <c r="A141" s="1930"/>
      <c r="B141" s="4102" t="s">
        <v>162</v>
      </c>
      <c r="C141" s="4092">
        <v>24515.458542799999</v>
      </c>
      <c r="D141" s="4113">
        <v>11401.66436363</v>
      </c>
      <c r="E141" s="4113">
        <v>2770.4242928599997</v>
      </c>
      <c r="F141" s="4113">
        <v>8631.2400707699999</v>
      </c>
      <c r="G141" s="4123">
        <v>5260.1720985700003</v>
      </c>
      <c r="H141" s="4123">
        <v>3371.0679722000004</v>
      </c>
      <c r="I141" s="4113">
        <v>13113.79417917</v>
      </c>
      <c r="J141" s="4113">
        <v>11931.3653999</v>
      </c>
      <c r="K141" s="4111">
        <v>1182.4287792699999</v>
      </c>
      <c r="L141" s="1665"/>
      <c r="M141" s="3885"/>
      <c r="N141" s="1930"/>
      <c r="O141" s="3886"/>
      <c r="P141" s="3887"/>
      <c r="Q141" s="3886"/>
      <c r="R141" s="3888"/>
      <c r="S141" s="3888"/>
      <c r="T141" s="1930"/>
      <c r="U141" s="1930"/>
      <c r="V141" s="1930"/>
      <c r="W141" s="1930"/>
      <c r="X141" s="1930"/>
      <c r="Y141" s="1930"/>
      <c r="Z141" s="1930"/>
      <c r="AA141" s="1930"/>
      <c r="AB141" s="1930"/>
      <c r="AC141" s="1930"/>
    </row>
    <row r="142" spans="1:29" s="60" customFormat="1" ht="18" hidden="1" customHeight="1">
      <c r="A142" s="1930"/>
      <c r="B142" s="4102" t="s">
        <v>163</v>
      </c>
      <c r="C142" s="4092">
        <v>24918.520803949999</v>
      </c>
      <c r="D142" s="4113">
        <v>12303.3718145</v>
      </c>
      <c r="E142" s="4113">
        <v>2812.4673354900001</v>
      </c>
      <c r="F142" s="4113">
        <v>9490.9044790099997</v>
      </c>
      <c r="G142" s="4123">
        <v>6024.26534008</v>
      </c>
      <c r="H142" s="4123">
        <v>3466.6391389299997</v>
      </c>
      <c r="I142" s="4113">
        <v>12615.148989450001</v>
      </c>
      <c r="J142" s="4113">
        <v>11441.612394700001</v>
      </c>
      <c r="K142" s="4113">
        <v>1173.5365947499999</v>
      </c>
      <c r="L142" s="1665"/>
      <c r="M142" s="3885"/>
      <c r="N142" s="1930"/>
      <c r="O142" s="3886"/>
      <c r="P142" s="3887"/>
      <c r="Q142" s="3886"/>
      <c r="R142" s="3888"/>
      <c r="S142" s="3888"/>
      <c r="T142" s="1930"/>
      <c r="U142" s="1930"/>
      <c r="V142" s="1930"/>
      <c r="W142" s="1930"/>
      <c r="X142" s="1930"/>
      <c r="Y142" s="1930"/>
      <c r="Z142" s="1930"/>
      <c r="AA142" s="1930"/>
      <c r="AB142" s="1930"/>
      <c r="AC142" s="1930"/>
    </row>
    <row r="143" spans="1:29" s="60" customFormat="1" ht="18" hidden="1" customHeight="1">
      <c r="A143" s="1930"/>
      <c r="B143" s="4102" t="s">
        <v>164</v>
      </c>
      <c r="C143" s="4092">
        <v>24983.705689580005</v>
      </c>
      <c r="D143" s="4113">
        <v>12464.756275990001</v>
      </c>
      <c r="E143" s="4113">
        <v>2770.0277284200001</v>
      </c>
      <c r="F143" s="4113">
        <v>9694.728547570001</v>
      </c>
      <c r="G143" s="4123">
        <v>6151.9091166700009</v>
      </c>
      <c r="H143" s="4123">
        <v>3542.8194309000005</v>
      </c>
      <c r="I143" s="4113">
        <v>12518.949413590002</v>
      </c>
      <c r="J143" s="4113">
        <v>11292.336706470001</v>
      </c>
      <c r="K143" s="4113">
        <v>1226.6127071199999</v>
      </c>
      <c r="L143" s="1665"/>
      <c r="M143" s="3885"/>
      <c r="N143" s="1930"/>
      <c r="O143" s="3886"/>
      <c r="P143" s="3887"/>
      <c r="Q143" s="3886"/>
      <c r="R143" s="3888"/>
      <c r="S143" s="3888"/>
      <c r="T143" s="1930"/>
      <c r="U143" s="1930"/>
      <c r="V143" s="1930"/>
      <c r="W143" s="1930"/>
      <c r="X143" s="1930"/>
      <c r="Y143" s="1930"/>
      <c r="Z143" s="1930"/>
      <c r="AA143" s="1930"/>
      <c r="AB143" s="1930"/>
      <c r="AC143" s="1930"/>
    </row>
    <row r="144" spans="1:29" s="60" customFormat="1" ht="18" hidden="1" customHeight="1">
      <c r="A144" s="1930"/>
      <c r="B144" s="4102" t="s">
        <v>165</v>
      </c>
      <c r="C144" s="4092">
        <v>25391.406522030004</v>
      </c>
      <c r="D144" s="4113">
        <v>13776.98104499</v>
      </c>
      <c r="E144" s="4113">
        <v>3116.9635571399999</v>
      </c>
      <c r="F144" s="4113">
        <v>10660.01748785</v>
      </c>
      <c r="G144" s="4123">
        <v>7011.6883539299997</v>
      </c>
      <c r="H144" s="4123">
        <v>3648.3291339200005</v>
      </c>
      <c r="I144" s="4113">
        <v>11614.425477040002</v>
      </c>
      <c r="J144" s="4113">
        <v>10287.563763720002</v>
      </c>
      <c r="K144" s="4113">
        <v>1326.86171332</v>
      </c>
      <c r="L144" s="1665"/>
      <c r="M144" s="3885"/>
      <c r="N144" s="1930"/>
      <c r="O144" s="3886"/>
      <c r="P144" s="3887"/>
      <c r="Q144" s="3886"/>
      <c r="R144" s="3888"/>
      <c r="S144" s="3888"/>
      <c r="T144" s="1930"/>
      <c r="U144" s="1930"/>
      <c r="V144" s="1930"/>
      <c r="W144" s="1930"/>
      <c r="X144" s="1930"/>
      <c r="Y144" s="1930"/>
      <c r="Z144" s="1930"/>
      <c r="AA144" s="1930"/>
      <c r="AB144" s="1930"/>
      <c r="AC144" s="1930"/>
    </row>
    <row r="145" spans="1:29" s="60" customFormat="1" ht="18" hidden="1" customHeight="1">
      <c r="A145" s="1930"/>
      <c r="B145" s="4102" t="s">
        <v>166</v>
      </c>
      <c r="C145" s="4092">
        <v>25208.526284060001</v>
      </c>
      <c r="D145" s="4123">
        <v>13542.11133734</v>
      </c>
      <c r="E145" s="4123">
        <v>3165.7750044499999</v>
      </c>
      <c r="F145" s="4123">
        <v>10376.336332890001</v>
      </c>
      <c r="G145" s="4123">
        <v>6505.7154175400001</v>
      </c>
      <c r="H145" s="4123">
        <v>3870.6209153500004</v>
      </c>
      <c r="I145" s="4123">
        <v>11666.41494672</v>
      </c>
      <c r="J145" s="4123">
        <v>10193.939941550001</v>
      </c>
      <c r="K145" s="4123">
        <v>1472.47500517</v>
      </c>
      <c r="L145" s="1665"/>
      <c r="M145" s="3885"/>
      <c r="N145" s="1930"/>
      <c r="O145" s="3886"/>
      <c r="P145" s="3887"/>
      <c r="Q145" s="3886"/>
      <c r="R145" s="3888"/>
      <c r="S145" s="3888"/>
      <c r="T145" s="1930"/>
      <c r="U145" s="1930"/>
      <c r="V145" s="1930"/>
      <c r="W145" s="1930"/>
      <c r="X145" s="1930"/>
      <c r="Y145" s="1930"/>
      <c r="Z145" s="1930"/>
      <c r="AA145" s="1930"/>
      <c r="AB145" s="1930"/>
      <c r="AC145" s="1930"/>
    </row>
    <row r="146" spans="1:29" s="60" customFormat="1" ht="18" hidden="1" customHeight="1">
      <c r="A146" s="1930"/>
      <c r="B146" s="4102" t="s">
        <v>167</v>
      </c>
      <c r="C146" s="4092">
        <v>25692.929367969999</v>
      </c>
      <c r="D146" s="4123">
        <v>13515.550985999998</v>
      </c>
      <c r="E146" s="4123">
        <v>2816.6000058899999</v>
      </c>
      <c r="F146" s="4123">
        <v>10698.950980109999</v>
      </c>
      <c r="G146" s="4123">
        <v>6858.5108941500002</v>
      </c>
      <c r="H146" s="4123">
        <v>3840.4400859599996</v>
      </c>
      <c r="I146" s="4123">
        <v>12177.37838197</v>
      </c>
      <c r="J146" s="4123">
        <v>10741.023748109999</v>
      </c>
      <c r="K146" s="4123">
        <v>1436.3546338599999</v>
      </c>
      <c r="L146" s="1665"/>
      <c r="M146" s="3885"/>
      <c r="N146" s="1930"/>
      <c r="O146" s="3886"/>
      <c r="P146" s="3887"/>
      <c r="Q146" s="3886"/>
      <c r="R146" s="3888"/>
      <c r="S146" s="3888"/>
      <c r="T146" s="1930"/>
      <c r="U146" s="1930"/>
      <c r="V146" s="1930"/>
      <c r="W146" s="1930"/>
      <c r="X146" s="1930"/>
      <c r="Y146" s="1930"/>
      <c r="Z146" s="1930"/>
      <c r="AA146" s="1930"/>
      <c r="AB146" s="1930"/>
      <c r="AC146" s="1930"/>
    </row>
    <row r="147" spans="1:29" s="60" customFormat="1" ht="18" hidden="1" customHeight="1">
      <c r="A147" s="1930"/>
      <c r="B147" s="4102" t="s">
        <v>168</v>
      </c>
      <c r="C147" s="4092">
        <v>26123.96208813</v>
      </c>
      <c r="D147" s="4123">
        <v>14282.878696650001</v>
      </c>
      <c r="E147" s="4123">
        <v>2873.0853143200002</v>
      </c>
      <c r="F147" s="4123">
        <v>11409.793382330001</v>
      </c>
      <c r="G147" s="4123">
        <v>7424.4256866200003</v>
      </c>
      <c r="H147" s="4123">
        <v>3985.3676957100001</v>
      </c>
      <c r="I147" s="4123">
        <v>11841.083391479999</v>
      </c>
      <c r="J147" s="4123">
        <v>10791.59634452</v>
      </c>
      <c r="K147" s="4123">
        <v>1049.48704696</v>
      </c>
      <c r="L147" s="1665"/>
      <c r="M147" s="3885"/>
      <c r="N147" s="1930"/>
      <c r="O147" s="3886"/>
      <c r="P147" s="3887"/>
      <c r="Q147" s="3886"/>
      <c r="R147" s="3888"/>
      <c r="S147" s="3888"/>
      <c r="T147" s="1930"/>
      <c r="U147" s="1930"/>
      <c r="V147" s="1930"/>
      <c r="W147" s="1930"/>
      <c r="X147" s="1930"/>
      <c r="Y147" s="1930"/>
      <c r="Z147" s="1930"/>
      <c r="AA147" s="1930"/>
      <c r="AB147" s="1930"/>
      <c r="AC147" s="1930"/>
    </row>
    <row r="148" spans="1:29" s="60" customFormat="1" ht="18" hidden="1" customHeight="1">
      <c r="A148" s="1930"/>
      <c r="B148" s="4102" t="s">
        <v>169</v>
      </c>
      <c r="C148" s="4092">
        <v>27496.681766739996</v>
      </c>
      <c r="D148" s="4123">
        <v>16351.677858569998</v>
      </c>
      <c r="E148" s="4123">
        <v>2992.1266404700004</v>
      </c>
      <c r="F148" s="4123">
        <v>13359.551218099998</v>
      </c>
      <c r="G148" s="4123">
        <v>9417.765502289998</v>
      </c>
      <c r="H148" s="4123">
        <v>3941.7857158100005</v>
      </c>
      <c r="I148" s="4123">
        <v>11145.003908169998</v>
      </c>
      <c r="J148" s="4123">
        <v>10131.498520309999</v>
      </c>
      <c r="K148" s="4123">
        <v>1013.50538786</v>
      </c>
      <c r="L148" s="1665"/>
      <c r="M148" s="3885"/>
      <c r="N148" s="1930"/>
      <c r="O148" s="3886"/>
      <c r="P148" s="3887"/>
      <c r="Q148" s="3886"/>
      <c r="R148" s="3888"/>
      <c r="S148" s="3888"/>
      <c r="T148" s="1930"/>
      <c r="U148" s="1930"/>
      <c r="V148" s="1930"/>
      <c r="W148" s="1930"/>
      <c r="X148" s="1930"/>
      <c r="Y148" s="1930"/>
      <c r="Z148" s="1930"/>
      <c r="AA148" s="1930"/>
      <c r="AB148" s="1930"/>
      <c r="AC148" s="1930"/>
    </row>
    <row r="149" spans="1:29" s="60" customFormat="1" ht="18" hidden="1" customHeight="1">
      <c r="A149" s="1930"/>
      <c r="B149" s="4102" t="s">
        <v>170</v>
      </c>
      <c r="C149" s="4092">
        <v>28721.973271730003</v>
      </c>
      <c r="D149" s="4123">
        <v>17473.284888990001</v>
      </c>
      <c r="E149" s="4123">
        <v>2848.5221016999999</v>
      </c>
      <c r="F149" s="4123">
        <v>14624.762787290001</v>
      </c>
      <c r="G149" s="4123">
        <v>10643.88187938</v>
      </c>
      <c r="H149" s="4123">
        <v>3980.8809079100001</v>
      </c>
      <c r="I149" s="4123">
        <v>11248.688382740002</v>
      </c>
      <c r="J149" s="4123">
        <v>10181.305900360001</v>
      </c>
      <c r="K149" s="4123">
        <v>1067.3824823800001</v>
      </c>
      <c r="L149" s="1665"/>
      <c r="M149" s="3885"/>
      <c r="N149" s="1930"/>
      <c r="O149" s="3886"/>
      <c r="P149" s="3887"/>
      <c r="Q149" s="3886"/>
      <c r="R149" s="3888"/>
      <c r="S149" s="3888"/>
      <c r="T149" s="1930"/>
      <c r="U149" s="1930"/>
      <c r="V149" s="1930"/>
      <c r="W149" s="1930"/>
      <c r="X149" s="1930"/>
      <c r="Y149" s="1930"/>
      <c r="Z149" s="1930"/>
      <c r="AA149" s="1930"/>
      <c r="AB149" s="1930"/>
      <c r="AC149" s="1930"/>
    </row>
    <row r="150" spans="1:29" s="60" customFormat="1" ht="18" hidden="1" customHeight="1">
      <c r="A150" s="1930"/>
      <c r="B150" s="4102" t="s">
        <v>171</v>
      </c>
      <c r="C150" s="4092">
        <v>29398.196615360001</v>
      </c>
      <c r="D150" s="4123">
        <v>18188.329918619998</v>
      </c>
      <c r="E150" s="4123">
        <v>3062.79298432</v>
      </c>
      <c r="F150" s="4123">
        <v>15125.536934299998</v>
      </c>
      <c r="G150" s="4123">
        <v>11086.651038099999</v>
      </c>
      <c r="H150" s="4123">
        <v>4038.8858961999995</v>
      </c>
      <c r="I150" s="4123">
        <v>11209.86669674</v>
      </c>
      <c r="J150" s="4123">
        <v>10266.1933943</v>
      </c>
      <c r="K150" s="4123">
        <v>943.67330244000004</v>
      </c>
      <c r="L150" s="1665"/>
      <c r="M150" s="3885"/>
      <c r="N150" s="1930"/>
      <c r="O150" s="3886"/>
      <c r="P150" s="3887"/>
      <c r="Q150" s="3886"/>
      <c r="R150" s="3888"/>
      <c r="S150" s="3888"/>
      <c r="T150" s="1930"/>
      <c r="U150" s="1930"/>
      <c r="V150" s="1930"/>
      <c r="W150" s="1930"/>
      <c r="X150" s="1930"/>
      <c r="Y150" s="1930"/>
      <c r="Z150" s="1930"/>
      <c r="AA150" s="1930"/>
      <c r="AB150" s="1930"/>
      <c r="AC150" s="1930"/>
    </row>
    <row r="151" spans="1:29" s="60" customFormat="1" ht="18" hidden="1" customHeight="1">
      <c r="A151" s="1930"/>
      <c r="B151" s="4125">
        <v>2007</v>
      </c>
      <c r="C151" s="4092">
        <v>27686.924437370002</v>
      </c>
      <c r="D151" s="4123">
        <v>17491.80611836</v>
      </c>
      <c r="E151" s="4123">
        <v>3246.00582833</v>
      </c>
      <c r="F151" s="4123">
        <v>14245.800290030002</v>
      </c>
      <c r="G151" s="4123">
        <v>10019.705901270001</v>
      </c>
      <c r="H151" s="4123">
        <v>4226.0943887600006</v>
      </c>
      <c r="I151" s="4123">
        <v>10195.118319010002</v>
      </c>
      <c r="J151" s="4123">
        <v>9243.7459042900009</v>
      </c>
      <c r="K151" s="4123">
        <v>951.37241472000005</v>
      </c>
      <c r="L151" s="1665"/>
      <c r="M151" s="3885"/>
      <c r="N151" s="1930"/>
      <c r="O151" s="3886"/>
      <c r="P151" s="3887"/>
      <c r="Q151" s="3886"/>
      <c r="R151" s="3888"/>
      <c r="S151" s="3888"/>
      <c r="T151" s="1930"/>
      <c r="U151" s="1930"/>
      <c r="V151" s="1930"/>
      <c r="W151" s="1930"/>
      <c r="X151" s="1930"/>
      <c r="Y151" s="1930"/>
      <c r="Z151" s="1930"/>
      <c r="AA151" s="1930"/>
      <c r="AB151" s="1930"/>
      <c r="AC151" s="1930"/>
    </row>
    <row r="152" spans="1:29" ht="21" hidden="1" customHeight="1">
      <c r="A152" s="1537"/>
      <c r="B152" s="4126">
        <v>2008</v>
      </c>
      <c r="C152" s="4092"/>
      <c r="D152" s="4123"/>
      <c r="E152" s="4123"/>
      <c r="F152" s="4123"/>
      <c r="G152" s="4123"/>
      <c r="H152" s="4123"/>
      <c r="I152" s="4123"/>
      <c r="J152" s="4123"/>
      <c r="K152" s="4123"/>
      <c r="L152" s="1665"/>
      <c r="M152" s="1666"/>
      <c r="N152" s="1537"/>
      <c r="O152" s="1537"/>
      <c r="P152" s="1526"/>
      <c r="Q152" s="1526"/>
      <c r="R152" s="1526"/>
      <c r="S152" s="1526"/>
      <c r="T152" s="1537"/>
      <c r="U152" s="1526"/>
      <c r="V152" s="1537"/>
      <c r="W152" s="1537"/>
      <c r="X152" s="1537"/>
      <c r="Y152" s="1537"/>
      <c r="Z152" s="1537"/>
      <c r="AA152" s="1537"/>
      <c r="AB152" s="1537"/>
      <c r="AC152" s="1537"/>
    </row>
    <row r="153" spans="1:29" ht="12.75" hidden="1" customHeight="1">
      <c r="A153" s="1537"/>
      <c r="B153" s="4102" t="s">
        <v>161</v>
      </c>
      <c r="C153" s="4092">
        <v>25727.983402649996</v>
      </c>
      <c r="D153" s="4123">
        <v>15101.328771319999</v>
      </c>
      <c r="E153" s="4123">
        <v>3690.9589685699998</v>
      </c>
      <c r="F153" s="4123">
        <v>11410.36980275</v>
      </c>
      <c r="G153" s="4123">
        <v>7395.2651123100004</v>
      </c>
      <c r="H153" s="4123">
        <v>4015.10469044</v>
      </c>
      <c r="I153" s="4123">
        <v>10626.654631329999</v>
      </c>
      <c r="J153" s="4123">
        <v>9689.9722213999994</v>
      </c>
      <c r="K153" s="4123">
        <v>936.68240992999995</v>
      </c>
      <c r="L153" s="1665"/>
      <c r="M153" s="1666"/>
      <c r="N153" s="1537"/>
      <c r="O153" s="1537"/>
      <c r="P153" s="1526"/>
      <c r="Q153" s="1526"/>
      <c r="R153" s="1526"/>
      <c r="S153" s="1526"/>
      <c r="T153" s="1537"/>
      <c r="U153" s="1526"/>
      <c r="V153" s="1537"/>
      <c r="W153" s="1537"/>
      <c r="X153" s="1537"/>
      <c r="Y153" s="1537"/>
      <c r="Z153" s="1537"/>
      <c r="AA153" s="1537"/>
      <c r="AB153" s="1537"/>
      <c r="AC153" s="1537"/>
    </row>
    <row r="154" spans="1:29" ht="15.75" hidden="1">
      <c r="A154" s="1537"/>
      <c r="B154" s="4102" t="s">
        <v>162</v>
      </c>
      <c r="C154" s="4092">
        <v>26976.681598629999</v>
      </c>
      <c r="D154" s="4113">
        <v>15286.26445115</v>
      </c>
      <c r="E154" s="4111">
        <v>3330.7269784700002</v>
      </c>
      <c r="F154" s="4113">
        <v>11955.53747268</v>
      </c>
      <c r="G154" s="4123">
        <v>7985.7316964700003</v>
      </c>
      <c r="H154" s="4123">
        <v>3969.8057762099997</v>
      </c>
      <c r="I154" s="4113">
        <v>11690.417147479999</v>
      </c>
      <c r="J154" s="4113">
        <v>10610.808942399999</v>
      </c>
      <c r="K154" s="4113">
        <v>1079.6082050800001</v>
      </c>
      <c r="L154" s="1537"/>
      <c r="M154" s="1666"/>
      <c r="N154" s="1537"/>
      <c r="O154" s="1537"/>
      <c r="P154" s="1537"/>
      <c r="Q154" s="1537"/>
      <c r="R154" s="1537"/>
      <c r="S154" s="1537"/>
      <c r="T154" s="1537"/>
      <c r="U154" s="1537"/>
      <c r="V154" s="1537"/>
      <c r="W154" s="1537"/>
      <c r="X154" s="1537"/>
      <c r="Y154" s="1537"/>
      <c r="Z154" s="1537"/>
      <c r="AA154" s="1537"/>
      <c r="AB154" s="1537"/>
      <c r="AC154" s="1537"/>
    </row>
    <row r="155" spans="1:29" ht="15.75" hidden="1">
      <c r="A155" s="1537"/>
      <c r="B155" s="4102" t="s">
        <v>163</v>
      </c>
      <c r="C155" s="4092">
        <v>26836.088243799997</v>
      </c>
      <c r="D155" s="4113">
        <v>15809.326680369999</v>
      </c>
      <c r="E155" s="4113">
        <v>3493.4330811099999</v>
      </c>
      <c r="F155" s="4113">
        <v>12315.89359926</v>
      </c>
      <c r="G155" s="4123">
        <v>8218.5341154500002</v>
      </c>
      <c r="H155" s="4123">
        <v>4097.3594838099998</v>
      </c>
      <c r="I155" s="4113">
        <v>11026.761563429998</v>
      </c>
      <c r="J155" s="4113">
        <v>9940.7563549199986</v>
      </c>
      <c r="K155" s="4111">
        <v>1086.0052085099999</v>
      </c>
      <c r="L155" s="1537"/>
      <c r="M155" s="1666"/>
      <c r="N155" s="1537"/>
      <c r="O155" s="1537"/>
      <c r="P155" s="1537"/>
      <c r="Q155" s="1537"/>
      <c r="R155" s="1537"/>
      <c r="S155" s="1537"/>
      <c r="T155" s="1537"/>
      <c r="U155" s="1537"/>
      <c r="V155" s="1537"/>
      <c r="W155" s="1537"/>
      <c r="X155" s="1537"/>
      <c r="Y155" s="1537"/>
      <c r="Z155" s="1537"/>
      <c r="AA155" s="1537"/>
      <c r="AB155" s="1537"/>
      <c r="AC155" s="1537"/>
    </row>
    <row r="156" spans="1:29" ht="15.75" hidden="1">
      <c r="A156" s="1537"/>
      <c r="B156" s="4102" t="s">
        <v>164</v>
      </c>
      <c r="C156" s="4092">
        <v>26708.034444695993</v>
      </c>
      <c r="D156" s="4113">
        <v>16005.235667150002</v>
      </c>
      <c r="E156" s="4113">
        <v>3326.44913688</v>
      </c>
      <c r="F156" s="4113">
        <v>12678.786530270001</v>
      </c>
      <c r="G156" s="4123">
        <v>8492.5179901800002</v>
      </c>
      <c r="H156" s="4123">
        <v>4186.26854009</v>
      </c>
      <c r="I156" s="4113">
        <v>10702.79877754599</v>
      </c>
      <c r="J156" s="4113">
        <v>9657.0175627659901</v>
      </c>
      <c r="K156" s="4113">
        <v>1045.78121478</v>
      </c>
      <c r="L156" s="1537"/>
      <c r="M156" s="1666"/>
      <c r="N156" s="1537"/>
      <c r="O156" s="1537"/>
      <c r="P156" s="1537"/>
      <c r="Q156" s="1537"/>
      <c r="R156" s="1537"/>
      <c r="S156" s="1537"/>
      <c r="T156" s="1537"/>
      <c r="U156" s="1537"/>
      <c r="V156" s="1537"/>
      <c r="W156" s="1537"/>
      <c r="X156" s="1537"/>
      <c r="Y156" s="1537"/>
      <c r="Z156" s="1537"/>
      <c r="AA156" s="1537"/>
      <c r="AB156" s="1537"/>
      <c r="AC156" s="1537"/>
    </row>
    <row r="157" spans="1:29" ht="15.75" hidden="1">
      <c r="A157" s="1537"/>
      <c r="B157" s="4102" t="s">
        <v>165</v>
      </c>
      <c r="C157" s="4092">
        <v>26831.327092610001</v>
      </c>
      <c r="D157" s="4113">
        <v>16206.167052119999</v>
      </c>
      <c r="E157" s="4113">
        <v>3374.23913881</v>
      </c>
      <c r="F157" s="4113">
        <v>12831.927913309999</v>
      </c>
      <c r="G157" s="4123">
        <v>8417.9984918499995</v>
      </c>
      <c r="H157" s="4123">
        <v>4413.9294214600004</v>
      </c>
      <c r="I157" s="4113">
        <v>10625.16004049</v>
      </c>
      <c r="J157" s="4113">
        <v>9668.2065891599996</v>
      </c>
      <c r="K157" s="4113">
        <v>956.95345133000001</v>
      </c>
      <c r="L157" s="1537"/>
      <c r="M157" s="1666"/>
      <c r="N157" s="1537"/>
      <c r="O157" s="1537"/>
      <c r="P157" s="1537"/>
      <c r="Q157" s="1537"/>
      <c r="R157" s="1537"/>
      <c r="S157" s="1537"/>
      <c r="T157" s="1537"/>
      <c r="U157" s="1537"/>
      <c r="V157" s="1537"/>
      <c r="W157" s="1537"/>
      <c r="X157" s="1537"/>
      <c r="Y157" s="1537"/>
      <c r="Z157" s="1537"/>
      <c r="AA157" s="1537"/>
      <c r="AB157" s="1537"/>
      <c r="AC157" s="1537"/>
    </row>
    <row r="158" spans="1:29" ht="15.75" hidden="1">
      <c r="A158" s="1537"/>
      <c r="B158" s="4102" t="s">
        <v>166</v>
      </c>
      <c r="C158" s="4092">
        <v>25783.988060780001</v>
      </c>
      <c r="D158" s="4113">
        <v>14395.70420796</v>
      </c>
      <c r="E158" s="4113">
        <v>3641.6401117199998</v>
      </c>
      <c r="F158" s="4113">
        <v>10754.064096239999</v>
      </c>
      <c r="G158" s="4123">
        <v>6085.8996554300002</v>
      </c>
      <c r="H158" s="4123">
        <v>4668.1644408100001</v>
      </c>
      <c r="I158" s="4113">
        <v>11388.283852820001</v>
      </c>
      <c r="J158" s="4113">
        <v>10422.06049822</v>
      </c>
      <c r="K158" s="4113">
        <v>966.22335459999999</v>
      </c>
      <c r="L158" s="1537"/>
      <c r="M158" s="1666"/>
      <c r="N158" s="1537"/>
      <c r="O158" s="1537"/>
      <c r="P158" s="1537"/>
      <c r="Q158" s="1537"/>
      <c r="R158" s="1537"/>
      <c r="S158" s="1537"/>
      <c r="T158" s="1537"/>
      <c r="U158" s="1537"/>
      <c r="V158" s="1537"/>
      <c r="W158" s="1537"/>
      <c r="X158" s="1537"/>
      <c r="Y158" s="1537"/>
      <c r="Z158" s="1537"/>
      <c r="AA158" s="1537"/>
      <c r="AB158" s="1537"/>
      <c r="AC158" s="1537"/>
    </row>
    <row r="159" spans="1:29" ht="15.75" hidden="1">
      <c r="A159" s="1537"/>
      <c r="B159" s="4102" t="s">
        <v>167</v>
      </c>
      <c r="C159" s="4092">
        <v>28864.034994720001</v>
      </c>
      <c r="D159" s="4123">
        <v>16174.205842539999</v>
      </c>
      <c r="E159" s="4123">
        <v>3560.6352515499998</v>
      </c>
      <c r="F159" s="4123">
        <v>12613.570590989999</v>
      </c>
      <c r="G159" s="4123">
        <v>7990.7140323199983</v>
      </c>
      <c r="H159" s="4123">
        <v>4622.8565586699997</v>
      </c>
      <c r="I159" s="4123">
        <v>12689.82915218</v>
      </c>
      <c r="J159" s="4123">
        <v>11528.410559260001</v>
      </c>
      <c r="K159" s="4123">
        <v>1161.41859292</v>
      </c>
      <c r="L159" s="1537"/>
      <c r="M159" s="1666"/>
      <c r="N159" s="1537"/>
      <c r="O159" s="1537"/>
      <c r="P159" s="1537"/>
      <c r="Q159" s="1537"/>
      <c r="R159" s="1537"/>
      <c r="S159" s="1537"/>
      <c r="T159" s="1537"/>
      <c r="U159" s="1537"/>
      <c r="V159" s="1537"/>
      <c r="W159" s="1537"/>
      <c r="X159" s="1537"/>
      <c r="Y159" s="1537"/>
      <c r="Z159" s="1537"/>
      <c r="AA159" s="1537"/>
      <c r="AB159" s="1537"/>
      <c r="AC159" s="1537"/>
    </row>
    <row r="160" spans="1:29" ht="15.75" hidden="1">
      <c r="B160" s="4102" t="s">
        <v>168</v>
      </c>
      <c r="C160" s="4092">
        <v>28621.565408030001</v>
      </c>
      <c r="D160" s="4123">
        <v>15796.621466979999</v>
      </c>
      <c r="E160" s="4123">
        <v>3348.0005742099997</v>
      </c>
      <c r="F160" s="4123">
        <v>12448.620892769999</v>
      </c>
      <c r="G160" s="4123">
        <v>7815.0676137199998</v>
      </c>
      <c r="H160" s="4123">
        <v>4633.5532790500001</v>
      </c>
      <c r="I160" s="4123">
        <v>12824.943941050002</v>
      </c>
      <c r="J160" s="4123">
        <v>11609.934702820001</v>
      </c>
      <c r="K160" s="4123">
        <v>1215.0092382299999</v>
      </c>
      <c r="M160" s="171"/>
    </row>
    <row r="161" spans="2:13" ht="15.75" hidden="1">
      <c r="B161" s="4102" t="s">
        <v>169</v>
      </c>
      <c r="C161" s="4092">
        <v>33405.658745430002</v>
      </c>
      <c r="D161" s="4123">
        <v>20410.119932109999</v>
      </c>
      <c r="E161" s="4123">
        <v>3518.6205505999997</v>
      </c>
      <c r="F161" s="4123">
        <v>16891.499381509999</v>
      </c>
      <c r="G161" s="4123">
        <v>12212.071835569999</v>
      </c>
      <c r="H161" s="4123">
        <v>4679.4275459400005</v>
      </c>
      <c r="I161" s="4123">
        <v>12995.538813319999</v>
      </c>
      <c r="J161" s="4123">
        <v>12123.284473199999</v>
      </c>
      <c r="K161" s="4123">
        <v>872.25434012000005</v>
      </c>
      <c r="M161" s="171"/>
    </row>
    <row r="162" spans="2:13" ht="15.75" hidden="1">
      <c r="B162" s="4102" t="s">
        <v>170</v>
      </c>
      <c r="C162" s="4092">
        <v>33244.959267130005</v>
      </c>
      <c r="D162" s="4123">
        <v>20114.472257640002</v>
      </c>
      <c r="E162" s="4123">
        <v>3709.3112831999997</v>
      </c>
      <c r="F162" s="4123">
        <v>16405.160974440001</v>
      </c>
      <c r="G162" s="4123">
        <v>11502.6680476</v>
      </c>
      <c r="H162" s="4123">
        <v>4902.4929268400001</v>
      </c>
      <c r="I162" s="4123">
        <v>13130.48700949</v>
      </c>
      <c r="J162" s="4123">
        <v>12336.42358248</v>
      </c>
      <c r="K162" s="4123">
        <v>794.06342701000005</v>
      </c>
      <c r="M162" s="171"/>
    </row>
    <row r="163" spans="2:13" ht="15.75" hidden="1">
      <c r="B163" s="4102" t="s">
        <v>171</v>
      </c>
      <c r="C163" s="4092">
        <v>32797.987955429999</v>
      </c>
      <c r="D163" s="4123">
        <v>19128.402248369999</v>
      </c>
      <c r="E163" s="4123">
        <v>3781.4940742200001</v>
      </c>
      <c r="F163" s="4123">
        <v>15346.908174149999</v>
      </c>
      <c r="G163" s="4123">
        <v>10420.21074181</v>
      </c>
      <c r="H163" s="4123">
        <v>4926.6974323399991</v>
      </c>
      <c r="I163" s="4123">
        <v>13669.58570706</v>
      </c>
      <c r="J163" s="4123">
        <v>12554.86646028</v>
      </c>
      <c r="K163" s="4123">
        <v>1114.71924678</v>
      </c>
      <c r="M163" s="171"/>
    </row>
    <row r="164" spans="2:13" ht="13.5" customHeight="1">
      <c r="B164" s="4126">
        <v>2008</v>
      </c>
      <c r="C164" s="4092">
        <v>31387.448945380002</v>
      </c>
      <c r="D164" s="4123">
        <v>16236.471903750002</v>
      </c>
      <c r="E164" s="4123">
        <v>3842.1772539100002</v>
      </c>
      <c r="F164" s="4123">
        <v>12394.294649840002</v>
      </c>
      <c r="G164" s="4123">
        <v>7522.8727511000006</v>
      </c>
      <c r="H164" s="4123">
        <v>4871.42189874</v>
      </c>
      <c r="I164" s="4123">
        <v>15150.97704163</v>
      </c>
      <c r="J164" s="4123">
        <v>14081.43730077</v>
      </c>
      <c r="K164" s="4123">
        <v>1069.5397408599999</v>
      </c>
      <c r="M164" s="171"/>
    </row>
    <row r="165" spans="2:13" ht="13.5" hidden="1" customHeight="1">
      <c r="B165" s="4126">
        <v>2009</v>
      </c>
      <c r="C165" s="4092"/>
      <c r="D165" s="4123"/>
      <c r="E165" s="4123"/>
      <c r="F165" s="4123"/>
      <c r="G165" s="4123"/>
      <c r="H165" s="4123"/>
      <c r="I165" s="4123"/>
      <c r="J165" s="4123"/>
      <c r="K165" s="4123"/>
      <c r="M165" s="171"/>
    </row>
    <row r="166" spans="2:13" ht="13.5" hidden="1" customHeight="1">
      <c r="B166" s="4102" t="s">
        <v>161</v>
      </c>
      <c r="C166" s="4092">
        <v>31415.289789930001</v>
      </c>
      <c r="D166" s="4123">
        <v>16989.398114269999</v>
      </c>
      <c r="E166" s="4123">
        <v>3824.9202869599999</v>
      </c>
      <c r="F166" s="4123">
        <v>13164.47782731</v>
      </c>
      <c r="G166" s="4123">
        <v>8262.0594217500002</v>
      </c>
      <c r="H166" s="4123">
        <v>4902.4184055599999</v>
      </c>
      <c r="I166" s="4123">
        <v>14425.891675659999</v>
      </c>
      <c r="J166" s="4123">
        <v>13286.05104531</v>
      </c>
      <c r="K166" s="4123">
        <v>1139.8406303500001</v>
      </c>
      <c r="M166" s="171"/>
    </row>
    <row r="167" spans="2:13" ht="13.5" hidden="1" customHeight="1">
      <c r="B167" s="4102" t="s">
        <v>162</v>
      </c>
      <c r="C167" s="4092">
        <v>30856.27741916</v>
      </c>
      <c r="D167" s="4123">
        <v>16803.104955769999</v>
      </c>
      <c r="E167" s="4123">
        <v>3847.9981762100006</v>
      </c>
      <c r="F167" s="4123">
        <v>12955.106779559999</v>
      </c>
      <c r="G167" s="4123">
        <v>8036.561218769999</v>
      </c>
      <c r="H167" s="4123">
        <v>4918.5455607900012</v>
      </c>
      <c r="I167" s="4123">
        <v>14053.172463390001</v>
      </c>
      <c r="J167" s="4123">
        <v>12871.051313390002</v>
      </c>
      <c r="K167" s="4123">
        <v>1182.1211499999999</v>
      </c>
      <c r="M167" s="171"/>
    </row>
    <row r="168" spans="2:13" ht="13.5" hidden="1" customHeight="1">
      <c r="B168" s="4102" t="s">
        <v>163</v>
      </c>
      <c r="C168" s="4092">
        <v>31781.781892480001</v>
      </c>
      <c r="D168" s="4113">
        <v>18081.263975379999</v>
      </c>
      <c r="E168" s="4111">
        <v>3947.85483488</v>
      </c>
      <c r="F168" s="4113">
        <v>14133.4091405</v>
      </c>
      <c r="G168" s="4123">
        <v>9123.6097151699996</v>
      </c>
      <c r="H168" s="4123">
        <v>5009.7994253300003</v>
      </c>
      <c r="I168" s="4113">
        <v>13700.5179171</v>
      </c>
      <c r="J168" s="4113">
        <v>12555.11621699</v>
      </c>
      <c r="K168" s="4113">
        <v>1145.4017001100001</v>
      </c>
      <c r="M168" s="171"/>
    </row>
    <row r="169" spans="2:13" ht="13.5" hidden="1" customHeight="1">
      <c r="B169" s="4102" t="s">
        <v>164</v>
      </c>
      <c r="C169" s="4092">
        <v>31866.58174786</v>
      </c>
      <c r="D169" s="4113">
        <v>18465.604119930002</v>
      </c>
      <c r="E169" s="4113">
        <v>4073.5839133000004</v>
      </c>
      <c r="F169" s="4113">
        <v>14392.020206630001</v>
      </c>
      <c r="G169" s="4123">
        <v>9129.6689213099999</v>
      </c>
      <c r="H169" s="4123">
        <v>5262.35128532</v>
      </c>
      <c r="I169" s="4113">
        <v>13400.97762793</v>
      </c>
      <c r="J169" s="4113">
        <v>12361.65201229</v>
      </c>
      <c r="K169" s="4111">
        <v>1039.32561564</v>
      </c>
      <c r="M169" s="171"/>
    </row>
    <row r="170" spans="2:13" ht="13.5" hidden="1" customHeight="1">
      <c r="B170" s="4102" t="s">
        <v>165</v>
      </c>
      <c r="C170" s="4092">
        <v>32225.868510790002</v>
      </c>
      <c r="D170" s="4113">
        <v>18503.76813099</v>
      </c>
      <c r="E170" s="4113">
        <v>4168.5947464700012</v>
      </c>
      <c r="F170" s="4113">
        <v>14335.17338452</v>
      </c>
      <c r="G170" s="4123">
        <v>8833.8635643599991</v>
      </c>
      <c r="H170" s="4123">
        <v>5501.3098201599996</v>
      </c>
      <c r="I170" s="4113">
        <v>13722.100379800002</v>
      </c>
      <c r="J170" s="4113">
        <v>12635.635065440001</v>
      </c>
      <c r="K170" s="4113">
        <v>1086.4653143599999</v>
      </c>
      <c r="M170" s="171"/>
    </row>
    <row r="171" spans="2:13" ht="13.5" hidden="1" customHeight="1">
      <c r="B171" s="4102" t="s">
        <v>166</v>
      </c>
      <c r="C171" s="4092">
        <v>32114.825163410002</v>
      </c>
      <c r="D171" s="4113">
        <v>18375.041376410001</v>
      </c>
      <c r="E171" s="4113">
        <v>4541.8124188700003</v>
      </c>
      <c r="F171" s="4113">
        <v>13833.228957539999</v>
      </c>
      <c r="G171" s="4123">
        <v>8041.4625932399995</v>
      </c>
      <c r="H171" s="4123">
        <v>5791.7663643000005</v>
      </c>
      <c r="I171" s="4113">
        <v>13739.783787</v>
      </c>
      <c r="J171" s="4113">
        <v>12628.845066510001</v>
      </c>
      <c r="K171" s="4113">
        <v>1110.9387204899999</v>
      </c>
      <c r="M171" s="171"/>
    </row>
    <row r="172" spans="2:13" ht="13.5" hidden="1" customHeight="1">
      <c r="B172" s="4102" t="s">
        <v>167</v>
      </c>
      <c r="C172" s="4092">
        <v>32915.77904103</v>
      </c>
      <c r="D172" s="4113">
        <v>18159.5298501</v>
      </c>
      <c r="E172" s="4113">
        <v>4349.8251350299997</v>
      </c>
      <c r="F172" s="4113">
        <v>13809.70471507</v>
      </c>
      <c r="G172" s="4123">
        <v>8087.7746260700005</v>
      </c>
      <c r="H172" s="4123">
        <v>5721.9300889999995</v>
      </c>
      <c r="I172" s="4113">
        <v>14756.249190929999</v>
      </c>
      <c r="J172" s="4113">
        <v>13422.971779079999</v>
      </c>
      <c r="K172" s="4113">
        <v>1333.2774118499999</v>
      </c>
      <c r="M172" s="171"/>
    </row>
    <row r="173" spans="2:13" ht="13.5" hidden="1" customHeight="1">
      <c r="B173" s="4102" t="s">
        <v>168</v>
      </c>
      <c r="C173" s="4092">
        <v>35176.653922020007</v>
      </c>
      <c r="D173" s="4123">
        <v>20479.10341494</v>
      </c>
      <c r="E173" s="4123">
        <v>4454.9271976099999</v>
      </c>
      <c r="F173" s="4123">
        <v>16024.176217330001</v>
      </c>
      <c r="G173" s="4123">
        <v>10071.736466689999</v>
      </c>
      <c r="H173" s="4123">
        <v>5952.4397506400019</v>
      </c>
      <c r="I173" s="4123">
        <v>14697.550507080003</v>
      </c>
      <c r="J173" s="4123">
        <v>13340.879207420003</v>
      </c>
      <c r="K173" s="4123">
        <v>1356.6712996599999</v>
      </c>
      <c r="M173" s="171"/>
    </row>
    <row r="174" spans="2:13" ht="13.5" hidden="1" customHeight="1">
      <c r="B174" s="4102" t="s">
        <v>169</v>
      </c>
      <c r="C174" s="4092">
        <v>36718.98302118</v>
      </c>
      <c r="D174" s="4123">
        <v>19447.175421399996</v>
      </c>
      <c r="E174" s="4123">
        <v>4579.9208999099992</v>
      </c>
      <c r="F174" s="4123">
        <v>14867.254521489996</v>
      </c>
      <c r="G174" s="4123">
        <v>8937.656142859998</v>
      </c>
      <c r="H174" s="4123">
        <v>5929.5983786299985</v>
      </c>
      <c r="I174" s="4123">
        <v>17271.807599780001</v>
      </c>
      <c r="J174" s="4123">
        <v>16045.327862200002</v>
      </c>
      <c r="K174" s="4123">
        <v>1226.4797375799999</v>
      </c>
      <c r="M174" s="171"/>
    </row>
    <row r="175" spans="2:13" ht="13.5" hidden="1" customHeight="1">
      <c r="B175" s="4102" t="s">
        <v>170</v>
      </c>
      <c r="C175" s="4092">
        <v>39473.444115499995</v>
      </c>
      <c r="D175" s="4123">
        <v>20197.821751919997</v>
      </c>
      <c r="E175" s="4123">
        <v>4854.9813736200003</v>
      </c>
      <c r="F175" s="4123">
        <v>15342.840378299996</v>
      </c>
      <c r="G175" s="4123">
        <v>9340.626861419998</v>
      </c>
      <c r="H175" s="4123">
        <v>6002.2135168799987</v>
      </c>
      <c r="I175" s="4123">
        <v>19275.622363580002</v>
      </c>
      <c r="J175" s="4123">
        <v>18027.02692376</v>
      </c>
      <c r="K175" s="4123">
        <v>1248.5954398200001</v>
      </c>
      <c r="M175" s="171"/>
    </row>
    <row r="176" spans="2:13" ht="13.5" hidden="1" customHeight="1">
      <c r="B176" s="4102" t="s">
        <v>171</v>
      </c>
      <c r="C176" s="4092">
        <v>43294.342314670008</v>
      </c>
      <c r="D176" s="4123">
        <v>20577.680592130004</v>
      </c>
      <c r="E176" s="4123">
        <v>4879.6974047100002</v>
      </c>
      <c r="F176" s="4123">
        <v>15697.983187420003</v>
      </c>
      <c r="G176" s="4123">
        <v>9498.8426298600007</v>
      </c>
      <c r="H176" s="4123">
        <v>6199.1405575600011</v>
      </c>
      <c r="I176" s="4123">
        <v>22716.661722540004</v>
      </c>
      <c r="J176" s="4123">
        <v>21327.049001060004</v>
      </c>
      <c r="K176" s="4123">
        <v>1389.6127214799999</v>
      </c>
      <c r="M176" s="171"/>
    </row>
    <row r="177" spans="2:13" ht="13.5" customHeight="1">
      <c r="B177" s="4126">
        <v>2009</v>
      </c>
      <c r="C177" s="4092">
        <v>43862.760980299994</v>
      </c>
      <c r="D177" s="4123">
        <v>22622.780642939997</v>
      </c>
      <c r="E177" s="4123">
        <v>4980.1189340800001</v>
      </c>
      <c r="F177" s="4123">
        <v>17642.661708859996</v>
      </c>
      <c r="G177" s="4123">
        <v>11451.843182569999</v>
      </c>
      <c r="H177" s="4123">
        <v>6190.8185262899988</v>
      </c>
      <c r="I177" s="4123">
        <v>21239.980337359997</v>
      </c>
      <c r="J177" s="4123">
        <v>20262.370799139997</v>
      </c>
      <c r="K177" s="4123">
        <v>977.6095382200001</v>
      </c>
      <c r="M177" s="171"/>
    </row>
    <row r="178" spans="2:13" ht="13.5" hidden="1" customHeight="1">
      <c r="B178" s="4126">
        <v>2010</v>
      </c>
      <c r="C178" s="4092"/>
      <c r="D178" s="4117"/>
      <c r="E178" s="4117"/>
      <c r="F178" s="4117"/>
      <c r="G178" s="4123"/>
      <c r="H178" s="4123"/>
      <c r="I178" s="4117"/>
      <c r="J178" s="4117"/>
      <c r="K178" s="4117"/>
      <c r="M178" s="171"/>
    </row>
    <row r="179" spans="2:13" ht="13.5" hidden="1" customHeight="1">
      <c r="B179" s="4102" t="s">
        <v>161</v>
      </c>
      <c r="C179" s="4092">
        <v>41247.003628990002</v>
      </c>
      <c r="D179" s="4113">
        <v>20628.449687259999</v>
      </c>
      <c r="E179" s="4113">
        <v>5103.3481168499993</v>
      </c>
      <c r="F179" s="4113">
        <v>15525.101570410001</v>
      </c>
      <c r="G179" s="4123">
        <v>9435.9591505700009</v>
      </c>
      <c r="H179" s="4123">
        <v>6089.14241984</v>
      </c>
      <c r="I179" s="4113">
        <v>20618.553941730002</v>
      </c>
      <c r="J179" s="4113">
        <v>19496.730750430001</v>
      </c>
      <c r="K179" s="4113">
        <v>1121.8231913</v>
      </c>
      <c r="M179" s="171"/>
    </row>
    <row r="180" spans="2:13" ht="13.5" hidden="1" customHeight="1">
      <c r="B180" s="4102" t="s">
        <v>162</v>
      </c>
      <c r="C180" s="4092">
        <v>44713.1734689</v>
      </c>
      <c r="D180" s="4113">
        <v>23755.22827747</v>
      </c>
      <c r="E180" s="4113">
        <v>5355.9527071700004</v>
      </c>
      <c r="F180" s="4113">
        <v>18399.2755703</v>
      </c>
      <c r="G180" s="4123">
        <v>12471.275016219999</v>
      </c>
      <c r="H180" s="4123">
        <v>5928.0005540800012</v>
      </c>
      <c r="I180" s="4113">
        <v>20957.945191429997</v>
      </c>
      <c r="J180" s="4113">
        <v>19748.820514649997</v>
      </c>
      <c r="K180" s="4113">
        <v>1209.1246767799998</v>
      </c>
      <c r="M180" s="171"/>
    </row>
    <row r="181" spans="2:13" ht="13.5" hidden="1" customHeight="1">
      <c r="B181" s="4102" t="s">
        <v>163</v>
      </c>
      <c r="C181" s="4092">
        <v>44342.001397219996</v>
      </c>
      <c r="D181" s="4113">
        <v>23730.585761279999</v>
      </c>
      <c r="E181" s="4113">
        <v>5058.9221453100008</v>
      </c>
      <c r="F181" s="4113">
        <v>18671.663615969999</v>
      </c>
      <c r="G181" s="4123">
        <v>12580.204559080001</v>
      </c>
      <c r="H181" s="4123">
        <v>6091.4590568900003</v>
      </c>
      <c r="I181" s="4113">
        <v>20611.41563594</v>
      </c>
      <c r="J181" s="4113">
        <v>19376.093924290002</v>
      </c>
      <c r="K181" s="4113">
        <v>1235.32171165</v>
      </c>
      <c r="M181" s="171"/>
    </row>
    <row r="182" spans="2:13" ht="13.5" hidden="1" customHeight="1">
      <c r="B182" s="4102" t="s">
        <v>164</v>
      </c>
      <c r="C182" s="4092">
        <v>42534.337997180002</v>
      </c>
      <c r="D182" s="4113">
        <v>22115.131381949999</v>
      </c>
      <c r="E182" s="4113">
        <v>5066.5994275099993</v>
      </c>
      <c r="F182" s="4113">
        <v>17048.531954440001</v>
      </c>
      <c r="G182" s="4123">
        <v>10416.162424390001</v>
      </c>
      <c r="H182" s="4123">
        <v>6632.3695300499994</v>
      </c>
      <c r="I182" s="4113">
        <v>20419.206615229999</v>
      </c>
      <c r="J182" s="4113">
        <v>19231.055243750001</v>
      </c>
      <c r="K182" s="4113">
        <v>1188.1513714800001</v>
      </c>
      <c r="M182" s="171"/>
    </row>
    <row r="183" spans="2:13" ht="13.5" hidden="1" customHeight="1">
      <c r="B183" s="4102" t="s">
        <v>165</v>
      </c>
      <c r="C183" s="4092">
        <v>41824.567075059109</v>
      </c>
      <c r="D183" s="4113">
        <v>23044.020432126112</v>
      </c>
      <c r="E183" s="4113">
        <v>4920.1107167600003</v>
      </c>
      <c r="F183" s="4113">
        <v>18123.90971536611</v>
      </c>
      <c r="G183" s="4123">
        <v>11259.775614120001</v>
      </c>
      <c r="H183" s="4123">
        <v>6864.1341012461089</v>
      </c>
      <c r="I183" s="4113">
        <v>18780.546642933001</v>
      </c>
      <c r="J183" s="4113">
        <v>17335.356294843001</v>
      </c>
      <c r="K183" s="4113">
        <v>1445.19034809</v>
      </c>
      <c r="M183" s="171"/>
    </row>
    <row r="184" spans="2:13" ht="13.5" hidden="1" customHeight="1">
      <c r="B184" s="4102" t="s">
        <v>166</v>
      </c>
      <c r="C184" s="4092">
        <v>41778.699127478001</v>
      </c>
      <c r="D184" s="4113">
        <v>22537.744463657997</v>
      </c>
      <c r="E184" s="4113">
        <v>5386.5066145799992</v>
      </c>
      <c r="F184" s="4113">
        <v>17151.237849077999</v>
      </c>
      <c r="G184" s="4123">
        <v>9835.5619983899996</v>
      </c>
      <c r="H184" s="4123">
        <v>7315.6758506880005</v>
      </c>
      <c r="I184" s="4113">
        <v>19240.954663820001</v>
      </c>
      <c r="J184" s="4113">
        <v>17939.017310070001</v>
      </c>
      <c r="K184" s="4113">
        <v>1301.9373537500001</v>
      </c>
      <c r="M184" s="171"/>
    </row>
    <row r="185" spans="2:13" ht="13.5" hidden="1" customHeight="1">
      <c r="B185" s="4102" t="s">
        <v>167</v>
      </c>
      <c r="C185" s="4092">
        <v>43284.49147778</v>
      </c>
      <c r="D185" s="4113">
        <v>24652.380505679997</v>
      </c>
      <c r="E185" s="4113">
        <v>5655.4179226599999</v>
      </c>
      <c r="F185" s="4113">
        <v>18996.962583019998</v>
      </c>
      <c r="G185" s="4123">
        <v>11252.00352771</v>
      </c>
      <c r="H185" s="4123">
        <v>7744.9590553099997</v>
      </c>
      <c r="I185" s="4113">
        <v>18632.110972099999</v>
      </c>
      <c r="J185" s="4113">
        <v>17440.445696930001</v>
      </c>
      <c r="K185" s="4113">
        <v>1191.6652751699999</v>
      </c>
      <c r="M185" s="171"/>
    </row>
    <row r="186" spans="2:13" ht="13.5" hidden="1" customHeight="1">
      <c r="B186" s="4102" t="s">
        <v>168</v>
      </c>
      <c r="C186" s="4092">
        <v>49401.653803866997</v>
      </c>
      <c r="D186" s="4113">
        <v>29740.036934629999</v>
      </c>
      <c r="E186" s="4113">
        <v>5155.5735006599998</v>
      </c>
      <c r="F186" s="4113">
        <v>24584.463433969999</v>
      </c>
      <c r="G186" s="4123">
        <v>16473.672953429999</v>
      </c>
      <c r="H186" s="4123">
        <v>8110.7904805399985</v>
      </c>
      <c r="I186" s="4113">
        <v>19661.616869237001</v>
      </c>
      <c r="J186" s="4113">
        <v>18468.84021351</v>
      </c>
      <c r="K186" s="4113">
        <v>1192.7766557270002</v>
      </c>
      <c r="M186" s="171"/>
    </row>
    <row r="187" spans="2:13" ht="13.5" hidden="1" customHeight="1">
      <c r="B187" s="4102" t="s">
        <v>169</v>
      </c>
      <c r="C187" s="4092">
        <v>50509.814135619999</v>
      </c>
      <c r="D187" s="4113">
        <v>25948.75146372</v>
      </c>
      <c r="E187" s="4113">
        <v>5575.7302482300001</v>
      </c>
      <c r="F187" s="4113">
        <v>20373.02121549</v>
      </c>
      <c r="G187" s="4123">
        <v>12092.2434724</v>
      </c>
      <c r="H187" s="4123">
        <v>8280.7777430899987</v>
      </c>
      <c r="I187" s="4113">
        <v>24561.062671899999</v>
      </c>
      <c r="J187" s="4113">
        <v>23175.939709639999</v>
      </c>
      <c r="K187" s="4113">
        <v>1385.1229622599999</v>
      </c>
      <c r="M187" s="171"/>
    </row>
    <row r="188" spans="2:13" ht="13.5" hidden="1" customHeight="1">
      <c r="B188" s="4102" t="s">
        <v>170</v>
      </c>
      <c r="C188" s="4092">
        <v>51246.678525180003</v>
      </c>
      <c r="D188" s="4113">
        <v>26123.153798140003</v>
      </c>
      <c r="E188" s="4113">
        <v>5366.1484857300011</v>
      </c>
      <c r="F188" s="4113">
        <v>20757.005312410001</v>
      </c>
      <c r="G188" s="4123">
        <v>12455.949409480001</v>
      </c>
      <c r="H188" s="4123">
        <v>8301.0559029300002</v>
      </c>
      <c r="I188" s="4113">
        <v>25123.52472704</v>
      </c>
      <c r="J188" s="4113">
        <v>23887.57158706</v>
      </c>
      <c r="K188" s="4113">
        <v>1235.9531399799998</v>
      </c>
      <c r="M188" s="171"/>
    </row>
    <row r="189" spans="2:13" ht="13.5" hidden="1" customHeight="1">
      <c r="B189" s="4102" t="s">
        <v>171</v>
      </c>
      <c r="C189" s="4092">
        <v>54862.079544752502</v>
      </c>
      <c r="D189" s="4113">
        <v>27705.748919482503</v>
      </c>
      <c r="E189" s="4113">
        <v>5586.7826288800006</v>
      </c>
      <c r="F189" s="4113">
        <v>22118.966290602501</v>
      </c>
      <c r="G189" s="4123">
        <v>13517.956153602499</v>
      </c>
      <c r="H189" s="4123">
        <v>8601.0101370000011</v>
      </c>
      <c r="I189" s="4113">
        <v>27156.330625269999</v>
      </c>
      <c r="J189" s="4113">
        <v>25617.551356289998</v>
      </c>
      <c r="K189" s="4113">
        <v>1538.7792689800001</v>
      </c>
      <c r="M189" s="171"/>
    </row>
    <row r="190" spans="2:13" ht="13.5" customHeight="1">
      <c r="B190" s="4126">
        <v>2010</v>
      </c>
      <c r="C190" s="4092">
        <v>51112.05157869</v>
      </c>
      <c r="D190" s="4113">
        <v>29042.947504849999</v>
      </c>
      <c r="E190" s="4111">
        <v>5608.5268061100005</v>
      </c>
      <c r="F190" s="4113">
        <v>23434.420698739999</v>
      </c>
      <c r="G190" s="4123">
        <v>14827.41173738</v>
      </c>
      <c r="H190" s="4123">
        <v>8607.0089613599994</v>
      </c>
      <c r="I190" s="4113">
        <v>22069.104073840001</v>
      </c>
      <c r="J190" s="4113">
        <v>20814.118012790001</v>
      </c>
      <c r="K190" s="4113">
        <v>1254.98606105</v>
      </c>
      <c r="M190" s="171"/>
    </row>
    <row r="191" spans="2:13" ht="13.5" hidden="1" customHeight="1">
      <c r="B191" s="4126">
        <v>2011</v>
      </c>
      <c r="C191" s="4127"/>
      <c r="D191" s="4113"/>
      <c r="E191" s="4113"/>
      <c r="F191" s="4113"/>
      <c r="G191" s="4123"/>
      <c r="H191" s="4123"/>
      <c r="I191" s="4113"/>
      <c r="J191" s="4113"/>
      <c r="K191" s="4111"/>
      <c r="M191" s="171"/>
    </row>
    <row r="192" spans="2:13" ht="13.5" hidden="1" customHeight="1">
      <c r="B192" s="4102" t="s">
        <v>161</v>
      </c>
      <c r="C192" s="4127">
        <v>48392.631493763998</v>
      </c>
      <c r="D192" s="4113">
        <v>25632.01028178</v>
      </c>
      <c r="E192" s="4113">
        <v>5727.0635296199998</v>
      </c>
      <c r="F192" s="4113">
        <v>19904.946752160002</v>
      </c>
      <c r="G192" s="4123">
        <v>11337.580768080003</v>
      </c>
      <c r="H192" s="4123">
        <v>8567.365984080001</v>
      </c>
      <c r="I192" s="4113">
        <v>22760.621211983998</v>
      </c>
      <c r="J192" s="4113">
        <v>21453.534707559997</v>
      </c>
      <c r="K192" s="4113">
        <v>1307.0865044239999</v>
      </c>
      <c r="M192" s="171"/>
    </row>
    <row r="193" spans="2:13" ht="13.5" hidden="1" customHeight="1">
      <c r="B193" s="4102" t="s">
        <v>162</v>
      </c>
      <c r="C193" s="4127">
        <v>49940.043398577494</v>
      </c>
      <c r="D193" s="4113">
        <v>27225.951456809998</v>
      </c>
      <c r="E193" s="4113">
        <v>5767.9076162900001</v>
      </c>
      <c r="F193" s="4113">
        <v>21458.04384052</v>
      </c>
      <c r="G193" s="4123">
        <v>12802.409830400002</v>
      </c>
      <c r="H193" s="4123">
        <v>8655.6340101199985</v>
      </c>
      <c r="I193" s="4113">
        <v>22714.091941767496</v>
      </c>
      <c r="J193" s="4113">
        <v>21387.839766179997</v>
      </c>
      <c r="K193" s="4113">
        <v>1326.2521755875</v>
      </c>
      <c r="M193" s="171"/>
    </row>
    <row r="194" spans="2:13" ht="13.5" hidden="1" customHeight="1">
      <c r="B194" s="4102" t="s">
        <v>163</v>
      </c>
      <c r="C194" s="4127">
        <v>50209.381282043993</v>
      </c>
      <c r="D194" s="4113">
        <v>27901.494495489998</v>
      </c>
      <c r="E194" s="4113">
        <v>5812.2907691700002</v>
      </c>
      <c r="F194" s="4113">
        <v>22089.20372632</v>
      </c>
      <c r="G194" s="4123">
        <v>12955.871999319999</v>
      </c>
      <c r="H194" s="4123">
        <v>9133.3317270000007</v>
      </c>
      <c r="I194" s="4113">
        <v>22307.886786553998</v>
      </c>
      <c r="J194" s="4113">
        <v>19119.317400439999</v>
      </c>
      <c r="K194" s="4113">
        <v>3188.5693861140003</v>
      </c>
      <c r="M194" s="171"/>
    </row>
    <row r="195" spans="2:13" ht="13.5" hidden="1" customHeight="1">
      <c r="B195" s="4102" t="s">
        <v>164</v>
      </c>
      <c r="C195" s="4092">
        <v>49439.786890866002</v>
      </c>
      <c r="D195" s="4123">
        <v>28056.248935846001</v>
      </c>
      <c r="E195" s="4123">
        <v>5933.1392216699996</v>
      </c>
      <c r="F195" s="4123">
        <v>22123.109714176</v>
      </c>
      <c r="G195" s="4123">
        <v>12663.456696138001</v>
      </c>
      <c r="H195" s="4123">
        <v>9459.6530180379996</v>
      </c>
      <c r="I195" s="4123">
        <v>21383.537955020001</v>
      </c>
      <c r="J195" s="4123">
        <v>18861.201014260001</v>
      </c>
      <c r="K195" s="4123">
        <v>2522.3369407600003</v>
      </c>
      <c r="M195" s="171"/>
    </row>
    <row r="196" spans="2:13" ht="13.5" hidden="1" customHeight="1">
      <c r="B196" s="4102" t="s">
        <v>165</v>
      </c>
      <c r="C196" s="4092">
        <v>50366.223494335602</v>
      </c>
      <c r="D196" s="4123">
        <v>28923.855770670001</v>
      </c>
      <c r="E196" s="4123">
        <v>6172.8198462700002</v>
      </c>
      <c r="F196" s="4123">
        <v>22751.035924400003</v>
      </c>
      <c r="G196" s="4123">
        <v>12839.409072650002</v>
      </c>
      <c r="H196" s="4123">
        <v>9911.6268517500012</v>
      </c>
      <c r="I196" s="4123">
        <v>21442.3677236656</v>
      </c>
      <c r="J196" s="4123">
        <v>18324.25775837</v>
      </c>
      <c r="K196" s="4123">
        <v>3118.1099652956</v>
      </c>
      <c r="M196" s="171"/>
    </row>
    <row r="197" spans="2:13" ht="13.5" hidden="1" customHeight="1">
      <c r="B197" s="4102" t="s">
        <v>166</v>
      </c>
      <c r="C197" s="4092">
        <v>50639.795564975997</v>
      </c>
      <c r="D197" s="4123">
        <v>30270.278956636001</v>
      </c>
      <c r="E197" s="4123">
        <v>6893.6794676700001</v>
      </c>
      <c r="F197" s="4123">
        <v>23376.599488966</v>
      </c>
      <c r="G197" s="4123">
        <v>12821.673256309999</v>
      </c>
      <c r="H197" s="4123">
        <v>10554.926232656</v>
      </c>
      <c r="I197" s="4123">
        <v>20369.51660834</v>
      </c>
      <c r="J197" s="4123">
        <v>17410.897493209999</v>
      </c>
      <c r="K197" s="4123">
        <v>2958.6191151300004</v>
      </c>
      <c r="M197" s="171"/>
    </row>
    <row r="198" spans="2:13" ht="13.5" hidden="1" customHeight="1">
      <c r="B198" s="4102" t="s">
        <v>167</v>
      </c>
      <c r="C198" s="4092">
        <v>49825.818545746006</v>
      </c>
      <c r="D198" s="4123">
        <v>28443.560174852002</v>
      </c>
      <c r="E198" s="4123">
        <v>6243.2952758199999</v>
      </c>
      <c r="F198" s="4123">
        <v>22200.264899032001</v>
      </c>
      <c r="G198" s="4123">
        <v>11904.24876366</v>
      </c>
      <c r="H198" s="4123">
        <v>10296.016135372001</v>
      </c>
      <c r="I198" s="4123">
        <v>21382.258370894</v>
      </c>
      <c r="J198" s="4123">
        <v>18134.724393413999</v>
      </c>
      <c r="K198" s="4123">
        <v>3247.5339774799995</v>
      </c>
      <c r="M198" s="171"/>
    </row>
    <row r="199" spans="2:13" ht="13.5" hidden="1" customHeight="1">
      <c r="B199" s="4102" t="s">
        <v>168</v>
      </c>
      <c r="C199" s="4092">
        <v>50592.518004373997</v>
      </c>
      <c r="D199" s="4123">
        <v>30296.725714550001</v>
      </c>
      <c r="E199" s="4123">
        <v>6389.6482520199997</v>
      </c>
      <c r="F199" s="4123">
        <v>23907.07746253</v>
      </c>
      <c r="G199" s="4123">
        <v>13189.772476075999</v>
      </c>
      <c r="H199" s="4123">
        <v>10717.304986454001</v>
      </c>
      <c r="I199" s="4123">
        <v>20295.792289823999</v>
      </c>
      <c r="J199" s="4123">
        <v>17584.140397084</v>
      </c>
      <c r="K199" s="4123">
        <v>2711.6518927399998</v>
      </c>
      <c r="M199" s="171"/>
    </row>
    <row r="200" spans="2:13" ht="13.5" hidden="1" customHeight="1">
      <c r="B200" s="4102" t="s">
        <v>169</v>
      </c>
      <c r="C200" s="4092">
        <v>53175.049496575994</v>
      </c>
      <c r="D200" s="4123">
        <v>32186.694283185996</v>
      </c>
      <c r="E200" s="4123">
        <v>6496.5274114599997</v>
      </c>
      <c r="F200" s="4123">
        <v>25690.166871725996</v>
      </c>
      <c r="G200" s="4123">
        <v>14869.519614645997</v>
      </c>
      <c r="H200" s="4123">
        <v>10820.64725708</v>
      </c>
      <c r="I200" s="4123">
        <v>20988.355213389998</v>
      </c>
      <c r="J200" s="4123">
        <v>19310.873329549999</v>
      </c>
      <c r="K200" s="4123">
        <v>1677.4818838399999</v>
      </c>
      <c r="M200" s="171"/>
    </row>
    <row r="201" spans="2:13" ht="13.5" hidden="1" customHeight="1">
      <c r="B201" s="4102" t="s">
        <v>170</v>
      </c>
      <c r="C201" s="4092">
        <v>54549.794057353996</v>
      </c>
      <c r="D201" s="4123">
        <v>32133.714332856005</v>
      </c>
      <c r="E201" s="4123">
        <v>6659.2044008399998</v>
      </c>
      <c r="F201" s="4123">
        <v>25474.509932016004</v>
      </c>
      <c r="G201" s="4123">
        <v>14372.297165276001</v>
      </c>
      <c r="H201" s="4123">
        <v>11102.212766740004</v>
      </c>
      <c r="I201" s="4123">
        <v>22416.079724497995</v>
      </c>
      <c r="J201" s="4123">
        <v>20695.042676249996</v>
      </c>
      <c r="K201" s="4123">
        <v>1721.0370482479998</v>
      </c>
      <c r="M201" s="171"/>
    </row>
    <row r="202" spans="2:13" ht="13.5" hidden="1" customHeight="1">
      <c r="B202" s="4102" t="s">
        <v>171</v>
      </c>
      <c r="C202" s="4092">
        <v>58284.75457196201</v>
      </c>
      <c r="D202" s="4123">
        <v>34869.738716174004</v>
      </c>
      <c r="E202" s="4123">
        <v>6637.2708337399999</v>
      </c>
      <c r="F202" s="4123">
        <v>28232.467882434001</v>
      </c>
      <c r="G202" s="4123">
        <v>16688.417088414</v>
      </c>
      <c r="H202" s="4123">
        <v>11544.05079402</v>
      </c>
      <c r="I202" s="4123">
        <v>23415.015855788002</v>
      </c>
      <c r="J202" s="4123">
        <v>21947.725130566003</v>
      </c>
      <c r="K202" s="4123">
        <v>1467.2907252220002</v>
      </c>
      <c r="M202" s="171"/>
    </row>
    <row r="203" spans="2:13" ht="13.5" customHeight="1">
      <c r="B203" s="4126">
        <v>2011</v>
      </c>
      <c r="C203" s="4092">
        <v>53228.606581783999</v>
      </c>
      <c r="D203" s="4123">
        <v>33199.584284204</v>
      </c>
      <c r="E203" s="4123">
        <v>6910.5581546700005</v>
      </c>
      <c r="F203" s="4123">
        <v>26289.026129533999</v>
      </c>
      <c r="G203" s="4123">
        <v>15002.126657530998</v>
      </c>
      <c r="H203" s="4123">
        <v>11286.899472003</v>
      </c>
      <c r="I203" s="4123">
        <v>20029.022297580002</v>
      </c>
      <c r="J203" s="4123">
        <v>18468.533405960003</v>
      </c>
      <c r="K203" s="4123">
        <v>1560.48889162</v>
      </c>
      <c r="M203" s="171"/>
    </row>
    <row r="204" spans="2:13" ht="13.5" hidden="1" customHeight="1">
      <c r="B204" s="4126">
        <v>2012</v>
      </c>
      <c r="C204" s="4092"/>
      <c r="D204" s="4123"/>
      <c r="E204" s="4123"/>
      <c r="F204" s="4123"/>
      <c r="G204" s="4123"/>
      <c r="H204" s="4123"/>
      <c r="I204" s="4123"/>
      <c r="J204" s="4123"/>
      <c r="K204" s="4123"/>
      <c r="M204" s="171"/>
    </row>
    <row r="205" spans="2:13" ht="13.5" hidden="1" customHeight="1">
      <c r="B205" s="4102" t="s">
        <v>161</v>
      </c>
      <c r="C205" s="4092">
        <v>55178.987093955009</v>
      </c>
      <c r="D205" s="4123">
        <v>33503.869417375005</v>
      </c>
      <c r="E205" s="4123">
        <v>6703.7533909499998</v>
      </c>
      <c r="F205" s="4123">
        <v>26800.116026425007</v>
      </c>
      <c r="G205" s="4123">
        <v>15532.656075035002</v>
      </c>
      <c r="H205" s="4123">
        <v>11267.459951390003</v>
      </c>
      <c r="I205" s="4123">
        <v>21675.117676580005</v>
      </c>
      <c r="J205" s="4123">
        <v>20064.872251810004</v>
      </c>
      <c r="K205" s="4123">
        <v>1610.24542477</v>
      </c>
      <c r="M205" s="171"/>
    </row>
    <row r="206" spans="2:13" ht="13.5" hidden="1" customHeight="1">
      <c r="B206" s="4102" t="s">
        <v>162</v>
      </c>
      <c r="C206" s="4092">
        <v>53620.172597024997</v>
      </c>
      <c r="D206" s="4123">
        <v>31515.288558925</v>
      </c>
      <c r="E206" s="4123">
        <v>6616.90191495</v>
      </c>
      <c r="F206" s="4123">
        <v>24898.386643974998</v>
      </c>
      <c r="G206" s="4123">
        <v>13862.254139154995</v>
      </c>
      <c r="H206" s="4123">
        <v>11036.132504820001</v>
      </c>
      <c r="I206" s="4123">
        <v>22104.884038100001</v>
      </c>
      <c r="J206" s="4123">
        <v>20582.858732110002</v>
      </c>
      <c r="K206" s="4123">
        <v>1522.0253059899999</v>
      </c>
      <c r="M206" s="171"/>
    </row>
    <row r="207" spans="2:13" ht="13.5" hidden="1" customHeight="1">
      <c r="B207" s="4102" t="s">
        <v>163</v>
      </c>
      <c r="C207" s="4092">
        <v>53144.525463170001</v>
      </c>
      <c r="D207" s="4123">
        <v>33269.592913985005</v>
      </c>
      <c r="E207" s="4123">
        <v>6597.8271072300004</v>
      </c>
      <c r="F207" s="4123">
        <v>26671.765806755004</v>
      </c>
      <c r="G207" s="4123">
        <v>15930.898694095</v>
      </c>
      <c r="H207" s="4123">
        <v>10740.867112660004</v>
      </c>
      <c r="I207" s="4123">
        <v>19874.932549184996</v>
      </c>
      <c r="J207" s="4123">
        <v>18301.660102299997</v>
      </c>
      <c r="K207" s="4123">
        <v>1573.2724468850001</v>
      </c>
      <c r="M207" s="171"/>
    </row>
    <row r="208" spans="2:13" ht="13.5" hidden="1" customHeight="1">
      <c r="B208" s="4102" t="s">
        <v>164</v>
      </c>
      <c r="C208" s="4092">
        <v>49280.861558471006</v>
      </c>
      <c r="D208" s="4123">
        <v>29012.393577841001</v>
      </c>
      <c r="E208" s="4123">
        <v>6078.1732863200004</v>
      </c>
      <c r="F208" s="4123">
        <v>22934.220291521</v>
      </c>
      <c r="G208" s="4123">
        <v>12141.762215580999</v>
      </c>
      <c r="H208" s="4123">
        <v>10792.458075940001</v>
      </c>
      <c r="I208" s="4123">
        <v>20268.467980630001</v>
      </c>
      <c r="J208" s="4123">
        <v>18693.325155900002</v>
      </c>
      <c r="K208" s="4123">
        <v>1575.14282473</v>
      </c>
      <c r="M208" s="171"/>
    </row>
    <row r="209" spans="2:13" ht="13.5" hidden="1" customHeight="1">
      <c r="B209" s="4102" t="s">
        <v>165</v>
      </c>
      <c r="C209" s="4092">
        <v>52145.835790700992</v>
      </c>
      <c r="D209" s="4123">
        <v>33735.905713460998</v>
      </c>
      <c r="E209" s="4123">
        <v>5932.50641455</v>
      </c>
      <c r="F209" s="4123">
        <v>27803.399298910997</v>
      </c>
      <c r="G209" s="4123">
        <v>16753.970364121</v>
      </c>
      <c r="H209" s="4123">
        <v>11049.428934789996</v>
      </c>
      <c r="I209" s="4123">
        <v>18409.930077239998</v>
      </c>
      <c r="J209" s="4123">
        <v>16760.55638274</v>
      </c>
      <c r="K209" s="4123">
        <v>1649.3736944999998</v>
      </c>
      <c r="M209" s="171"/>
    </row>
    <row r="210" spans="2:13" ht="13.5" hidden="1" customHeight="1">
      <c r="B210" s="4102" t="s">
        <v>166</v>
      </c>
      <c r="C210" s="4092">
        <v>50122.898735541006</v>
      </c>
      <c r="D210" s="4123">
        <v>31960.201322221008</v>
      </c>
      <c r="E210" s="4123">
        <v>6390.6904204000002</v>
      </c>
      <c r="F210" s="4123">
        <v>25569.510901821006</v>
      </c>
      <c r="G210" s="4123">
        <v>14169.242644821999</v>
      </c>
      <c r="H210" s="4123">
        <v>11400.268256999005</v>
      </c>
      <c r="I210" s="4123">
        <v>18162.697413320002</v>
      </c>
      <c r="J210" s="4123">
        <v>16641.84003653</v>
      </c>
      <c r="K210" s="4123">
        <v>1520.85737679</v>
      </c>
      <c r="M210" s="171"/>
    </row>
    <row r="211" spans="2:13" ht="13.5" hidden="1" customHeight="1">
      <c r="B211" s="4102" t="s">
        <v>167</v>
      </c>
      <c r="C211" s="4092">
        <v>49666.144645753004</v>
      </c>
      <c r="D211" s="4123">
        <v>30935.847666943002</v>
      </c>
      <c r="E211" s="4123">
        <v>5973.0539820900003</v>
      </c>
      <c r="F211" s="4123">
        <v>24962.793684853001</v>
      </c>
      <c r="G211" s="4123">
        <v>13216.420826423</v>
      </c>
      <c r="H211" s="4123">
        <v>11746.372858429999</v>
      </c>
      <c r="I211" s="4123">
        <v>18730.296978810002</v>
      </c>
      <c r="J211" s="4123">
        <v>17351.996876380003</v>
      </c>
      <c r="K211" s="4123">
        <v>1378.3001024299997</v>
      </c>
      <c r="M211" s="171"/>
    </row>
    <row r="212" spans="2:13" ht="13.5" hidden="1" customHeight="1">
      <c r="B212" s="4102" t="s">
        <v>168</v>
      </c>
      <c r="C212" s="4092">
        <v>52720.545077352006</v>
      </c>
      <c r="D212" s="4123">
        <v>33021.056069002007</v>
      </c>
      <c r="E212" s="4123">
        <v>6094.8314282499996</v>
      </c>
      <c r="F212" s="4123">
        <v>26926.224640752007</v>
      </c>
      <c r="G212" s="4123">
        <v>14973.214604523</v>
      </c>
      <c r="H212" s="4123">
        <v>11953.010036229005</v>
      </c>
      <c r="I212" s="4123">
        <v>19699.489008349999</v>
      </c>
      <c r="J212" s="4123">
        <v>18462.72681014</v>
      </c>
      <c r="K212" s="4123">
        <v>1236.7621982100002</v>
      </c>
      <c r="M212" s="171"/>
    </row>
    <row r="213" spans="2:13" ht="13.5" hidden="1" customHeight="1">
      <c r="B213" s="4102" t="s">
        <v>169</v>
      </c>
      <c r="C213" s="4092">
        <v>53814.064739529</v>
      </c>
      <c r="D213" s="4123">
        <v>32414.299950589</v>
      </c>
      <c r="E213" s="4123">
        <v>5776.5738686499999</v>
      </c>
      <c r="F213" s="4123">
        <v>26637.726081938999</v>
      </c>
      <c r="G213" s="4123">
        <v>14772.476748228999</v>
      </c>
      <c r="H213" s="4123">
        <v>11865.249333709999</v>
      </c>
      <c r="I213" s="4123">
        <v>21399.76478894</v>
      </c>
      <c r="J213" s="4123">
        <v>20026.079141390001</v>
      </c>
      <c r="K213" s="4123">
        <v>1373.6856475499999</v>
      </c>
      <c r="M213" s="171"/>
    </row>
    <row r="214" spans="2:13" ht="13.5" hidden="1" customHeight="1">
      <c r="B214" s="4102" t="s">
        <v>170</v>
      </c>
      <c r="C214" s="4092">
        <v>55631.900476047005</v>
      </c>
      <c r="D214" s="4123">
        <v>32478.493428397003</v>
      </c>
      <c r="E214" s="4123">
        <v>6022.5665554000007</v>
      </c>
      <c r="F214" s="4123">
        <v>26455.926872997003</v>
      </c>
      <c r="G214" s="4123">
        <v>14720.900166707001</v>
      </c>
      <c r="H214" s="4123">
        <v>11735.026706290002</v>
      </c>
      <c r="I214" s="4123">
        <v>23153.407047650002</v>
      </c>
      <c r="J214" s="4123">
        <v>21794.379566240001</v>
      </c>
      <c r="K214" s="4123">
        <v>1359.0274814100001</v>
      </c>
      <c r="M214" s="171"/>
    </row>
    <row r="215" spans="2:13" ht="13.5" hidden="1" customHeight="1">
      <c r="B215" s="4102" t="s">
        <v>171</v>
      </c>
      <c r="C215" s="4092">
        <v>57576.539622697004</v>
      </c>
      <c r="D215" s="4123">
        <v>32912.342666897006</v>
      </c>
      <c r="E215" s="4123">
        <v>5358.4568095699997</v>
      </c>
      <c r="F215" s="4123">
        <v>27553.885857327004</v>
      </c>
      <c r="G215" s="4123">
        <v>15827.688706286999</v>
      </c>
      <c r="H215" s="4123">
        <v>11726.197151040005</v>
      </c>
      <c r="I215" s="4123">
        <v>24664.196955799995</v>
      </c>
      <c r="J215" s="4123">
        <v>23370.220051899996</v>
      </c>
      <c r="K215" s="4123">
        <v>1293.9769039</v>
      </c>
      <c r="M215" s="171"/>
    </row>
    <row r="216" spans="2:13" ht="13.5" customHeight="1">
      <c r="B216" s="4126">
        <v>2012</v>
      </c>
      <c r="C216" s="4092">
        <v>56373.266001844997</v>
      </c>
      <c r="D216" s="4123">
        <v>33380.053315304998</v>
      </c>
      <c r="E216" s="4123">
        <v>5254.4310823799997</v>
      </c>
      <c r="F216" s="4123">
        <v>28125.622232925001</v>
      </c>
      <c r="G216" s="4123">
        <v>16555.669987465</v>
      </c>
      <c r="H216" s="4123">
        <v>11569.952245459999</v>
      </c>
      <c r="I216" s="4123">
        <v>22993.212686539999</v>
      </c>
      <c r="J216" s="4123">
        <v>21644.020981179998</v>
      </c>
      <c r="K216" s="4123">
        <v>1349.19170536</v>
      </c>
      <c r="M216" s="171"/>
    </row>
    <row r="217" spans="2:13" ht="13.5" customHeight="1">
      <c r="B217" s="4126">
        <v>2013</v>
      </c>
      <c r="C217" s="4092"/>
      <c r="D217" s="4123"/>
      <c r="E217" s="4123"/>
      <c r="F217" s="4123"/>
      <c r="G217" s="4123"/>
      <c r="H217" s="4123"/>
      <c r="I217" s="4123"/>
      <c r="J217" s="4123"/>
      <c r="K217" s="4123"/>
      <c r="M217" s="171"/>
    </row>
    <row r="218" spans="2:13" ht="13.5" customHeight="1">
      <c r="B218" s="4102" t="s">
        <v>161</v>
      </c>
      <c r="C218" s="4092">
        <v>53306.084687082999</v>
      </c>
      <c r="D218" s="4123">
        <v>29744.675049392994</v>
      </c>
      <c r="E218" s="4123">
        <v>5343.0634243699988</v>
      </c>
      <c r="F218" s="4123">
        <v>24401.611625022997</v>
      </c>
      <c r="G218" s="4123">
        <v>12756.416236713001</v>
      </c>
      <c r="H218" s="4123">
        <v>11645.195388309998</v>
      </c>
      <c r="I218" s="4123">
        <v>23561.409637690002</v>
      </c>
      <c r="J218" s="4123">
        <v>22099.028567900001</v>
      </c>
      <c r="K218" s="4123">
        <v>1462.3810697899999</v>
      </c>
      <c r="M218" s="171"/>
    </row>
    <row r="219" spans="2:13" ht="13.5" customHeight="1">
      <c r="B219" s="4102" t="s">
        <v>162</v>
      </c>
      <c r="C219" s="4092">
        <v>52068.637224849997</v>
      </c>
      <c r="D219" s="4123">
        <v>28636.567400389991</v>
      </c>
      <c r="E219" s="4123">
        <v>5234.6838467999996</v>
      </c>
      <c r="F219" s="4123">
        <v>23401.883553589993</v>
      </c>
      <c r="G219" s="4123">
        <v>11856.05171073</v>
      </c>
      <c r="H219" s="4123">
        <v>11545.831842859994</v>
      </c>
      <c r="I219" s="4123">
        <v>23432.069824460003</v>
      </c>
      <c r="J219" s="4123">
        <v>22023.407715590001</v>
      </c>
      <c r="K219" s="4123">
        <v>1408.6621088700001</v>
      </c>
      <c r="M219" s="171"/>
    </row>
    <row r="220" spans="2:13" ht="13.5" customHeight="1">
      <c r="B220" s="4102" t="s">
        <v>163</v>
      </c>
      <c r="C220" s="4092">
        <v>55575.982089011013</v>
      </c>
      <c r="D220" s="4123">
        <v>32895.644193281012</v>
      </c>
      <c r="E220" s="4123">
        <v>5180.00788405</v>
      </c>
      <c r="F220" s="4123">
        <v>27715.636309231009</v>
      </c>
      <c r="G220" s="4123">
        <v>15556.276130710999</v>
      </c>
      <c r="H220" s="4123">
        <v>12159.36017852001</v>
      </c>
      <c r="I220" s="4123">
        <v>22680.337895730005</v>
      </c>
      <c r="J220" s="4123">
        <v>21177.379486350004</v>
      </c>
      <c r="K220" s="4123">
        <v>1502.9584093800001</v>
      </c>
      <c r="M220" s="171"/>
    </row>
    <row r="221" spans="2:13" ht="13.5" customHeight="1">
      <c r="B221" s="4102" t="s">
        <v>164</v>
      </c>
      <c r="C221" s="4092">
        <v>51196.767142463999</v>
      </c>
      <c r="D221" s="4123">
        <v>30185.366810054002</v>
      </c>
      <c r="E221" s="4123">
        <v>5217.3251906999994</v>
      </c>
      <c r="F221" s="4123">
        <v>24968.041619354004</v>
      </c>
      <c r="G221" s="4123">
        <v>12439.683067574002</v>
      </c>
      <c r="H221" s="4123">
        <v>12528.358551780002</v>
      </c>
      <c r="I221" s="4123">
        <v>21011.400332410001</v>
      </c>
      <c r="J221" s="4123">
        <v>19438.103939570003</v>
      </c>
      <c r="K221" s="4123">
        <v>1573.2963928400002</v>
      </c>
      <c r="M221" s="171"/>
    </row>
    <row r="222" spans="2:13" ht="13.5" customHeight="1">
      <c r="B222" s="4102" t="s">
        <v>165</v>
      </c>
      <c r="C222" s="4092">
        <v>52238.237900882996</v>
      </c>
      <c r="D222" s="4123">
        <v>31557.020498092999</v>
      </c>
      <c r="E222" s="4123">
        <v>5118.2492997200006</v>
      </c>
      <c r="F222" s="4123">
        <v>26438.771198372997</v>
      </c>
      <c r="G222" s="4123">
        <v>13668.348636663</v>
      </c>
      <c r="H222" s="4123">
        <v>12770.422561709998</v>
      </c>
      <c r="I222" s="4123">
        <v>20681.217402789996</v>
      </c>
      <c r="J222" s="4123">
        <v>19153.112275029998</v>
      </c>
      <c r="K222" s="4123">
        <v>1528.10512776</v>
      </c>
      <c r="M222" s="171"/>
    </row>
    <row r="223" spans="2:13" ht="13.5" customHeight="1">
      <c r="B223" s="4102" t="s">
        <v>166</v>
      </c>
      <c r="C223" s="4092">
        <v>59451.245735814999</v>
      </c>
      <c r="D223" s="4123">
        <v>37794.125305645</v>
      </c>
      <c r="E223" s="4123">
        <v>5681.242274180001</v>
      </c>
      <c r="F223" s="4123">
        <v>32112.883031464997</v>
      </c>
      <c r="G223" s="4123">
        <v>18975.892702194997</v>
      </c>
      <c r="H223" s="4123">
        <v>13136.990329270002</v>
      </c>
      <c r="I223" s="4123">
        <v>21657.120430169998</v>
      </c>
      <c r="J223" s="4123">
        <v>20373.63290058</v>
      </c>
      <c r="K223" s="4123">
        <v>1283.4875295899999</v>
      </c>
      <c r="M223" s="171"/>
    </row>
    <row r="224" spans="2:13" ht="13.5" customHeight="1">
      <c r="B224" s="4102" t="s">
        <v>167</v>
      </c>
      <c r="C224" s="4092">
        <v>55338.073310396998</v>
      </c>
      <c r="D224" s="4123">
        <v>33019.294067386996</v>
      </c>
      <c r="E224" s="4123">
        <v>5675.0139389200003</v>
      </c>
      <c r="F224" s="4123">
        <v>27344.280128466999</v>
      </c>
      <c r="G224" s="4123">
        <v>13817.878381666997</v>
      </c>
      <c r="H224" s="4123">
        <v>13526.4017468</v>
      </c>
      <c r="I224" s="4123">
        <v>22318.779243010002</v>
      </c>
      <c r="J224" s="4123">
        <v>21189.52499089</v>
      </c>
      <c r="K224" s="4123">
        <v>1129.25425212</v>
      </c>
      <c r="M224" s="171"/>
    </row>
    <row r="225" spans="2:13" ht="13.5" customHeight="1">
      <c r="B225" s="4102" t="s">
        <v>168</v>
      </c>
      <c r="C225" s="4092">
        <v>55511.09945597699</v>
      </c>
      <c r="D225" s="4123">
        <v>32915.332273816988</v>
      </c>
      <c r="E225" s="4123">
        <v>5303.5019730499998</v>
      </c>
      <c r="F225" s="4123">
        <v>27611.830300766989</v>
      </c>
      <c r="G225" s="4123">
        <v>13758.597131056998</v>
      </c>
      <c r="H225" s="4123">
        <v>13853.233169709993</v>
      </c>
      <c r="I225" s="4123">
        <v>22595.767182159998</v>
      </c>
      <c r="J225" s="4123">
        <v>21301.610152419998</v>
      </c>
      <c r="K225" s="4123">
        <v>1294.1570297399999</v>
      </c>
      <c r="M225" s="171"/>
    </row>
    <row r="226" spans="2:13" ht="13.5" customHeight="1">
      <c r="B226" s="4102" t="s">
        <v>169</v>
      </c>
      <c r="C226" s="4092">
        <v>57748.646867274016</v>
      </c>
      <c r="D226" s="4123">
        <v>34432.207109364012</v>
      </c>
      <c r="E226" s="4123">
        <v>5072.4837481199993</v>
      </c>
      <c r="F226" s="4123">
        <v>29359.723361244014</v>
      </c>
      <c r="G226" s="4123">
        <v>15485.560027884001</v>
      </c>
      <c r="H226" s="4123">
        <v>13874.163333360013</v>
      </c>
      <c r="I226" s="4123">
        <v>23316.43975791</v>
      </c>
      <c r="J226" s="4123">
        <v>22034.057628639999</v>
      </c>
      <c r="K226" s="4123">
        <v>1282.38212927</v>
      </c>
      <c r="M226" s="171"/>
    </row>
    <row r="227" spans="2:13" ht="13.5" customHeight="1">
      <c r="B227" s="4102" t="s">
        <v>170</v>
      </c>
      <c r="C227" s="4092">
        <v>60266.125787020006</v>
      </c>
      <c r="D227" s="4123">
        <v>36718.336162569998</v>
      </c>
      <c r="E227" s="4123">
        <v>5346.6112386899995</v>
      </c>
      <c r="F227" s="4123">
        <v>31371.724923879996</v>
      </c>
      <c r="G227" s="4123">
        <v>17137.099046874002</v>
      </c>
      <c r="H227" s="4123">
        <v>14234.625877005994</v>
      </c>
      <c r="I227" s="4123">
        <v>23547.789624450004</v>
      </c>
      <c r="J227" s="4123">
        <v>22277.960572940003</v>
      </c>
      <c r="K227" s="4123">
        <v>1269.8290515100002</v>
      </c>
      <c r="M227" s="171"/>
    </row>
    <row r="228" spans="2:13" ht="13.5" customHeight="1">
      <c r="B228" s="4102" t="s">
        <v>171</v>
      </c>
      <c r="C228" s="4092">
        <v>60158.344438540997</v>
      </c>
      <c r="D228" s="4123">
        <v>33296.938302230999</v>
      </c>
      <c r="E228" s="4123">
        <v>5704.7942354700008</v>
      </c>
      <c r="F228" s="4123">
        <v>27592.144066760997</v>
      </c>
      <c r="G228" s="4123">
        <v>13105.004109161</v>
      </c>
      <c r="H228" s="4123">
        <v>14487.139957599997</v>
      </c>
      <c r="I228" s="4123">
        <v>26861.406136309997</v>
      </c>
      <c r="J228" s="4123">
        <v>25484.017930599999</v>
      </c>
      <c r="K228" s="4123">
        <v>1377.38820571</v>
      </c>
      <c r="M228" s="171"/>
    </row>
    <row r="229" spans="2:13" ht="13.5" customHeight="1">
      <c r="B229" s="4102" t="s">
        <v>148</v>
      </c>
      <c r="C229" s="4092">
        <v>58209.85474861</v>
      </c>
      <c r="D229" s="4123">
        <v>34077.918383530006</v>
      </c>
      <c r="E229" s="4123">
        <v>5406.2038292899997</v>
      </c>
      <c r="F229" s="4123">
        <v>28671.714554240003</v>
      </c>
      <c r="G229" s="4123">
        <v>13867.254640812002</v>
      </c>
      <c r="H229" s="4123">
        <v>14804.459913428002</v>
      </c>
      <c r="I229" s="4123">
        <v>24131.936365079997</v>
      </c>
      <c r="J229" s="4123">
        <v>22797.536941529997</v>
      </c>
      <c r="K229" s="4123">
        <v>1334.3994235499999</v>
      </c>
      <c r="M229" s="171"/>
    </row>
    <row r="230" spans="2:13" ht="13.5" customHeight="1">
      <c r="B230" s="4126">
        <v>2014</v>
      </c>
      <c r="C230" s="4092"/>
      <c r="D230" s="4123"/>
      <c r="E230" s="4123"/>
      <c r="F230" s="4123"/>
      <c r="G230" s="4123"/>
      <c r="H230" s="4123"/>
      <c r="I230" s="4123"/>
      <c r="J230" s="4123"/>
      <c r="K230" s="4123"/>
      <c r="M230" s="171"/>
    </row>
    <row r="231" spans="2:13" ht="13.5" customHeight="1">
      <c r="B231" s="4102" t="s">
        <v>161</v>
      </c>
      <c r="C231" s="4092">
        <v>60572.207313412</v>
      </c>
      <c r="D231" s="4123">
        <v>36531.677812862006</v>
      </c>
      <c r="E231" s="4123">
        <v>5675.5816557000007</v>
      </c>
      <c r="F231" s="4123">
        <v>30856.096157162003</v>
      </c>
      <c r="G231" s="4123">
        <v>15938.186153262002</v>
      </c>
      <c r="H231" s="4123">
        <v>14917.9100039</v>
      </c>
      <c r="I231" s="4123">
        <v>24040.529500549997</v>
      </c>
      <c r="J231" s="4123">
        <v>22546.864124239997</v>
      </c>
      <c r="K231" s="4123">
        <v>1493.6653763100003</v>
      </c>
      <c r="M231" s="171"/>
    </row>
    <row r="232" spans="2:13" ht="13.5" customHeight="1">
      <c r="B232" s="4102" t="s">
        <v>162</v>
      </c>
      <c r="C232" s="4092">
        <v>61239.64642200699</v>
      </c>
      <c r="D232" s="4123">
        <v>35306.364970528994</v>
      </c>
      <c r="E232" s="4123">
        <v>5324.4082323499997</v>
      </c>
      <c r="F232" s="4123">
        <v>29981.956738178997</v>
      </c>
      <c r="G232" s="4123">
        <v>14967.356012591999</v>
      </c>
      <c r="H232" s="4123">
        <v>15014.600725586999</v>
      </c>
      <c r="I232" s="4123">
        <v>25933.281451478</v>
      </c>
      <c r="J232" s="4123">
        <v>23409.570297147999</v>
      </c>
      <c r="K232" s="4123">
        <v>2523.7111543300002</v>
      </c>
      <c r="M232" s="171"/>
    </row>
    <row r="233" spans="2:13" ht="13.5" customHeight="1">
      <c r="B233" s="4102" t="s">
        <v>163</v>
      </c>
      <c r="C233" s="4092">
        <v>58876.259797171006</v>
      </c>
      <c r="D233" s="4123">
        <v>34175.154643753005</v>
      </c>
      <c r="E233" s="4123">
        <v>5246.6353732600001</v>
      </c>
      <c r="F233" s="4123">
        <v>28928.519270493001</v>
      </c>
      <c r="G233" s="4123">
        <v>14108.920862031999</v>
      </c>
      <c r="H233" s="4123">
        <v>14819.598408461001</v>
      </c>
      <c r="I233" s="4123">
        <v>24701.105153418001</v>
      </c>
      <c r="J233" s="4123">
        <v>22104.633041908</v>
      </c>
      <c r="K233" s="4123">
        <v>2596.4721115100001</v>
      </c>
      <c r="M233" s="171"/>
    </row>
    <row r="234" spans="2:13" ht="13.5" customHeight="1">
      <c r="B234" s="4102" t="s">
        <v>164</v>
      </c>
      <c r="C234" s="4092">
        <v>58900.114702723004</v>
      </c>
      <c r="D234" s="4123">
        <v>34089.328278745001</v>
      </c>
      <c r="E234" s="4123">
        <v>4802.1724037699996</v>
      </c>
      <c r="F234" s="4123">
        <v>29287.155874975004</v>
      </c>
      <c r="G234" s="4123">
        <v>13415.371493022001</v>
      </c>
      <c r="H234" s="4123">
        <v>15871.784381953004</v>
      </c>
      <c r="I234" s="4123">
        <v>24810.786423978003</v>
      </c>
      <c r="J234" s="4123">
        <v>22701.701636588001</v>
      </c>
      <c r="K234" s="4123">
        <v>2109.0847873900002</v>
      </c>
      <c r="M234" s="171"/>
    </row>
    <row r="235" spans="2:13" ht="13.5" customHeight="1">
      <c r="B235" s="4102" t="s">
        <v>165</v>
      </c>
      <c r="C235" s="4092">
        <v>62784.160642551011</v>
      </c>
      <c r="D235" s="4123">
        <v>38721.060725291005</v>
      </c>
      <c r="E235" s="4123">
        <v>5249.2904999699995</v>
      </c>
      <c r="F235" s="4123">
        <v>33471.770225321008</v>
      </c>
      <c r="G235" s="4123">
        <v>17384.656481459999</v>
      </c>
      <c r="H235" s="4123">
        <v>16087.113743861008</v>
      </c>
      <c r="I235" s="4123">
        <v>24063.099917260002</v>
      </c>
      <c r="J235" s="4123">
        <v>22045.091301050001</v>
      </c>
      <c r="K235" s="4123">
        <v>2018.0086162100001</v>
      </c>
      <c r="M235" s="171"/>
    </row>
    <row r="236" spans="2:13" ht="13.5" customHeight="1">
      <c r="B236" s="4102" t="s">
        <v>166</v>
      </c>
      <c r="C236" s="4092">
        <v>63387.800669612989</v>
      </c>
      <c r="D236" s="4123">
        <v>39701.841684742991</v>
      </c>
      <c r="E236" s="4123">
        <v>5704.5772202399994</v>
      </c>
      <c r="F236" s="4123">
        <v>33997.264464502994</v>
      </c>
      <c r="G236" s="4123">
        <v>17670.725597610002</v>
      </c>
      <c r="H236" s="4123">
        <v>16326.538866892992</v>
      </c>
      <c r="I236" s="4123">
        <v>23685.958984869998</v>
      </c>
      <c r="J236" s="4123">
        <v>21952.332523329998</v>
      </c>
      <c r="K236" s="4123">
        <v>1733.62646154</v>
      </c>
      <c r="M236" s="171"/>
    </row>
    <row r="237" spans="2:13" ht="13.5" customHeight="1">
      <c r="B237" s="4102" t="s">
        <v>167</v>
      </c>
      <c r="C237" s="4092">
        <v>64309.067985440997</v>
      </c>
      <c r="D237" s="4123">
        <v>40351.691273302997</v>
      </c>
      <c r="E237" s="4123">
        <v>5063.0691069199993</v>
      </c>
      <c r="F237" s="4123">
        <v>35288.622166383</v>
      </c>
      <c r="G237" s="4123">
        <v>19144.437852847997</v>
      </c>
      <c r="H237" s="4123">
        <v>16144.184313535001</v>
      </c>
      <c r="I237" s="4123">
        <v>23957.376712138004</v>
      </c>
      <c r="J237" s="4123">
        <v>22188.371880148003</v>
      </c>
      <c r="K237" s="4123">
        <v>1769.00483199</v>
      </c>
      <c r="M237" s="171"/>
    </row>
    <row r="238" spans="2:13" ht="13.5" customHeight="1">
      <c r="B238" s="4102" t="s">
        <v>168</v>
      </c>
      <c r="C238" s="4092">
        <v>65713.081146331009</v>
      </c>
      <c r="D238" s="4123">
        <v>40015.192858843009</v>
      </c>
      <c r="E238" s="4123">
        <v>5186.9516517700004</v>
      </c>
      <c r="F238" s="4123">
        <v>34828.241207073006</v>
      </c>
      <c r="G238" s="4123">
        <v>18150.538920758012</v>
      </c>
      <c r="H238" s="4123">
        <v>16677.702286314994</v>
      </c>
      <c r="I238" s="4123">
        <v>25697.888287488</v>
      </c>
      <c r="J238" s="4123">
        <v>24457.317555977999</v>
      </c>
      <c r="K238" s="4123">
        <v>1240.5707315099999</v>
      </c>
      <c r="M238" s="171"/>
    </row>
    <row r="239" spans="2:13" ht="13.5" customHeight="1">
      <c r="B239" s="4102" t="s">
        <v>169</v>
      </c>
      <c r="C239" s="4092">
        <v>68172.746378115</v>
      </c>
      <c r="D239" s="4123">
        <v>42024.056311547007</v>
      </c>
      <c r="E239" s="4123">
        <v>5663.1958273199998</v>
      </c>
      <c r="F239" s="4123">
        <v>36360.860484227007</v>
      </c>
      <c r="G239" s="4123">
        <v>19688.711377777996</v>
      </c>
      <c r="H239" s="4123">
        <v>16672.149106449011</v>
      </c>
      <c r="I239" s="4123">
        <v>26148.690066567997</v>
      </c>
      <c r="J239" s="4123">
        <v>24551.222933607998</v>
      </c>
      <c r="K239" s="4123">
        <v>1597.4671329600001</v>
      </c>
      <c r="M239" s="171"/>
    </row>
    <row r="240" spans="2:13" ht="13.5" customHeight="1">
      <c r="B240" s="4102" t="s">
        <v>170</v>
      </c>
      <c r="C240" s="4092">
        <v>70364.396602600988</v>
      </c>
      <c r="D240" s="4123">
        <v>43030.830627510986</v>
      </c>
      <c r="E240" s="4123">
        <v>5566.4989545099988</v>
      </c>
      <c r="F240" s="4123">
        <v>37464.33167300099</v>
      </c>
      <c r="G240" s="4123">
        <v>20412.290215029989</v>
      </c>
      <c r="H240" s="4123">
        <v>17052.041457971001</v>
      </c>
      <c r="I240" s="4123">
        <v>27333.565975090001</v>
      </c>
      <c r="J240" s="4123">
        <v>26484.621820210003</v>
      </c>
      <c r="K240" s="4123">
        <v>848.94415488000004</v>
      </c>
      <c r="M240" s="171"/>
    </row>
    <row r="241" spans="2:13" ht="13.5" customHeight="1">
      <c r="B241" s="4102" t="s">
        <v>171</v>
      </c>
      <c r="C241" s="4092">
        <v>73234.307710427005</v>
      </c>
      <c r="D241" s="4123">
        <v>45499.861373098996</v>
      </c>
      <c r="E241" s="4123">
        <v>5561.2558928300004</v>
      </c>
      <c r="F241" s="4123">
        <v>39938.605480268998</v>
      </c>
      <c r="G241" s="4123">
        <v>22666.125790868005</v>
      </c>
      <c r="H241" s="4123">
        <v>17272.479689400992</v>
      </c>
      <c r="I241" s="4123">
        <v>27734.446337328001</v>
      </c>
      <c r="J241" s="4123">
        <v>26916.735957518002</v>
      </c>
      <c r="K241" s="4123">
        <v>817.71037980999995</v>
      </c>
      <c r="M241" s="171"/>
    </row>
    <row r="242" spans="2:13" ht="13.5" customHeight="1">
      <c r="B242" s="4102" t="s">
        <v>148</v>
      </c>
      <c r="C242" s="4092">
        <v>73366.103409640986</v>
      </c>
      <c r="D242" s="4123">
        <v>43296.19781157298</v>
      </c>
      <c r="E242" s="4123">
        <v>5671.5871542699988</v>
      </c>
      <c r="F242" s="4123">
        <v>37624.610657302983</v>
      </c>
      <c r="G242" s="4123">
        <v>20381.017723347999</v>
      </c>
      <c r="H242" s="4123">
        <v>17243.592933954988</v>
      </c>
      <c r="I242" s="4123">
        <v>30069.905598067999</v>
      </c>
      <c r="J242" s="4123">
        <v>28845.302633847998</v>
      </c>
      <c r="K242" s="4123">
        <v>1224.6029642199999</v>
      </c>
      <c r="M242" s="171"/>
    </row>
    <row r="243" spans="2:13" ht="13.5" customHeight="1">
      <c r="B243" s="4126">
        <v>2015</v>
      </c>
      <c r="C243" s="4092"/>
      <c r="D243" s="4123"/>
      <c r="E243" s="4123"/>
      <c r="F243" s="4123"/>
      <c r="G243" s="4123"/>
      <c r="H243" s="4123"/>
      <c r="I243" s="4123"/>
      <c r="J243" s="4123"/>
      <c r="K243" s="4123"/>
      <c r="M243" s="171"/>
    </row>
    <row r="244" spans="2:13" ht="13.5" customHeight="1">
      <c r="B244" s="4102" t="s">
        <v>161</v>
      </c>
      <c r="C244" s="4092">
        <v>75626.216484882985</v>
      </c>
      <c r="D244" s="4123">
        <v>46300.141772314993</v>
      </c>
      <c r="E244" s="4123">
        <v>5715.2913110999989</v>
      </c>
      <c r="F244" s="4123">
        <v>40584.850461214992</v>
      </c>
      <c r="G244" s="4123">
        <v>23388.977610737995</v>
      </c>
      <c r="H244" s="4123">
        <v>17195.872850476997</v>
      </c>
      <c r="I244" s="4123">
        <v>29326.074712567999</v>
      </c>
      <c r="J244" s="4123">
        <v>28125.320067397999</v>
      </c>
      <c r="K244" s="4123">
        <v>1200.7546451700002</v>
      </c>
      <c r="M244" s="171"/>
    </row>
    <row r="245" spans="2:13" ht="13.5" customHeight="1">
      <c r="B245" s="4102" t="s">
        <v>162</v>
      </c>
      <c r="C245" s="4092">
        <v>71582.925277863804</v>
      </c>
      <c r="D245" s="4123">
        <v>42746.975083137004</v>
      </c>
      <c r="E245" s="4123">
        <v>5576.0504592199995</v>
      </c>
      <c r="F245" s="4123">
        <v>37170.924623917002</v>
      </c>
      <c r="G245" s="4123">
        <v>20037.573172698001</v>
      </c>
      <c r="H245" s="4123">
        <v>17133.351451218998</v>
      </c>
      <c r="I245" s="4123">
        <v>28835.9501947268</v>
      </c>
      <c r="J245" s="4123">
        <v>27684.681110858</v>
      </c>
      <c r="K245" s="4123">
        <v>1151.2690838687997</v>
      </c>
      <c r="M245" s="171"/>
    </row>
    <row r="246" spans="2:13" ht="13.5" customHeight="1">
      <c r="B246" s="4102" t="s">
        <v>163</v>
      </c>
      <c r="C246" s="4092">
        <v>67636.295713496991</v>
      </c>
      <c r="D246" s="4123">
        <v>40068.546747858993</v>
      </c>
      <c r="E246" s="4123">
        <v>5767.1698622600006</v>
      </c>
      <c r="F246" s="4123">
        <v>34301.376885598991</v>
      </c>
      <c r="G246" s="4123">
        <v>16942.024289647987</v>
      </c>
      <c r="H246" s="4123">
        <v>17359.352595951001</v>
      </c>
      <c r="I246" s="4123">
        <v>27567.748965638002</v>
      </c>
      <c r="J246" s="4123">
        <v>26351.393583308003</v>
      </c>
      <c r="K246" s="4123">
        <v>1216.3553823299999</v>
      </c>
      <c r="M246" s="171"/>
    </row>
    <row r="247" spans="2:13" ht="13.5" customHeight="1">
      <c r="B247" s="4102" t="s">
        <v>164</v>
      </c>
      <c r="C247" s="4092">
        <v>68804.083261349733</v>
      </c>
      <c r="D247" s="4123">
        <v>41077.006586531723</v>
      </c>
      <c r="E247" s="4123">
        <v>5334.374375374734</v>
      </c>
      <c r="F247" s="4123">
        <v>35742.63221115699</v>
      </c>
      <c r="G247" s="4123">
        <v>17715.731539233991</v>
      </c>
      <c r="H247" s="4123">
        <v>18026.900671922995</v>
      </c>
      <c r="I247" s="4123">
        <v>27727.076674818003</v>
      </c>
      <c r="J247" s="4123">
        <v>26563.715812968003</v>
      </c>
      <c r="K247" s="4123">
        <v>1163.3608618500002</v>
      </c>
      <c r="M247" s="171"/>
    </row>
    <row r="248" spans="2:13" ht="13.5" customHeight="1">
      <c r="B248" s="4102" t="s">
        <v>165</v>
      </c>
      <c r="C248" s="4092">
        <v>71188.839560394335</v>
      </c>
      <c r="D248" s="4123">
        <v>42633.424030176335</v>
      </c>
      <c r="E248" s="4123">
        <v>5676.9168509599995</v>
      </c>
      <c r="F248" s="4123">
        <v>36956.507179216336</v>
      </c>
      <c r="G248" s="4123">
        <v>18549.426045871329</v>
      </c>
      <c r="H248" s="4123">
        <v>18407.081133345004</v>
      </c>
      <c r="I248" s="4123">
        <v>28555.415530218001</v>
      </c>
      <c r="J248" s="4123">
        <v>27333.381386437999</v>
      </c>
      <c r="K248" s="4123">
        <v>1222.0341437799998</v>
      </c>
      <c r="M248" s="171"/>
    </row>
    <row r="249" spans="2:13" ht="13.5" customHeight="1">
      <c r="B249" s="4102" t="s">
        <v>166</v>
      </c>
      <c r="C249" s="4092">
        <v>68344.292054373014</v>
      </c>
      <c r="D249" s="4123">
        <v>41675.504334275014</v>
      </c>
      <c r="E249" s="4123">
        <v>5946.0605407500007</v>
      </c>
      <c r="F249" s="4123">
        <v>35729.443793525017</v>
      </c>
      <c r="G249" s="4123">
        <v>16831.690994417997</v>
      </c>
      <c r="H249" s="4123">
        <v>18897.752799107016</v>
      </c>
      <c r="I249" s="4123">
        <v>26668.787720098</v>
      </c>
      <c r="J249" s="4123">
        <v>25446.512144717999</v>
      </c>
      <c r="K249" s="4123">
        <v>1222.2755753800002</v>
      </c>
      <c r="M249" s="171"/>
    </row>
    <row r="250" spans="2:13" ht="13.5" customHeight="1">
      <c r="B250" s="4102" t="s">
        <v>167</v>
      </c>
      <c r="C250" s="4092">
        <v>67943.443936926997</v>
      </c>
      <c r="D250" s="4123">
        <v>40031.215062149</v>
      </c>
      <c r="E250" s="4123">
        <v>5939.8874044200002</v>
      </c>
      <c r="F250" s="4123">
        <v>34091.327657729002</v>
      </c>
      <c r="G250" s="4123">
        <v>15037.497574900002</v>
      </c>
      <c r="H250" s="4123">
        <v>19053.830082828998</v>
      </c>
      <c r="I250" s="4123">
        <v>27912.228874777993</v>
      </c>
      <c r="J250" s="4123">
        <v>26721.440953467994</v>
      </c>
      <c r="K250" s="4123">
        <v>1190.78792131</v>
      </c>
      <c r="M250" s="171"/>
    </row>
    <row r="251" spans="2:13" ht="13.5" customHeight="1">
      <c r="B251" s="4102" t="s">
        <v>168</v>
      </c>
      <c r="C251" s="4092">
        <v>68616.20510627699</v>
      </c>
      <c r="D251" s="4123">
        <v>40570.940327468998</v>
      </c>
      <c r="E251" s="4123">
        <v>5570.9200334099987</v>
      </c>
      <c r="F251" s="4123">
        <v>35000.020294059002</v>
      </c>
      <c r="G251" s="4123">
        <v>15494.091141578003</v>
      </c>
      <c r="H251" s="4123">
        <v>19505.929152481</v>
      </c>
      <c r="I251" s="4123">
        <v>28045.264778807996</v>
      </c>
      <c r="J251" s="4123">
        <v>26620.127122427995</v>
      </c>
      <c r="K251" s="4123">
        <v>1425.13765638</v>
      </c>
      <c r="M251" s="171"/>
    </row>
    <row r="252" spans="2:13" ht="13.5" customHeight="1">
      <c r="B252" s="4102" t="s">
        <v>169</v>
      </c>
      <c r="C252" s="4092">
        <v>69742.134018327008</v>
      </c>
      <c r="D252" s="4123">
        <v>40835.307987449007</v>
      </c>
      <c r="E252" s="4123">
        <v>5626.4818728700011</v>
      </c>
      <c r="F252" s="4123">
        <v>35208.826114579002</v>
      </c>
      <c r="G252" s="4123">
        <v>16213.251381778</v>
      </c>
      <c r="H252" s="4123">
        <v>18995.574732801</v>
      </c>
      <c r="I252" s="4123">
        <v>28906.826030878001</v>
      </c>
      <c r="J252" s="4123">
        <v>27347.326890208002</v>
      </c>
      <c r="K252" s="4123">
        <v>1559.4991406699999</v>
      </c>
      <c r="M252" s="171"/>
    </row>
    <row r="253" spans="2:13" ht="13.5" customHeight="1">
      <c r="B253" s="4102" t="s">
        <v>170</v>
      </c>
      <c r="C253" s="4092">
        <v>75716.182573330007</v>
      </c>
      <c r="D253" s="4123">
        <v>44364.526278701996</v>
      </c>
      <c r="E253" s="4123">
        <v>6038.8423139099996</v>
      </c>
      <c r="F253" s="4123">
        <v>38325.683964791999</v>
      </c>
      <c r="G253" s="4123">
        <v>19248.324923470998</v>
      </c>
      <c r="H253" s="4123">
        <v>19077.359041321004</v>
      </c>
      <c r="I253" s="4123">
        <v>31351.656294628003</v>
      </c>
      <c r="J253" s="4123">
        <v>30100.417810048002</v>
      </c>
      <c r="K253" s="4123">
        <v>1251.23848458</v>
      </c>
      <c r="M253" s="171"/>
    </row>
    <row r="254" spans="2:13" ht="13.5" customHeight="1">
      <c r="B254" s="4102" t="s">
        <v>171</v>
      </c>
      <c r="C254" s="4092">
        <v>76991.356844213005</v>
      </c>
      <c r="D254" s="4123">
        <v>45166.328366345013</v>
      </c>
      <c r="E254" s="4123">
        <v>5936.0107423100008</v>
      </c>
      <c r="F254" s="4123">
        <v>39230.317624035015</v>
      </c>
      <c r="G254" s="4123">
        <v>19857.142593507997</v>
      </c>
      <c r="H254" s="4123">
        <v>19373.175030527018</v>
      </c>
      <c r="I254" s="4123">
        <v>31825.028477867992</v>
      </c>
      <c r="J254" s="4123">
        <v>30497.389782447994</v>
      </c>
      <c r="K254" s="4123">
        <v>1327.63869542</v>
      </c>
      <c r="M254" s="171"/>
    </row>
    <row r="255" spans="2:13" ht="13.5" customHeight="1">
      <c r="B255" s="4102" t="s">
        <v>148</v>
      </c>
      <c r="C255" s="4092">
        <v>76148.606929818023</v>
      </c>
      <c r="D255" s="4123">
        <v>44428.807267660013</v>
      </c>
      <c r="E255" s="4123">
        <v>6587.1604448499993</v>
      </c>
      <c r="F255" s="4123">
        <v>37841.646822810013</v>
      </c>
      <c r="G255" s="4123">
        <v>18793.172470362999</v>
      </c>
      <c r="H255" s="4123">
        <v>19048.474352447014</v>
      </c>
      <c r="I255" s="4123">
        <v>31719.799662158002</v>
      </c>
      <c r="J255" s="4123">
        <v>30456.388030658003</v>
      </c>
      <c r="K255" s="4123">
        <v>1263.4116315000003</v>
      </c>
      <c r="M255" s="171"/>
    </row>
    <row r="256" spans="2:13" ht="13.5" customHeight="1">
      <c r="B256" s="4126">
        <v>2016</v>
      </c>
      <c r="C256" s="4092"/>
      <c r="D256" s="4123"/>
      <c r="E256" s="4123"/>
      <c r="F256" s="4123"/>
      <c r="G256" s="4123"/>
      <c r="H256" s="4123"/>
      <c r="I256" s="4123"/>
      <c r="J256" s="4123"/>
      <c r="K256" s="4123"/>
      <c r="M256" s="171"/>
    </row>
    <row r="257" spans="2:13" ht="13.5" customHeight="1">
      <c r="B257" s="4102" t="s">
        <v>161</v>
      </c>
      <c r="C257" s="4092">
        <v>76507.536178253999</v>
      </c>
      <c r="D257" s="4123">
        <v>44253.472430393987</v>
      </c>
      <c r="E257" s="4123">
        <v>6647.6765424000005</v>
      </c>
      <c r="F257" s="4123">
        <v>37605.795887993983</v>
      </c>
      <c r="G257" s="4123">
        <v>18882.574022195</v>
      </c>
      <c r="H257" s="4123">
        <v>18723.221865798987</v>
      </c>
      <c r="I257" s="4123">
        <v>32254.063747860004</v>
      </c>
      <c r="J257" s="4123">
        <v>30879.194546150004</v>
      </c>
      <c r="K257" s="4123">
        <v>1374.8692017100002</v>
      </c>
      <c r="M257" s="171"/>
    </row>
    <row r="258" spans="2:13" ht="13.5" customHeight="1">
      <c r="B258" s="4285" t="s">
        <v>162</v>
      </c>
      <c r="C258" s="4286">
        <v>77571.123851819008</v>
      </c>
      <c r="D258" s="4287">
        <v>45114.393079311005</v>
      </c>
      <c r="E258" s="4287">
        <v>6610.1923321199993</v>
      </c>
      <c r="F258" s="4287">
        <v>38504.200747191004</v>
      </c>
      <c r="G258" s="4287">
        <v>19962.37648712</v>
      </c>
      <c r="H258" s="4287">
        <v>18541.824260071004</v>
      </c>
      <c r="I258" s="4287">
        <v>32456.730772507999</v>
      </c>
      <c r="J258" s="4287">
        <v>31844.856639758</v>
      </c>
      <c r="K258" s="4287">
        <v>611.87413275000006</v>
      </c>
      <c r="M258" s="171"/>
    </row>
    <row r="259" spans="2:13" ht="13.5" customHeight="1">
      <c r="B259" s="4548" t="s">
        <v>1747</v>
      </c>
      <c r="C259" s="4548"/>
      <c r="D259" s="4548"/>
      <c r="E259" s="4548"/>
      <c r="F259" s="4548"/>
      <c r="G259" s="4548"/>
      <c r="H259" s="4548"/>
      <c r="I259" s="4548"/>
      <c r="J259" s="4548"/>
      <c r="K259" s="4548"/>
    </row>
    <row r="260" spans="2:13" ht="13.5" customHeight="1">
      <c r="B260" s="4548"/>
      <c r="C260" s="4548"/>
      <c r="D260" s="4548"/>
      <c r="E260" s="4548"/>
      <c r="F260" s="4548"/>
      <c r="G260" s="4548"/>
      <c r="H260" s="4548"/>
      <c r="I260" s="4548"/>
      <c r="J260" s="4548"/>
      <c r="K260" s="4548"/>
    </row>
  </sheetData>
  <mergeCells count="18">
    <mergeCell ref="Q4:T4"/>
    <mergeCell ref="C4:C7"/>
    <mergeCell ref="F6:H6"/>
    <mergeCell ref="C8:K8"/>
    <mergeCell ref="P29:S29"/>
    <mergeCell ref="B259:K260"/>
    <mergeCell ref="B1:K1"/>
    <mergeCell ref="J2:K2"/>
    <mergeCell ref="C3:K3"/>
    <mergeCell ref="B3:B7"/>
    <mergeCell ref="D5:D7"/>
    <mergeCell ref="E6:E7"/>
    <mergeCell ref="E5:H5"/>
    <mergeCell ref="I4:K4"/>
    <mergeCell ref="D4:H4"/>
    <mergeCell ref="I5:I7"/>
    <mergeCell ref="J5:J7"/>
    <mergeCell ref="K5:K7"/>
  </mergeCells>
  <phoneticPr fontId="0" type="noConversion"/>
  <pageMargins left="0.7" right="0.7" top="0.75" bottom="0.75" header="0.3" footer="0.3"/>
  <pageSetup paperSize="9" scale="70" orientation="portrait" horizontalDpi="300" verticalDpi="300"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sheetPr codeName="Sheet24" enableFormatConditionsCalculation="0"/>
  <dimension ref="A1:Z259"/>
  <sheetViews>
    <sheetView zoomScale="70" zoomScaleNormal="70" zoomScaleSheetLayoutView="70" workbookViewId="0">
      <pane xSplit="1" ySplit="8" topLeftCell="B249" activePane="bottomRight" state="frozen"/>
      <selection activeCell="K31" sqref="K31"/>
      <selection pane="topRight" activeCell="K31" sqref="K31"/>
      <selection pane="bottomLeft" activeCell="K31" sqref="K31"/>
      <selection pane="bottomRight" activeCell="N259" sqref="N259"/>
    </sheetView>
  </sheetViews>
  <sheetFormatPr defaultRowHeight="15"/>
  <cols>
    <col min="1" max="1" width="9.140625" style="36" customWidth="1"/>
    <col min="2" max="2" width="8.28515625" style="1614" customWidth="1"/>
    <col min="3" max="3" width="13.28515625" style="1614" customWidth="1"/>
    <col min="4" max="4" width="11.5703125" style="1614" customWidth="1"/>
    <col min="5" max="5" width="10.85546875" style="1614" customWidth="1"/>
    <col min="6" max="6" width="11.7109375" style="1614" customWidth="1"/>
    <col min="7" max="7" width="11.28515625" style="33" customWidth="1"/>
    <col min="8" max="8" width="15.7109375" style="1614" customWidth="1"/>
    <col min="9" max="9" width="12.42578125" style="1614" customWidth="1"/>
    <col min="10" max="10" width="11.42578125" style="33" customWidth="1"/>
    <col min="11" max="11" width="11.140625" style="1614" customWidth="1"/>
    <col min="12" max="12" width="12" style="2573" customWidth="1"/>
    <col min="13" max="13" width="9.140625" style="1614" customWidth="1"/>
    <col min="14" max="14" width="9.140625" style="1614"/>
    <col min="15" max="15" width="4.85546875" style="1614" customWidth="1"/>
    <col min="16" max="16" width="4" style="1614" bestFit="1" customWidth="1"/>
    <col min="17" max="18" width="9.28515625" style="1614" bestFit="1" customWidth="1"/>
    <col min="19" max="20" width="9.140625" style="1614"/>
    <col min="21" max="21" width="13.42578125" style="1614" customWidth="1"/>
    <col min="22" max="16384" width="9.140625" style="1614"/>
  </cols>
  <sheetData>
    <row r="1" spans="1:18" ht="18">
      <c r="B1" s="4562" t="s">
        <v>2073</v>
      </c>
      <c r="C1" s="4562"/>
      <c r="D1" s="4562"/>
      <c r="E1" s="4562"/>
      <c r="F1" s="4562"/>
      <c r="G1" s="4562"/>
      <c r="H1" s="4562"/>
      <c r="I1" s="4562"/>
      <c r="J1" s="4562"/>
      <c r="K1" s="4562"/>
      <c r="L1" s="1404"/>
    </row>
    <row r="2" spans="1:18" ht="12.75" customHeight="1">
      <c r="B2" s="1403"/>
      <c r="C2" s="1403"/>
      <c r="D2" s="1403"/>
      <c r="E2" s="1403"/>
      <c r="F2" s="1403"/>
      <c r="G2" s="157"/>
      <c r="H2" s="1403"/>
      <c r="I2" s="1403"/>
      <c r="J2" s="4563"/>
      <c r="K2" s="4563"/>
      <c r="L2" s="2186"/>
    </row>
    <row r="3" spans="1:18" ht="15.75" customHeight="1">
      <c r="B3" s="4567" t="s">
        <v>217</v>
      </c>
      <c r="C3" s="4570" t="s">
        <v>220</v>
      </c>
      <c r="D3" s="4571"/>
      <c r="E3" s="4571"/>
      <c r="F3" s="4571"/>
      <c r="G3" s="4571"/>
      <c r="H3" s="4571"/>
      <c r="I3" s="4571"/>
      <c r="J3" s="4571"/>
      <c r="K3" s="4572"/>
      <c r="L3" s="2735"/>
    </row>
    <row r="4" spans="1:18" ht="15.75" customHeight="1">
      <c r="B4" s="4568"/>
      <c r="C4" s="4567" t="s">
        <v>152</v>
      </c>
      <c r="D4" s="4567" t="s">
        <v>223</v>
      </c>
      <c r="E4" s="4570" t="s">
        <v>222</v>
      </c>
      <c r="F4" s="4571"/>
      <c r="G4" s="4571"/>
      <c r="H4" s="4571"/>
      <c r="I4" s="4571"/>
      <c r="J4" s="4571"/>
      <c r="K4" s="4572"/>
      <c r="L4" s="2735"/>
    </row>
    <row r="5" spans="1:18" ht="15.75" customHeight="1">
      <c r="B5" s="4568"/>
      <c r="C5" s="4568"/>
      <c r="D5" s="4568"/>
      <c r="E5" s="4567" t="s">
        <v>152</v>
      </c>
      <c r="F5" s="4570" t="s">
        <v>224</v>
      </c>
      <c r="G5" s="4571"/>
      <c r="H5" s="4571"/>
      <c r="I5" s="4571"/>
      <c r="J5" s="4572"/>
      <c r="K5" s="4567" t="s">
        <v>1622</v>
      </c>
      <c r="L5" s="2572"/>
    </row>
    <row r="6" spans="1:18" ht="15.75" customHeight="1">
      <c r="B6" s="4568"/>
      <c r="C6" s="4568"/>
      <c r="D6" s="4568"/>
      <c r="E6" s="4568"/>
      <c r="F6" s="4567" t="s">
        <v>152</v>
      </c>
      <c r="G6" s="4570" t="s">
        <v>225</v>
      </c>
      <c r="H6" s="4571"/>
      <c r="I6" s="4572"/>
      <c r="J6" s="4554" t="s">
        <v>409</v>
      </c>
      <c r="K6" s="4568"/>
      <c r="L6" s="2572"/>
    </row>
    <row r="7" spans="1:18" ht="47.25">
      <c r="B7" s="4569"/>
      <c r="C7" s="4569"/>
      <c r="D7" s="4569"/>
      <c r="E7" s="4569"/>
      <c r="F7" s="4569"/>
      <c r="G7" s="4128" t="s">
        <v>152</v>
      </c>
      <c r="H7" s="4129" t="s">
        <v>256</v>
      </c>
      <c r="I7" s="4129" t="s">
        <v>463</v>
      </c>
      <c r="J7" s="4556"/>
      <c r="K7" s="4569"/>
      <c r="L7" s="2572"/>
      <c r="N7" s="33"/>
      <c r="O7" s="33"/>
      <c r="P7" s="33"/>
      <c r="Q7" s="33"/>
      <c r="R7" s="33"/>
    </row>
    <row r="8" spans="1:18" s="1620" customFormat="1" ht="14.25" customHeight="1">
      <c r="A8" s="1402"/>
      <c r="B8" s="4129"/>
      <c r="C8" s="4564" t="s">
        <v>1757</v>
      </c>
      <c r="D8" s="4565"/>
      <c r="E8" s="4565"/>
      <c r="F8" s="4565"/>
      <c r="G8" s="4565"/>
      <c r="H8" s="4565"/>
      <c r="I8" s="4565"/>
      <c r="J8" s="4565"/>
      <c r="K8" s="4566"/>
      <c r="L8" s="2187"/>
      <c r="N8" s="3331"/>
      <c r="O8" s="3331"/>
      <c r="P8" s="3331"/>
      <c r="Q8" s="3331"/>
      <c r="R8" s="3331"/>
    </row>
    <row r="9" spans="1:18" s="1620" customFormat="1" ht="15.75" hidden="1" customHeight="1">
      <c r="A9" s="1402"/>
      <c r="B9" s="4130">
        <v>1997</v>
      </c>
      <c r="C9" s="4131"/>
      <c r="D9" s="4132"/>
      <c r="E9" s="4132"/>
      <c r="F9" s="4132"/>
      <c r="G9" s="4089"/>
      <c r="H9" s="4132"/>
      <c r="I9" s="4132"/>
      <c r="J9" s="4089"/>
      <c r="K9" s="4133"/>
      <c r="L9" s="2188"/>
      <c r="N9" s="3481"/>
      <c r="O9" s="3331"/>
      <c r="P9" s="3331"/>
      <c r="Q9" s="3331"/>
      <c r="R9" s="3331"/>
    </row>
    <row r="10" spans="1:18" s="1620" customFormat="1" ht="15.75" hidden="1" customHeight="1">
      <c r="A10" s="1402"/>
      <c r="B10" s="4134" t="s">
        <v>161</v>
      </c>
      <c r="C10" s="4135">
        <f t="shared" ref="C10:C21" si="0">D10+E10</f>
        <v>4119.5</v>
      </c>
      <c r="D10" s="4132">
        <v>6088.14</v>
      </c>
      <c r="E10" s="4136">
        <f t="shared" ref="E10:E21" si="1">F10-K10</f>
        <v>-1968.6400000000003</v>
      </c>
      <c r="F10" s="4136">
        <f t="shared" ref="F10:F21" si="2">J10+G10</f>
        <v>1381.6</v>
      </c>
      <c r="G10" s="4081">
        <f t="shared" ref="G10:G21" si="3">H10+I10</f>
        <v>88.110000000000014</v>
      </c>
      <c r="H10" s="4137">
        <v>-393.03</v>
      </c>
      <c r="I10" s="4138">
        <v>481.14</v>
      </c>
      <c r="J10" s="4089">
        <f>1082.04+211.45</f>
        <v>1293.49</v>
      </c>
      <c r="K10" s="4133">
        <f>3021.34+372.4-43.5</f>
        <v>3350.2400000000002</v>
      </c>
      <c r="L10" s="2188"/>
      <c r="N10" s="3481"/>
      <c r="O10" s="3331"/>
      <c r="P10" s="3331"/>
      <c r="Q10" s="3331"/>
      <c r="R10" s="3331"/>
    </row>
    <row r="11" spans="1:18" s="1620" customFormat="1" ht="15.75" hidden="1" customHeight="1">
      <c r="A11" s="1402"/>
      <c r="B11" s="4134" t="s">
        <v>162</v>
      </c>
      <c r="C11" s="4135">
        <f t="shared" si="0"/>
        <v>4224.49</v>
      </c>
      <c r="D11" s="4132">
        <v>6232.79</v>
      </c>
      <c r="E11" s="4136">
        <f t="shared" si="1"/>
        <v>-2008.3000000000002</v>
      </c>
      <c r="F11" s="4136">
        <f t="shared" si="2"/>
        <v>1378.73</v>
      </c>
      <c r="G11" s="4081">
        <f t="shared" si="3"/>
        <v>78.5</v>
      </c>
      <c r="H11" s="4137">
        <v>-402.64</v>
      </c>
      <c r="I11" s="4138">
        <v>481.14</v>
      </c>
      <c r="J11" s="4089">
        <f>1086.47+213.76</f>
        <v>1300.23</v>
      </c>
      <c r="K11" s="4133">
        <f>3037.65+392.88-43.5</f>
        <v>3387.03</v>
      </c>
      <c r="L11" s="2188"/>
      <c r="N11" s="3481"/>
      <c r="O11" s="3331"/>
      <c r="P11" s="3331"/>
      <c r="Q11" s="3331"/>
      <c r="R11" s="3331"/>
    </row>
    <row r="12" spans="1:18" s="1620" customFormat="1" ht="15.75" hidden="1" customHeight="1">
      <c r="A12" s="1402"/>
      <c r="B12" s="4134" t="s">
        <v>163</v>
      </c>
      <c r="C12" s="4135">
        <f t="shared" si="0"/>
        <v>4253.5</v>
      </c>
      <c r="D12" s="4132">
        <v>6033.01</v>
      </c>
      <c r="E12" s="4136">
        <f t="shared" si="1"/>
        <v>-1779.5100000000002</v>
      </c>
      <c r="F12" s="4136">
        <f t="shared" si="2"/>
        <v>1542.17</v>
      </c>
      <c r="G12" s="4081">
        <f t="shared" si="3"/>
        <v>138.36000000000001</v>
      </c>
      <c r="H12" s="4137">
        <v>-345.71</v>
      </c>
      <c r="I12" s="4138">
        <v>484.07</v>
      </c>
      <c r="J12" s="4089">
        <f>1195.19+208.62</f>
        <v>1403.81</v>
      </c>
      <c r="K12" s="4133">
        <f>3041.03+294.15-13.5</f>
        <v>3321.6800000000003</v>
      </c>
      <c r="L12" s="2188"/>
      <c r="N12" s="3481"/>
      <c r="O12" s="3331"/>
      <c r="P12" s="3331"/>
      <c r="Q12" s="3331"/>
      <c r="R12" s="3331"/>
    </row>
    <row r="13" spans="1:18" s="1620" customFormat="1" ht="15.75" hidden="1" customHeight="1">
      <c r="A13" s="1402"/>
      <c r="B13" s="4134" t="s">
        <v>164</v>
      </c>
      <c r="C13" s="4135">
        <f t="shared" si="0"/>
        <v>3971</v>
      </c>
      <c r="D13" s="4132">
        <v>6255.67</v>
      </c>
      <c r="E13" s="4136">
        <f t="shared" si="1"/>
        <v>-2284.67</v>
      </c>
      <c r="F13" s="4136">
        <f t="shared" si="2"/>
        <v>1473.8899999999999</v>
      </c>
      <c r="G13" s="4081">
        <f t="shared" si="3"/>
        <v>174.32</v>
      </c>
      <c r="H13" s="4137">
        <v>-310</v>
      </c>
      <c r="I13" s="4138">
        <v>484.32</v>
      </c>
      <c r="J13" s="4089">
        <f>1083.11+216.46</f>
        <v>1299.57</v>
      </c>
      <c r="K13" s="4133">
        <f>3474.5+289.06-5</f>
        <v>3758.56</v>
      </c>
      <c r="L13" s="2188"/>
      <c r="N13" s="3481"/>
      <c r="O13" s="3331"/>
      <c r="P13" s="3331"/>
      <c r="Q13" s="3331"/>
      <c r="R13" s="3331"/>
    </row>
    <row r="14" spans="1:18" s="1620" customFormat="1" ht="12.75" hidden="1" customHeight="1">
      <c r="A14" s="1402"/>
      <c r="B14" s="4134" t="s">
        <v>165</v>
      </c>
      <c r="C14" s="4135">
        <f t="shared" si="0"/>
        <v>4201.9699999999993</v>
      </c>
      <c r="D14" s="4132">
        <v>6089.69</v>
      </c>
      <c r="E14" s="4136">
        <f t="shared" si="1"/>
        <v>-1887.7200000000003</v>
      </c>
      <c r="F14" s="4136">
        <f t="shared" si="2"/>
        <v>1513.8199999999997</v>
      </c>
      <c r="G14" s="4081">
        <f t="shared" si="3"/>
        <v>211.38</v>
      </c>
      <c r="H14" s="4137">
        <v>-273.08</v>
      </c>
      <c r="I14" s="4138">
        <v>484.46</v>
      </c>
      <c r="J14" s="4089">
        <f>1085.11+217.33</f>
        <v>1302.4399999999998</v>
      </c>
      <c r="K14" s="4133">
        <f>3179.69+226.85-5</f>
        <v>3401.54</v>
      </c>
      <c r="L14" s="2188"/>
      <c r="N14" s="3481"/>
      <c r="O14" s="3331"/>
      <c r="P14" s="3331"/>
      <c r="Q14" s="3331"/>
      <c r="R14" s="3331"/>
    </row>
    <row r="15" spans="1:18" s="1620" customFormat="1" ht="12.75" hidden="1" customHeight="1">
      <c r="A15" s="1402"/>
      <c r="B15" s="4134" t="s">
        <v>166</v>
      </c>
      <c r="C15" s="4135">
        <f t="shared" si="0"/>
        <v>4277.6499999999996</v>
      </c>
      <c r="D15" s="4132">
        <v>6233.16</v>
      </c>
      <c r="E15" s="4136">
        <f t="shared" si="1"/>
        <v>-1955.5099999999998</v>
      </c>
      <c r="F15" s="4136">
        <f t="shared" si="2"/>
        <v>1529.98</v>
      </c>
      <c r="G15" s="4081">
        <f t="shared" si="3"/>
        <v>219.16000000000003</v>
      </c>
      <c r="H15" s="4137">
        <v>-277.89999999999998</v>
      </c>
      <c r="I15" s="4138">
        <v>497.06</v>
      </c>
      <c r="J15" s="4089">
        <f>1097.06+213.76</f>
        <v>1310.82</v>
      </c>
      <c r="K15" s="4133">
        <f>3250.77+239.72-5</f>
        <v>3485.49</v>
      </c>
      <c r="L15" s="2188"/>
      <c r="N15" s="3481"/>
      <c r="O15" s="3331"/>
      <c r="P15" s="3331"/>
      <c r="Q15" s="3331"/>
      <c r="R15" s="3331"/>
    </row>
    <row r="16" spans="1:18" s="1620" customFormat="1" ht="15.75" hidden="1" customHeight="1">
      <c r="A16" s="1402"/>
      <c r="B16" s="4134" t="s">
        <v>167</v>
      </c>
      <c r="C16" s="4135">
        <f t="shared" si="0"/>
        <v>4479.1400000000003</v>
      </c>
      <c r="D16" s="4132">
        <v>6079.93</v>
      </c>
      <c r="E16" s="4136">
        <f t="shared" si="1"/>
        <v>-1600.7899999999997</v>
      </c>
      <c r="F16" s="4136">
        <f t="shared" si="2"/>
        <v>1689.18</v>
      </c>
      <c r="G16" s="4081">
        <f t="shared" si="3"/>
        <v>369.71000000000004</v>
      </c>
      <c r="H16" s="4137">
        <v>-92.34</v>
      </c>
      <c r="I16" s="4138">
        <v>462.05</v>
      </c>
      <c r="J16" s="4089">
        <f>1113.76+205.71</f>
        <v>1319.47</v>
      </c>
      <c r="K16" s="4133">
        <f>3018.27+276.7-5</f>
        <v>3289.97</v>
      </c>
      <c r="L16" s="2188"/>
      <c r="N16" s="3481"/>
      <c r="O16" s="3331"/>
      <c r="P16" s="3331"/>
      <c r="Q16" s="3331"/>
      <c r="R16" s="3331"/>
    </row>
    <row r="17" spans="1:18" s="1620" customFormat="1" ht="15.75" hidden="1" customHeight="1">
      <c r="A17" s="1402"/>
      <c r="B17" s="4134" t="s">
        <v>168</v>
      </c>
      <c r="C17" s="4135">
        <f t="shared" si="0"/>
        <v>4851.6099999999988</v>
      </c>
      <c r="D17" s="4132">
        <v>5984.15</v>
      </c>
      <c r="E17" s="4136">
        <f t="shared" si="1"/>
        <v>-1132.5400000000004</v>
      </c>
      <c r="F17" s="4136">
        <f t="shared" si="2"/>
        <v>1818.02</v>
      </c>
      <c r="G17" s="4081">
        <f t="shared" si="3"/>
        <v>477.08</v>
      </c>
      <c r="H17" s="4137">
        <v>9.9499999999999993</v>
      </c>
      <c r="I17" s="4138">
        <v>467.13</v>
      </c>
      <c r="J17" s="4089">
        <f>1127.47+213.47</f>
        <v>1340.94</v>
      </c>
      <c r="K17" s="4133">
        <f>2763.82+191.74-5</f>
        <v>2950.5600000000004</v>
      </c>
      <c r="L17" s="2188"/>
      <c r="N17" s="3481"/>
      <c r="O17" s="3331"/>
      <c r="P17" s="3331"/>
      <c r="Q17" s="3331"/>
      <c r="R17" s="3331"/>
    </row>
    <row r="18" spans="1:18" s="1620" customFormat="1" ht="15.75" hidden="1" customHeight="1">
      <c r="A18" s="1402"/>
      <c r="B18" s="4134" t="s">
        <v>169</v>
      </c>
      <c r="C18" s="4135">
        <f t="shared" si="0"/>
        <v>5304.53</v>
      </c>
      <c r="D18" s="4132">
        <v>6287.39</v>
      </c>
      <c r="E18" s="4136">
        <f t="shared" si="1"/>
        <v>-982.86000000000035</v>
      </c>
      <c r="F18" s="4136">
        <f t="shared" si="2"/>
        <v>1942.45</v>
      </c>
      <c r="G18" s="4081">
        <f t="shared" si="3"/>
        <v>521.69000000000005</v>
      </c>
      <c r="H18" s="4137">
        <v>43.63</v>
      </c>
      <c r="I18" s="4138">
        <v>478.06</v>
      </c>
      <c r="J18" s="4089">
        <f>1201.6+219.16</f>
        <v>1420.76</v>
      </c>
      <c r="K18" s="4133">
        <f>2757.78+172.53-5</f>
        <v>2925.3100000000004</v>
      </c>
      <c r="L18" s="2188"/>
      <c r="N18" s="3481"/>
      <c r="O18" s="3331"/>
      <c r="P18" s="3331"/>
      <c r="Q18" s="3331"/>
      <c r="R18" s="3331"/>
    </row>
    <row r="19" spans="1:18" s="1620" customFormat="1" ht="13.5" hidden="1" customHeight="1">
      <c r="A19" s="1402"/>
      <c r="B19" s="4134" t="s">
        <v>170</v>
      </c>
      <c r="C19" s="4135">
        <f t="shared" si="0"/>
        <v>5283.3899999999994</v>
      </c>
      <c r="D19" s="4132">
        <v>6635.53</v>
      </c>
      <c r="E19" s="4136">
        <f t="shared" si="1"/>
        <v>-1352.14</v>
      </c>
      <c r="F19" s="4136">
        <f t="shared" si="2"/>
        <v>1924.9199999999998</v>
      </c>
      <c r="G19" s="4081">
        <f t="shared" si="3"/>
        <v>481.07</v>
      </c>
      <c r="H19" s="4137">
        <v>11.94</v>
      </c>
      <c r="I19" s="4138">
        <v>469.13</v>
      </c>
      <c r="J19" s="4089">
        <f>1230.97+212.88</f>
        <v>1443.85</v>
      </c>
      <c r="K19" s="4133">
        <f>3274.07+7.99-5</f>
        <v>3277.06</v>
      </c>
      <c r="L19" s="2188"/>
      <c r="N19" s="3481"/>
      <c r="O19" s="3331"/>
      <c r="P19" s="3331"/>
      <c r="Q19" s="3331"/>
      <c r="R19" s="3331"/>
    </row>
    <row r="20" spans="1:18" s="1620" customFormat="1" ht="15.75" hidden="1" customHeight="1">
      <c r="A20" s="1402"/>
      <c r="B20" s="4134" t="s">
        <v>171</v>
      </c>
      <c r="C20" s="4135">
        <f t="shared" si="0"/>
        <v>5561.0499999999993</v>
      </c>
      <c r="D20" s="4132">
        <v>6397.98</v>
      </c>
      <c r="E20" s="4136">
        <f t="shared" si="1"/>
        <v>-836.93000000000029</v>
      </c>
      <c r="F20" s="4136">
        <f t="shared" si="2"/>
        <v>2529.17</v>
      </c>
      <c r="G20" s="4081">
        <f t="shared" si="3"/>
        <v>1026.81</v>
      </c>
      <c r="H20" s="4137">
        <v>557.79999999999995</v>
      </c>
      <c r="I20" s="4138">
        <v>469.01</v>
      </c>
      <c r="J20" s="4089">
        <f>1279.24+223.12</f>
        <v>1502.3600000000001</v>
      </c>
      <c r="K20" s="4133">
        <f>3367.59+3.51-5</f>
        <v>3366.1000000000004</v>
      </c>
      <c r="L20" s="2188"/>
      <c r="N20" s="3481"/>
      <c r="O20" s="3331"/>
      <c r="P20" s="3331"/>
      <c r="Q20" s="3331"/>
      <c r="R20" s="3331"/>
    </row>
    <row r="21" spans="1:18" s="1620" customFormat="1" hidden="1">
      <c r="A21" s="1402"/>
      <c r="B21" s="4139" t="s">
        <v>148</v>
      </c>
      <c r="C21" s="4135">
        <f t="shared" si="0"/>
        <v>5652.16</v>
      </c>
      <c r="D21" s="4132">
        <v>7341.81</v>
      </c>
      <c r="E21" s="4136">
        <f t="shared" si="1"/>
        <v>-1689.6500000000003</v>
      </c>
      <c r="F21" s="4136">
        <f t="shared" si="2"/>
        <v>1939.76</v>
      </c>
      <c r="G21" s="4081">
        <f t="shared" si="3"/>
        <v>463.73999999999995</v>
      </c>
      <c r="H21" s="4140">
        <v>14.65</v>
      </c>
      <c r="I21" s="4141">
        <v>449.09</v>
      </c>
      <c r="J21" s="4089">
        <f>1252.26+223.76</f>
        <v>1476.02</v>
      </c>
      <c r="K21" s="4133">
        <f>3623.82+10.59-5</f>
        <v>3629.4100000000003</v>
      </c>
      <c r="L21" s="2188"/>
      <c r="N21" s="3481"/>
      <c r="O21" s="3331"/>
      <c r="P21" s="3331"/>
      <c r="Q21" s="3331"/>
      <c r="R21" s="3331"/>
    </row>
    <row r="22" spans="1:18" s="1620" customFormat="1" ht="14.25" hidden="1" customHeight="1">
      <c r="A22" s="1402"/>
      <c r="B22" s="4130">
        <v>1998</v>
      </c>
      <c r="C22" s="4142"/>
      <c r="D22" s="4132"/>
      <c r="E22" s="4136"/>
      <c r="F22" s="4136"/>
      <c r="G22" s="4081"/>
      <c r="H22" s="4132"/>
      <c r="I22" s="4132"/>
      <c r="J22" s="4089"/>
      <c r="K22" s="4143"/>
      <c r="L22" s="2188"/>
      <c r="N22" s="3481"/>
      <c r="O22" s="3331"/>
      <c r="P22" s="3331"/>
      <c r="Q22" s="3331"/>
      <c r="R22" s="3331"/>
    </row>
    <row r="23" spans="1:18" s="1620" customFormat="1" ht="15.75" hidden="1" customHeight="1">
      <c r="A23" s="1402"/>
      <c r="B23" s="4134" t="s">
        <v>161</v>
      </c>
      <c r="C23" s="4142">
        <f t="shared" ref="C23:C34" si="4">D23+E23</f>
        <v>5597.08</v>
      </c>
      <c r="D23" s="4132">
        <v>7295.33</v>
      </c>
      <c r="E23" s="4136">
        <f t="shared" ref="E23:E34" si="5">F23-K23</f>
        <v>-1698.2500000000002</v>
      </c>
      <c r="F23" s="4136">
        <f t="shared" ref="F23:F33" si="6">J23+G23</f>
        <v>1779.95</v>
      </c>
      <c r="G23" s="4081">
        <f t="shared" ref="G23:G34" si="7">H23+I23</f>
        <v>223.76999999999998</v>
      </c>
      <c r="H23" s="4137">
        <v>-225.37</v>
      </c>
      <c r="I23" s="4137">
        <v>449.14</v>
      </c>
      <c r="J23" s="4089">
        <f>1279.21+276.97</f>
        <v>1556.18</v>
      </c>
      <c r="K23" s="4143">
        <f>3465.78+17.42-5</f>
        <v>3478.2000000000003</v>
      </c>
      <c r="L23" s="2188"/>
      <c r="N23" s="3481"/>
      <c r="O23" s="3331"/>
      <c r="P23" s="3331"/>
      <c r="Q23" s="3331"/>
      <c r="R23" s="3331"/>
    </row>
    <row r="24" spans="1:18" s="1620" customFormat="1" ht="15.75" hidden="1" customHeight="1">
      <c r="A24" s="1402"/>
      <c r="B24" s="4134" t="s">
        <v>162</v>
      </c>
      <c r="C24" s="4142">
        <f t="shared" si="4"/>
        <v>5533.3099999999995</v>
      </c>
      <c r="D24" s="4132">
        <v>7586.65</v>
      </c>
      <c r="E24" s="4136">
        <f t="shared" si="5"/>
        <v>-2053.34</v>
      </c>
      <c r="F24" s="4136">
        <f t="shared" si="6"/>
        <v>1920.06</v>
      </c>
      <c r="G24" s="4081">
        <f t="shared" si="7"/>
        <v>343.25</v>
      </c>
      <c r="H24" s="4137">
        <v>-105.89</v>
      </c>
      <c r="I24" s="4137">
        <v>449.14</v>
      </c>
      <c r="J24" s="4089">
        <f>1299.84+276.97</f>
        <v>1576.81</v>
      </c>
      <c r="K24" s="4143">
        <f>3950.55+27.85-5</f>
        <v>3973.4</v>
      </c>
      <c r="L24" s="2188"/>
      <c r="N24" s="3481"/>
      <c r="O24" s="3331"/>
      <c r="P24" s="3331"/>
      <c r="Q24" s="3331"/>
      <c r="R24" s="3331"/>
    </row>
    <row r="25" spans="1:18" s="1620" customFormat="1" ht="15.75" hidden="1" customHeight="1">
      <c r="A25" s="1402"/>
      <c r="B25" s="4134" t="s">
        <v>163</v>
      </c>
      <c r="C25" s="4142">
        <f t="shared" si="4"/>
        <v>5463.2800000000007</v>
      </c>
      <c r="D25" s="4132">
        <v>7862.89</v>
      </c>
      <c r="E25" s="4136">
        <f t="shared" si="5"/>
        <v>-2399.61</v>
      </c>
      <c r="F25" s="4136">
        <f t="shared" si="6"/>
        <v>1387.1399999999999</v>
      </c>
      <c r="G25" s="4081">
        <f t="shared" si="7"/>
        <v>-209.65000000000003</v>
      </c>
      <c r="H25" s="4137">
        <v>-659.2</v>
      </c>
      <c r="I25" s="4137">
        <v>449.55</v>
      </c>
      <c r="J25" s="4089">
        <f>1310.43+286.36</f>
        <v>1596.79</v>
      </c>
      <c r="K25" s="4143">
        <f>3750.57+41.18-5</f>
        <v>3786.75</v>
      </c>
      <c r="L25" s="2188"/>
      <c r="N25" s="3481"/>
      <c r="O25" s="3331"/>
      <c r="P25" s="3331"/>
      <c r="Q25" s="3331"/>
      <c r="R25" s="3331"/>
    </row>
    <row r="26" spans="1:18" s="1620" customFormat="1" ht="15.75" hidden="1" customHeight="1">
      <c r="A26" s="1402"/>
      <c r="B26" s="4134" t="s">
        <v>164</v>
      </c>
      <c r="C26" s="4142">
        <f t="shared" si="4"/>
        <v>5615.7299999999987</v>
      </c>
      <c r="D26" s="4132">
        <v>8446.9699999999993</v>
      </c>
      <c r="E26" s="4136">
        <f t="shared" si="5"/>
        <v>-2831.2400000000007</v>
      </c>
      <c r="F26" s="4136">
        <f t="shared" si="6"/>
        <v>1171.8399999999999</v>
      </c>
      <c r="G26" s="4081">
        <f t="shared" si="7"/>
        <v>-326.96000000000004</v>
      </c>
      <c r="H26" s="4137">
        <v>-776.57</v>
      </c>
      <c r="I26" s="4137">
        <v>449.61</v>
      </c>
      <c r="J26" s="4089">
        <f>1248.77+250.03</f>
        <v>1498.8</v>
      </c>
      <c r="K26" s="4143">
        <f>3968.26+39.82-5</f>
        <v>4003.0800000000004</v>
      </c>
      <c r="L26" s="2188"/>
      <c r="N26" s="3481"/>
      <c r="O26" s="3331"/>
      <c r="P26" s="3331"/>
      <c r="Q26" s="3331"/>
      <c r="R26" s="3331"/>
    </row>
    <row r="27" spans="1:18" s="1620" customFormat="1" ht="15.75" hidden="1" customHeight="1">
      <c r="A27" s="1402"/>
      <c r="B27" s="4134" t="s">
        <v>165</v>
      </c>
      <c r="C27" s="4142">
        <f t="shared" si="4"/>
        <v>5580.91</v>
      </c>
      <c r="D27" s="4132">
        <v>8244.89</v>
      </c>
      <c r="E27" s="4136">
        <f t="shared" si="5"/>
        <v>-2663.98</v>
      </c>
      <c r="F27" s="4136">
        <f t="shared" si="6"/>
        <v>1330.79</v>
      </c>
      <c r="G27" s="4081">
        <f t="shared" si="7"/>
        <v>-118.5</v>
      </c>
      <c r="H27" s="4137">
        <v>-568.14</v>
      </c>
      <c r="I27" s="4137">
        <v>449.64</v>
      </c>
      <c r="J27" s="4089">
        <f>1240.71+208.58</f>
        <v>1449.29</v>
      </c>
      <c r="K27" s="4143">
        <f>3957.1+42.67-5</f>
        <v>3994.77</v>
      </c>
      <c r="L27" s="2188"/>
      <c r="N27" s="3481"/>
      <c r="O27" s="3331"/>
      <c r="P27" s="3331"/>
      <c r="Q27" s="3331"/>
      <c r="R27" s="3331"/>
    </row>
    <row r="28" spans="1:18" s="1620" customFormat="1" ht="15.75" hidden="1" customHeight="1">
      <c r="A28" s="1402"/>
      <c r="B28" s="4134" t="s">
        <v>166</v>
      </c>
      <c r="C28" s="4142">
        <f t="shared" si="4"/>
        <v>6063.0899999999983</v>
      </c>
      <c r="D28" s="4132">
        <v>9087.98</v>
      </c>
      <c r="E28" s="4136">
        <f t="shared" si="5"/>
        <v>-3024.8900000000008</v>
      </c>
      <c r="F28" s="4136">
        <f t="shared" si="6"/>
        <v>1240.56</v>
      </c>
      <c r="G28" s="4081">
        <f t="shared" si="7"/>
        <v>-189.14</v>
      </c>
      <c r="H28" s="4137">
        <v>-648.51</v>
      </c>
      <c r="I28" s="4137">
        <v>459.37</v>
      </c>
      <c r="J28" s="4089">
        <f>1242.14+187.56</f>
        <v>1429.7</v>
      </c>
      <c r="K28" s="4143">
        <f>4258.1+12.35-5</f>
        <v>4265.4500000000007</v>
      </c>
      <c r="L28" s="2188"/>
      <c r="N28" s="3481"/>
      <c r="O28" s="3331"/>
      <c r="P28" s="3331"/>
      <c r="Q28" s="3331"/>
      <c r="R28" s="3331"/>
    </row>
    <row r="29" spans="1:18" s="1620" customFormat="1" ht="15.75" hidden="1" customHeight="1">
      <c r="A29" s="1402"/>
      <c r="B29" s="4134" t="s">
        <v>167</v>
      </c>
      <c r="C29" s="4142">
        <f t="shared" si="4"/>
        <v>5945.4000000000005</v>
      </c>
      <c r="D29" s="4132">
        <v>9443.61</v>
      </c>
      <c r="E29" s="4136">
        <f t="shared" si="5"/>
        <v>-3498.21</v>
      </c>
      <c r="F29" s="4136">
        <f t="shared" si="6"/>
        <v>955.67000000000007</v>
      </c>
      <c r="G29" s="4081">
        <f t="shared" si="7"/>
        <v>-500.88999999999993</v>
      </c>
      <c r="H29" s="4137">
        <v>-930.56</v>
      </c>
      <c r="I29" s="4137">
        <v>429.67</v>
      </c>
      <c r="J29" s="4089">
        <f>1243.93+212.63</f>
        <v>1456.56</v>
      </c>
      <c r="K29" s="4143">
        <f>4429.56+29.32-5</f>
        <v>4453.88</v>
      </c>
      <c r="L29" s="2188"/>
      <c r="N29" s="3481"/>
      <c r="O29" s="3331"/>
      <c r="P29" s="3331"/>
      <c r="Q29" s="3331"/>
      <c r="R29" s="3331"/>
    </row>
    <row r="30" spans="1:18" s="1620" customFormat="1" ht="15.75" hidden="1" customHeight="1">
      <c r="A30" s="1402"/>
      <c r="B30" s="4134" t="s">
        <v>168</v>
      </c>
      <c r="C30" s="4142">
        <f t="shared" si="4"/>
        <v>6254.2599999999993</v>
      </c>
      <c r="D30" s="4132">
        <v>9962.2099999999991</v>
      </c>
      <c r="E30" s="4136">
        <f t="shared" si="5"/>
        <v>-3707.95</v>
      </c>
      <c r="F30" s="4136">
        <f t="shared" si="6"/>
        <v>790.18000000000018</v>
      </c>
      <c r="G30" s="4081">
        <f t="shared" si="7"/>
        <v>-656.89</v>
      </c>
      <c r="H30" s="4137">
        <v>-1087.5</v>
      </c>
      <c r="I30" s="4137">
        <v>430.61</v>
      </c>
      <c r="J30" s="4089">
        <f>1263.18+183.89</f>
        <v>1447.0700000000002</v>
      </c>
      <c r="K30" s="4143">
        <f>4488.67+14.46-5</f>
        <v>4498.13</v>
      </c>
      <c r="L30" s="2188"/>
      <c r="N30" s="3481"/>
      <c r="O30" s="3331"/>
      <c r="P30" s="3331"/>
      <c r="Q30" s="3331"/>
      <c r="R30" s="3331"/>
    </row>
    <row r="31" spans="1:18" s="1620" customFormat="1" ht="15.75" hidden="1" customHeight="1">
      <c r="A31" s="1402"/>
      <c r="B31" s="4134" t="s">
        <v>169</v>
      </c>
      <c r="C31" s="4142">
        <f t="shared" si="4"/>
        <v>6510.6699999999992</v>
      </c>
      <c r="D31" s="4132">
        <v>9997.64</v>
      </c>
      <c r="E31" s="4136">
        <f t="shared" si="5"/>
        <v>-3486.9700000000003</v>
      </c>
      <c r="F31" s="4136">
        <f t="shared" si="6"/>
        <v>652.64999999999986</v>
      </c>
      <c r="G31" s="4081">
        <f t="shared" si="7"/>
        <v>-786.68000000000006</v>
      </c>
      <c r="H31" s="4137">
        <v>-1227.46</v>
      </c>
      <c r="I31" s="4137">
        <v>440.78</v>
      </c>
      <c r="J31" s="4089">
        <f>1256.55+182.78</f>
        <v>1439.33</v>
      </c>
      <c r="K31" s="4143">
        <f>4083.05+59.57-3</f>
        <v>4139.62</v>
      </c>
      <c r="L31" s="2188"/>
      <c r="N31" s="3481"/>
      <c r="O31" s="3331"/>
      <c r="P31" s="3331"/>
      <c r="Q31" s="3331"/>
      <c r="R31" s="3331"/>
    </row>
    <row r="32" spans="1:18" s="1620" customFormat="1" ht="15.75" hidden="1" customHeight="1">
      <c r="A32" s="1402"/>
      <c r="B32" s="4134" t="s">
        <v>170</v>
      </c>
      <c r="C32" s="4142">
        <f t="shared" si="4"/>
        <v>7030.07</v>
      </c>
      <c r="D32" s="4132">
        <v>11713.33</v>
      </c>
      <c r="E32" s="4136">
        <f t="shared" si="5"/>
        <v>-4683.26</v>
      </c>
      <c r="F32" s="4136">
        <f t="shared" si="6"/>
        <v>701.43999999999983</v>
      </c>
      <c r="G32" s="4081">
        <f t="shared" si="7"/>
        <v>-721.56000000000017</v>
      </c>
      <c r="H32" s="4137">
        <v>-1153.4000000000001</v>
      </c>
      <c r="I32" s="4137">
        <v>431.84</v>
      </c>
      <c r="J32" s="4089">
        <f>1233.89+189.11</f>
        <v>1423</v>
      </c>
      <c r="K32" s="4143">
        <f>5328.13+59.57-3</f>
        <v>5384.7</v>
      </c>
      <c r="L32" s="2188"/>
      <c r="N32" s="3481"/>
      <c r="O32" s="3331"/>
      <c r="P32" s="3331"/>
      <c r="Q32" s="3331"/>
      <c r="R32" s="3331"/>
    </row>
    <row r="33" spans="1:21" s="1620" customFormat="1" ht="15.75" hidden="1" customHeight="1">
      <c r="A33" s="1402"/>
      <c r="B33" s="4134" t="s">
        <v>171</v>
      </c>
      <c r="C33" s="4142">
        <f t="shared" si="4"/>
        <v>6870.2199999999993</v>
      </c>
      <c r="D33" s="4132">
        <v>11346.97</v>
      </c>
      <c r="E33" s="4136">
        <f t="shared" si="5"/>
        <v>-4476.75</v>
      </c>
      <c r="F33" s="4136">
        <f t="shared" si="6"/>
        <v>405.86999999999989</v>
      </c>
      <c r="G33" s="4081">
        <f t="shared" si="7"/>
        <v>-1027.3100000000002</v>
      </c>
      <c r="H33" s="4137">
        <v>-1458.89</v>
      </c>
      <c r="I33" s="4137">
        <v>431.58</v>
      </c>
      <c r="J33" s="4089">
        <f>1266.52+166.66</f>
        <v>1433.18</v>
      </c>
      <c r="K33" s="4143">
        <f>4770.84+114.78-3</f>
        <v>4882.62</v>
      </c>
      <c r="L33" s="2188"/>
      <c r="N33" s="3481"/>
      <c r="O33" s="3331"/>
      <c r="P33" s="3331"/>
      <c r="Q33" s="3331"/>
      <c r="R33" s="3331"/>
    </row>
    <row r="34" spans="1:21" s="1620" customFormat="1" hidden="1">
      <c r="A34" s="1402"/>
      <c r="B34" s="4139" t="s">
        <v>148</v>
      </c>
      <c r="C34" s="4142">
        <f t="shared" si="4"/>
        <v>6578.31</v>
      </c>
      <c r="D34" s="4132">
        <v>10840.42</v>
      </c>
      <c r="E34" s="4136">
        <f t="shared" si="5"/>
        <v>-4262.1099999999997</v>
      </c>
      <c r="F34" s="4136">
        <f>J34+G34</f>
        <v>407.45000000000005</v>
      </c>
      <c r="G34" s="4081">
        <f t="shared" si="7"/>
        <v>-1068.01</v>
      </c>
      <c r="H34" s="4137">
        <v>-1479.42</v>
      </c>
      <c r="I34" s="4137">
        <v>411.41</v>
      </c>
      <c r="J34" s="4089">
        <f>1301.42+174.04</f>
        <v>1475.46</v>
      </c>
      <c r="K34" s="4143">
        <f>4538.48+134.08-3</f>
        <v>4669.5599999999995</v>
      </c>
      <c r="L34" s="2188"/>
      <c r="N34" s="3481"/>
      <c r="O34" s="3331"/>
      <c r="P34" s="3331"/>
      <c r="Q34" s="3331"/>
      <c r="R34" s="3331"/>
    </row>
    <row r="35" spans="1:21" s="1620" customFormat="1" ht="15.75" hidden="1" customHeight="1">
      <c r="A35" s="1402"/>
      <c r="B35" s="4130">
        <v>1999</v>
      </c>
      <c r="C35" s="4142"/>
      <c r="D35" s="4132"/>
      <c r="E35" s="4136"/>
      <c r="F35" s="4136"/>
      <c r="G35" s="4081"/>
      <c r="H35" s="4132"/>
      <c r="I35" s="4132"/>
      <c r="J35" s="4089"/>
      <c r="K35" s="4143"/>
      <c r="L35" s="2188"/>
      <c r="N35" s="3481"/>
      <c r="O35" s="3331"/>
      <c r="P35" s="3331"/>
      <c r="Q35" s="3331"/>
      <c r="R35" s="3331"/>
    </row>
    <row r="36" spans="1:21" s="1620" customFormat="1" ht="15.75" hidden="1" customHeight="1">
      <c r="A36" s="1402"/>
      <c r="B36" s="4134" t="s">
        <v>161</v>
      </c>
      <c r="C36" s="4142">
        <f t="shared" ref="C36:C47" si="8">D36+E36</f>
        <v>6853.7099999999991</v>
      </c>
      <c r="D36" s="4132">
        <v>11988.14</v>
      </c>
      <c r="E36" s="4136">
        <f t="shared" ref="E36:E47" si="9">F36-K36</f>
        <v>-5134.43</v>
      </c>
      <c r="F36" s="4136">
        <f t="shared" ref="F36:F47" si="10">J36+G36</f>
        <v>-82.400000000000091</v>
      </c>
      <c r="G36" s="4081">
        <f t="shared" ref="G36:G47" si="11">H36+I36</f>
        <v>-1553.64</v>
      </c>
      <c r="H36" s="4132">
        <v>-1965.22</v>
      </c>
      <c r="I36" s="4132">
        <v>411.58</v>
      </c>
      <c r="J36" s="4089">
        <f>1297.69+173.55</f>
        <v>1471.24</v>
      </c>
      <c r="K36" s="4143">
        <f>4920.95+134.08-3</f>
        <v>5052.03</v>
      </c>
      <c r="L36" s="2188"/>
      <c r="N36" s="3481"/>
      <c r="O36" s="3331"/>
      <c r="P36" s="3331"/>
      <c r="Q36" s="3331"/>
      <c r="R36" s="3331"/>
    </row>
    <row r="37" spans="1:21" s="1620" customFormat="1" ht="15.75" hidden="1" customHeight="1">
      <c r="A37" s="1402"/>
      <c r="B37" s="4134" t="s">
        <v>162</v>
      </c>
      <c r="C37" s="4142">
        <f t="shared" si="8"/>
        <v>6876.34</v>
      </c>
      <c r="D37" s="4132">
        <v>11291.72</v>
      </c>
      <c r="E37" s="4136">
        <f t="shared" si="9"/>
        <v>-4415.3799999999992</v>
      </c>
      <c r="F37" s="4136">
        <f t="shared" si="10"/>
        <v>155.40000000000009</v>
      </c>
      <c r="G37" s="4081">
        <f t="shared" si="11"/>
        <v>-1308.54</v>
      </c>
      <c r="H37" s="4132">
        <v>-1720.18</v>
      </c>
      <c r="I37" s="4132">
        <v>411.64</v>
      </c>
      <c r="J37" s="4089">
        <f>1296.51+167.43</f>
        <v>1463.94</v>
      </c>
      <c r="K37" s="4143">
        <f>4429.83+143.95-3</f>
        <v>4570.78</v>
      </c>
      <c r="L37" s="2188"/>
      <c r="N37" s="3481"/>
      <c r="O37" s="3331"/>
      <c r="P37" s="3331"/>
      <c r="Q37" s="3331"/>
      <c r="R37" s="3331"/>
    </row>
    <row r="38" spans="1:21" s="1620" customFormat="1" ht="15.75" hidden="1" customHeight="1">
      <c r="A38" s="1402"/>
      <c r="B38" s="4134" t="s">
        <v>163</v>
      </c>
      <c r="C38" s="4142">
        <f t="shared" si="8"/>
        <v>7319.3899999999994</v>
      </c>
      <c r="D38" s="4132">
        <v>11827.66</v>
      </c>
      <c r="E38" s="4136">
        <f t="shared" si="9"/>
        <v>-4508.2700000000004</v>
      </c>
      <c r="F38" s="4136">
        <f t="shared" si="10"/>
        <v>-77.980000000000018</v>
      </c>
      <c r="G38" s="4081">
        <f t="shared" si="11"/>
        <v>-1537.02</v>
      </c>
      <c r="H38" s="4132">
        <v>-1957.54</v>
      </c>
      <c r="I38" s="4132">
        <v>420.52</v>
      </c>
      <c r="J38" s="4089">
        <f>1287.54+171.5</f>
        <v>1459.04</v>
      </c>
      <c r="K38" s="4143">
        <f>4280.47+152.82-3</f>
        <v>4430.29</v>
      </c>
      <c r="L38" s="2188"/>
      <c r="N38" s="3481"/>
      <c r="O38" s="3331"/>
      <c r="P38" s="3331"/>
      <c r="Q38" s="3331"/>
      <c r="R38" s="3331"/>
    </row>
    <row r="39" spans="1:21" s="1620" customFormat="1" ht="15.75" hidden="1" customHeight="1">
      <c r="A39" s="1402"/>
      <c r="B39" s="4134" t="s">
        <v>164</v>
      </c>
      <c r="C39" s="4142">
        <f t="shared" si="8"/>
        <v>7346.2500000000009</v>
      </c>
      <c r="D39" s="4132">
        <v>11649.44</v>
      </c>
      <c r="E39" s="4136">
        <f t="shared" si="9"/>
        <v>-4303.1899999999996</v>
      </c>
      <c r="F39" s="4136">
        <f t="shared" si="10"/>
        <v>-169.46000000000004</v>
      </c>
      <c r="G39" s="4081">
        <f t="shared" si="11"/>
        <v>-1600.76</v>
      </c>
      <c r="H39" s="4132">
        <v>-2011.69</v>
      </c>
      <c r="I39" s="4132">
        <v>410.93</v>
      </c>
      <c r="J39" s="4089">
        <f>1268.6+162.7</f>
        <v>1431.3</v>
      </c>
      <c r="K39" s="4143">
        <f>3983.91+152.82-3</f>
        <v>4133.7299999999996</v>
      </c>
      <c r="L39" s="2188"/>
      <c r="N39" s="3481"/>
      <c r="O39" s="3331"/>
      <c r="P39" s="3331"/>
      <c r="Q39" s="3331"/>
      <c r="R39" s="3331"/>
    </row>
    <row r="40" spans="1:21" s="1620" customFormat="1" ht="15.75" hidden="1" customHeight="1">
      <c r="A40" s="1402"/>
      <c r="B40" s="4134" t="s">
        <v>165</v>
      </c>
      <c r="C40" s="4142">
        <f t="shared" si="8"/>
        <v>7322.55</v>
      </c>
      <c r="D40" s="4132">
        <v>11940.18</v>
      </c>
      <c r="E40" s="4136">
        <f t="shared" si="9"/>
        <v>-4617.63</v>
      </c>
      <c r="F40" s="4136">
        <f t="shared" si="10"/>
        <v>155.80000000000018</v>
      </c>
      <c r="G40" s="4081">
        <f t="shared" si="11"/>
        <v>-1297.7199999999998</v>
      </c>
      <c r="H40" s="4132">
        <v>-1709.36</v>
      </c>
      <c r="I40" s="4132">
        <v>411.64</v>
      </c>
      <c r="J40" s="4089">
        <f>1291.86+161.66</f>
        <v>1453.52</v>
      </c>
      <c r="K40" s="4143">
        <f>4688.62+87.81-3</f>
        <v>4773.43</v>
      </c>
      <c r="L40" s="2188"/>
      <c r="N40" s="3481"/>
      <c r="O40" s="3331"/>
      <c r="P40" s="3331"/>
      <c r="Q40" s="3331"/>
      <c r="R40" s="3331"/>
    </row>
    <row r="41" spans="1:21" s="1620" customFormat="1" ht="15.75" hidden="1" customHeight="1">
      <c r="A41" s="1402"/>
      <c r="B41" s="4134" t="s">
        <v>166</v>
      </c>
      <c r="C41" s="4142">
        <f t="shared" si="8"/>
        <v>7359.2300000000005</v>
      </c>
      <c r="D41" s="4132">
        <v>11335.81</v>
      </c>
      <c r="E41" s="4136">
        <f t="shared" si="9"/>
        <v>-3976.579999999999</v>
      </c>
      <c r="F41" s="4136">
        <f t="shared" si="10"/>
        <v>377.93000000000006</v>
      </c>
      <c r="G41" s="4081">
        <f t="shared" si="11"/>
        <v>-1094.32</v>
      </c>
      <c r="H41" s="4132">
        <v>-1485.3</v>
      </c>
      <c r="I41" s="4132">
        <v>390.98</v>
      </c>
      <c r="J41" s="4089">
        <f>1306.52+165.73</f>
        <v>1472.25</v>
      </c>
      <c r="K41" s="4143">
        <f>4331.73+25.78-3</f>
        <v>4354.5099999999993</v>
      </c>
      <c r="L41" s="2188"/>
      <c r="N41" s="3481"/>
      <c r="O41" s="3331"/>
      <c r="P41" s="3331"/>
      <c r="Q41" s="3331"/>
      <c r="R41" s="3331"/>
    </row>
    <row r="42" spans="1:21" s="1620" customFormat="1" ht="15.75" hidden="1" customHeight="1">
      <c r="A42" s="1402"/>
      <c r="B42" s="4134" t="s">
        <v>167</v>
      </c>
      <c r="C42" s="4142">
        <f t="shared" si="8"/>
        <v>7235.23</v>
      </c>
      <c r="D42" s="4132">
        <v>12037.18</v>
      </c>
      <c r="E42" s="4136">
        <f t="shared" si="9"/>
        <v>-4801.9500000000007</v>
      </c>
      <c r="F42" s="4136">
        <f t="shared" si="10"/>
        <v>-38.400000000000091</v>
      </c>
      <c r="G42" s="4081">
        <f t="shared" si="11"/>
        <v>-1535.2</v>
      </c>
      <c r="H42" s="4132">
        <v>-1926.47</v>
      </c>
      <c r="I42" s="4132">
        <v>391.27</v>
      </c>
      <c r="J42" s="4089">
        <f>1337.98+158.82</f>
        <v>1496.8</v>
      </c>
      <c r="K42" s="4143">
        <f>4740.77+25.78-3</f>
        <v>4763.55</v>
      </c>
      <c r="L42" s="2188"/>
      <c r="N42" s="3481"/>
      <c r="O42" s="3331"/>
      <c r="P42" s="3331"/>
      <c r="Q42" s="3331"/>
      <c r="R42" s="3331"/>
    </row>
    <row r="43" spans="1:21" s="1620" customFormat="1" ht="15.75" hidden="1" customHeight="1">
      <c r="A43" s="1402"/>
      <c r="B43" s="4134" t="s">
        <v>168</v>
      </c>
      <c r="C43" s="4142">
        <f t="shared" si="8"/>
        <v>8212.85</v>
      </c>
      <c r="D43" s="4132">
        <v>12038.16</v>
      </c>
      <c r="E43" s="4136">
        <f t="shared" si="9"/>
        <v>-3825.3099999999995</v>
      </c>
      <c r="F43" s="4136">
        <f t="shared" si="10"/>
        <v>254.50000000000023</v>
      </c>
      <c r="G43" s="4081">
        <f t="shared" si="11"/>
        <v>-1219.4299999999998</v>
      </c>
      <c r="H43" s="4132">
        <v>-1611.55</v>
      </c>
      <c r="I43" s="4132">
        <v>392.12</v>
      </c>
      <c r="J43" s="4089">
        <f>1321.41+152.52</f>
        <v>1473.93</v>
      </c>
      <c r="K43" s="4143">
        <f>4046.85+35.96-3</f>
        <v>4079.81</v>
      </c>
      <c r="L43" s="2188"/>
      <c r="N43" s="3481"/>
      <c r="O43" s="3331"/>
      <c r="P43" s="3331"/>
      <c r="Q43" s="3331"/>
      <c r="R43" s="3331"/>
    </row>
    <row r="44" spans="1:21" s="1620" customFormat="1" ht="15.75" hidden="1" customHeight="1">
      <c r="A44" s="1402"/>
      <c r="B44" s="4134" t="s">
        <v>169</v>
      </c>
      <c r="C44" s="4142">
        <f t="shared" si="8"/>
        <v>8200.880000000001</v>
      </c>
      <c r="D44" s="4132">
        <v>12245.68</v>
      </c>
      <c r="E44" s="4136">
        <f t="shared" si="9"/>
        <v>-4044.7999999999993</v>
      </c>
      <c r="F44" s="4136">
        <f t="shared" si="10"/>
        <v>314.08999999999992</v>
      </c>
      <c r="G44" s="4081">
        <f t="shared" si="11"/>
        <v>-1177.19</v>
      </c>
      <c r="H44" s="4132">
        <v>-1569.31</v>
      </c>
      <c r="I44" s="4132">
        <v>392.12</v>
      </c>
      <c r="J44" s="4089">
        <f>1337.53+153.75</f>
        <v>1491.28</v>
      </c>
      <c r="K44" s="4143">
        <f>4294.19+67.7-3</f>
        <v>4358.8899999999994</v>
      </c>
      <c r="L44" s="2188"/>
      <c r="N44" s="3481"/>
      <c r="O44" s="3331"/>
      <c r="P44" s="3331"/>
      <c r="Q44" s="3331"/>
      <c r="R44" s="3331"/>
    </row>
    <row r="45" spans="1:21" s="1620" customFormat="1" ht="15.75" hidden="1" customHeight="1">
      <c r="A45" s="1402"/>
      <c r="B45" s="4134" t="s">
        <v>170</v>
      </c>
      <c r="C45" s="4142">
        <f t="shared" si="8"/>
        <v>9040.99</v>
      </c>
      <c r="D45" s="4132">
        <v>14334.58</v>
      </c>
      <c r="E45" s="4136">
        <f t="shared" si="9"/>
        <v>-5293.59</v>
      </c>
      <c r="F45" s="4136">
        <f t="shared" si="10"/>
        <v>-116.09000000000015</v>
      </c>
      <c r="G45" s="4081">
        <f t="shared" si="11"/>
        <v>-1607.5300000000002</v>
      </c>
      <c r="H45" s="4132">
        <v>-1999.41</v>
      </c>
      <c r="I45" s="4132">
        <v>391.88</v>
      </c>
      <c r="J45" s="4089">
        <f>1347.48+143.96</f>
        <v>1491.44</v>
      </c>
      <c r="K45" s="4143">
        <f>5112.8+67.7-3</f>
        <v>5177.5</v>
      </c>
      <c r="L45" s="2188"/>
      <c r="N45" s="3481"/>
      <c r="O45" s="3331"/>
      <c r="P45" s="3331"/>
      <c r="Q45" s="3331"/>
      <c r="R45" s="3331"/>
    </row>
    <row r="46" spans="1:21" s="1620" customFormat="1" ht="15.75" hidden="1" customHeight="1">
      <c r="A46" s="1402"/>
      <c r="B46" s="4134" t="s">
        <v>171</v>
      </c>
      <c r="C46" s="4142">
        <f t="shared" si="8"/>
        <v>8698.86</v>
      </c>
      <c r="D46" s="4132">
        <v>13289.5</v>
      </c>
      <c r="E46" s="4136">
        <f t="shared" si="9"/>
        <v>-4590.6399999999994</v>
      </c>
      <c r="F46" s="4136">
        <f t="shared" si="10"/>
        <v>-493.02</v>
      </c>
      <c r="G46" s="4081">
        <f t="shared" si="11"/>
        <v>-1999.36</v>
      </c>
      <c r="H46" s="4132">
        <v>-2391.4499999999998</v>
      </c>
      <c r="I46" s="4132">
        <v>392.09</v>
      </c>
      <c r="J46" s="4089">
        <f>1364.62+141.72</f>
        <v>1506.34</v>
      </c>
      <c r="K46" s="4143">
        <f>4043.67+56.95-3</f>
        <v>4097.62</v>
      </c>
      <c r="L46" s="2188"/>
      <c r="N46" s="3481"/>
      <c r="O46" s="3331"/>
      <c r="P46" s="3331"/>
      <c r="Q46" s="3331"/>
      <c r="R46" s="3331"/>
    </row>
    <row r="47" spans="1:21" s="1620" customFormat="1" ht="13.5" hidden="1" customHeight="1">
      <c r="A47" s="1402"/>
      <c r="B47" s="4139" t="s">
        <v>148</v>
      </c>
      <c r="C47" s="4142">
        <f t="shared" si="8"/>
        <v>8643.36</v>
      </c>
      <c r="D47" s="4132">
        <v>12895.62</v>
      </c>
      <c r="E47" s="4136">
        <f t="shared" si="9"/>
        <v>-4252.2599999999993</v>
      </c>
      <c r="F47" s="4136">
        <f t="shared" si="10"/>
        <v>-232.8599999999999</v>
      </c>
      <c r="G47" s="4081">
        <f t="shared" si="11"/>
        <v>-1725.54</v>
      </c>
      <c r="H47" s="4132">
        <v>-2097.6799999999998</v>
      </c>
      <c r="I47" s="4132">
        <v>372.14</v>
      </c>
      <c r="J47" s="4089">
        <f>1352.53+140.15</f>
        <v>1492.68</v>
      </c>
      <c r="K47" s="4143">
        <f>3996.18+26.22-3</f>
        <v>4019.3999999999996</v>
      </c>
      <c r="L47" s="2188"/>
      <c r="N47" s="3481"/>
      <c r="O47" s="3331"/>
      <c r="P47" s="3482"/>
      <c r="Q47" s="3331"/>
      <c r="R47" s="3483"/>
      <c r="S47" s="1636"/>
      <c r="T47" s="1636"/>
      <c r="U47" s="1636"/>
    </row>
    <row r="48" spans="1:21" s="1620" customFormat="1" ht="13.5" hidden="1" customHeight="1">
      <c r="A48" s="1402"/>
      <c r="B48" s="4144">
        <v>2000</v>
      </c>
      <c r="C48" s="4142"/>
      <c r="D48" s="4145"/>
      <c r="E48" s="4136"/>
      <c r="F48" s="4136"/>
      <c r="G48" s="4081"/>
      <c r="H48" s="4145"/>
      <c r="I48" s="4145"/>
      <c r="J48" s="4146"/>
      <c r="K48" s="4147"/>
      <c r="L48" s="2188"/>
      <c r="N48" s="3481"/>
      <c r="O48" s="3331"/>
      <c r="P48" s="3331"/>
      <c r="Q48" s="3331"/>
      <c r="R48" s="3331"/>
    </row>
    <row r="49" spans="1:21" s="1620" customFormat="1" ht="15.75" hidden="1" customHeight="1">
      <c r="A49" s="1402"/>
      <c r="B49" s="4134" t="s">
        <v>161</v>
      </c>
      <c r="C49" s="4142">
        <f t="shared" ref="C49:C86" si="12">D49+E49</f>
        <v>8775.39</v>
      </c>
      <c r="D49" s="4145">
        <v>13762.4</v>
      </c>
      <c r="E49" s="4136">
        <f t="shared" ref="E49:E60" si="13">F49-K49</f>
        <v>-4987.01</v>
      </c>
      <c r="F49" s="4136">
        <f t="shared" ref="F49:F86" si="14">J49+G49</f>
        <v>-109.54999999999995</v>
      </c>
      <c r="G49" s="4081">
        <f t="shared" ref="G49:G86" si="15">H49+I49</f>
        <v>-1620.09</v>
      </c>
      <c r="H49" s="4145">
        <v>-1992.3</v>
      </c>
      <c r="I49" s="4145">
        <v>372.21</v>
      </c>
      <c r="J49" s="4146">
        <f>1360.85+149.69</f>
        <v>1510.54</v>
      </c>
      <c r="K49" s="4147">
        <f>4854.24+26.22-3</f>
        <v>4877.46</v>
      </c>
      <c r="L49" s="2188"/>
      <c r="N49" s="3481"/>
      <c r="O49" s="3331"/>
      <c r="P49" s="3331"/>
      <c r="Q49" s="3331"/>
      <c r="R49" s="3331"/>
    </row>
    <row r="50" spans="1:21" s="1620" customFormat="1" ht="15.75" hidden="1" customHeight="1">
      <c r="A50" s="1402"/>
      <c r="B50" s="4134" t="s">
        <v>162</v>
      </c>
      <c r="C50" s="4142">
        <f t="shared" si="12"/>
        <v>8511.619999999999</v>
      </c>
      <c r="D50" s="4145">
        <v>13428.97</v>
      </c>
      <c r="E50" s="4136">
        <f t="shared" si="13"/>
        <v>-4917.3500000000004</v>
      </c>
      <c r="F50" s="4136">
        <f t="shared" si="14"/>
        <v>-387.26</v>
      </c>
      <c r="G50" s="4081">
        <f t="shared" si="15"/>
        <v>-1874.33</v>
      </c>
      <c r="H50" s="4145">
        <v>-2246.4699999999998</v>
      </c>
      <c r="I50" s="4145">
        <v>372.14</v>
      </c>
      <c r="J50" s="4146">
        <f>1342.31+144.76</f>
        <v>1487.07</v>
      </c>
      <c r="K50" s="4147">
        <f>4470.49+62.6-3</f>
        <v>4530.09</v>
      </c>
      <c r="L50" s="2188"/>
      <c r="N50" s="3481"/>
      <c r="O50" s="3331"/>
      <c r="P50" s="3331"/>
      <c r="Q50" s="3331"/>
      <c r="R50" s="3331"/>
    </row>
    <row r="51" spans="1:21" s="1620" customFormat="1" ht="15.75" hidden="1" customHeight="1">
      <c r="A51" s="1402"/>
      <c r="B51" s="4134" t="s">
        <v>163</v>
      </c>
      <c r="C51" s="4142">
        <f t="shared" si="12"/>
        <v>9066.67</v>
      </c>
      <c r="D51" s="4145">
        <v>13319.74</v>
      </c>
      <c r="E51" s="4136">
        <f t="shared" si="13"/>
        <v>-4253.07</v>
      </c>
      <c r="F51" s="4136">
        <f t="shared" si="14"/>
        <v>-301.67999999999984</v>
      </c>
      <c r="G51" s="4081">
        <f t="shared" si="15"/>
        <v>-1806.7299999999998</v>
      </c>
      <c r="H51" s="4145">
        <v>-2178.9699999999998</v>
      </c>
      <c r="I51" s="4145">
        <v>372.24</v>
      </c>
      <c r="J51" s="4146">
        <f>1361.35+143.7</f>
        <v>1505.05</v>
      </c>
      <c r="K51" s="4147">
        <f>3831.55+122.84-3</f>
        <v>3951.3900000000003</v>
      </c>
      <c r="L51" s="2188"/>
      <c r="N51" s="3481"/>
      <c r="O51" s="3331"/>
      <c r="P51" s="3331"/>
      <c r="Q51" s="3331"/>
      <c r="R51" s="3331"/>
    </row>
    <row r="52" spans="1:21" s="1620" customFormat="1" ht="15.75" hidden="1" customHeight="1">
      <c r="A52" s="1402"/>
      <c r="B52" s="4134" t="s">
        <v>164</v>
      </c>
      <c r="C52" s="4142">
        <f t="shared" si="12"/>
        <v>8358.15</v>
      </c>
      <c r="D52" s="4145">
        <v>13425.97</v>
      </c>
      <c r="E52" s="4136">
        <f t="shared" si="13"/>
        <v>-5067.82</v>
      </c>
      <c r="F52" s="4136">
        <f t="shared" si="14"/>
        <v>-273.98</v>
      </c>
      <c r="G52" s="4081">
        <f t="shared" si="15"/>
        <v>-1753.1</v>
      </c>
      <c r="H52" s="4145">
        <v>-2126.12</v>
      </c>
      <c r="I52" s="4145">
        <v>373.02</v>
      </c>
      <c r="J52" s="4146">
        <f>1338.52+140.6</f>
        <v>1479.12</v>
      </c>
      <c r="K52" s="4147">
        <f>4674.02+122.84-3.02</f>
        <v>4793.84</v>
      </c>
      <c r="L52" s="2188"/>
      <c r="N52" s="3481"/>
      <c r="O52" s="3331"/>
      <c r="P52" s="3331"/>
      <c r="Q52" s="3331"/>
      <c r="R52" s="3331"/>
    </row>
    <row r="53" spans="1:21" s="1620" customFormat="1" ht="15.75" hidden="1" customHeight="1">
      <c r="A53" s="1402"/>
      <c r="B53" s="4134" t="s">
        <v>165</v>
      </c>
      <c r="C53" s="4142">
        <f t="shared" si="12"/>
        <v>8277.2100000000009</v>
      </c>
      <c r="D53" s="4145">
        <v>13140.48</v>
      </c>
      <c r="E53" s="4136">
        <f t="shared" si="13"/>
        <v>-4863.2699999999986</v>
      </c>
      <c r="F53" s="4136">
        <f t="shared" si="14"/>
        <v>60.690000000000055</v>
      </c>
      <c r="G53" s="4081">
        <f t="shared" si="15"/>
        <v>-1426.04</v>
      </c>
      <c r="H53" s="4145">
        <v>-1799.57</v>
      </c>
      <c r="I53" s="4145">
        <v>373.53</v>
      </c>
      <c r="J53" s="4146">
        <f>1349.78+136.95</f>
        <v>1486.73</v>
      </c>
      <c r="K53" s="4147">
        <f>4769.98+157.04-3.06</f>
        <v>4923.9599999999991</v>
      </c>
      <c r="L53" s="2188"/>
      <c r="N53" s="3481"/>
      <c r="O53" s="3331"/>
      <c r="P53" s="3331"/>
      <c r="Q53" s="3331"/>
      <c r="R53" s="3331"/>
    </row>
    <row r="54" spans="1:21" s="1620" customFormat="1" ht="15.75" hidden="1" customHeight="1">
      <c r="A54" s="1402"/>
      <c r="B54" s="4134" t="s">
        <v>166</v>
      </c>
      <c r="C54" s="4142">
        <f t="shared" si="12"/>
        <v>8930.5400000000009</v>
      </c>
      <c r="D54" s="4145">
        <v>13248.25</v>
      </c>
      <c r="E54" s="4136">
        <f t="shared" si="13"/>
        <v>-4317.71</v>
      </c>
      <c r="F54" s="4136">
        <f t="shared" si="14"/>
        <v>749.11999999999978</v>
      </c>
      <c r="G54" s="4081">
        <f t="shared" si="15"/>
        <v>-757.0200000000001</v>
      </c>
      <c r="H54" s="4145">
        <v>-1110.6300000000001</v>
      </c>
      <c r="I54" s="4145">
        <v>353.61</v>
      </c>
      <c r="J54" s="4146">
        <f>1360.04+146.1</f>
        <v>1506.1399999999999</v>
      </c>
      <c r="K54" s="4147">
        <f>4980.61+89.22-3</f>
        <v>5066.83</v>
      </c>
      <c r="L54" s="2188"/>
      <c r="N54" s="3481"/>
      <c r="O54" s="3331"/>
      <c r="P54" s="3483"/>
      <c r="Q54" s="3483"/>
      <c r="R54" s="3483"/>
    </row>
    <row r="55" spans="1:21" s="1620" customFormat="1" ht="15.75" hidden="1" customHeight="1">
      <c r="A55" s="1402"/>
      <c r="B55" s="4134" t="s">
        <v>167</v>
      </c>
      <c r="C55" s="4142">
        <f t="shared" si="12"/>
        <v>9564.5400000000009</v>
      </c>
      <c r="D55" s="4145">
        <v>13658.01</v>
      </c>
      <c r="E55" s="4136">
        <f t="shared" si="13"/>
        <v>-4093.4700000000003</v>
      </c>
      <c r="F55" s="4136">
        <f t="shared" si="14"/>
        <v>502.39999999999986</v>
      </c>
      <c r="G55" s="4081">
        <f t="shared" si="15"/>
        <v>-1018.56</v>
      </c>
      <c r="H55" s="4145">
        <v>-1372.05</v>
      </c>
      <c r="I55" s="4145">
        <v>353.49</v>
      </c>
      <c r="J55" s="4146">
        <f>1384.37+136.59</f>
        <v>1520.9599999999998</v>
      </c>
      <c r="K55" s="4147">
        <f>4510.29+88.58-3</f>
        <v>4595.87</v>
      </c>
      <c r="L55" s="2188"/>
      <c r="N55" s="3481"/>
      <c r="O55" s="3331"/>
      <c r="P55" s="3331"/>
      <c r="Q55" s="3331"/>
      <c r="R55" s="3331"/>
    </row>
    <row r="56" spans="1:21" s="1620" customFormat="1" ht="15.75" hidden="1" customHeight="1">
      <c r="A56" s="1402"/>
      <c r="B56" s="4148" t="s">
        <v>168</v>
      </c>
      <c r="C56" s="4149">
        <f t="shared" si="12"/>
        <v>9650.49</v>
      </c>
      <c r="D56" s="4150">
        <v>13829.91</v>
      </c>
      <c r="E56" s="4151">
        <f t="shared" si="13"/>
        <v>-4179.42</v>
      </c>
      <c r="F56" s="4151">
        <f t="shared" si="14"/>
        <v>880.86999999999989</v>
      </c>
      <c r="G56" s="4152">
        <f t="shared" si="15"/>
        <v>-638</v>
      </c>
      <c r="H56" s="4150">
        <v>-991.08</v>
      </c>
      <c r="I56" s="4150">
        <v>353.08</v>
      </c>
      <c r="J56" s="4150">
        <f>1389.3+129.57</f>
        <v>1518.87</v>
      </c>
      <c r="K56" s="4153">
        <f>5043.16+20.13-3</f>
        <v>5060.29</v>
      </c>
      <c r="L56" s="2188"/>
      <c r="N56" s="3481"/>
      <c r="O56" s="3331"/>
      <c r="P56" s="3331"/>
      <c r="Q56" s="3331"/>
      <c r="R56" s="3331"/>
    </row>
    <row r="57" spans="1:21" s="1620" customFormat="1" ht="19.5" hidden="1" customHeight="1">
      <c r="A57" s="1402"/>
      <c r="B57" s="4148" t="s">
        <v>169</v>
      </c>
      <c r="C57" s="4149">
        <f t="shared" si="12"/>
        <v>10369.19</v>
      </c>
      <c r="D57" s="4150">
        <v>14331.19</v>
      </c>
      <c r="E57" s="4151">
        <f t="shared" si="13"/>
        <v>-3962</v>
      </c>
      <c r="F57" s="4151">
        <f t="shared" si="14"/>
        <v>762.17000000000007</v>
      </c>
      <c r="G57" s="4152">
        <f t="shared" si="15"/>
        <v>-815.47</v>
      </c>
      <c r="H57" s="4150">
        <v>-1169.04</v>
      </c>
      <c r="I57" s="4150">
        <v>353.57</v>
      </c>
      <c r="J57" s="4150">
        <f>1444.16+133.48</f>
        <v>1577.64</v>
      </c>
      <c r="K57" s="4153">
        <f>4717.95+9.22-3</f>
        <v>4724.17</v>
      </c>
      <c r="L57" s="2188"/>
      <c r="N57" s="3481"/>
      <c r="O57" s="3331"/>
      <c r="P57" s="3331"/>
      <c r="Q57" s="3331"/>
      <c r="R57" s="3331"/>
    </row>
    <row r="58" spans="1:21" s="1620" customFormat="1" ht="19.5" hidden="1" customHeight="1">
      <c r="A58" s="1402"/>
      <c r="B58" s="4148" t="s">
        <v>170</v>
      </c>
      <c r="C58" s="4149">
        <f t="shared" si="12"/>
        <v>9848.36</v>
      </c>
      <c r="D58" s="4150">
        <v>14626.27</v>
      </c>
      <c r="E58" s="4151">
        <f t="shared" si="13"/>
        <v>-4777.91</v>
      </c>
      <c r="F58" s="4151">
        <f t="shared" si="14"/>
        <v>257.40000000000032</v>
      </c>
      <c r="G58" s="4152">
        <f t="shared" si="15"/>
        <v>-1368.4499999999998</v>
      </c>
      <c r="H58" s="4150">
        <v>-1721.86</v>
      </c>
      <c r="I58" s="4150">
        <v>353.41</v>
      </c>
      <c r="J58" s="4150">
        <f>1499.2+126.65</f>
        <v>1625.8500000000001</v>
      </c>
      <c r="K58" s="4153">
        <f>5029.09+9.22-3</f>
        <v>5035.3100000000004</v>
      </c>
      <c r="L58" s="2188"/>
      <c r="N58" s="3481"/>
      <c r="O58" s="3331"/>
      <c r="P58" s="3331"/>
      <c r="Q58" s="3331"/>
      <c r="R58" s="3331"/>
    </row>
    <row r="59" spans="1:21" s="1620" customFormat="1" ht="18" hidden="1" customHeight="1">
      <c r="A59" s="1402"/>
      <c r="B59" s="4148" t="s">
        <v>171</v>
      </c>
      <c r="C59" s="4149">
        <f t="shared" si="12"/>
        <v>10047.82</v>
      </c>
      <c r="D59" s="4150">
        <v>15003.72</v>
      </c>
      <c r="E59" s="4151">
        <f t="shared" si="13"/>
        <v>-4955.8999999999996</v>
      </c>
      <c r="F59" s="4151">
        <f t="shared" si="14"/>
        <v>191.52999999999997</v>
      </c>
      <c r="G59" s="4152">
        <f t="shared" si="15"/>
        <v>-1522.8600000000001</v>
      </c>
      <c r="H59" s="4150">
        <v>-1874.98</v>
      </c>
      <c r="I59" s="4150">
        <v>352.12</v>
      </c>
      <c r="J59" s="4150">
        <f>1587.45+126.94</f>
        <v>1714.39</v>
      </c>
      <c r="K59" s="4153">
        <f>5141.28+9.15-3</f>
        <v>5147.4299999999994</v>
      </c>
      <c r="L59" s="2188"/>
      <c r="N59" s="3481"/>
      <c r="O59" s="3331"/>
      <c r="P59" s="3331"/>
      <c r="Q59" s="3331"/>
      <c r="R59" s="3331"/>
    </row>
    <row r="60" spans="1:21" s="1620" customFormat="1" ht="18" hidden="1" customHeight="1">
      <c r="A60" s="1402"/>
      <c r="B60" s="4154" t="s">
        <v>148</v>
      </c>
      <c r="C60" s="4155">
        <f t="shared" si="12"/>
        <v>10035.34</v>
      </c>
      <c r="D60" s="4156">
        <v>15073.68</v>
      </c>
      <c r="E60" s="4156">
        <f t="shared" si="13"/>
        <v>-5038.34</v>
      </c>
      <c r="F60" s="4156">
        <f t="shared" si="14"/>
        <v>584.29999999999995</v>
      </c>
      <c r="G60" s="4156">
        <f t="shared" si="15"/>
        <v>-1166.71</v>
      </c>
      <c r="H60" s="4156">
        <v>-1499.35</v>
      </c>
      <c r="I60" s="4156">
        <v>332.64</v>
      </c>
      <c r="J60" s="4157">
        <f>1624.33+126.68</f>
        <v>1751.01</v>
      </c>
      <c r="K60" s="4156">
        <f>5510.37+115.27-3</f>
        <v>5622.64</v>
      </c>
      <c r="L60" s="2188"/>
      <c r="N60" s="3481"/>
      <c r="O60" s="3332"/>
      <c r="P60" s="3332"/>
      <c r="Q60" s="3332"/>
      <c r="R60" s="3332"/>
      <c r="S60" s="3332"/>
      <c r="T60" s="3332"/>
      <c r="U60" s="3332"/>
    </row>
    <row r="61" spans="1:21" s="1620" customFormat="1" ht="15.75" hidden="1" customHeight="1">
      <c r="A61" s="1402"/>
      <c r="B61" s="4114">
        <v>2001</v>
      </c>
      <c r="C61" s="4158"/>
      <c r="D61" s="4158"/>
      <c r="E61" s="4158"/>
      <c r="F61" s="4158"/>
      <c r="G61" s="4158"/>
      <c r="H61" s="4158"/>
      <c r="I61" s="4158"/>
      <c r="J61" s="4158"/>
      <c r="K61" s="4158"/>
      <c r="L61" s="2188"/>
      <c r="N61" s="3481"/>
      <c r="O61" s="3332"/>
      <c r="P61" s="3332"/>
      <c r="Q61" s="3332"/>
      <c r="R61" s="3332"/>
      <c r="S61" s="3332"/>
      <c r="T61" s="3332"/>
      <c r="U61" s="3332"/>
    </row>
    <row r="62" spans="1:21" s="1620" customFormat="1" ht="15.75" hidden="1" customHeight="1">
      <c r="A62" s="1402"/>
      <c r="B62" s="4113" t="s">
        <v>161</v>
      </c>
      <c r="C62" s="4159">
        <f t="shared" si="12"/>
        <v>9121.15</v>
      </c>
      <c r="D62" s="4159">
        <v>13142.74</v>
      </c>
      <c r="E62" s="4159">
        <f t="shared" ref="E62:E73" si="16">F62-K62</f>
        <v>-4021.59</v>
      </c>
      <c r="F62" s="4159">
        <f t="shared" si="14"/>
        <v>705.31999999999971</v>
      </c>
      <c r="G62" s="4159">
        <f t="shared" si="15"/>
        <v>-1225.0700000000002</v>
      </c>
      <c r="H62" s="4159">
        <v>-1558.4</v>
      </c>
      <c r="I62" s="4159">
        <v>333.33</v>
      </c>
      <c r="J62" s="4159">
        <f>1812.26+118.13</f>
        <v>1930.3899999999999</v>
      </c>
      <c r="K62" s="4159">
        <f>4604.46+125.45-3</f>
        <v>4726.91</v>
      </c>
      <c r="L62" s="2188"/>
      <c r="N62" s="3481"/>
      <c r="O62" s="3332"/>
      <c r="P62" s="3332"/>
      <c r="Q62" s="3332"/>
      <c r="R62" s="3332"/>
      <c r="S62" s="3332"/>
      <c r="T62" s="3332"/>
      <c r="U62" s="3332"/>
    </row>
    <row r="63" spans="1:21" s="1620" customFormat="1" ht="15.75" hidden="1" customHeight="1">
      <c r="A63" s="1402"/>
      <c r="B63" s="4113" t="s">
        <v>162</v>
      </c>
      <c r="C63" s="4160">
        <f t="shared" si="12"/>
        <v>8952.130000000001</v>
      </c>
      <c r="D63" s="4160">
        <v>12493.7</v>
      </c>
      <c r="E63" s="4160">
        <f t="shared" si="16"/>
        <v>-3541.5699999999997</v>
      </c>
      <c r="F63" s="4160">
        <f t="shared" si="14"/>
        <v>959.50000000000011</v>
      </c>
      <c r="G63" s="4160">
        <f t="shared" si="15"/>
        <v>-1018.13</v>
      </c>
      <c r="H63" s="4160">
        <v>-1351.48</v>
      </c>
      <c r="I63" s="4160">
        <v>333.35</v>
      </c>
      <c r="J63" s="4160">
        <f>1859.49+118.14</f>
        <v>1977.63</v>
      </c>
      <c r="K63" s="4160">
        <f>4378.62+125.45-3</f>
        <v>4501.07</v>
      </c>
      <c r="L63" s="2188"/>
      <c r="N63" s="3481"/>
      <c r="O63" s="3332"/>
      <c r="P63" s="3332"/>
      <c r="Q63" s="3332"/>
      <c r="R63" s="3332"/>
      <c r="S63" s="3332"/>
      <c r="T63" s="3332"/>
      <c r="U63" s="3332"/>
    </row>
    <row r="64" spans="1:21" s="1620" customFormat="1" ht="15.75" hidden="1" customHeight="1">
      <c r="A64" s="1402"/>
      <c r="B64" s="4113" t="s">
        <v>163</v>
      </c>
      <c r="C64" s="4160">
        <f t="shared" si="12"/>
        <v>10062.36</v>
      </c>
      <c r="D64" s="4160">
        <v>13535.69</v>
      </c>
      <c r="E64" s="4160">
        <f t="shared" si="16"/>
        <v>-3473.33</v>
      </c>
      <c r="F64" s="4160">
        <f t="shared" si="14"/>
        <v>983.06999999999994</v>
      </c>
      <c r="G64" s="4160">
        <f t="shared" si="15"/>
        <v>-1056.44</v>
      </c>
      <c r="H64" s="4160">
        <v>-1389.78</v>
      </c>
      <c r="I64" s="4160">
        <v>333.34</v>
      </c>
      <c r="J64" s="4160">
        <f>1912.34+127.17</f>
        <v>2039.51</v>
      </c>
      <c r="K64" s="4160">
        <f>4442.12+17.28-3</f>
        <v>4456.3999999999996</v>
      </c>
      <c r="L64" s="2188"/>
      <c r="N64" s="3481"/>
      <c r="O64" s="3332"/>
      <c r="P64" s="3332"/>
      <c r="Q64" s="3332"/>
      <c r="R64" s="3332"/>
      <c r="S64" s="3332"/>
      <c r="T64" s="3332"/>
      <c r="U64" s="3332"/>
    </row>
    <row r="65" spans="1:21" s="1620" customFormat="1" ht="15.75" hidden="1" customHeight="1">
      <c r="A65" s="1402"/>
      <c r="B65" s="4113" t="s">
        <v>164</v>
      </c>
      <c r="C65" s="4160">
        <f t="shared" si="12"/>
        <v>9955.7599999999984</v>
      </c>
      <c r="D65" s="4160">
        <v>13651.81</v>
      </c>
      <c r="E65" s="4160">
        <f t="shared" si="16"/>
        <v>-3696.05</v>
      </c>
      <c r="F65" s="4160">
        <f t="shared" si="14"/>
        <v>902.53999999999974</v>
      </c>
      <c r="G65" s="4160">
        <f t="shared" si="15"/>
        <v>-1148.2</v>
      </c>
      <c r="H65" s="4160">
        <v>-1480.93</v>
      </c>
      <c r="I65" s="4160">
        <v>332.73</v>
      </c>
      <c r="J65" s="4160">
        <f>1934.05+116.69</f>
        <v>2050.7399999999998</v>
      </c>
      <c r="K65" s="4160">
        <f>4585.04+17.28-3.73</f>
        <v>4598.59</v>
      </c>
      <c r="L65" s="2188"/>
      <c r="N65" s="3481"/>
      <c r="O65" s="3332"/>
      <c r="P65" s="3332"/>
      <c r="Q65" s="3332"/>
      <c r="R65" s="3332"/>
      <c r="S65" s="3332"/>
      <c r="T65" s="3332"/>
      <c r="U65" s="3332"/>
    </row>
    <row r="66" spans="1:21" s="1620" customFormat="1" ht="15.75" hidden="1" customHeight="1">
      <c r="A66" s="1402"/>
      <c r="B66" s="4161" t="s">
        <v>165</v>
      </c>
      <c r="C66" s="4162">
        <f t="shared" si="12"/>
        <v>9874.5999999999985</v>
      </c>
      <c r="D66" s="4162">
        <v>13049.05</v>
      </c>
      <c r="E66" s="4162">
        <f t="shared" si="16"/>
        <v>-3174.45</v>
      </c>
      <c r="F66" s="4162">
        <f t="shared" si="14"/>
        <v>1527.9099999999999</v>
      </c>
      <c r="G66" s="4160">
        <f t="shared" si="15"/>
        <v>-594.82999999999993</v>
      </c>
      <c r="H66" s="4162">
        <v>-927.55</v>
      </c>
      <c r="I66" s="4162">
        <v>332.72</v>
      </c>
      <c r="J66" s="4160">
        <f>[10]MSA!L63+[10]MSA!J63</f>
        <v>2122.7399999999998</v>
      </c>
      <c r="K66" s="4162">
        <f>[10]MSL!K62+[10]MSL!J62-[10]MSA!M63</f>
        <v>4702.3599999999997</v>
      </c>
      <c r="L66" s="2188"/>
      <c r="N66" s="3481"/>
      <c r="O66" s="3332"/>
      <c r="P66" s="3332"/>
      <c r="Q66" s="3332"/>
      <c r="R66" s="3332"/>
      <c r="S66" s="3332"/>
      <c r="T66" s="3332"/>
      <c r="U66" s="3332"/>
    </row>
    <row r="67" spans="1:21" s="1620" customFormat="1" ht="15.75" hidden="1" customHeight="1">
      <c r="A67" s="1402"/>
      <c r="B67" s="4163" t="s">
        <v>166</v>
      </c>
      <c r="C67" s="4164">
        <f t="shared" si="12"/>
        <v>9419.82</v>
      </c>
      <c r="D67" s="4164">
        <v>12788.91</v>
      </c>
      <c r="E67" s="4164">
        <f t="shared" si="16"/>
        <v>-3369.0900000000006</v>
      </c>
      <c r="F67" s="4164">
        <f t="shared" si="14"/>
        <v>2014.1399999999999</v>
      </c>
      <c r="G67" s="4165">
        <f t="shared" si="15"/>
        <v>-123</v>
      </c>
      <c r="H67" s="4164">
        <f>[10]MSA!G64</f>
        <v>-455.73</v>
      </c>
      <c r="I67" s="4164">
        <f>[10]MSA!I64</f>
        <v>332.73</v>
      </c>
      <c r="J67" s="4165">
        <f>[10]MSA!L64+[10]MSA!J64</f>
        <v>2137.14</v>
      </c>
      <c r="K67" s="4164">
        <f>[10]MSL!K63+[10]MSL!J63-[10]MSA!M64</f>
        <v>5383.2300000000005</v>
      </c>
      <c r="L67" s="2188"/>
      <c r="N67" s="3481"/>
      <c r="O67" s="3332"/>
      <c r="P67" s="3332"/>
      <c r="Q67" s="3332"/>
      <c r="R67" s="3332"/>
      <c r="S67" s="3332"/>
      <c r="T67" s="3332"/>
      <c r="U67" s="3332"/>
    </row>
    <row r="68" spans="1:21" s="1620" customFormat="1" ht="15.75" hidden="1" customHeight="1">
      <c r="A68" s="1402"/>
      <c r="B68" s="4161" t="s">
        <v>167</v>
      </c>
      <c r="C68" s="4162">
        <f t="shared" si="12"/>
        <v>10539.499999999998</v>
      </c>
      <c r="D68" s="4162">
        <v>12043.21</v>
      </c>
      <c r="E68" s="4162">
        <f t="shared" si="16"/>
        <v>-1503.7100000000009</v>
      </c>
      <c r="F68" s="4162">
        <f t="shared" si="14"/>
        <v>2692.6499999999996</v>
      </c>
      <c r="G68" s="4160">
        <f t="shared" si="15"/>
        <v>533.43000000000006</v>
      </c>
      <c r="H68" s="4162">
        <f>[10]MSA!G65</f>
        <v>220.94</v>
      </c>
      <c r="I68" s="4162">
        <f>[10]MSA!I65</f>
        <v>312.49</v>
      </c>
      <c r="J68" s="4160">
        <f>[10]MSA!L65+[10]MSA!J65</f>
        <v>2159.2199999999998</v>
      </c>
      <c r="K68" s="4162">
        <f>[10]MSL!K64+[10]MSL!J64-[10]MSA!M65</f>
        <v>4196.3600000000006</v>
      </c>
      <c r="L68" s="2188"/>
      <c r="N68" s="3481"/>
      <c r="O68" s="3332"/>
      <c r="P68" s="3332"/>
      <c r="Q68" s="3332"/>
      <c r="R68" s="3332"/>
      <c r="S68" s="3332"/>
      <c r="T68" s="3332"/>
      <c r="U68" s="3332"/>
    </row>
    <row r="69" spans="1:21" s="1620" customFormat="1" ht="15.75" hidden="1" customHeight="1">
      <c r="A69" s="1402"/>
      <c r="B69" s="4161" t="s">
        <v>168</v>
      </c>
      <c r="C69" s="4162">
        <f t="shared" si="12"/>
        <v>10507.219999999998</v>
      </c>
      <c r="D69" s="4162">
        <f>[10]MSA!C66</f>
        <v>12966.119999999999</v>
      </c>
      <c r="E69" s="4162">
        <f t="shared" si="16"/>
        <v>-2458.9000000000005</v>
      </c>
      <c r="F69" s="4162">
        <f t="shared" si="14"/>
        <v>2331.5</v>
      </c>
      <c r="G69" s="4160">
        <f t="shared" si="15"/>
        <v>84.850000000000023</v>
      </c>
      <c r="H69" s="4162">
        <f>[10]MSA!G66</f>
        <v>-224.88</v>
      </c>
      <c r="I69" s="4162">
        <f>[10]MSA!I66</f>
        <v>309.73</v>
      </c>
      <c r="J69" s="4160">
        <f>[10]MSA!L66+[10]MSA!J66</f>
        <v>2246.65</v>
      </c>
      <c r="K69" s="4162">
        <f>[10]MSL!K65+[10]MSL!J65-[10]MSA!M66</f>
        <v>4790.4000000000005</v>
      </c>
      <c r="L69" s="2188"/>
      <c r="N69" s="3481"/>
      <c r="O69" s="3332"/>
      <c r="P69" s="3332"/>
      <c r="Q69" s="3332"/>
      <c r="R69" s="3332"/>
      <c r="S69" s="3332"/>
      <c r="T69" s="3332"/>
      <c r="U69" s="3332"/>
    </row>
    <row r="70" spans="1:21" s="1620" customFormat="1" ht="15.75" hidden="1" customHeight="1">
      <c r="A70" s="1402"/>
      <c r="B70" s="4161" t="s">
        <v>169</v>
      </c>
      <c r="C70" s="4162">
        <f t="shared" si="12"/>
        <v>10360.939999999999</v>
      </c>
      <c r="D70" s="4162">
        <f>[10]MSA!C67</f>
        <v>13092.109999999999</v>
      </c>
      <c r="E70" s="4162">
        <f t="shared" si="16"/>
        <v>-2731.170000000001</v>
      </c>
      <c r="F70" s="4162">
        <f>J70+G70</f>
        <v>2186.79</v>
      </c>
      <c r="G70" s="4160">
        <f t="shared" si="15"/>
        <v>-120.11000000000001</v>
      </c>
      <c r="H70" s="4162">
        <f>[10]MSA!G67</f>
        <v>-437.07</v>
      </c>
      <c r="I70" s="4162">
        <f>[10]MSA!I67</f>
        <v>316.95999999999998</v>
      </c>
      <c r="J70" s="4160">
        <f>[10]MSA!L67+[10]MSA!J67</f>
        <v>2306.9</v>
      </c>
      <c r="K70" s="4162">
        <f>[10]MSL!K66+[10]MSL!J66-[10]MSA!M67</f>
        <v>4917.9600000000009</v>
      </c>
      <c r="L70" s="2188"/>
      <c r="N70" s="3481"/>
      <c r="O70" s="3332"/>
      <c r="P70" s="3332"/>
      <c r="Q70" s="3332"/>
      <c r="R70" s="3332"/>
      <c r="S70" s="3332"/>
      <c r="T70" s="3332"/>
      <c r="U70" s="3332"/>
    </row>
    <row r="71" spans="1:21" s="1620" customFormat="1" ht="15.75" hidden="1" customHeight="1">
      <c r="A71" s="1402"/>
      <c r="B71" s="4161" t="s">
        <v>170</v>
      </c>
      <c r="C71" s="4162">
        <f t="shared" si="12"/>
        <v>10719.769999999999</v>
      </c>
      <c r="D71" s="4162">
        <f>[10]MSA!C68</f>
        <v>13745.07</v>
      </c>
      <c r="E71" s="4162">
        <f t="shared" si="16"/>
        <v>-3025.3000000000011</v>
      </c>
      <c r="F71" s="4162">
        <f>J71+G71</f>
        <v>1572.78</v>
      </c>
      <c r="G71" s="4160">
        <f t="shared" si="15"/>
        <v>-762.56999999999994</v>
      </c>
      <c r="H71" s="4162">
        <f>[10]MSA!G68</f>
        <v>-1073.49</v>
      </c>
      <c r="I71" s="4162">
        <f>[10]MSA!I68</f>
        <v>310.92</v>
      </c>
      <c r="J71" s="4160">
        <f>[10]MSA!L68+[10]MSA!J68</f>
        <v>2335.35</v>
      </c>
      <c r="K71" s="4162">
        <f>[10]MSL!K67+[10]MSL!J67-[10]MSA!M68</f>
        <v>4598.0800000000008</v>
      </c>
      <c r="L71" s="2188"/>
      <c r="N71" s="3481"/>
      <c r="O71" s="3332"/>
      <c r="P71" s="3332"/>
      <c r="Q71" s="3332"/>
      <c r="R71" s="3332"/>
      <c r="S71" s="3332"/>
      <c r="T71" s="3332"/>
      <c r="U71" s="3332"/>
    </row>
    <row r="72" spans="1:21" s="1620" customFormat="1" ht="15.75" hidden="1" customHeight="1">
      <c r="A72" s="1402"/>
      <c r="B72" s="4161" t="s">
        <v>171</v>
      </c>
      <c r="C72" s="4162">
        <f>D72+E72</f>
        <v>10234.11</v>
      </c>
      <c r="D72" s="4162">
        <f>[10]MSA!C69</f>
        <v>13842.93</v>
      </c>
      <c r="E72" s="4162">
        <f t="shared" si="16"/>
        <v>-3608.82</v>
      </c>
      <c r="F72" s="4162">
        <f>J72+G72</f>
        <v>1636.6</v>
      </c>
      <c r="G72" s="4160">
        <f>H72+I72</f>
        <v>-755.90000000000009</v>
      </c>
      <c r="H72" s="4162">
        <f>[10]MSA!G69</f>
        <v>-1066.99</v>
      </c>
      <c r="I72" s="4162">
        <f>[10]MSA!I69</f>
        <v>311.08999999999997</v>
      </c>
      <c r="J72" s="4160">
        <f>[10]MSA!L69+[10]MSA!J69</f>
        <v>2392.5</v>
      </c>
      <c r="K72" s="4162">
        <f>[10]MSL!K68+[10]MSL!J68-[10]MSA!M69</f>
        <v>5245.42</v>
      </c>
      <c r="L72" s="2188"/>
      <c r="N72" s="3481"/>
      <c r="O72" s="3332"/>
      <c r="P72" s="3332"/>
      <c r="Q72" s="3332"/>
      <c r="R72" s="3332"/>
      <c r="S72" s="3332"/>
      <c r="T72" s="3332"/>
      <c r="U72" s="3332"/>
    </row>
    <row r="73" spans="1:21" s="1620" customFormat="1" ht="15.75" hidden="1">
      <c r="A73" s="1402"/>
      <c r="B73" s="4166">
        <v>2001</v>
      </c>
      <c r="C73" s="4167">
        <f>D73+E73</f>
        <v>10802.05</v>
      </c>
      <c r="D73" s="4161">
        <f>[10]MSA!C70</f>
        <v>14823.3</v>
      </c>
      <c r="E73" s="4161">
        <f t="shared" si="16"/>
        <v>-4021.25</v>
      </c>
      <c r="F73" s="4161">
        <f>J73+G73</f>
        <v>1485.6599999999999</v>
      </c>
      <c r="G73" s="4161">
        <f>H73+I73</f>
        <v>-940.48</v>
      </c>
      <c r="H73" s="4161">
        <f>[10]MSA!G70</f>
        <v>-1255.6600000000001</v>
      </c>
      <c r="I73" s="4161">
        <f>[10]MSA!I70</f>
        <v>315.18</v>
      </c>
      <c r="J73" s="4161">
        <f>[10]MSA!L70+[10]MSA!J70</f>
        <v>2426.14</v>
      </c>
      <c r="K73" s="4161">
        <f>[10]MSL!K69+[10]MSL!J69-[10]MSA!M70</f>
        <v>5506.91</v>
      </c>
      <c r="L73" s="2188"/>
      <c r="N73" s="3481"/>
      <c r="O73" s="3332"/>
      <c r="P73" s="3332"/>
      <c r="Q73" s="3332"/>
      <c r="R73" s="3332"/>
      <c r="S73" s="3332"/>
      <c r="T73" s="3332"/>
      <c r="U73" s="3332"/>
    </row>
    <row r="74" spans="1:21" s="1620" customFormat="1" ht="15.75" hidden="1" customHeight="1">
      <c r="A74" s="1402"/>
      <c r="B74" s="4166">
        <v>2002</v>
      </c>
      <c r="C74" s="4167"/>
      <c r="D74" s="4161"/>
      <c r="E74" s="4161"/>
      <c r="F74" s="4161"/>
      <c r="G74" s="4161"/>
      <c r="H74" s="4161"/>
      <c r="I74" s="4161"/>
      <c r="J74" s="4161"/>
      <c r="K74" s="4161"/>
      <c r="L74" s="2736"/>
      <c r="N74" s="3481"/>
      <c r="O74" s="3332"/>
      <c r="P74" s="3332"/>
      <c r="Q74" s="3332"/>
      <c r="R74" s="3332"/>
      <c r="S74" s="3332"/>
      <c r="T74" s="3332"/>
      <c r="U74" s="3332"/>
    </row>
    <row r="75" spans="1:21" s="1620" customFormat="1" ht="15.75" hidden="1" customHeight="1">
      <c r="A75" s="1402"/>
      <c r="B75" s="4166" t="s">
        <v>161</v>
      </c>
      <c r="C75" s="4167">
        <f t="shared" si="12"/>
        <v>10521.74</v>
      </c>
      <c r="D75" s="4161">
        <v>14557.37</v>
      </c>
      <c r="E75" s="4161">
        <f t="shared" ref="E75:E86" si="17">F75-K75</f>
        <v>-4035.6300000000006</v>
      </c>
      <c r="F75" s="4161">
        <f t="shared" si="14"/>
        <v>1308.5399999999995</v>
      </c>
      <c r="G75" s="4161">
        <f t="shared" si="15"/>
        <v>-931.53000000000009</v>
      </c>
      <c r="H75" s="4161">
        <v>-1310.92</v>
      </c>
      <c r="I75" s="4161">
        <v>379.39</v>
      </c>
      <c r="J75" s="4161">
        <f>2127.97+112.1</f>
        <v>2240.0699999999997</v>
      </c>
      <c r="K75" s="4161">
        <f>5336.42+11.48-3.73</f>
        <v>5344.17</v>
      </c>
      <c r="L75" s="1621"/>
      <c r="N75" s="3481"/>
      <c r="O75" s="3332"/>
      <c r="P75" s="3332"/>
      <c r="Q75" s="3332"/>
      <c r="R75" s="3332"/>
      <c r="S75" s="3332"/>
      <c r="T75" s="3332"/>
      <c r="U75" s="3332"/>
    </row>
    <row r="76" spans="1:21" s="1620" customFormat="1" ht="15.75" hidden="1" customHeight="1">
      <c r="A76" s="1402"/>
      <c r="B76" s="4166" t="s">
        <v>162</v>
      </c>
      <c r="C76" s="4167">
        <f t="shared" si="12"/>
        <v>11297.49</v>
      </c>
      <c r="D76" s="4161">
        <v>15208.84</v>
      </c>
      <c r="E76" s="4161">
        <f t="shared" si="17"/>
        <v>-3911.3500000000008</v>
      </c>
      <c r="F76" s="4161">
        <f t="shared" si="14"/>
        <v>1678.9599999999996</v>
      </c>
      <c r="G76" s="4161">
        <f t="shared" si="15"/>
        <v>-731.38</v>
      </c>
      <c r="H76" s="4161">
        <v>-1023.27</v>
      </c>
      <c r="I76" s="4161">
        <v>291.89</v>
      </c>
      <c r="J76" s="4161">
        <f>2339.39+70.95</f>
        <v>2410.3399999999997</v>
      </c>
      <c r="K76" s="4161">
        <f>5582.56+11.48-3.73</f>
        <v>5590.31</v>
      </c>
      <c r="L76" s="1621"/>
      <c r="N76" s="3481"/>
      <c r="O76" s="3332"/>
      <c r="P76" s="3332"/>
      <c r="Q76" s="3332"/>
      <c r="R76" s="3332"/>
      <c r="S76" s="3332"/>
      <c r="T76" s="3332"/>
      <c r="U76" s="3332"/>
    </row>
    <row r="77" spans="1:21" s="1620" customFormat="1" ht="15.75" hidden="1" customHeight="1">
      <c r="A77" s="1402"/>
      <c r="B77" s="4166" t="s">
        <v>163</v>
      </c>
      <c r="C77" s="4167">
        <f t="shared" si="12"/>
        <v>11028.189999999999</v>
      </c>
      <c r="D77" s="4161">
        <v>14632.09</v>
      </c>
      <c r="E77" s="4161">
        <f t="shared" si="17"/>
        <v>-3603.9000000000005</v>
      </c>
      <c r="F77" s="4161">
        <f t="shared" si="14"/>
        <v>2082.9499999999998</v>
      </c>
      <c r="G77" s="4161">
        <f t="shared" si="15"/>
        <v>-451.51000000000005</v>
      </c>
      <c r="H77" s="4161">
        <v>-748.82</v>
      </c>
      <c r="I77" s="4161">
        <v>297.31</v>
      </c>
      <c r="J77" s="4161">
        <f>2397.84+136.62</f>
        <v>2534.46</v>
      </c>
      <c r="K77" s="4161">
        <f>5715.03-24.45-3.73</f>
        <v>5686.85</v>
      </c>
      <c r="L77" s="1621"/>
      <c r="N77" s="3481"/>
      <c r="O77" s="3332"/>
      <c r="P77" s="3332"/>
      <c r="Q77" s="3332"/>
      <c r="R77" s="3332"/>
      <c r="S77" s="3332"/>
      <c r="T77" s="3332"/>
      <c r="U77" s="3332"/>
    </row>
    <row r="78" spans="1:21" s="1620" customFormat="1" ht="17.25" hidden="1" customHeight="1">
      <c r="A78" s="1402"/>
      <c r="B78" s="4166" t="s">
        <v>164</v>
      </c>
      <c r="C78" s="4167">
        <f t="shared" si="12"/>
        <v>10578.160000000002</v>
      </c>
      <c r="D78" s="4161">
        <v>14500.04</v>
      </c>
      <c r="E78" s="4161">
        <f t="shared" si="17"/>
        <v>-3921.8799999999997</v>
      </c>
      <c r="F78" s="4161">
        <f t="shared" si="14"/>
        <v>1564.0700000000002</v>
      </c>
      <c r="G78" s="4161">
        <f t="shared" si="15"/>
        <v>-977.46</v>
      </c>
      <c r="H78" s="4161">
        <v>-1269.01</v>
      </c>
      <c r="I78" s="4161">
        <v>291.55</v>
      </c>
      <c r="J78" s="4161">
        <f>2433.28+108.25</f>
        <v>2541.5300000000002</v>
      </c>
      <c r="K78" s="4161">
        <f>5478.98+10.7-3.73</f>
        <v>5485.95</v>
      </c>
      <c r="L78" s="1621"/>
      <c r="N78" s="3481"/>
      <c r="O78" s="3332"/>
      <c r="P78" s="3332"/>
      <c r="Q78" s="3332"/>
      <c r="R78" s="3332"/>
      <c r="S78" s="3332"/>
      <c r="T78" s="3332"/>
      <c r="U78" s="3332"/>
    </row>
    <row r="79" spans="1:21" s="1620" customFormat="1" ht="13.5" hidden="1" customHeight="1">
      <c r="A79" s="1405"/>
      <c r="B79" s="4166" t="s">
        <v>165</v>
      </c>
      <c r="C79" s="4167">
        <f t="shared" si="12"/>
        <v>11456.2</v>
      </c>
      <c r="D79" s="4161">
        <v>14928.34</v>
      </c>
      <c r="E79" s="4161">
        <f t="shared" si="17"/>
        <v>-3472.1400000000003</v>
      </c>
      <c r="F79" s="4161">
        <f t="shared" si="14"/>
        <v>1958.0299999999997</v>
      </c>
      <c r="G79" s="4161">
        <f t="shared" si="15"/>
        <v>-634.5</v>
      </c>
      <c r="H79" s="4161">
        <v>-926.52</v>
      </c>
      <c r="I79" s="4161">
        <v>292.02</v>
      </c>
      <c r="J79" s="4161">
        <f>[10]MSA!L76+[10]MSA!J76</f>
        <v>2592.5299999999997</v>
      </c>
      <c r="K79" s="4161">
        <f>[10]MSL!K75+[10]MSL!J75-[10]MSA!M76</f>
        <v>5430.17</v>
      </c>
      <c r="L79" s="1621"/>
      <c r="N79" s="3481"/>
      <c r="O79" s="3332"/>
      <c r="P79" s="3332"/>
      <c r="Q79" s="3332"/>
      <c r="R79" s="3332"/>
      <c r="S79" s="3332"/>
      <c r="T79" s="3332"/>
      <c r="U79" s="3332"/>
    </row>
    <row r="80" spans="1:21" s="1620" customFormat="1" ht="13.5" hidden="1" customHeight="1">
      <c r="A80" s="1402"/>
      <c r="B80" s="4166" t="s">
        <v>166</v>
      </c>
      <c r="C80" s="4167">
        <f t="shared" si="12"/>
        <v>11076.9</v>
      </c>
      <c r="D80" s="4161">
        <v>14348.48</v>
      </c>
      <c r="E80" s="4161">
        <f t="shared" si="17"/>
        <v>-3271.5800000000004</v>
      </c>
      <c r="F80" s="4161">
        <f t="shared" si="14"/>
        <v>2276.73</v>
      </c>
      <c r="G80" s="4161">
        <f t="shared" si="15"/>
        <v>-452.15000000000003</v>
      </c>
      <c r="H80" s="4161">
        <f>[10]MSA!G77</f>
        <v>-744.49</v>
      </c>
      <c r="I80" s="4161">
        <f>[10]MSA!I77</f>
        <v>292.33999999999997</v>
      </c>
      <c r="J80" s="4161">
        <f>[10]MSA!L77+[10]MSA!J77</f>
        <v>2728.88</v>
      </c>
      <c r="K80" s="4161">
        <f>[10]MSL!K76+[10]MSL!J76-[10]MSA!M77</f>
        <v>5548.31</v>
      </c>
      <c r="L80" s="1621"/>
      <c r="N80" s="3481"/>
      <c r="O80" s="3332"/>
      <c r="P80" s="3334"/>
      <c r="Q80" s="3336"/>
      <c r="R80" s="3334"/>
      <c r="S80" s="3333"/>
      <c r="T80" s="3333"/>
      <c r="U80" s="3333"/>
    </row>
    <row r="81" spans="1:21" s="1620" customFormat="1" ht="15" hidden="1" customHeight="1">
      <c r="A81" s="1402"/>
      <c r="B81" s="4166" t="s">
        <v>167</v>
      </c>
      <c r="C81" s="4167">
        <f t="shared" si="12"/>
        <v>12228.179999999998</v>
      </c>
      <c r="D81" s="4161">
        <v>14817.24</v>
      </c>
      <c r="E81" s="4161">
        <f t="shared" si="17"/>
        <v>-2589.0600000000009</v>
      </c>
      <c r="F81" s="4161">
        <f t="shared" si="14"/>
        <v>2265.98</v>
      </c>
      <c r="G81" s="4161">
        <f t="shared" si="15"/>
        <v>-454.63000000000005</v>
      </c>
      <c r="H81" s="4161">
        <f>[10]MSA!G78</f>
        <v>-726.71</v>
      </c>
      <c r="I81" s="4161">
        <f>[10]MSA!I78</f>
        <v>272.08</v>
      </c>
      <c r="J81" s="4161">
        <f>[10]MSA!L78+[10]MSA!J78</f>
        <v>2720.61</v>
      </c>
      <c r="K81" s="4161">
        <f>[10]MSL!K77+[10]MSL!J77-[10]MSA!M78</f>
        <v>4855.0400000000009</v>
      </c>
      <c r="L81" s="1621"/>
      <c r="N81" s="3481"/>
      <c r="O81" s="3332"/>
      <c r="P81" s="3337"/>
      <c r="Q81" s="3334"/>
      <c r="R81" s="3334"/>
      <c r="S81" s="3332"/>
      <c r="T81" s="3332"/>
      <c r="U81" s="3332"/>
    </row>
    <row r="82" spans="1:21" s="1620" customFormat="1" ht="14.25" hidden="1" customHeight="1">
      <c r="A82" s="1402"/>
      <c r="B82" s="4166" t="s">
        <v>168</v>
      </c>
      <c r="C82" s="4167">
        <f t="shared" si="12"/>
        <v>11002.89</v>
      </c>
      <c r="D82" s="4161">
        <f>[10]MSA!C79</f>
        <v>14129.11</v>
      </c>
      <c r="E82" s="4161">
        <f t="shared" si="17"/>
        <v>-3126.2200000000012</v>
      </c>
      <c r="F82" s="4161">
        <f t="shared" si="14"/>
        <v>2409.0299999999997</v>
      </c>
      <c r="G82" s="4161">
        <f t="shared" si="15"/>
        <v>-358.49999999999994</v>
      </c>
      <c r="H82" s="4161">
        <f>[10]MSA!G79</f>
        <v>-630.79999999999995</v>
      </c>
      <c r="I82" s="4161">
        <f>[10]MSA!I79</f>
        <v>272.3</v>
      </c>
      <c r="J82" s="4161">
        <f>[10]MSA!L79+[10]MSA!J79</f>
        <v>2767.5299999999997</v>
      </c>
      <c r="K82" s="4161">
        <f>[10]MSL!K78+[10]MSL!J78-[10]MSA!M79</f>
        <v>5535.2500000000009</v>
      </c>
      <c r="L82" s="1621"/>
      <c r="N82" s="3481"/>
      <c r="O82" s="3332"/>
      <c r="P82" s="3338"/>
      <c r="Q82" s="3336"/>
      <c r="R82" s="3339"/>
      <c r="S82" s="3336"/>
      <c r="T82" s="3339"/>
      <c r="U82" s="3332"/>
    </row>
    <row r="83" spans="1:21" s="1620" customFormat="1" ht="14.25" hidden="1" customHeight="1">
      <c r="A83" s="1402"/>
      <c r="B83" s="4166" t="s">
        <v>169</v>
      </c>
      <c r="C83" s="4167">
        <f t="shared" si="12"/>
        <v>11095.369999999999</v>
      </c>
      <c r="D83" s="4161">
        <f>[10]MSA!C80</f>
        <v>14270.35</v>
      </c>
      <c r="E83" s="4161">
        <f t="shared" si="17"/>
        <v>-3174.9800000000005</v>
      </c>
      <c r="F83" s="4161">
        <f t="shared" si="14"/>
        <v>2433.0100000000002</v>
      </c>
      <c r="G83" s="4161">
        <f t="shared" si="15"/>
        <v>-434.72</v>
      </c>
      <c r="H83" s="4161">
        <f>[10]MSA!G80</f>
        <v>-712.46</v>
      </c>
      <c r="I83" s="4161">
        <f>[10]MSA!I80</f>
        <v>277.74</v>
      </c>
      <c r="J83" s="4161">
        <f>[10]MSA!L80+[10]MSA!J80</f>
        <v>2867.73</v>
      </c>
      <c r="K83" s="4161">
        <f>[10]MSL!K79+[10]MSL!J79-[10]MSA!M80</f>
        <v>5607.9900000000007</v>
      </c>
      <c r="L83" s="1621"/>
      <c r="N83" s="3481"/>
      <c r="O83" s="3332"/>
      <c r="P83" s="3340"/>
      <c r="Q83" s="3335"/>
      <c r="R83" s="3335"/>
      <c r="S83" s="3341"/>
      <c r="T83" s="3341"/>
      <c r="U83" s="3332"/>
    </row>
    <row r="84" spans="1:21" s="1620" customFormat="1" ht="14.25" hidden="1" customHeight="1">
      <c r="A84" s="1402"/>
      <c r="B84" s="4166" t="s">
        <v>170</v>
      </c>
      <c r="C84" s="4167">
        <f t="shared" si="12"/>
        <v>12140.64</v>
      </c>
      <c r="D84" s="4161">
        <f>[10]MSA!C81</f>
        <v>15281.01</v>
      </c>
      <c r="E84" s="4161">
        <f t="shared" si="17"/>
        <v>-3140.3700000000003</v>
      </c>
      <c r="F84" s="4161">
        <f t="shared" si="14"/>
        <v>2223.77</v>
      </c>
      <c r="G84" s="4161">
        <f t="shared" si="15"/>
        <v>-627.54</v>
      </c>
      <c r="H84" s="4161">
        <f>[10]MSA!G81</f>
        <v>-988.49</v>
      </c>
      <c r="I84" s="4161">
        <f>[10]MSA!I81</f>
        <v>360.95</v>
      </c>
      <c r="J84" s="4161">
        <f>[10]MSA!L81+[10]MSA!J81</f>
        <v>2851.31</v>
      </c>
      <c r="K84" s="4161">
        <f>[10]MSL!K80+[10]MSL!J80-[10]MSA!M81</f>
        <v>5364.14</v>
      </c>
      <c r="L84" s="1621"/>
      <c r="N84" s="3481"/>
      <c r="O84" s="3332"/>
      <c r="P84" s="3340"/>
      <c r="Q84" s="3335"/>
      <c r="R84" s="3335"/>
      <c r="S84" s="3341"/>
      <c r="T84" s="3341"/>
      <c r="U84" s="3332"/>
    </row>
    <row r="85" spans="1:21" s="1620" customFormat="1" ht="14.25" hidden="1" customHeight="1">
      <c r="A85" s="1402"/>
      <c r="B85" s="4166" t="s">
        <v>171</v>
      </c>
      <c r="C85" s="4167">
        <f t="shared" si="12"/>
        <v>15618.679999999998</v>
      </c>
      <c r="D85" s="4161">
        <f>[10]MSA!C82</f>
        <v>15453.98</v>
      </c>
      <c r="E85" s="4161">
        <f t="shared" si="17"/>
        <v>164.69999999999936</v>
      </c>
      <c r="F85" s="4161">
        <f t="shared" si="14"/>
        <v>2235.2299999999996</v>
      </c>
      <c r="G85" s="4161">
        <f t="shared" si="15"/>
        <v>-769.24</v>
      </c>
      <c r="H85" s="4161">
        <f>[10]MSA!G82</f>
        <v>-1041.1600000000001</v>
      </c>
      <c r="I85" s="4161">
        <f>[10]MSA!I82</f>
        <v>271.92</v>
      </c>
      <c r="J85" s="4161">
        <f>[10]MSA!L82+[10]MSA!J82</f>
        <v>3004.47</v>
      </c>
      <c r="K85" s="4161">
        <f>[10]MSL!K81+[10]MSL!J81-[10]MSA!M82</f>
        <v>2070.5300000000002</v>
      </c>
      <c r="L85" s="1621"/>
      <c r="N85" s="3481"/>
      <c r="O85" s="3332"/>
      <c r="P85" s="3340"/>
      <c r="Q85" s="3335"/>
      <c r="R85" s="3335"/>
      <c r="S85" s="3341"/>
      <c r="T85" s="3341"/>
      <c r="U85" s="3332"/>
    </row>
    <row r="86" spans="1:21" s="1620" customFormat="1" ht="14.25" hidden="1" customHeight="1">
      <c r="A86" s="1402"/>
      <c r="B86" s="4166">
        <v>2002</v>
      </c>
      <c r="C86" s="4167">
        <f t="shared" si="12"/>
        <v>13875.660000000003</v>
      </c>
      <c r="D86" s="4161">
        <f>[10]MSA!C83</f>
        <v>17303.730000000003</v>
      </c>
      <c r="E86" s="4161">
        <f t="shared" si="17"/>
        <v>-3428.07</v>
      </c>
      <c r="F86" s="4161">
        <f t="shared" si="14"/>
        <v>2945.2999999999997</v>
      </c>
      <c r="G86" s="4161">
        <f t="shared" si="15"/>
        <v>-203.94000000000003</v>
      </c>
      <c r="H86" s="4161">
        <f>[10]MSA!G83</f>
        <v>-455.91</v>
      </c>
      <c r="I86" s="4161">
        <f>[10]MSA!I83</f>
        <v>251.97</v>
      </c>
      <c r="J86" s="4161">
        <f>[10]MSA!L83+[10]MSA!J83</f>
        <v>3149.24</v>
      </c>
      <c r="K86" s="4161">
        <f>[10]MSL!K82+[10]MSL!J82-[10]MSA!M83</f>
        <v>6373.37</v>
      </c>
      <c r="L86" s="1621"/>
      <c r="N86" s="3481"/>
      <c r="O86" s="3332"/>
      <c r="P86" s="3340"/>
      <c r="Q86" s="3335"/>
      <c r="R86" s="3335"/>
      <c r="S86" s="3341"/>
      <c r="T86" s="3341"/>
      <c r="U86" s="3332"/>
    </row>
    <row r="87" spans="1:21" s="1620" customFormat="1" ht="14.25" hidden="1" customHeight="1">
      <c r="A87" s="1402"/>
      <c r="B87" s="4166">
        <v>2003</v>
      </c>
      <c r="C87" s="4167"/>
      <c r="D87" s="4161"/>
      <c r="E87" s="4161"/>
      <c r="F87" s="4161"/>
      <c r="G87" s="4161"/>
      <c r="H87" s="4161"/>
      <c r="I87" s="4161"/>
      <c r="J87" s="4161"/>
      <c r="K87" s="4161"/>
      <c r="L87" s="1621"/>
      <c r="N87" s="3481"/>
      <c r="O87" s="3332"/>
      <c r="P87" s="3340"/>
      <c r="Q87" s="3335"/>
      <c r="R87" s="3335"/>
      <c r="S87" s="3341"/>
      <c r="T87" s="3341"/>
      <c r="U87" s="3332"/>
    </row>
    <row r="88" spans="1:21" s="1620" customFormat="1" ht="15.75" hidden="1" customHeight="1">
      <c r="A88" s="1402"/>
      <c r="B88" s="4166" t="s">
        <v>161</v>
      </c>
      <c r="C88" s="4167">
        <f t="shared" ref="C88:C98" si="18">D88+E88</f>
        <v>14578.770193389999</v>
      </c>
      <c r="D88" s="4161">
        <f>[10]MSA!C85</f>
        <v>16787.431910120002</v>
      </c>
      <c r="E88" s="4161">
        <f t="shared" ref="E88:E99" si="19">F88-K88</f>
        <v>-2208.6617167300037</v>
      </c>
      <c r="F88" s="4161">
        <f t="shared" ref="F88:F99" si="20">J88+G88</f>
        <v>4467.7472220900008</v>
      </c>
      <c r="G88" s="4161">
        <f t="shared" ref="G88:G99" si="21">H88+I88</f>
        <v>1331.2839389600001</v>
      </c>
      <c r="H88" s="4161">
        <f>[10]MSA!G85</f>
        <v>761.70800000000008</v>
      </c>
      <c r="I88" s="4161">
        <f>[10]MSA!H85</f>
        <v>569.57593896000003</v>
      </c>
      <c r="J88" s="4161">
        <f>[10]MSA!K85</f>
        <v>3136.4632831300005</v>
      </c>
      <c r="K88" s="4161">
        <f>[10]MSL!I84</f>
        <v>6676.4089388200046</v>
      </c>
      <c r="L88" s="2737"/>
      <c r="N88" s="3481"/>
      <c r="O88" s="3332"/>
      <c r="P88" s="3340"/>
      <c r="Q88" s="3335"/>
      <c r="R88" s="3335"/>
      <c r="S88" s="3341"/>
      <c r="T88" s="3341"/>
      <c r="U88" s="3332"/>
    </row>
    <row r="89" spans="1:21" s="1620" customFormat="1" ht="14.25" hidden="1" customHeight="1">
      <c r="A89" s="1402"/>
      <c r="B89" s="4166" t="s">
        <v>162</v>
      </c>
      <c r="C89" s="4167">
        <f t="shared" si="18"/>
        <v>14081.267668499999</v>
      </c>
      <c r="D89" s="4161">
        <f>[10]MSA!C86</f>
        <v>16066.64925889</v>
      </c>
      <c r="E89" s="4161">
        <f t="shared" si="19"/>
        <v>-1985.3815903900013</v>
      </c>
      <c r="F89" s="4161">
        <f t="shared" si="20"/>
        <v>4565.9243260399999</v>
      </c>
      <c r="G89" s="4161">
        <f t="shared" si="21"/>
        <v>1372.6378676499999</v>
      </c>
      <c r="H89" s="4161">
        <f>[10]MSA!G86</f>
        <v>801.19399999999996</v>
      </c>
      <c r="I89" s="4161">
        <f>[10]MSA!H86</f>
        <v>571.44386765000002</v>
      </c>
      <c r="J89" s="4161">
        <f>[10]MSA!K86</f>
        <v>3193.28645839</v>
      </c>
      <c r="K89" s="4161">
        <f>[10]MSL!I85</f>
        <v>6551.3059164300012</v>
      </c>
      <c r="L89" s="2737"/>
      <c r="N89" s="3481"/>
      <c r="O89" s="3332"/>
      <c r="P89" s="3340"/>
      <c r="Q89" s="3335"/>
      <c r="R89" s="3335"/>
      <c r="S89" s="3341"/>
      <c r="T89" s="3341"/>
      <c r="U89" s="3332"/>
    </row>
    <row r="90" spans="1:21" s="1620" customFormat="1" ht="14.25" hidden="1" customHeight="1">
      <c r="A90" s="1402"/>
      <c r="B90" s="4166" t="s">
        <v>163</v>
      </c>
      <c r="C90" s="4167">
        <f t="shared" si="18"/>
        <v>14174.579575829999</v>
      </c>
      <c r="D90" s="4161">
        <f>[10]MSA!C87</f>
        <v>15660.179761289999</v>
      </c>
      <c r="E90" s="4161">
        <f t="shared" si="19"/>
        <v>-1485.6001854599999</v>
      </c>
      <c r="F90" s="4161">
        <f t="shared" si="20"/>
        <v>4886.1112141000003</v>
      </c>
      <c r="G90" s="4161">
        <f t="shared" si="21"/>
        <v>1633.6905626699997</v>
      </c>
      <c r="H90" s="4161">
        <f>[10]MSA!G87</f>
        <v>1055.9889010799998</v>
      </c>
      <c r="I90" s="4161">
        <f>[10]MSA!H87</f>
        <v>577.70166158999996</v>
      </c>
      <c r="J90" s="4161">
        <f>[10]MSA!K87</f>
        <v>3252.4206514300004</v>
      </c>
      <c r="K90" s="4161">
        <f>[10]MSL!I86</f>
        <v>6371.7113995600002</v>
      </c>
      <c r="L90" s="2737"/>
      <c r="N90" s="3481"/>
      <c r="O90" s="3332"/>
      <c r="P90" s="3340"/>
      <c r="Q90" s="3335"/>
      <c r="R90" s="3335"/>
      <c r="S90" s="3341"/>
      <c r="T90" s="3341"/>
      <c r="U90" s="3332"/>
    </row>
    <row r="91" spans="1:21" s="1620" customFormat="1" ht="14.25" hidden="1" customHeight="1">
      <c r="A91" s="1402"/>
      <c r="B91" s="4166" t="s">
        <v>164</v>
      </c>
      <c r="C91" s="4167">
        <f t="shared" si="18"/>
        <v>15560.784412409999</v>
      </c>
      <c r="D91" s="4161">
        <f>[10]MSA!C88</f>
        <v>17790.538244799998</v>
      </c>
      <c r="E91" s="4161">
        <f t="shared" si="19"/>
        <v>-2229.7538323899989</v>
      </c>
      <c r="F91" s="4161">
        <f t="shared" si="20"/>
        <v>4563.1673449200007</v>
      </c>
      <c r="G91" s="4161">
        <f t="shared" si="21"/>
        <v>1310.97580578</v>
      </c>
      <c r="H91" s="4161">
        <f>[10]MSA!G88</f>
        <v>690.30755879000003</v>
      </c>
      <c r="I91" s="4161">
        <f>[10]MSA!H88</f>
        <v>620.66824699000006</v>
      </c>
      <c r="J91" s="4161">
        <f>[10]MSA!K88</f>
        <v>3252.1915391400007</v>
      </c>
      <c r="K91" s="4161">
        <f>[10]MSL!I87</f>
        <v>6792.9211773099996</v>
      </c>
      <c r="L91" s="2737"/>
      <c r="N91" s="3481"/>
      <c r="O91" s="3332"/>
      <c r="P91" s="3340"/>
      <c r="Q91" s="3335"/>
      <c r="R91" s="3335"/>
      <c r="S91" s="3341"/>
      <c r="T91" s="3341"/>
      <c r="U91" s="3332"/>
    </row>
    <row r="92" spans="1:21" s="1620" customFormat="1" ht="14.25" hidden="1" customHeight="1">
      <c r="A92" s="1402"/>
      <c r="B92" s="4166" t="s">
        <v>165</v>
      </c>
      <c r="C92" s="4167">
        <f t="shared" si="18"/>
        <v>16350.80986478</v>
      </c>
      <c r="D92" s="4161">
        <f>[10]MSA!C89</f>
        <v>16553.10882917</v>
      </c>
      <c r="E92" s="4161">
        <f t="shared" si="19"/>
        <v>-202.29896438999913</v>
      </c>
      <c r="F92" s="4161">
        <f t="shared" si="20"/>
        <v>5015.5618647200008</v>
      </c>
      <c r="G92" s="4161">
        <f t="shared" si="21"/>
        <v>1696.7318167799999</v>
      </c>
      <c r="H92" s="4161">
        <f>[10]MSA!G89</f>
        <v>967.05470616999992</v>
      </c>
      <c r="I92" s="4161">
        <f>[10]MSA!H89</f>
        <v>729.67711061</v>
      </c>
      <c r="J92" s="4161">
        <f>[10]MSA!K89</f>
        <v>3318.8300479400004</v>
      </c>
      <c r="K92" s="4161">
        <f>[10]MSL!I88</f>
        <v>5217.8608291099999</v>
      </c>
      <c r="L92" s="2737"/>
      <c r="N92" s="3481"/>
      <c r="O92" s="3332"/>
      <c r="P92" s="3340"/>
      <c r="Q92" s="3335"/>
      <c r="R92" s="3335"/>
      <c r="S92" s="3341"/>
      <c r="T92" s="3341"/>
      <c r="U92" s="3332"/>
    </row>
    <row r="93" spans="1:21" s="1620" customFormat="1" ht="14.25" hidden="1" customHeight="1">
      <c r="A93" s="1402"/>
      <c r="B93" s="4166" t="s">
        <v>166</v>
      </c>
      <c r="C93" s="4167">
        <f t="shared" si="18"/>
        <v>15904.65763034</v>
      </c>
      <c r="D93" s="4161">
        <f>[10]MSA!C90</f>
        <v>17519.765861289998</v>
      </c>
      <c r="E93" s="4161">
        <f t="shared" si="19"/>
        <v>-1615.108230949998</v>
      </c>
      <c r="F93" s="4161">
        <f t="shared" si="20"/>
        <v>5357.1029460899999</v>
      </c>
      <c r="G93" s="4161">
        <f t="shared" si="21"/>
        <v>1881.6384803899998</v>
      </c>
      <c r="H93" s="4161">
        <f>[10]MSA!G90</f>
        <v>1234.4043104099999</v>
      </c>
      <c r="I93" s="4161">
        <f>[10]MSA!H90</f>
        <v>647.23416997999993</v>
      </c>
      <c r="J93" s="4161">
        <f>[10]MSA!K90</f>
        <v>3475.4644657000003</v>
      </c>
      <c r="K93" s="4161">
        <f>[10]MSL!I89</f>
        <v>6972.2111770399979</v>
      </c>
      <c r="L93" s="2737"/>
      <c r="N93" s="3481"/>
      <c r="O93" s="3332"/>
      <c r="P93" s="3340"/>
      <c r="Q93" s="3335"/>
      <c r="R93" s="3335"/>
      <c r="S93" s="3341"/>
      <c r="T93" s="3341"/>
      <c r="U93" s="3332"/>
    </row>
    <row r="94" spans="1:21" s="1620" customFormat="1" ht="14.25" hidden="1" customHeight="1">
      <c r="A94" s="1402"/>
      <c r="B94" s="4166" t="s">
        <v>167</v>
      </c>
      <c r="C94" s="4167">
        <f t="shared" si="18"/>
        <v>17121.987973720003</v>
      </c>
      <c r="D94" s="4161">
        <f>[10]MSA!C91</f>
        <v>17157.31344079</v>
      </c>
      <c r="E94" s="4161">
        <f t="shared" si="19"/>
        <v>-35.325467069995284</v>
      </c>
      <c r="F94" s="4161">
        <f t="shared" si="20"/>
        <v>5470.4984441500001</v>
      </c>
      <c r="G94" s="4161">
        <f t="shared" si="21"/>
        <v>1927.5393126800002</v>
      </c>
      <c r="H94" s="4161">
        <f>[10]MSA!G91</f>
        <v>1255.4069290400003</v>
      </c>
      <c r="I94" s="4161">
        <f>[10]MSA!H91</f>
        <v>672.13238363999994</v>
      </c>
      <c r="J94" s="4161">
        <f>[10]MSA!K91</f>
        <v>3542.9591314699996</v>
      </c>
      <c r="K94" s="4161">
        <f>[10]MSL!I90</f>
        <v>5505.8239112199954</v>
      </c>
      <c r="L94" s="2737"/>
      <c r="N94" s="3481"/>
      <c r="O94" s="3332"/>
      <c r="P94" s="3340"/>
      <c r="Q94" s="3335"/>
      <c r="R94" s="3335"/>
      <c r="S94" s="3341"/>
      <c r="T94" s="3341"/>
      <c r="U94" s="3332"/>
    </row>
    <row r="95" spans="1:21" s="1620" customFormat="1" ht="15.75" hidden="1" customHeight="1">
      <c r="A95" s="1402"/>
      <c r="B95" s="4166" t="s">
        <v>168</v>
      </c>
      <c r="C95" s="4167">
        <f t="shared" si="18"/>
        <v>16413.952485640002</v>
      </c>
      <c r="D95" s="4161">
        <f>[10]MSA!C92</f>
        <v>16156.297908439999</v>
      </c>
      <c r="E95" s="4161">
        <f t="shared" si="19"/>
        <v>257.6545772000045</v>
      </c>
      <c r="F95" s="4161">
        <f t="shared" si="20"/>
        <v>5777.2929684700011</v>
      </c>
      <c r="G95" s="4161">
        <f t="shared" si="21"/>
        <v>2139.3148664</v>
      </c>
      <c r="H95" s="4161">
        <f>[10]MSA!G92</f>
        <v>1494.9790622099999</v>
      </c>
      <c r="I95" s="4161">
        <f>[10]MSA!H92</f>
        <v>644.33580419000009</v>
      </c>
      <c r="J95" s="4161">
        <f>[10]MSA!K92</f>
        <v>3637.9781020700007</v>
      </c>
      <c r="K95" s="4161">
        <f>[10]MSL!I91</f>
        <v>5519.6383912699966</v>
      </c>
      <c r="L95" s="2737"/>
      <c r="N95" s="3481"/>
      <c r="O95" s="3332"/>
      <c r="P95" s="3340"/>
      <c r="Q95" s="3335"/>
      <c r="R95" s="3335"/>
      <c r="S95" s="3341"/>
      <c r="T95" s="3341"/>
      <c r="U95" s="3332"/>
    </row>
    <row r="96" spans="1:21" s="1620" customFormat="1" ht="15.75" hidden="1" customHeight="1">
      <c r="A96" s="1402"/>
      <c r="B96" s="4166" t="s">
        <v>169</v>
      </c>
      <c r="C96" s="4167">
        <f t="shared" si="18"/>
        <v>17381.003413160004</v>
      </c>
      <c r="D96" s="4161">
        <f>[10]MSA!C93</f>
        <v>17359.86819628</v>
      </c>
      <c r="E96" s="4161">
        <f t="shared" si="19"/>
        <v>21.135216880004918</v>
      </c>
      <c r="F96" s="4161">
        <f t="shared" si="20"/>
        <v>5254.617025470001</v>
      </c>
      <c r="G96" s="4161">
        <f t="shared" si="21"/>
        <v>1503.9261624400001</v>
      </c>
      <c r="H96" s="4161">
        <f>[10]MSA!G93</f>
        <v>1033.02718458</v>
      </c>
      <c r="I96" s="4161">
        <f>[10]MSA!H93</f>
        <v>470.89897786000006</v>
      </c>
      <c r="J96" s="4161">
        <f>[10]MSA!K93</f>
        <v>3750.6908630300004</v>
      </c>
      <c r="K96" s="4161">
        <f>[10]MSL!I92</f>
        <v>5233.481808589996</v>
      </c>
      <c r="L96" s="2737"/>
      <c r="N96" s="3481"/>
      <c r="O96" s="3332"/>
      <c r="P96" s="3340"/>
      <c r="Q96" s="3335"/>
      <c r="R96" s="3335"/>
      <c r="S96" s="3341"/>
      <c r="T96" s="3341"/>
      <c r="U96" s="3332"/>
    </row>
    <row r="97" spans="1:21" s="1620" customFormat="1" ht="15.75" hidden="1" customHeight="1">
      <c r="A97" s="1402"/>
      <c r="B97" s="4166" t="s">
        <v>170</v>
      </c>
      <c r="C97" s="4167">
        <f t="shared" si="18"/>
        <v>16611.264099480002</v>
      </c>
      <c r="D97" s="4161">
        <f>[10]MSA!C94</f>
        <v>15771.717497109999</v>
      </c>
      <c r="E97" s="4161">
        <f t="shared" si="19"/>
        <v>839.54660237000462</v>
      </c>
      <c r="F97" s="4161">
        <f t="shared" si="20"/>
        <v>6577.0724872400006</v>
      </c>
      <c r="G97" s="4161">
        <f t="shared" si="21"/>
        <v>2804.0076933999994</v>
      </c>
      <c r="H97" s="4161">
        <f>[10]MSA!G94</f>
        <v>1951.4542617599996</v>
      </c>
      <c r="I97" s="4161">
        <f>[10]MSA!H94</f>
        <v>852.55343163999987</v>
      </c>
      <c r="J97" s="4161">
        <f>[10]MSA!K94</f>
        <v>3773.0647938400007</v>
      </c>
      <c r="K97" s="4161">
        <f>[10]MSL!I93</f>
        <v>5737.5258848699959</v>
      </c>
      <c r="L97" s="2737"/>
      <c r="N97" s="3481"/>
      <c r="O97" s="3332"/>
      <c r="P97" s="3340"/>
      <c r="Q97" s="3335"/>
      <c r="R97" s="3335"/>
      <c r="S97" s="3341"/>
      <c r="T97" s="3341"/>
      <c r="U97" s="3332"/>
    </row>
    <row r="98" spans="1:21" s="1620" customFormat="1" ht="15.75" hidden="1" customHeight="1">
      <c r="A98" s="1402"/>
      <c r="B98" s="4166" t="s">
        <v>171</v>
      </c>
      <c r="C98" s="4167">
        <f t="shared" si="18"/>
        <v>16898.223147050005</v>
      </c>
      <c r="D98" s="4161">
        <f>[10]MSA!C95</f>
        <v>16671.97128967</v>
      </c>
      <c r="E98" s="4161">
        <f t="shared" si="19"/>
        <v>226.25185738000437</v>
      </c>
      <c r="F98" s="4161">
        <f t="shared" si="20"/>
        <v>5582.4220007699996</v>
      </c>
      <c r="G98" s="4161">
        <f t="shared" si="21"/>
        <v>1599.0925337999997</v>
      </c>
      <c r="H98" s="4161">
        <f>[10]MSA!G95</f>
        <v>729.67380673999992</v>
      </c>
      <c r="I98" s="4161">
        <f>[10]MSA!H95</f>
        <v>869.41872705999992</v>
      </c>
      <c r="J98" s="4161">
        <f>[10]MSA!K95</f>
        <v>3983.3294669699999</v>
      </c>
      <c r="K98" s="4161">
        <f>[10]MSL!I94</f>
        <v>5356.1701433899952</v>
      </c>
      <c r="L98" s="2737"/>
      <c r="N98" s="3481"/>
      <c r="O98" s="3332"/>
      <c r="P98" s="3340"/>
      <c r="Q98" s="3335"/>
      <c r="R98" s="3335"/>
      <c r="S98" s="3341"/>
      <c r="T98" s="3341"/>
      <c r="U98" s="3332"/>
    </row>
    <row r="99" spans="1:21" s="1620" customFormat="1" ht="15.75" hidden="1">
      <c r="A99" s="1402"/>
      <c r="B99" s="4166">
        <v>2003</v>
      </c>
      <c r="C99" s="4167">
        <f>D99+E99</f>
        <v>15796.904161449998</v>
      </c>
      <c r="D99" s="4161">
        <f>[10]MSA!C96</f>
        <v>16802.830873309998</v>
      </c>
      <c r="E99" s="4161">
        <f t="shared" si="19"/>
        <v>-1005.9267118600001</v>
      </c>
      <c r="F99" s="4161">
        <f t="shared" si="20"/>
        <v>5313.5498451599997</v>
      </c>
      <c r="G99" s="4161">
        <f t="shared" si="21"/>
        <v>1295.64516108</v>
      </c>
      <c r="H99" s="4161">
        <f>[10]MSA!G96</f>
        <v>387.58973120000002</v>
      </c>
      <c r="I99" s="4161">
        <f>[10]MSA!H96</f>
        <v>908.05542988000002</v>
      </c>
      <c r="J99" s="4161">
        <f>[10]MSA!K96</f>
        <v>4017.9046840800002</v>
      </c>
      <c r="K99" s="4161">
        <f>[10]MSL!I95</f>
        <v>6319.4765570199997</v>
      </c>
      <c r="L99" s="2737"/>
      <c r="N99" s="3481"/>
      <c r="O99" s="3332"/>
      <c r="P99" s="3340"/>
      <c r="Q99" s="3335"/>
      <c r="R99" s="3335"/>
      <c r="S99" s="3341"/>
      <c r="T99" s="3341"/>
      <c r="U99" s="3332"/>
    </row>
    <row r="100" spans="1:21" s="1620" customFormat="1" ht="15.75" hidden="1" customHeight="1">
      <c r="A100" s="1402"/>
      <c r="B100" s="4166">
        <v>2004</v>
      </c>
      <c r="C100" s="4167"/>
      <c r="D100" s="4161"/>
      <c r="E100" s="4161"/>
      <c r="F100" s="4161"/>
      <c r="G100" s="4161"/>
      <c r="H100" s="4161"/>
      <c r="I100" s="4161"/>
      <c r="J100" s="4161">
        <f>[10]MSA!K97</f>
        <v>0</v>
      </c>
      <c r="K100" s="4161">
        <f>[10]MSL!I96</f>
        <v>0</v>
      </c>
      <c r="L100" s="2738"/>
      <c r="N100" s="3481"/>
      <c r="O100" s="3332"/>
      <c r="P100" s="3340"/>
      <c r="Q100" s="3335"/>
      <c r="R100" s="3335"/>
      <c r="S100" s="3341"/>
      <c r="T100" s="3341"/>
      <c r="U100" s="3332"/>
    </row>
    <row r="101" spans="1:21" s="1620" customFormat="1" ht="15.75" hidden="1" customHeight="1">
      <c r="A101" s="1402"/>
      <c r="B101" s="4166" t="s">
        <v>161</v>
      </c>
      <c r="C101" s="4167">
        <f t="shared" ref="C101:C112" si="22">D101+E101</f>
        <v>16717.734814390002</v>
      </c>
      <c r="D101" s="4161">
        <f>[10]MSA!C98</f>
        <v>17867.241480740002</v>
      </c>
      <c r="E101" s="4161">
        <f t="shared" ref="E101:E112" si="23">F101-K101</f>
        <v>-1149.5066663499983</v>
      </c>
      <c r="F101" s="4161">
        <f t="shared" ref="F101:F112" si="24">J101+G101</f>
        <v>4969.8205860799999</v>
      </c>
      <c r="G101" s="4161">
        <f t="shared" ref="G101:G112" si="25">H101+I101</f>
        <v>894.28221789999986</v>
      </c>
      <c r="H101" s="4161">
        <f>[10]MSA!G98</f>
        <v>28.614047699999901</v>
      </c>
      <c r="I101" s="4161">
        <f>[10]MSA!H98</f>
        <v>865.66817019999996</v>
      </c>
      <c r="J101" s="4161">
        <f>[10]MSA!K98</f>
        <v>4075.5383681799999</v>
      </c>
      <c r="K101" s="4161">
        <f>[10]MSL!I97</f>
        <v>6119.3272524299982</v>
      </c>
      <c r="L101" s="2737"/>
      <c r="N101" s="3481"/>
      <c r="O101" s="3332"/>
      <c r="P101" s="3340"/>
      <c r="Q101" s="3335"/>
      <c r="R101" s="3335"/>
      <c r="S101" s="3341"/>
      <c r="T101" s="3341"/>
      <c r="U101" s="3332"/>
    </row>
    <row r="102" spans="1:21" s="1620" customFormat="1" ht="15.75" hidden="1" customHeight="1">
      <c r="A102" s="1402"/>
      <c r="B102" s="4166" t="s">
        <v>162</v>
      </c>
      <c r="C102" s="4167">
        <f t="shared" si="22"/>
        <v>16730.342765649992</v>
      </c>
      <c r="D102" s="4161">
        <f>[10]MSA!C99</f>
        <v>17847.334201539998</v>
      </c>
      <c r="E102" s="4161">
        <f t="shared" si="23"/>
        <v>-1116.9914358900041</v>
      </c>
      <c r="F102" s="4161">
        <f t="shared" si="24"/>
        <v>4426.2850940599992</v>
      </c>
      <c r="G102" s="4161">
        <f t="shared" si="25"/>
        <v>294.02115167000011</v>
      </c>
      <c r="H102" s="4161">
        <f>[10]MSA!G99</f>
        <v>-589.90911607999976</v>
      </c>
      <c r="I102" s="4161">
        <f>[10]MSA!H99</f>
        <v>883.93026774999987</v>
      </c>
      <c r="J102" s="4161">
        <f>[10]MSA!K99</f>
        <v>4132.2639423899991</v>
      </c>
      <c r="K102" s="4161">
        <f>[10]MSL!I98</f>
        <v>5543.2765299500034</v>
      </c>
      <c r="L102" s="2737"/>
      <c r="N102" s="3481"/>
      <c r="O102" s="3332"/>
      <c r="P102" s="3340"/>
      <c r="Q102" s="3335"/>
      <c r="R102" s="3335"/>
      <c r="S102" s="3341"/>
      <c r="T102" s="3341"/>
      <c r="U102" s="3332"/>
    </row>
    <row r="103" spans="1:21" s="1620" customFormat="1" ht="15.75" hidden="1" customHeight="1">
      <c r="A103" s="1402"/>
      <c r="B103" s="4166" t="s">
        <v>163</v>
      </c>
      <c r="C103" s="4167">
        <f t="shared" si="22"/>
        <v>16112.818657570004</v>
      </c>
      <c r="D103" s="4161">
        <f>[10]MSA!C100</f>
        <v>17258.4960536</v>
      </c>
      <c r="E103" s="4161">
        <f t="shared" si="23"/>
        <v>-1145.6773960299961</v>
      </c>
      <c r="F103" s="4161">
        <f t="shared" si="24"/>
        <v>4756.7939535199994</v>
      </c>
      <c r="G103" s="4161">
        <f t="shared" si="25"/>
        <v>386.84634311000013</v>
      </c>
      <c r="H103" s="4161">
        <f>[10]MSA!G100</f>
        <v>-484.31237685999986</v>
      </c>
      <c r="I103" s="4161">
        <f>[10]MSA!H100</f>
        <v>871.15871996999999</v>
      </c>
      <c r="J103" s="4161">
        <f>[10]MSA!K100</f>
        <v>4369.9476104099995</v>
      </c>
      <c r="K103" s="4161">
        <f>[10]MSL!I99</f>
        <v>5902.4713495499955</v>
      </c>
      <c r="L103" s="2737"/>
      <c r="N103" s="3481"/>
      <c r="O103" s="3332"/>
      <c r="P103" s="3340"/>
      <c r="Q103" s="3335"/>
      <c r="R103" s="3335"/>
      <c r="S103" s="3341"/>
      <c r="T103" s="3341"/>
      <c r="U103" s="3332"/>
    </row>
    <row r="104" spans="1:21" s="1620" customFormat="1" ht="15.75" hidden="1" customHeight="1">
      <c r="A104" s="1402"/>
      <c r="B104" s="4166" t="s">
        <v>164</v>
      </c>
      <c r="C104" s="4167">
        <f t="shared" si="22"/>
        <v>18245.877553630002</v>
      </c>
      <c r="D104" s="4161">
        <f>[10]MSA!C101</f>
        <v>17647.085601520001</v>
      </c>
      <c r="E104" s="4161">
        <f t="shared" si="23"/>
        <v>598.79195210999933</v>
      </c>
      <c r="F104" s="4161">
        <f t="shared" si="24"/>
        <v>5141.5687490499995</v>
      </c>
      <c r="G104" s="4161">
        <f t="shared" si="25"/>
        <v>737.12947492999979</v>
      </c>
      <c r="H104" s="4161">
        <f>[10]MSA!G101</f>
        <v>-154.36900000000014</v>
      </c>
      <c r="I104" s="4161">
        <f>[10]MSA!H101</f>
        <v>891.49847492999993</v>
      </c>
      <c r="J104" s="4161">
        <f>[10]MSA!K101</f>
        <v>4404.4392741199999</v>
      </c>
      <c r="K104" s="4161">
        <f>[10]MSL!I100</f>
        <v>4542.7767969400002</v>
      </c>
      <c r="L104" s="2737"/>
      <c r="N104" s="3481"/>
      <c r="O104" s="3332"/>
      <c r="P104" s="3340"/>
      <c r="Q104" s="3335"/>
      <c r="R104" s="3335"/>
      <c r="S104" s="3341"/>
      <c r="T104" s="3341"/>
      <c r="U104" s="3332"/>
    </row>
    <row r="105" spans="1:21" s="1620" customFormat="1" ht="15.75" hidden="1" customHeight="1">
      <c r="A105" s="1402"/>
      <c r="B105" s="4166" t="s">
        <v>165</v>
      </c>
      <c r="C105" s="4167">
        <f t="shared" si="22"/>
        <v>17038.366468849999</v>
      </c>
      <c r="D105" s="4161">
        <f>[10]MSA!C102</f>
        <v>17263.884260269999</v>
      </c>
      <c r="E105" s="4161">
        <f t="shared" si="23"/>
        <v>-225.5177914199985</v>
      </c>
      <c r="F105" s="4161">
        <f t="shared" si="24"/>
        <v>5473.8273888900003</v>
      </c>
      <c r="G105" s="4161">
        <f t="shared" si="25"/>
        <v>994.35119714999996</v>
      </c>
      <c r="H105" s="4161">
        <f>[10]MSA!G102</f>
        <v>98.700999999999908</v>
      </c>
      <c r="I105" s="4161">
        <f>[10]MSA!H102</f>
        <v>895.65019715000005</v>
      </c>
      <c r="J105" s="4161">
        <f>[10]MSA!K102</f>
        <v>4479.4761917400001</v>
      </c>
      <c r="K105" s="4161">
        <f>[10]MSL!I101</f>
        <v>5699.3451803099988</v>
      </c>
      <c r="L105" s="2737"/>
      <c r="N105" s="3481"/>
      <c r="O105" s="3332"/>
      <c r="P105" s="3340"/>
      <c r="Q105" s="3335"/>
      <c r="R105" s="3335"/>
      <c r="S105" s="3341"/>
      <c r="T105" s="3341"/>
      <c r="U105" s="3332"/>
    </row>
    <row r="106" spans="1:21" s="1620" customFormat="1" ht="15.75" hidden="1" customHeight="1">
      <c r="A106" s="1402"/>
      <c r="B106" s="4166" t="s">
        <v>166</v>
      </c>
      <c r="C106" s="4167">
        <f t="shared" si="22"/>
        <v>16592.661009060004</v>
      </c>
      <c r="D106" s="4161">
        <f>[10]MSA!C103</f>
        <v>16456.79068409</v>
      </c>
      <c r="E106" s="4161">
        <f t="shared" si="23"/>
        <v>135.87032497000564</v>
      </c>
      <c r="F106" s="4161">
        <f t="shared" si="24"/>
        <v>5929.4749632700004</v>
      </c>
      <c r="G106" s="4161">
        <f t="shared" si="25"/>
        <v>1405.4413359800001</v>
      </c>
      <c r="H106" s="4161">
        <f>[10]MSA!G103</f>
        <v>441.65800000000002</v>
      </c>
      <c r="I106" s="4161">
        <f>[10]MSA!H103</f>
        <v>963.78333597999995</v>
      </c>
      <c r="J106" s="4161">
        <f>[10]MSA!K103</f>
        <v>4524.0336272900004</v>
      </c>
      <c r="K106" s="4161">
        <f>[10]MSL!I102</f>
        <v>5793.6046382999948</v>
      </c>
      <c r="L106" s="2737"/>
      <c r="N106" s="3481"/>
      <c r="O106" s="3332"/>
      <c r="P106" s="3340"/>
      <c r="Q106" s="3335"/>
      <c r="R106" s="3335"/>
      <c r="S106" s="3341"/>
      <c r="T106" s="3341"/>
      <c r="U106" s="3332"/>
    </row>
    <row r="107" spans="1:21" s="1620" customFormat="1" ht="15.75" hidden="1" customHeight="1">
      <c r="A107" s="1402"/>
      <c r="B107" s="4166" t="s">
        <v>167</v>
      </c>
      <c r="C107" s="4167">
        <f t="shared" si="22"/>
        <v>16234.032255590002</v>
      </c>
      <c r="D107" s="4161">
        <f>[10]MSA!C104</f>
        <v>15396.256902879999</v>
      </c>
      <c r="E107" s="4161">
        <f t="shared" si="23"/>
        <v>837.77535271000397</v>
      </c>
      <c r="F107" s="4161">
        <f t="shared" si="24"/>
        <v>6110.4838001600001</v>
      </c>
      <c r="G107" s="4161">
        <f t="shared" si="25"/>
        <v>1472.5610227900002</v>
      </c>
      <c r="H107" s="4161">
        <f>[10]MSA!G104</f>
        <v>560.90000000000009</v>
      </c>
      <c r="I107" s="4161">
        <f>[10]MSA!H104</f>
        <v>911.66102279000006</v>
      </c>
      <c r="J107" s="4161">
        <f>[10]MSA!K104</f>
        <v>4637.9227773699995</v>
      </c>
      <c r="K107" s="4161">
        <f>[10]MSL!I103</f>
        <v>5272.7084474499961</v>
      </c>
      <c r="L107" s="2737"/>
      <c r="N107" s="3481"/>
      <c r="O107" s="3332"/>
      <c r="P107" s="3340"/>
      <c r="Q107" s="3335"/>
      <c r="R107" s="3335"/>
      <c r="S107" s="3341"/>
      <c r="T107" s="3341"/>
      <c r="U107" s="3332"/>
    </row>
    <row r="108" spans="1:21" s="1620" customFormat="1" ht="15.75" hidden="1" customHeight="1">
      <c r="A108" s="1402"/>
      <c r="B108" s="4166" t="s">
        <v>168</v>
      </c>
      <c r="C108" s="4167">
        <f t="shared" si="22"/>
        <v>16334.245540040003</v>
      </c>
      <c r="D108" s="4161">
        <f>[10]MSA!C105</f>
        <v>15804.83646599</v>
      </c>
      <c r="E108" s="4161">
        <f t="shared" si="23"/>
        <v>529.40907405000235</v>
      </c>
      <c r="F108" s="4161">
        <f t="shared" si="24"/>
        <v>6567.5578515600009</v>
      </c>
      <c r="G108" s="4161">
        <f t="shared" si="25"/>
        <v>1789.58212813</v>
      </c>
      <c r="H108" s="4161">
        <f>[10]MSA!G105</f>
        <v>863.375</v>
      </c>
      <c r="I108" s="4161">
        <f>[10]MSA!H105</f>
        <v>926.20712813</v>
      </c>
      <c r="J108" s="4161">
        <f>[10]MSA!K105</f>
        <v>4777.9757234300005</v>
      </c>
      <c r="K108" s="4161">
        <f>[10]MSL!I104</f>
        <v>6038.1487775099986</v>
      </c>
      <c r="L108" s="2737"/>
      <c r="N108" s="3481"/>
      <c r="O108" s="3332"/>
      <c r="P108" s="3340"/>
      <c r="Q108" s="3335"/>
      <c r="R108" s="3335"/>
      <c r="S108" s="3341"/>
      <c r="T108" s="3341"/>
      <c r="U108" s="3332"/>
    </row>
    <row r="109" spans="1:21" s="1620" customFormat="1" ht="15.75" hidden="1" customHeight="1">
      <c r="A109" s="1402"/>
      <c r="B109" s="4166" t="s">
        <v>169</v>
      </c>
      <c r="C109" s="4167">
        <f t="shared" si="22"/>
        <v>15390.82489249</v>
      </c>
      <c r="D109" s="4161">
        <f>[10]MSA!C106</f>
        <v>16192.673246670001</v>
      </c>
      <c r="E109" s="4161">
        <f t="shared" si="23"/>
        <v>-801.84835418000239</v>
      </c>
      <c r="F109" s="4161">
        <f t="shared" si="24"/>
        <v>6408.7930880999993</v>
      </c>
      <c r="G109" s="4161">
        <f t="shared" si="25"/>
        <v>1440.6116610399999</v>
      </c>
      <c r="H109" s="4161">
        <f>[10]MSA!G106</f>
        <v>514.09800000000007</v>
      </c>
      <c r="I109" s="4161">
        <f>[10]MSA!H106</f>
        <v>926.51366103999999</v>
      </c>
      <c r="J109" s="4161">
        <f>[10]MSA!K106</f>
        <v>4968.1814270599998</v>
      </c>
      <c r="K109" s="4161">
        <f>[10]MSL!I105</f>
        <v>7210.6414422800017</v>
      </c>
      <c r="L109" s="2737"/>
      <c r="N109" s="3481"/>
      <c r="O109" s="3332"/>
      <c r="P109" s="3340"/>
      <c r="Q109" s="3335"/>
      <c r="R109" s="3335"/>
      <c r="S109" s="3341"/>
      <c r="T109" s="3341"/>
      <c r="U109" s="3332"/>
    </row>
    <row r="110" spans="1:21" s="1620" customFormat="1" ht="18" hidden="1" customHeight="1">
      <c r="A110" s="1402"/>
      <c r="B110" s="4166" t="s">
        <v>170</v>
      </c>
      <c r="C110" s="4167">
        <f t="shared" si="22"/>
        <v>17994.544103659999</v>
      </c>
      <c r="D110" s="4161">
        <f>[10]MSA!C107</f>
        <v>17162.50578159</v>
      </c>
      <c r="E110" s="4161">
        <f t="shared" si="23"/>
        <v>832.03832206999778</v>
      </c>
      <c r="F110" s="4161">
        <f t="shared" si="24"/>
        <v>6756.4383386200006</v>
      </c>
      <c r="G110" s="4161">
        <f t="shared" si="25"/>
        <v>1748.54344696</v>
      </c>
      <c r="H110" s="4161">
        <f>[10]MSA!G107</f>
        <v>772.52595130999998</v>
      </c>
      <c r="I110" s="4161">
        <f>[10]MSA!H107</f>
        <v>976.01749565</v>
      </c>
      <c r="J110" s="4161">
        <f>[10]MSA!K107</f>
        <v>5007.8948916600002</v>
      </c>
      <c r="K110" s="4161">
        <f>[10]MSL!I106</f>
        <v>5924.4000165500029</v>
      </c>
      <c r="L110" s="2737"/>
      <c r="N110" s="3481"/>
      <c r="O110" s="3332"/>
      <c r="P110" s="3340"/>
      <c r="Q110" s="3335"/>
      <c r="R110" s="3335"/>
      <c r="S110" s="3341"/>
      <c r="T110" s="3341"/>
      <c r="U110" s="3332"/>
    </row>
    <row r="111" spans="1:21" s="1620" customFormat="1" ht="18" hidden="1" customHeight="1">
      <c r="A111" s="1402"/>
      <c r="B111" s="4166" t="s">
        <v>171</v>
      </c>
      <c r="C111" s="4167">
        <f t="shared" si="22"/>
        <v>19610.019660369999</v>
      </c>
      <c r="D111" s="4161">
        <f>[10]MSA!C108</f>
        <v>18124.485463509998</v>
      </c>
      <c r="E111" s="4161">
        <f t="shared" si="23"/>
        <v>1485.5341968600014</v>
      </c>
      <c r="F111" s="4161">
        <f t="shared" si="24"/>
        <v>6997.3043326299994</v>
      </c>
      <c r="G111" s="4161">
        <f t="shared" si="25"/>
        <v>1927.5206204000001</v>
      </c>
      <c r="H111" s="4161">
        <f>[10]MSA!G108</f>
        <v>963.5763491900002</v>
      </c>
      <c r="I111" s="4161">
        <f>[10]MSA!H108</f>
        <v>963.94427121000001</v>
      </c>
      <c r="J111" s="4161">
        <f>[10]MSA!K108</f>
        <v>5069.7837122299998</v>
      </c>
      <c r="K111" s="4161">
        <f>[10]MSL!I107</f>
        <v>5511.770135769998</v>
      </c>
      <c r="L111" s="2737"/>
      <c r="N111" s="3481"/>
      <c r="O111" s="3332"/>
      <c r="P111" s="3340"/>
      <c r="Q111" s="3335"/>
      <c r="R111" s="3335"/>
      <c r="S111" s="3341"/>
      <c r="T111" s="3341"/>
      <c r="U111" s="3332"/>
    </row>
    <row r="112" spans="1:21" s="1620" customFormat="1" ht="18" hidden="1" customHeight="1">
      <c r="A112" s="1402"/>
      <c r="B112" s="4166">
        <v>2004</v>
      </c>
      <c r="C112" s="4167">
        <f t="shared" si="22"/>
        <v>18428.941758519999</v>
      </c>
      <c r="D112" s="4161">
        <f>[10]MSA!C109</f>
        <v>17327.336808519998</v>
      </c>
      <c r="E112" s="4161">
        <f t="shared" si="23"/>
        <v>1101.6049500000026</v>
      </c>
      <c r="F112" s="4161">
        <f t="shared" si="24"/>
        <v>7547.4704859200001</v>
      </c>
      <c r="G112" s="4161">
        <f t="shared" si="25"/>
        <v>2387.7177877399999</v>
      </c>
      <c r="H112" s="4161">
        <f>[10]MSA!G109</f>
        <v>1470.1822806899997</v>
      </c>
      <c r="I112" s="4161">
        <f>[10]MSA!H109</f>
        <v>917.53550705000009</v>
      </c>
      <c r="J112" s="4161">
        <f>[10]MSA!K109</f>
        <v>5159.7526981800002</v>
      </c>
      <c r="K112" s="4161">
        <f>[10]MSL!I108</f>
        <v>6445.8655359199975</v>
      </c>
      <c r="L112" s="2737"/>
      <c r="N112" s="3481"/>
      <c r="O112" s="3332"/>
      <c r="P112" s="3340"/>
      <c r="Q112" s="3335"/>
      <c r="R112" s="3335"/>
      <c r="S112" s="3341"/>
      <c r="T112" s="3341"/>
      <c r="U112" s="3332"/>
    </row>
    <row r="113" spans="1:26" s="1620" customFormat="1" ht="18" hidden="1" customHeight="1">
      <c r="A113" s="1402"/>
      <c r="B113" s="4166">
        <v>2005</v>
      </c>
      <c r="C113" s="4167"/>
      <c r="D113" s="4161"/>
      <c r="E113" s="4161"/>
      <c r="F113" s="4161"/>
      <c r="G113" s="4161"/>
      <c r="H113" s="4161"/>
      <c r="I113" s="4161"/>
      <c r="J113" s="4161">
        <f>[10]MSA!K110</f>
        <v>0</v>
      </c>
      <c r="K113" s="4161">
        <f>[10]MSL!I109</f>
        <v>0</v>
      </c>
      <c r="L113" s="2737"/>
      <c r="N113" s="3481"/>
      <c r="O113" s="3332"/>
      <c r="P113" s="3340"/>
      <c r="Q113" s="3335"/>
      <c r="R113" s="3335"/>
      <c r="S113" s="3341"/>
      <c r="T113" s="3341"/>
      <c r="U113" s="3332"/>
    </row>
    <row r="114" spans="1:26" s="1620" customFormat="1" ht="18" hidden="1" customHeight="1">
      <c r="A114" s="1402"/>
      <c r="B114" s="4166" t="s">
        <v>161</v>
      </c>
      <c r="C114" s="4167">
        <f t="shared" ref="C114:C125" si="26">D114+E114</f>
        <v>18145.365899030006</v>
      </c>
      <c r="D114" s="4161">
        <f>[10]MSA!C111</f>
        <v>17335.075218029997</v>
      </c>
      <c r="E114" s="4161">
        <f t="shared" ref="E114:E125" si="27">F114-K114</f>
        <v>810.29068100000859</v>
      </c>
      <c r="F114" s="4161">
        <f t="shared" ref="F114:F125" si="28">J114+G114</f>
        <v>7093.8852795799994</v>
      </c>
      <c r="G114" s="4161">
        <f t="shared" ref="G114:G125" si="29">H114+I114</f>
        <v>1914.8474743599995</v>
      </c>
      <c r="H114" s="4161">
        <f>[10]MSA!G111</f>
        <v>932.95111893999956</v>
      </c>
      <c r="I114" s="4161">
        <f>[10]MSA!H111</f>
        <v>981.89635542000008</v>
      </c>
      <c r="J114" s="4161">
        <f>[10]MSA!K111</f>
        <v>5179.0378052199994</v>
      </c>
      <c r="K114" s="4161">
        <f>[10]MSL!I110</f>
        <v>6283.5945985799908</v>
      </c>
      <c r="L114" s="2737"/>
      <c r="N114" s="3481"/>
      <c r="O114" s="3332"/>
      <c r="P114" s="3340"/>
      <c r="Q114" s="3335"/>
      <c r="R114" s="3335"/>
      <c r="S114" s="3341"/>
      <c r="T114" s="3341"/>
      <c r="U114" s="3332"/>
    </row>
    <row r="115" spans="1:26" s="1620" customFormat="1" ht="18" hidden="1" customHeight="1">
      <c r="A115" s="1402"/>
      <c r="B115" s="4166" t="s">
        <v>162</v>
      </c>
      <c r="C115" s="4167">
        <f t="shared" si="26"/>
        <v>18241.466013680001</v>
      </c>
      <c r="D115" s="4161">
        <f>[10]MSA!C112</f>
        <v>19200.406992510001</v>
      </c>
      <c r="E115" s="4161">
        <f t="shared" si="27"/>
        <v>-958.94097882999904</v>
      </c>
      <c r="F115" s="4161">
        <f t="shared" si="28"/>
        <v>7211.65524086</v>
      </c>
      <c r="G115" s="4161">
        <f t="shared" si="29"/>
        <v>1923.78868457</v>
      </c>
      <c r="H115" s="4161">
        <f>[10]MSA!G112</f>
        <v>975.26636575999987</v>
      </c>
      <c r="I115" s="4161">
        <f>[10]MSA!H112</f>
        <v>948.52231881000012</v>
      </c>
      <c r="J115" s="4161">
        <f>[10]MSA!K112</f>
        <v>5287.8665562899996</v>
      </c>
      <c r="K115" s="4161">
        <f>[10]MSL!I111</f>
        <v>8170.5962196899991</v>
      </c>
      <c r="L115" s="2737"/>
      <c r="N115" s="3481"/>
      <c r="O115" s="3332"/>
      <c r="P115" s="3340"/>
      <c r="Q115" s="3335"/>
      <c r="R115" s="3335"/>
      <c r="S115" s="3341"/>
      <c r="T115" s="3341"/>
      <c r="U115" s="3332"/>
    </row>
    <row r="116" spans="1:26" s="1620" customFormat="1" ht="18" hidden="1" customHeight="1">
      <c r="A116" s="1402"/>
      <c r="B116" s="4166" t="s">
        <v>163</v>
      </c>
      <c r="C116" s="4167">
        <f t="shared" si="26"/>
        <v>18298.568756909997</v>
      </c>
      <c r="D116" s="4161">
        <f>[10]MSA!C113</f>
        <v>19561.421408319999</v>
      </c>
      <c r="E116" s="4161">
        <f t="shared" si="27"/>
        <v>-1262.8526514100031</v>
      </c>
      <c r="F116" s="4161">
        <f t="shared" si="28"/>
        <v>7873.8683316899987</v>
      </c>
      <c r="G116" s="4161">
        <f t="shared" si="29"/>
        <v>2412.3519279799998</v>
      </c>
      <c r="H116" s="4161">
        <f>[10]MSA!G113</f>
        <v>1486.8346094699998</v>
      </c>
      <c r="I116" s="4161">
        <f>[10]MSA!H113</f>
        <v>925.51731851000011</v>
      </c>
      <c r="J116" s="4161">
        <f>[10]MSA!K113</f>
        <v>5461.5164037099994</v>
      </c>
      <c r="K116" s="4161">
        <f>[10]MSL!I112</f>
        <v>9136.7209831000018</v>
      </c>
      <c r="L116" s="2737"/>
      <c r="N116" s="3481"/>
      <c r="O116" s="3332"/>
      <c r="P116" s="3340"/>
      <c r="Q116" s="3335"/>
      <c r="R116" s="3335"/>
      <c r="S116" s="3341"/>
      <c r="T116" s="3341"/>
      <c r="U116" s="3332"/>
    </row>
    <row r="117" spans="1:26" s="1620" customFormat="1" ht="18" hidden="1" customHeight="1">
      <c r="A117" s="1402"/>
      <c r="B117" s="4166" t="s">
        <v>164</v>
      </c>
      <c r="C117" s="4167">
        <f t="shared" si="26"/>
        <v>17375.470958460002</v>
      </c>
      <c r="D117" s="4161">
        <f>[10]MSA!C114</f>
        <v>18329.972557880003</v>
      </c>
      <c r="E117" s="4161">
        <f t="shared" si="27"/>
        <v>-954.50159942000028</v>
      </c>
      <c r="F117" s="4161">
        <f t="shared" si="28"/>
        <v>7386.0196103500002</v>
      </c>
      <c r="G117" s="4161">
        <f t="shared" si="29"/>
        <v>1805.6077005099999</v>
      </c>
      <c r="H117" s="4161">
        <f>[10]MSA!G114</f>
        <v>915.92956859999981</v>
      </c>
      <c r="I117" s="4161">
        <f>[10]MSA!H114</f>
        <v>889.67813191000005</v>
      </c>
      <c r="J117" s="4161">
        <f>[10]MSA!K114</f>
        <v>5580.4119098400006</v>
      </c>
      <c r="K117" s="4161">
        <f>[10]MSL!I113</f>
        <v>8340.5212097700005</v>
      </c>
      <c r="L117" s="2737"/>
      <c r="N117" s="3481"/>
      <c r="O117" s="3332"/>
      <c r="P117" s="3340"/>
      <c r="Q117" s="3335"/>
      <c r="R117" s="3335"/>
      <c r="S117" s="3341"/>
      <c r="T117" s="3341"/>
      <c r="U117" s="3332"/>
    </row>
    <row r="118" spans="1:26" s="1620" customFormat="1" ht="18" hidden="1" customHeight="1">
      <c r="A118" s="1402"/>
      <c r="B118" s="4166" t="s">
        <v>165</v>
      </c>
      <c r="C118" s="4167">
        <f t="shared" si="26"/>
        <v>18998.31654851</v>
      </c>
      <c r="D118" s="4161">
        <f>[10]MSA!C115</f>
        <v>16479.543946670001</v>
      </c>
      <c r="E118" s="4161">
        <f t="shared" si="27"/>
        <v>2518.7726018399999</v>
      </c>
      <c r="F118" s="4161">
        <f t="shared" si="28"/>
        <v>8150.6859992199988</v>
      </c>
      <c r="G118" s="4161">
        <f t="shared" si="29"/>
        <v>2538.0585671100002</v>
      </c>
      <c r="H118" s="4161">
        <f>[10]MSA!G115</f>
        <v>1606.9819400200001</v>
      </c>
      <c r="I118" s="4161">
        <f>[10]MSA!H115</f>
        <v>931.07662708999999</v>
      </c>
      <c r="J118" s="4161">
        <f>[10]MSA!K115</f>
        <v>5612.6274321099991</v>
      </c>
      <c r="K118" s="4161">
        <f>[10]MSL!I114</f>
        <v>5631.913397379999</v>
      </c>
      <c r="L118" s="2737"/>
      <c r="N118" s="3481"/>
      <c r="O118" s="3332"/>
      <c r="P118" s="3340"/>
      <c r="Q118" s="3335"/>
      <c r="R118" s="3335"/>
      <c r="S118" s="3341"/>
      <c r="T118" s="3341"/>
      <c r="U118" s="3332"/>
    </row>
    <row r="119" spans="1:26" s="1620" customFormat="1" ht="18" hidden="1" customHeight="1">
      <c r="A119" s="1402"/>
      <c r="B119" s="4166" t="s">
        <v>166</v>
      </c>
      <c r="C119" s="4167">
        <f t="shared" si="26"/>
        <v>18376.930689809997</v>
      </c>
      <c r="D119" s="4161">
        <f>[10]MSA!C116</f>
        <v>16397.208078830001</v>
      </c>
      <c r="E119" s="4161">
        <f t="shared" si="27"/>
        <v>1979.7226109799976</v>
      </c>
      <c r="F119" s="4161">
        <f t="shared" si="28"/>
        <v>8515.1222366700003</v>
      </c>
      <c r="G119" s="4161">
        <f t="shared" si="29"/>
        <v>2736.0231476099998</v>
      </c>
      <c r="H119" s="4161">
        <f>[10]MSA!G116</f>
        <v>1847.5434162699999</v>
      </c>
      <c r="I119" s="4161">
        <f>[10]MSA!H116</f>
        <v>888.47973134000006</v>
      </c>
      <c r="J119" s="4161">
        <f>[10]MSA!K116</f>
        <v>5779.0990890600006</v>
      </c>
      <c r="K119" s="4161">
        <f>[10]MSL!I115</f>
        <v>6535.3996256900027</v>
      </c>
      <c r="L119" s="2737"/>
      <c r="N119" s="3481"/>
      <c r="O119" s="3332"/>
      <c r="P119" s="3340"/>
      <c r="Q119" s="3335"/>
      <c r="R119" s="3335"/>
      <c r="S119" s="3341"/>
      <c r="T119" s="3341"/>
      <c r="U119" s="3332"/>
    </row>
    <row r="120" spans="1:26" s="1620" customFormat="1" ht="18" hidden="1" customHeight="1">
      <c r="A120" s="1402"/>
      <c r="B120" s="4166" t="s">
        <v>167</v>
      </c>
      <c r="C120" s="4167">
        <f t="shared" si="26"/>
        <v>18451.2641286</v>
      </c>
      <c r="D120" s="4161">
        <f>[10]MSA!C117</f>
        <v>17182.208882790001</v>
      </c>
      <c r="E120" s="4161">
        <f t="shared" si="27"/>
        <v>1269.0552458099992</v>
      </c>
      <c r="F120" s="4161">
        <f t="shared" si="28"/>
        <v>7645.2410828599996</v>
      </c>
      <c r="G120" s="4161">
        <f t="shared" si="29"/>
        <v>1823.4020821399999</v>
      </c>
      <c r="H120" s="4161">
        <f>[10]MSA!G117</f>
        <v>910.69100000000003</v>
      </c>
      <c r="I120" s="4161">
        <f>[10]MSA!H117</f>
        <v>912.71108214000003</v>
      </c>
      <c r="J120" s="4161">
        <f>[10]MSA!K117</f>
        <v>5821.8390007199996</v>
      </c>
      <c r="K120" s="4161">
        <f>[10]MSL!I116</f>
        <v>6376.1858370500004</v>
      </c>
      <c r="L120" s="2737"/>
      <c r="N120" s="3481"/>
      <c r="O120" s="3332"/>
      <c r="P120" s="3340"/>
      <c r="Q120" s="3335"/>
      <c r="R120" s="3335"/>
      <c r="S120" s="3341"/>
      <c r="T120" s="3341"/>
      <c r="U120" s="3332"/>
    </row>
    <row r="121" spans="1:26" s="1620" customFormat="1" ht="18" hidden="1" customHeight="1">
      <c r="A121" s="1402"/>
      <c r="B121" s="4166" t="s">
        <v>168</v>
      </c>
      <c r="C121" s="4167">
        <f t="shared" si="26"/>
        <v>17682.673120350002</v>
      </c>
      <c r="D121" s="4161">
        <f>[10]MSA!C118</f>
        <v>17640.65367924</v>
      </c>
      <c r="E121" s="4161">
        <f t="shared" si="27"/>
        <v>42.019441110001026</v>
      </c>
      <c r="F121" s="4161">
        <f t="shared" si="28"/>
        <v>7656.7045188299999</v>
      </c>
      <c r="G121" s="4161">
        <f t="shared" si="29"/>
        <v>1602.1476869500002</v>
      </c>
      <c r="H121" s="4161">
        <f>[10]MSA!G118</f>
        <v>686.17200000000003</v>
      </c>
      <c r="I121" s="4161">
        <f>[10]MSA!H118</f>
        <v>915.97568695000007</v>
      </c>
      <c r="J121" s="4161">
        <f>[10]MSA!K118</f>
        <v>6054.5568318799997</v>
      </c>
      <c r="K121" s="4161">
        <f>[10]MSL!I117</f>
        <v>7614.6850777199988</v>
      </c>
      <c r="L121" s="2737"/>
      <c r="N121" s="3481"/>
      <c r="O121" s="3332"/>
      <c r="P121" s="3340"/>
      <c r="Q121" s="3335"/>
      <c r="R121" s="3335"/>
      <c r="S121" s="3341"/>
      <c r="T121" s="3341"/>
      <c r="U121" s="3332"/>
    </row>
    <row r="122" spans="1:26" s="1620" customFormat="1" ht="18" hidden="1" customHeight="1">
      <c r="A122" s="1402"/>
      <c r="B122" s="4166" t="s">
        <v>169</v>
      </c>
      <c r="C122" s="4167">
        <f t="shared" si="26"/>
        <v>18037.224067440005</v>
      </c>
      <c r="D122" s="4161">
        <f>[10]MSA!C119</f>
        <v>18113.024024990002</v>
      </c>
      <c r="E122" s="4161">
        <f t="shared" si="27"/>
        <v>-75.799957549997089</v>
      </c>
      <c r="F122" s="4161">
        <f t="shared" si="28"/>
        <v>7399.3992504800008</v>
      </c>
      <c r="G122" s="4161">
        <f t="shared" si="29"/>
        <v>1180.0271266700001</v>
      </c>
      <c r="H122" s="4161">
        <f>[10]MSA!G119</f>
        <v>274.01199999999994</v>
      </c>
      <c r="I122" s="4161">
        <f>[10]MSA!H119</f>
        <v>906.01512667000009</v>
      </c>
      <c r="J122" s="4161">
        <f>[10]MSA!K119</f>
        <v>6219.3721238100006</v>
      </c>
      <c r="K122" s="4161">
        <f>[10]MSL!I118</f>
        <v>7475.1992080299979</v>
      </c>
      <c r="L122" s="2737"/>
      <c r="N122" s="3481"/>
      <c r="O122" s="3332"/>
      <c r="P122" s="3340"/>
      <c r="Q122" s="3335"/>
      <c r="R122" s="3335"/>
      <c r="S122" s="3341"/>
      <c r="T122" s="3341"/>
      <c r="U122" s="3332"/>
    </row>
    <row r="123" spans="1:26" s="1620" customFormat="1" ht="18" hidden="1" customHeight="1">
      <c r="A123" s="1402"/>
      <c r="B123" s="4166" t="s">
        <v>170</v>
      </c>
      <c r="C123" s="4167">
        <f t="shared" si="26"/>
        <v>18760.876153390003</v>
      </c>
      <c r="D123" s="4161">
        <f>[10]MSA!C120</f>
        <v>18991.251050610001</v>
      </c>
      <c r="E123" s="4161">
        <f t="shared" si="27"/>
        <v>-230.37489721999827</v>
      </c>
      <c r="F123" s="4161">
        <f t="shared" si="28"/>
        <v>7098.4081023399995</v>
      </c>
      <c r="G123" s="4161">
        <f t="shared" si="29"/>
        <v>787.32880421000004</v>
      </c>
      <c r="H123" s="4161">
        <f>[10]MSA!G120</f>
        <v>-162.33799999999997</v>
      </c>
      <c r="I123" s="4161">
        <f>[10]MSA!H120</f>
        <v>949.66680421000001</v>
      </c>
      <c r="J123" s="4161">
        <f>[10]MSA!K120</f>
        <v>6311.0792981299992</v>
      </c>
      <c r="K123" s="4161">
        <f>[10]MSL!I119</f>
        <v>7328.7829995599977</v>
      </c>
      <c r="L123" s="2737"/>
      <c r="N123" s="3481"/>
      <c r="O123" s="3332"/>
      <c r="P123" s="3340"/>
      <c r="Q123" s="3335"/>
      <c r="R123" s="3335"/>
      <c r="S123" s="3341"/>
      <c r="T123" s="3341"/>
      <c r="U123" s="3332"/>
    </row>
    <row r="124" spans="1:26" s="1620" customFormat="1" ht="18" hidden="1" customHeight="1">
      <c r="A124" s="1402"/>
      <c r="B124" s="4166" t="s">
        <v>171</v>
      </c>
      <c r="C124" s="4167">
        <f t="shared" si="26"/>
        <v>21546.524521209998</v>
      </c>
      <c r="D124" s="4161">
        <f>[10]MSA!C121</f>
        <v>21805.597058440002</v>
      </c>
      <c r="E124" s="4161">
        <f t="shared" si="27"/>
        <v>-259.07253723000213</v>
      </c>
      <c r="F124" s="4161">
        <f t="shared" si="28"/>
        <v>7233.8226485999976</v>
      </c>
      <c r="G124" s="4161">
        <f t="shared" si="29"/>
        <v>769.04294656000002</v>
      </c>
      <c r="H124" s="4161">
        <f>[10]MSA!G121</f>
        <v>-164.46800000000007</v>
      </c>
      <c r="I124" s="4161">
        <f>[10]MSA!H121</f>
        <v>933.51094656000009</v>
      </c>
      <c r="J124" s="4161">
        <f>[10]MSA!K121</f>
        <v>6464.7797020399976</v>
      </c>
      <c r="K124" s="4161">
        <f>[10]MSL!I120</f>
        <v>7492.8951858299997</v>
      </c>
      <c r="L124" s="2737"/>
      <c r="N124" s="3481"/>
      <c r="O124" s="3332"/>
      <c r="P124" s="3340"/>
      <c r="Q124" s="3335"/>
      <c r="R124" s="3335"/>
      <c r="S124" s="3341"/>
      <c r="T124" s="3341"/>
      <c r="U124" s="3332"/>
    </row>
    <row r="125" spans="1:26" s="1620" customFormat="1" ht="18" hidden="1" customHeight="1">
      <c r="A125" s="1402"/>
      <c r="B125" s="4166">
        <v>2005</v>
      </c>
      <c r="C125" s="4167">
        <f t="shared" si="26"/>
        <v>20869.287370980001</v>
      </c>
      <c r="D125" s="4161">
        <f>[10]MSA!C122</f>
        <v>21369.016128309999</v>
      </c>
      <c r="E125" s="4161">
        <f t="shared" si="27"/>
        <v>-499.7287573299991</v>
      </c>
      <c r="F125" s="4161">
        <f t="shared" si="28"/>
        <v>7703.24986506</v>
      </c>
      <c r="G125" s="4161">
        <f t="shared" si="29"/>
        <v>972.40315995000003</v>
      </c>
      <c r="H125" s="4161">
        <f>[10]MSA!G122</f>
        <v>161.78200000000004</v>
      </c>
      <c r="I125" s="4161">
        <f>[10]MSA!H122</f>
        <v>810.62115994999999</v>
      </c>
      <c r="J125" s="4161">
        <f>[10]MSA!K122</f>
        <v>6730.8467051099997</v>
      </c>
      <c r="K125" s="4161">
        <f>[10]MSL!I121</f>
        <v>8202.9786223899991</v>
      </c>
      <c r="L125" s="2737"/>
      <c r="N125" s="3481"/>
      <c r="O125" s="3332"/>
      <c r="P125" s="3340"/>
      <c r="Q125" s="3335"/>
      <c r="R125" s="3335"/>
      <c r="S125" s="3341"/>
      <c r="T125" s="3341"/>
      <c r="U125" s="3332"/>
    </row>
    <row r="126" spans="1:26" s="1620" customFormat="1" ht="18" hidden="1" customHeight="1">
      <c r="A126" s="1402"/>
      <c r="B126" s="4166">
        <v>2006</v>
      </c>
      <c r="C126" s="4167"/>
      <c r="D126" s="4161"/>
      <c r="E126" s="4161"/>
      <c r="F126" s="4161"/>
      <c r="G126" s="4161"/>
      <c r="H126" s="4161"/>
      <c r="I126" s="4161"/>
      <c r="J126" s="4161">
        <f>[10]MSA!K123</f>
        <v>0</v>
      </c>
      <c r="K126" s="4161">
        <f>[10]MSL!I122</f>
        <v>0</v>
      </c>
      <c r="L126" s="2737"/>
      <c r="N126" s="3481"/>
      <c r="O126" s="3332"/>
      <c r="P126" s="3340"/>
      <c r="Q126" s="3335"/>
      <c r="R126" s="3335"/>
      <c r="S126" s="3341"/>
      <c r="T126" s="3341"/>
      <c r="U126" s="3332"/>
    </row>
    <row r="127" spans="1:26" s="1620" customFormat="1" ht="18" hidden="1" customHeight="1">
      <c r="A127" s="1402"/>
      <c r="B127" s="4166" t="s">
        <v>161</v>
      </c>
      <c r="C127" s="4167">
        <f t="shared" ref="C127:C137" si="30">D127+E127</f>
        <v>21474.994315620006</v>
      </c>
      <c r="D127" s="4161">
        <f>[10]MSA!C124</f>
        <v>22150.72727032</v>
      </c>
      <c r="E127" s="4161">
        <f t="shared" ref="E127:E137" si="31">F127-K127</f>
        <v>-675.73295469999266</v>
      </c>
      <c r="F127" s="4161">
        <f t="shared" ref="F127:F137" si="32">J127+G127</f>
        <v>7387.6040022799989</v>
      </c>
      <c r="G127" s="4161">
        <f t="shared" ref="G127:G137" si="33">H127+I127</f>
        <v>551.15423238999995</v>
      </c>
      <c r="H127" s="4161">
        <f>[10]MSA!G124</f>
        <v>-428.89800000000014</v>
      </c>
      <c r="I127" s="4161">
        <f>[10]MSA!H124</f>
        <v>980.05223239000009</v>
      </c>
      <c r="J127" s="4161">
        <f>[10]MSA!K124</f>
        <v>6836.4497698899986</v>
      </c>
      <c r="K127" s="4161">
        <f>[10]MSL!I123</f>
        <v>8063.3369569799916</v>
      </c>
      <c r="L127" s="2737"/>
      <c r="N127" s="3481"/>
      <c r="O127" s="3332"/>
      <c r="P127" s="3340"/>
      <c r="Q127" s="3335"/>
      <c r="R127" s="3335"/>
      <c r="S127" s="3341"/>
      <c r="T127" s="3341"/>
      <c r="U127" s="3332"/>
    </row>
    <row r="128" spans="1:26" s="1620" customFormat="1" ht="18" hidden="1" customHeight="1">
      <c r="A128" s="1402"/>
      <c r="B128" s="4166" t="s">
        <v>162</v>
      </c>
      <c r="C128" s="4167">
        <f t="shared" si="30"/>
        <v>21563.099889750007</v>
      </c>
      <c r="D128" s="4161">
        <f>[10]MSA!C125</f>
        <v>21492.089449439998</v>
      </c>
      <c r="E128" s="4161">
        <f t="shared" si="31"/>
        <v>71.010440310007652</v>
      </c>
      <c r="F128" s="4161">
        <f t="shared" si="32"/>
        <v>7470.1839312899992</v>
      </c>
      <c r="G128" s="4161">
        <f t="shared" si="33"/>
        <v>294.92732791000003</v>
      </c>
      <c r="H128" s="4161">
        <f>[10]MSA!G125</f>
        <v>-695.78800000000001</v>
      </c>
      <c r="I128" s="4161">
        <f>[10]MSA!H125</f>
        <v>990.71532791000004</v>
      </c>
      <c r="J128" s="4161">
        <f>[10]MSA!K125</f>
        <v>7175.2566033799994</v>
      </c>
      <c r="K128" s="4161">
        <f>[10]MSL!I124</f>
        <v>7399.1734909799916</v>
      </c>
      <c r="L128" s="3890"/>
      <c r="M128" s="3891"/>
      <c r="N128" s="3892"/>
      <c r="O128" s="3893"/>
      <c r="P128" s="3894"/>
      <c r="Q128" s="3895"/>
      <c r="S128" s="3896"/>
      <c r="T128" s="3896"/>
      <c r="U128" s="3893"/>
      <c r="V128" s="3891"/>
      <c r="W128" s="3891"/>
      <c r="X128" s="3891"/>
      <c r="Y128" s="3891"/>
      <c r="Z128" s="3891"/>
    </row>
    <row r="129" spans="1:26" s="1620" customFormat="1" ht="18" hidden="1" customHeight="1">
      <c r="A129" s="1402"/>
      <c r="B129" s="4166" t="s">
        <v>163</v>
      </c>
      <c r="C129" s="4167">
        <f t="shared" si="30"/>
        <v>22222.971421459999</v>
      </c>
      <c r="D129" s="4161">
        <f>[10]MSA!C126</f>
        <v>21394.420843139997</v>
      </c>
      <c r="E129" s="4161">
        <f t="shared" si="31"/>
        <v>828.55057832000239</v>
      </c>
      <c r="F129" s="4161">
        <f t="shared" si="32"/>
        <v>8414.8813157999994</v>
      </c>
      <c r="G129" s="4161">
        <f t="shared" si="33"/>
        <v>936.44849483000007</v>
      </c>
      <c r="H129" s="4161">
        <f>[10]MSA!G126</f>
        <v>22.572000000000003</v>
      </c>
      <c r="I129" s="4161">
        <f>[10]MSA!H126</f>
        <v>913.87649483000007</v>
      </c>
      <c r="J129" s="4161">
        <f>[10]MSA!K126</f>
        <v>7478.4328209699997</v>
      </c>
      <c r="K129" s="4161">
        <f>[10]MSL!I125</f>
        <v>7586.330737479997</v>
      </c>
      <c r="L129" s="3890"/>
      <c r="M129" s="3891"/>
      <c r="N129" s="3892"/>
      <c r="O129" s="3893"/>
      <c r="P129" s="3894"/>
      <c r="Q129" s="3895"/>
      <c r="S129" s="3896"/>
      <c r="T129" s="3896"/>
      <c r="U129" s="3893"/>
      <c r="V129" s="3891"/>
      <c r="W129" s="3891"/>
      <c r="X129" s="3891"/>
      <c r="Y129" s="3891"/>
      <c r="Z129" s="3891"/>
    </row>
    <row r="130" spans="1:26" s="1620" customFormat="1" ht="18" hidden="1" customHeight="1">
      <c r="A130" s="1402"/>
      <c r="B130" s="4166" t="s">
        <v>164</v>
      </c>
      <c r="C130" s="4167">
        <f t="shared" si="30"/>
        <v>24667.238667420006</v>
      </c>
      <c r="D130" s="4161">
        <f>[10]MSA!C127</f>
        <v>21070.106406810002</v>
      </c>
      <c r="E130" s="4161">
        <f t="shared" si="31"/>
        <v>3597.1322606100039</v>
      </c>
      <c r="F130" s="4161">
        <f t="shared" si="32"/>
        <v>8168.0438938899988</v>
      </c>
      <c r="G130" s="4161">
        <f t="shared" si="33"/>
        <v>679.25657385</v>
      </c>
      <c r="H130" s="4161">
        <f>[10]MSA!G127</f>
        <v>-396.33799999999997</v>
      </c>
      <c r="I130" s="4161">
        <f>[10]MSA!H127</f>
        <v>1075.59457385</v>
      </c>
      <c r="J130" s="4161">
        <f>[10]MSA!K127</f>
        <v>7488.787320039999</v>
      </c>
      <c r="K130" s="4161">
        <f>[10]MSL!I126</f>
        <v>4570.9116332799949</v>
      </c>
      <c r="L130" s="3890"/>
      <c r="M130" s="3891"/>
      <c r="N130" s="3892"/>
      <c r="O130" s="3893"/>
      <c r="P130" s="3894"/>
      <c r="Q130" s="3895"/>
      <c r="R130" s="3895"/>
      <c r="S130" s="3896"/>
      <c r="T130" s="3896"/>
      <c r="U130" s="3893"/>
      <c r="V130" s="3891"/>
      <c r="W130" s="3891"/>
      <c r="X130" s="3891"/>
      <c r="Y130" s="3891"/>
      <c r="Z130" s="3891"/>
    </row>
    <row r="131" spans="1:26" s="1620" customFormat="1" ht="18" hidden="1" customHeight="1">
      <c r="A131" s="1402"/>
      <c r="B131" s="4166" t="s">
        <v>165</v>
      </c>
      <c r="C131" s="4167">
        <f t="shared" si="30"/>
        <v>22679.376996500003</v>
      </c>
      <c r="D131" s="4161">
        <f>[10]MSA!C128</f>
        <v>22302.151334909999</v>
      </c>
      <c r="E131" s="4161">
        <f t="shared" si="31"/>
        <v>377.22566159000417</v>
      </c>
      <c r="F131" s="4161">
        <f t="shared" si="32"/>
        <v>8848.5072456099988</v>
      </c>
      <c r="G131" s="4161">
        <f t="shared" si="33"/>
        <v>1297.4462079999998</v>
      </c>
      <c r="H131" s="4161">
        <f>[10]MSA!G128</f>
        <v>156.79199999999997</v>
      </c>
      <c r="I131" s="4161">
        <f>[10]MSA!H128</f>
        <v>1140.6542079999999</v>
      </c>
      <c r="J131" s="4161">
        <f>[10]MSA!K128</f>
        <v>7551.0610376099985</v>
      </c>
      <c r="K131" s="4161">
        <f>[10]MSL!I127</f>
        <v>8471.2815840199946</v>
      </c>
      <c r="L131" s="3890"/>
      <c r="M131" s="3891"/>
      <c r="N131" s="3892"/>
      <c r="O131" s="3893"/>
      <c r="P131" s="3894"/>
      <c r="Q131" s="3895"/>
      <c r="R131" s="3895"/>
      <c r="S131" s="3896"/>
      <c r="T131" s="3896"/>
      <c r="U131" s="3893"/>
      <c r="V131" s="3891"/>
      <c r="W131" s="3891"/>
      <c r="X131" s="3891"/>
      <c r="Y131" s="3891"/>
      <c r="Z131" s="3891"/>
    </row>
    <row r="132" spans="1:26" s="1620" customFormat="1" ht="18" hidden="1" customHeight="1">
      <c r="A132" s="1402"/>
      <c r="B132" s="4166" t="s">
        <v>166</v>
      </c>
      <c r="C132" s="4167">
        <f t="shared" si="30"/>
        <v>23208.686624629998</v>
      </c>
      <c r="D132" s="4161">
        <f>[10]MSA!C129</f>
        <v>22505.018268349999</v>
      </c>
      <c r="E132" s="4161">
        <f t="shared" si="31"/>
        <v>703.66835627999899</v>
      </c>
      <c r="F132" s="4161">
        <f t="shared" si="32"/>
        <v>8651.9142566899991</v>
      </c>
      <c r="G132" s="4161">
        <f t="shared" si="33"/>
        <v>800.45397389000004</v>
      </c>
      <c r="H132" s="4161">
        <f>[10]MSA!G129</f>
        <v>-71.418000000000006</v>
      </c>
      <c r="I132" s="4161">
        <f>[10]MSA!H129</f>
        <v>871.87197389000005</v>
      </c>
      <c r="J132" s="4161">
        <f>[10]MSA!K129</f>
        <v>7851.4602827999988</v>
      </c>
      <c r="K132" s="4161">
        <f>[10]MSL!I128</f>
        <v>7948.2459004100001</v>
      </c>
      <c r="L132" s="3890"/>
      <c r="M132" s="3891"/>
      <c r="N132" s="3892"/>
      <c r="O132" s="3893"/>
      <c r="P132" s="3894"/>
      <c r="Q132" s="3895"/>
      <c r="R132" s="3895"/>
      <c r="S132" s="3896"/>
      <c r="T132" s="3896"/>
      <c r="U132" s="3893"/>
      <c r="V132" s="3891"/>
      <c r="W132" s="3891"/>
      <c r="X132" s="3891"/>
      <c r="Y132" s="3891"/>
      <c r="Z132" s="3891"/>
    </row>
    <row r="133" spans="1:26" s="1620" customFormat="1" ht="18" hidden="1" customHeight="1">
      <c r="A133" s="1402"/>
      <c r="B133" s="4166" t="s">
        <v>167</v>
      </c>
      <c r="C133" s="4167">
        <f t="shared" si="30"/>
        <v>22967.90052797</v>
      </c>
      <c r="D133" s="4161">
        <f>[10]MSA!C130</f>
        <v>22010.412163590001</v>
      </c>
      <c r="E133" s="4161">
        <f t="shared" si="31"/>
        <v>957.48836437999671</v>
      </c>
      <c r="F133" s="4161">
        <f t="shared" si="32"/>
        <v>9536.7902686800007</v>
      </c>
      <c r="G133" s="4161">
        <f t="shared" si="33"/>
        <v>1780.1907457900002</v>
      </c>
      <c r="H133" s="4161">
        <f>[10]MSA!G130</f>
        <v>671.45299999999997</v>
      </c>
      <c r="I133" s="4161">
        <f>[10]MSA!H130</f>
        <v>1108.7377457900002</v>
      </c>
      <c r="J133" s="4161">
        <f>[10]MSA!K130</f>
        <v>7756.5995228900001</v>
      </c>
      <c r="K133" s="4161">
        <f>[10]MSL!I129</f>
        <v>8579.301904300004</v>
      </c>
      <c r="L133" s="3890"/>
      <c r="M133" s="3891"/>
      <c r="N133" s="3892"/>
      <c r="O133" s="3893"/>
      <c r="P133" s="3894"/>
      <c r="Q133" s="3895"/>
      <c r="R133" s="3895"/>
      <c r="S133" s="3896"/>
      <c r="T133" s="3896"/>
      <c r="U133" s="3893"/>
      <c r="V133" s="3891"/>
      <c r="W133" s="3891"/>
      <c r="X133" s="3891"/>
      <c r="Y133" s="3891"/>
      <c r="Z133" s="3891"/>
    </row>
    <row r="134" spans="1:26" s="1620" customFormat="1" ht="18" hidden="1" customHeight="1">
      <c r="A134" s="1402"/>
      <c r="B134" s="4166" t="s">
        <v>168</v>
      </c>
      <c r="C134" s="4167">
        <f t="shared" si="30"/>
        <v>23048.692718369999</v>
      </c>
      <c r="D134" s="4161">
        <f>[10]MSA!C131</f>
        <v>21958.448484370001</v>
      </c>
      <c r="E134" s="4161">
        <f t="shared" si="31"/>
        <v>1090.244233999998</v>
      </c>
      <c r="F134" s="4161">
        <f t="shared" si="32"/>
        <v>9680.0019194699998</v>
      </c>
      <c r="G134" s="4161">
        <f t="shared" si="33"/>
        <v>1783.2931093800003</v>
      </c>
      <c r="H134" s="4161">
        <f>[10]MSA!G131</f>
        <v>688.55100000000004</v>
      </c>
      <c r="I134" s="4161">
        <f>[10]MSA!H131</f>
        <v>1094.7421093800001</v>
      </c>
      <c r="J134" s="4161">
        <f>[10]MSA!K131</f>
        <v>7896.70881009</v>
      </c>
      <c r="K134" s="4161">
        <f>[10]MSL!I130</f>
        <v>8589.7576854700019</v>
      </c>
      <c r="L134" s="3890"/>
      <c r="M134" s="3891"/>
      <c r="N134" s="3892"/>
      <c r="O134" s="3893"/>
      <c r="P134" s="3894"/>
      <c r="Q134" s="3895"/>
      <c r="R134" s="3895"/>
      <c r="S134" s="3896"/>
      <c r="T134" s="3896"/>
      <c r="U134" s="3893"/>
      <c r="V134" s="3891"/>
      <c r="W134" s="3891"/>
      <c r="X134" s="3891"/>
      <c r="Y134" s="3891"/>
      <c r="Z134" s="3891"/>
    </row>
    <row r="135" spans="1:26" s="1620" customFormat="1" ht="18" hidden="1" customHeight="1">
      <c r="A135" s="1402"/>
      <c r="B135" s="4166" t="s">
        <v>169</v>
      </c>
      <c r="C135" s="4167">
        <f t="shared" si="30"/>
        <v>23475.931728869997</v>
      </c>
      <c r="D135" s="4161">
        <f>[10]MSA!C132</f>
        <v>21751.909007030001</v>
      </c>
      <c r="E135" s="4161">
        <f t="shared" si="31"/>
        <v>1724.022721839995</v>
      </c>
      <c r="F135" s="4161">
        <f t="shared" si="32"/>
        <v>9775.7388629900015</v>
      </c>
      <c r="G135" s="4161">
        <f t="shared" si="33"/>
        <v>1440.3118381200002</v>
      </c>
      <c r="H135" s="4161">
        <f>[10]MSA!G132</f>
        <v>446.85300000000001</v>
      </c>
      <c r="I135" s="4161">
        <f>[10]MSA!H132</f>
        <v>993.45883812000011</v>
      </c>
      <c r="J135" s="4161">
        <f>[10]MSA!K132</f>
        <v>8335.4270248700013</v>
      </c>
      <c r="K135" s="4161">
        <f>[10]MSL!I131</f>
        <v>8051.7161411500065</v>
      </c>
      <c r="L135" s="3890"/>
      <c r="M135" s="3891"/>
      <c r="N135" s="3892"/>
      <c r="O135" s="3893"/>
      <c r="P135" s="3894"/>
      <c r="Q135" s="3895"/>
      <c r="R135" s="3895"/>
      <c r="S135" s="3896"/>
      <c r="T135" s="3896"/>
      <c r="U135" s="3893"/>
      <c r="V135" s="3891"/>
      <c r="W135" s="3891"/>
      <c r="X135" s="3891"/>
      <c r="Y135" s="3891"/>
      <c r="Z135" s="3891"/>
    </row>
    <row r="136" spans="1:26" s="1620" customFormat="1" ht="18" hidden="1" customHeight="1">
      <c r="A136" s="1402"/>
      <c r="B136" s="4166" t="s">
        <v>170</v>
      </c>
      <c r="C136" s="4167">
        <f t="shared" si="30"/>
        <v>23933.725253099998</v>
      </c>
      <c r="D136" s="4161">
        <f>[10]MSA!C133</f>
        <v>22320.403950970001</v>
      </c>
      <c r="E136" s="4161">
        <f t="shared" si="31"/>
        <v>1613.321302129998</v>
      </c>
      <c r="F136" s="4161">
        <f t="shared" si="32"/>
        <v>9758.1340342199983</v>
      </c>
      <c r="G136" s="4161">
        <f t="shared" si="33"/>
        <v>1374.72495278</v>
      </c>
      <c r="H136" s="4161">
        <f>[10]MSA!G133</f>
        <v>281.56199999999995</v>
      </c>
      <c r="I136" s="4161">
        <f>[10]MSA!H133</f>
        <v>1093.1629527800001</v>
      </c>
      <c r="J136" s="4161">
        <f>[10]MSA!K133</f>
        <v>8383.4090814399988</v>
      </c>
      <c r="K136" s="4161">
        <f>[10]MSL!I132</f>
        <v>8144.8127320900003</v>
      </c>
      <c r="L136" s="3890"/>
      <c r="M136" s="3891"/>
      <c r="N136" s="3892"/>
      <c r="O136" s="3893"/>
      <c r="P136" s="3894"/>
      <c r="Q136" s="3895"/>
      <c r="R136" s="3895"/>
      <c r="S136" s="3896"/>
      <c r="T136" s="3896"/>
      <c r="U136" s="3893"/>
      <c r="V136" s="3891"/>
      <c r="W136" s="3891"/>
      <c r="X136" s="3891"/>
      <c r="Y136" s="3891"/>
      <c r="Z136" s="3891"/>
    </row>
    <row r="137" spans="1:26" s="1620" customFormat="1" ht="18" hidden="1" customHeight="1">
      <c r="A137" s="1402"/>
      <c r="B137" s="4166" t="s">
        <v>171</v>
      </c>
      <c r="C137" s="4167">
        <f t="shared" si="30"/>
        <v>24334.192963270012</v>
      </c>
      <c r="D137" s="4161">
        <f>[10]MSA!C134</f>
        <v>23837.928868610004</v>
      </c>
      <c r="E137" s="4161">
        <f t="shared" si="31"/>
        <v>496.26409466000587</v>
      </c>
      <c r="F137" s="4161">
        <f t="shared" si="32"/>
        <v>9332.6659141699984</v>
      </c>
      <c r="G137" s="4161">
        <f t="shared" si="33"/>
        <v>770.94650209999998</v>
      </c>
      <c r="H137" s="4161">
        <f>[10]MSA!G134</f>
        <v>-334.46845249</v>
      </c>
      <c r="I137" s="4161">
        <f>[10]MSA!H134</f>
        <v>1105.41495459</v>
      </c>
      <c r="J137" s="4161">
        <f>[10]MSA!K134</f>
        <v>8561.7194120699987</v>
      </c>
      <c r="K137" s="4161">
        <f>[10]MSL!I133</f>
        <v>8836.4018195099925</v>
      </c>
      <c r="L137" s="3890"/>
      <c r="M137" s="3891"/>
      <c r="N137" s="3892"/>
      <c r="O137" s="3893"/>
      <c r="P137" s="3894"/>
      <c r="Q137" s="3895"/>
      <c r="R137" s="3895"/>
      <c r="S137" s="3896"/>
      <c r="T137" s="3896"/>
      <c r="U137" s="3893"/>
      <c r="V137" s="3891"/>
      <c r="W137" s="3891"/>
      <c r="X137" s="3891"/>
      <c r="Y137" s="3891"/>
      <c r="Z137" s="3891"/>
    </row>
    <row r="138" spans="1:26" s="1620" customFormat="1" ht="18" hidden="1" customHeight="1">
      <c r="A138" s="1402"/>
      <c r="B138" s="4166">
        <v>2006</v>
      </c>
      <c r="C138" s="4167">
        <v>24671.828323760004</v>
      </c>
      <c r="D138" s="4161">
        <v>24425.414720020002</v>
      </c>
      <c r="E138" s="4161">
        <v>246.41360374000033</v>
      </c>
      <c r="F138" s="4161">
        <v>9112.1034363300005</v>
      </c>
      <c r="G138" s="4161">
        <v>-34.122755009999878</v>
      </c>
      <c r="H138" s="4161">
        <v>-918.72541236999996</v>
      </c>
      <c r="I138" s="4161">
        <v>884.60265736000008</v>
      </c>
      <c r="J138" s="4161">
        <v>9146.2261913399998</v>
      </c>
      <c r="K138" s="4161">
        <v>8865.6898325900002</v>
      </c>
      <c r="L138" s="3890"/>
      <c r="M138" s="3891"/>
      <c r="N138" s="3892"/>
      <c r="O138" s="3893"/>
      <c r="P138" s="3894"/>
      <c r="Q138" s="3895"/>
      <c r="R138" s="3895"/>
      <c r="S138" s="3896"/>
      <c r="T138" s="3896"/>
      <c r="U138" s="3893"/>
      <c r="V138" s="3891"/>
      <c r="W138" s="3891"/>
      <c r="X138" s="3891"/>
      <c r="Y138" s="3891"/>
      <c r="Z138" s="3891"/>
    </row>
    <row r="139" spans="1:26" s="1620" customFormat="1" ht="18" hidden="1" customHeight="1">
      <c r="A139" s="1402"/>
      <c r="B139" s="4166">
        <v>2007</v>
      </c>
      <c r="C139" s="4167"/>
      <c r="D139" s="4161"/>
      <c r="E139" s="4161"/>
      <c r="F139" s="4161"/>
      <c r="G139" s="4161"/>
      <c r="H139" s="4161"/>
      <c r="I139" s="4161"/>
      <c r="J139" s="4161"/>
      <c r="K139" s="4161">
        <v>0</v>
      </c>
      <c r="L139" s="3890"/>
      <c r="M139" s="3891"/>
      <c r="N139" s="3892"/>
      <c r="O139" s="3893"/>
      <c r="P139" s="3894"/>
      <c r="Q139" s="3895"/>
      <c r="R139" s="3895"/>
      <c r="S139" s="3896"/>
      <c r="T139" s="3896"/>
      <c r="U139" s="3893"/>
      <c r="V139" s="3891"/>
      <c r="W139" s="3891"/>
      <c r="X139" s="3891"/>
      <c r="Y139" s="3891"/>
      <c r="Z139" s="3891"/>
    </row>
    <row r="140" spans="1:26" s="1620" customFormat="1" ht="18" hidden="1" customHeight="1">
      <c r="A140" s="1402"/>
      <c r="B140" s="4166" t="s">
        <v>161</v>
      </c>
      <c r="C140" s="4167">
        <v>24967.927045890006</v>
      </c>
      <c r="D140" s="4161">
        <v>26688.072291839999</v>
      </c>
      <c r="E140" s="4161">
        <v>-1720.1452459499924</v>
      </c>
      <c r="F140" s="4161">
        <v>10321.993558899998</v>
      </c>
      <c r="G140" s="4161">
        <v>1297.8258620200002</v>
      </c>
      <c r="H140" s="4161">
        <v>183.21997838999999</v>
      </c>
      <c r="I140" s="4161">
        <v>1114.6058836300001</v>
      </c>
      <c r="J140" s="4161">
        <v>9024.1676968799984</v>
      </c>
      <c r="K140" s="4161">
        <v>12042.13880484999</v>
      </c>
      <c r="L140" s="3890"/>
      <c r="M140" s="3891"/>
      <c r="N140" s="3892"/>
      <c r="O140" s="3893"/>
      <c r="P140" s="3894"/>
      <c r="Q140" s="3895"/>
      <c r="R140" s="3895"/>
      <c r="S140" s="3896"/>
      <c r="T140" s="3896"/>
      <c r="U140" s="3893"/>
      <c r="V140" s="3891"/>
      <c r="W140" s="3891"/>
      <c r="X140" s="3891"/>
      <c r="Y140" s="3891"/>
      <c r="Z140" s="3891"/>
    </row>
    <row r="141" spans="1:26" s="1620" customFormat="1" ht="18" hidden="1" customHeight="1">
      <c r="A141" s="1402"/>
      <c r="B141" s="4166" t="s">
        <v>162</v>
      </c>
      <c r="C141" s="4167">
        <v>24515.458542800003</v>
      </c>
      <c r="D141" s="4161">
        <v>26826.725298630001</v>
      </c>
      <c r="E141" s="4161">
        <v>-2311.2667558299981</v>
      </c>
      <c r="F141" s="4161">
        <v>9014.2053556700012</v>
      </c>
      <c r="G141" s="4161">
        <v>-214.05004265999992</v>
      </c>
      <c r="H141" s="4161">
        <v>-1323.87458498</v>
      </c>
      <c r="I141" s="4161">
        <v>1109.8245423200001</v>
      </c>
      <c r="J141" s="4161">
        <v>9228.2553983300004</v>
      </c>
      <c r="K141" s="4161">
        <v>11325.472111499999</v>
      </c>
      <c r="L141" s="3890"/>
      <c r="M141" s="3891"/>
      <c r="N141" s="3892"/>
      <c r="O141" s="3893"/>
      <c r="P141" s="3894"/>
      <c r="Q141" s="3895"/>
      <c r="R141" s="3895"/>
      <c r="S141" s="3896"/>
      <c r="T141" s="3896"/>
      <c r="U141" s="3893"/>
      <c r="V141" s="3891"/>
      <c r="W141" s="3891"/>
      <c r="X141" s="3891"/>
      <c r="Y141" s="3891"/>
      <c r="Z141" s="3891"/>
    </row>
    <row r="142" spans="1:26" s="1620" customFormat="1" ht="18" hidden="1" customHeight="1">
      <c r="A142" s="1402"/>
      <c r="B142" s="4166" t="s">
        <v>163</v>
      </c>
      <c r="C142" s="4167">
        <v>24918.520803949999</v>
      </c>
      <c r="D142" s="4161">
        <v>25737.956810400003</v>
      </c>
      <c r="E142" s="4161">
        <v>-819.43600645000515</v>
      </c>
      <c r="F142" s="4161">
        <v>9549.0343536200035</v>
      </c>
      <c r="G142" s="4161">
        <v>-59.206550839999977</v>
      </c>
      <c r="H142" s="4161">
        <v>-964.69094427000005</v>
      </c>
      <c r="I142" s="4161">
        <v>905.48439343000007</v>
      </c>
      <c r="J142" s="4161">
        <v>9608.2409044600026</v>
      </c>
      <c r="K142" s="4161">
        <v>10368.470360070009</v>
      </c>
      <c r="L142" s="3890"/>
      <c r="M142" s="3891"/>
      <c r="N142" s="3892"/>
      <c r="O142" s="3893"/>
      <c r="P142" s="3894"/>
      <c r="Q142" s="3895"/>
      <c r="R142" s="3895"/>
      <c r="S142" s="3896"/>
      <c r="T142" s="3896"/>
      <c r="U142" s="3893"/>
      <c r="V142" s="3891"/>
      <c r="W142" s="3891"/>
      <c r="X142" s="3891"/>
      <c r="Y142" s="3891"/>
      <c r="Z142" s="3891"/>
    </row>
    <row r="143" spans="1:26" s="1620" customFormat="1" ht="18" hidden="1" customHeight="1">
      <c r="A143" s="1402"/>
      <c r="B143" s="4166" t="s">
        <v>164</v>
      </c>
      <c r="C143" s="4167">
        <v>24983.705689580001</v>
      </c>
      <c r="D143" s="4161">
        <v>24020.411791809998</v>
      </c>
      <c r="E143" s="4161">
        <v>963.29389777000324</v>
      </c>
      <c r="F143" s="4161">
        <v>9750.4184240199993</v>
      </c>
      <c r="G143" s="4161">
        <v>-132.82764853000003</v>
      </c>
      <c r="H143" s="4161">
        <v>-1295.1412190000001</v>
      </c>
      <c r="I143" s="4161">
        <v>1162.3135704700001</v>
      </c>
      <c r="J143" s="4161">
        <v>9883.2460725499986</v>
      </c>
      <c r="K143" s="4161">
        <v>8787.1245262499961</v>
      </c>
      <c r="L143" s="3890"/>
      <c r="M143" s="3891"/>
      <c r="N143" s="3892"/>
      <c r="O143" s="3893"/>
      <c r="P143" s="3894"/>
      <c r="Q143" s="3895"/>
      <c r="R143" s="3895"/>
      <c r="S143" s="3896"/>
      <c r="T143" s="3896"/>
      <c r="U143" s="3893"/>
      <c r="V143" s="3891"/>
      <c r="W143" s="3891"/>
      <c r="X143" s="3891"/>
      <c r="Y143" s="3891"/>
      <c r="Z143" s="3891"/>
    </row>
    <row r="144" spans="1:26" s="1620" customFormat="1" ht="18" hidden="1" customHeight="1">
      <c r="A144" s="1402"/>
      <c r="B144" s="4166" t="s">
        <v>165</v>
      </c>
      <c r="C144" s="4167">
        <v>25391.406522030004</v>
      </c>
      <c r="D144" s="4161">
        <v>24374.676423329998</v>
      </c>
      <c r="E144" s="4161">
        <v>1016.7300987000053</v>
      </c>
      <c r="F144" s="4161">
        <v>10448.207510799999</v>
      </c>
      <c r="G144" s="4161">
        <v>250.51478820000011</v>
      </c>
      <c r="H144" s="4161">
        <v>-823.84336746000008</v>
      </c>
      <c r="I144" s="4161">
        <v>1074.3581556600002</v>
      </c>
      <c r="J144" s="4161">
        <v>10197.692722599999</v>
      </c>
      <c r="K144" s="4161">
        <v>9431.4774120999937</v>
      </c>
      <c r="L144" s="3890"/>
      <c r="M144" s="3891"/>
      <c r="N144" s="3892"/>
      <c r="O144" s="3893"/>
      <c r="P144" s="3894"/>
      <c r="Q144" s="3895"/>
      <c r="R144" s="3895"/>
      <c r="S144" s="3896"/>
      <c r="T144" s="3896"/>
      <c r="U144" s="3893"/>
      <c r="V144" s="3891"/>
      <c r="W144" s="3891"/>
      <c r="X144" s="3891"/>
      <c r="Y144" s="3891"/>
      <c r="Z144" s="3891"/>
    </row>
    <row r="145" spans="1:26" s="1620" customFormat="1" ht="18" hidden="1" customHeight="1">
      <c r="A145" s="1402"/>
      <c r="B145" s="4166" t="s">
        <v>166</v>
      </c>
      <c r="C145" s="4167">
        <v>25208.526284060001</v>
      </c>
      <c r="D145" s="4161">
        <v>24881.320626190001</v>
      </c>
      <c r="E145" s="4161">
        <v>327.20565786999941</v>
      </c>
      <c r="F145" s="4161">
        <v>10063.326734749999</v>
      </c>
      <c r="G145" s="4161">
        <v>-489.16743847000021</v>
      </c>
      <c r="H145" s="4161">
        <v>-1432.6080000000002</v>
      </c>
      <c r="I145" s="4161">
        <v>943.44056152999997</v>
      </c>
      <c r="J145" s="4161">
        <v>10552.494173219999</v>
      </c>
      <c r="K145" s="4161">
        <v>9736.1210768799992</v>
      </c>
      <c r="L145" s="3890"/>
      <c r="M145" s="3891"/>
      <c r="N145" s="3892"/>
      <c r="O145" s="3893"/>
      <c r="P145" s="3894"/>
      <c r="Q145" s="3895"/>
      <c r="R145" s="3895"/>
      <c r="S145" s="3896"/>
      <c r="T145" s="3896"/>
      <c r="U145" s="3893"/>
      <c r="V145" s="3891"/>
      <c r="W145" s="3891"/>
      <c r="X145" s="3891"/>
      <c r="Y145" s="3891"/>
      <c r="Z145" s="3891"/>
    </row>
    <row r="146" spans="1:26" s="1620" customFormat="1" ht="18" hidden="1" customHeight="1">
      <c r="A146" s="1402"/>
      <c r="B146" s="4166" t="s">
        <v>167</v>
      </c>
      <c r="C146" s="4167">
        <v>25692.929367969999</v>
      </c>
      <c r="D146" s="4161">
        <v>23623.085880809995</v>
      </c>
      <c r="E146" s="4161">
        <v>2069.8434871600057</v>
      </c>
      <c r="F146" s="4161">
        <v>11202.413389479998</v>
      </c>
      <c r="G146" s="4161">
        <v>628.19159972000011</v>
      </c>
      <c r="H146" s="4161">
        <v>-524.94019219999996</v>
      </c>
      <c r="I146" s="4161">
        <v>1153.1317919200001</v>
      </c>
      <c r="J146" s="4161">
        <v>10574.221789759999</v>
      </c>
      <c r="K146" s="4161">
        <v>9132.5699023199923</v>
      </c>
      <c r="L146" s="3890"/>
      <c r="M146" s="3891"/>
      <c r="N146" s="3892"/>
      <c r="O146" s="3893"/>
      <c r="P146" s="3894"/>
      <c r="Q146" s="3895"/>
      <c r="R146" s="3895"/>
      <c r="S146" s="3896"/>
      <c r="T146" s="3896"/>
      <c r="U146" s="3893"/>
      <c r="V146" s="3891"/>
      <c r="W146" s="3891"/>
      <c r="X146" s="3891"/>
      <c r="Y146" s="3891"/>
      <c r="Z146" s="3891"/>
    </row>
    <row r="147" spans="1:26" s="1620" customFormat="1" ht="18" hidden="1" customHeight="1">
      <c r="A147" s="1402"/>
      <c r="B147" s="4166" t="s">
        <v>168</v>
      </c>
      <c r="C147" s="4167">
        <v>26123.962088129996</v>
      </c>
      <c r="D147" s="4161">
        <v>23873.953572309998</v>
      </c>
      <c r="E147" s="4161">
        <v>2250.0085158199981</v>
      </c>
      <c r="F147" s="4161">
        <v>10771.266793409999</v>
      </c>
      <c r="G147" s="4161">
        <v>-131.55205636999995</v>
      </c>
      <c r="H147" s="4161">
        <v>-1246.46408954</v>
      </c>
      <c r="I147" s="4161">
        <v>1114.9120331700001</v>
      </c>
      <c r="J147" s="4161">
        <v>10902.818849779998</v>
      </c>
      <c r="K147" s="4161">
        <v>8521.2582775900009</v>
      </c>
      <c r="L147" s="3890"/>
      <c r="M147" s="3891"/>
      <c r="N147" s="3892"/>
      <c r="O147" s="3893"/>
      <c r="P147" s="3894"/>
      <c r="Q147" s="3895"/>
      <c r="R147" s="3895"/>
      <c r="S147" s="3896"/>
      <c r="T147" s="3896"/>
      <c r="U147" s="3893"/>
      <c r="V147" s="3891"/>
      <c r="W147" s="3891"/>
      <c r="X147" s="3891"/>
      <c r="Y147" s="3891"/>
      <c r="Z147" s="3891"/>
    </row>
    <row r="148" spans="1:26" s="1620" customFormat="1" ht="18" hidden="1" customHeight="1">
      <c r="A148" s="1402"/>
      <c r="B148" s="4166" t="s">
        <v>169</v>
      </c>
      <c r="C148" s="4167">
        <v>27496.681766739992</v>
      </c>
      <c r="D148" s="4161">
        <v>24709.22466932</v>
      </c>
      <c r="E148" s="4161">
        <v>2787.4570974199924</v>
      </c>
      <c r="F148" s="4161">
        <v>11563.571431970002</v>
      </c>
      <c r="G148" s="4161">
        <v>259.88716126999998</v>
      </c>
      <c r="H148" s="4161">
        <v>-668.22209866000003</v>
      </c>
      <c r="I148" s="4161">
        <v>928.10925993000001</v>
      </c>
      <c r="J148" s="4161">
        <v>11303.684270700001</v>
      </c>
      <c r="K148" s="4161">
        <v>8776.1143345500095</v>
      </c>
      <c r="L148" s="3890"/>
      <c r="M148" s="3891"/>
      <c r="N148" s="3892"/>
      <c r="O148" s="3893"/>
      <c r="P148" s="3894"/>
      <c r="Q148" s="3895"/>
      <c r="R148" s="3895"/>
      <c r="S148" s="3896"/>
      <c r="T148" s="3896"/>
      <c r="U148" s="3893"/>
      <c r="V148" s="3891"/>
      <c r="W148" s="3891"/>
      <c r="X148" s="3891"/>
      <c r="Y148" s="3891"/>
      <c r="Z148" s="3891"/>
    </row>
    <row r="149" spans="1:26" s="1620" customFormat="1" ht="18" hidden="1" customHeight="1">
      <c r="A149" s="1402"/>
      <c r="B149" s="4166" t="s">
        <v>170</v>
      </c>
      <c r="C149" s="4167">
        <v>28721.973271729999</v>
      </c>
      <c r="D149" s="4161">
        <v>25455.655096300001</v>
      </c>
      <c r="E149" s="4161">
        <v>3266.3181754299985</v>
      </c>
      <c r="F149" s="4161">
        <v>11316.7087348</v>
      </c>
      <c r="G149" s="4161">
        <v>-443.79506403000005</v>
      </c>
      <c r="H149" s="4161">
        <v>-1195.9932685600002</v>
      </c>
      <c r="I149" s="4161">
        <v>752.19820453000011</v>
      </c>
      <c r="J149" s="4161">
        <v>11760.503798830001</v>
      </c>
      <c r="K149" s="4161">
        <v>8050.3905593700019</v>
      </c>
      <c r="L149" s="3890"/>
      <c r="M149" s="3891"/>
      <c r="N149" s="3892"/>
      <c r="O149" s="3893"/>
      <c r="P149" s="3894"/>
      <c r="Q149" s="3895"/>
      <c r="R149" s="3895"/>
      <c r="S149" s="3896"/>
      <c r="T149" s="3896"/>
      <c r="U149" s="3893"/>
      <c r="V149" s="3891"/>
      <c r="W149" s="3891"/>
      <c r="X149" s="3891"/>
      <c r="Y149" s="3891"/>
      <c r="Z149" s="3891"/>
    </row>
    <row r="150" spans="1:26" s="1620" customFormat="1" ht="18" hidden="1" customHeight="1">
      <c r="A150" s="1402"/>
      <c r="B150" s="4166" t="s">
        <v>171</v>
      </c>
      <c r="C150" s="4167">
        <v>29398.196615359997</v>
      </c>
      <c r="D150" s="4161">
        <v>27387.881246180001</v>
      </c>
      <c r="E150" s="4161">
        <v>2010.3153691799962</v>
      </c>
      <c r="F150" s="4161">
        <v>11167.531952919999</v>
      </c>
      <c r="G150" s="4161">
        <v>-493.07375812999999</v>
      </c>
      <c r="H150" s="4161">
        <v>-1578.8514540199999</v>
      </c>
      <c r="I150" s="4161">
        <v>1085.7776958899999</v>
      </c>
      <c r="J150" s="4161">
        <v>11660.605711049999</v>
      </c>
      <c r="K150" s="4161">
        <v>9157.2165837400025</v>
      </c>
      <c r="L150" s="3890"/>
      <c r="M150" s="3891"/>
      <c r="N150" s="3892"/>
      <c r="O150" s="3893"/>
      <c r="P150" s="3894"/>
      <c r="Q150" s="3895"/>
      <c r="R150" s="3895"/>
      <c r="S150" s="3896"/>
      <c r="T150" s="3896"/>
      <c r="U150" s="3893"/>
      <c r="V150" s="3891"/>
      <c r="W150" s="3891"/>
      <c r="X150" s="3891"/>
      <c r="Y150" s="3891"/>
      <c r="Z150" s="3891"/>
    </row>
    <row r="151" spans="1:26" ht="18.75" hidden="1" customHeight="1">
      <c r="A151" s="1404"/>
      <c r="B151" s="4166">
        <v>2007</v>
      </c>
      <c r="C151" s="4167">
        <v>27686.924437370006</v>
      </c>
      <c r="D151" s="4161">
        <v>27711.885192869995</v>
      </c>
      <c r="E151" s="4161">
        <v>-24.960755499991137</v>
      </c>
      <c r="F151" s="4161">
        <v>11090.3391211</v>
      </c>
      <c r="G151" s="4161">
        <v>-956.61929045999977</v>
      </c>
      <c r="H151" s="4161">
        <v>-2001.8247683</v>
      </c>
      <c r="I151" s="4161">
        <v>1045.2054778400002</v>
      </c>
      <c r="J151" s="4161">
        <v>12046.958411559999</v>
      </c>
      <c r="K151" s="4161">
        <v>11115.299876599991</v>
      </c>
      <c r="L151" s="3650"/>
      <c r="M151" s="1619"/>
      <c r="N151" s="1619"/>
      <c r="O151" s="1619"/>
      <c r="P151" s="1619"/>
      <c r="Q151" s="1619"/>
      <c r="R151" s="1619"/>
      <c r="S151" s="1619"/>
      <c r="T151" s="1619"/>
      <c r="U151" s="1619"/>
      <c r="V151" s="1619"/>
      <c r="W151" s="1619"/>
      <c r="X151" s="1619"/>
      <c r="Y151" s="1619"/>
      <c r="Z151" s="1619"/>
    </row>
    <row r="152" spans="1:26" ht="36.75" hidden="1" customHeight="1">
      <c r="A152" s="1619"/>
      <c r="B152" s="4166">
        <v>2008</v>
      </c>
      <c r="C152" s="4167"/>
      <c r="D152" s="4161"/>
      <c r="E152" s="4161"/>
      <c r="F152" s="4161"/>
      <c r="G152" s="4161"/>
      <c r="H152" s="4161"/>
      <c r="I152" s="4161"/>
      <c r="J152" s="4161"/>
      <c r="K152" s="4161"/>
      <c r="L152" s="1619"/>
      <c r="M152" s="1619"/>
      <c r="N152" s="1619"/>
      <c r="O152" s="1619"/>
      <c r="P152" s="1619"/>
      <c r="Q152" s="1619"/>
      <c r="R152" s="1619"/>
      <c r="S152" s="1619"/>
      <c r="T152" s="1619"/>
      <c r="U152" s="1619"/>
      <c r="V152" s="1619"/>
      <c r="W152" s="1619"/>
      <c r="X152" s="1619"/>
      <c r="Y152" s="1619"/>
      <c r="Z152" s="1619"/>
    </row>
    <row r="153" spans="1:26" s="1638" customFormat="1" ht="15.75" hidden="1">
      <c r="A153" s="36"/>
      <c r="B153" s="4166" t="s">
        <v>161</v>
      </c>
      <c r="C153" s="4167">
        <v>25727.983402649996</v>
      </c>
      <c r="D153" s="4161">
        <v>25013.847243349999</v>
      </c>
      <c r="E153" s="4161">
        <v>714.13615929999469</v>
      </c>
      <c r="F153" s="4161">
        <v>11301.856047699999</v>
      </c>
      <c r="G153" s="4161">
        <v>-1019.4138266300001</v>
      </c>
      <c r="H153" s="4161">
        <v>-1986.7301226300001</v>
      </c>
      <c r="I153" s="4161">
        <v>967.31629599999997</v>
      </c>
      <c r="J153" s="4161">
        <v>12321.269874329999</v>
      </c>
      <c r="K153" s="4161">
        <v>10587.719888400004</v>
      </c>
      <c r="L153" s="1619"/>
      <c r="M153" s="1619"/>
      <c r="N153" s="1619"/>
      <c r="O153" s="1619"/>
      <c r="P153" s="1619"/>
      <c r="Q153" s="1619"/>
      <c r="R153" s="1619"/>
      <c r="S153" s="1619"/>
      <c r="T153" s="1619"/>
      <c r="U153" s="1619"/>
      <c r="V153" s="1619"/>
      <c r="W153" s="1619"/>
      <c r="X153" s="1619"/>
      <c r="Y153" s="1619"/>
      <c r="Z153" s="1619"/>
    </row>
    <row r="154" spans="1:26" ht="15.75" hidden="1">
      <c r="B154" s="4166" t="s">
        <v>162</v>
      </c>
      <c r="C154" s="4167">
        <v>26976.681598629999</v>
      </c>
      <c r="D154" s="4161">
        <v>26695.263552320001</v>
      </c>
      <c r="E154" s="4161">
        <v>281.4180463099965</v>
      </c>
      <c r="F154" s="4161">
        <v>11714.054325470001</v>
      </c>
      <c r="G154" s="4161">
        <v>-1131.2052221800004</v>
      </c>
      <c r="H154" s="4161">
        <v>-2115.5451254400004</v>
      </c>
      <c r="I154" s="4161">
        <v>984.33990326000003</v>
      </c>
      <c r="J154" s="4161">
        <v>12845.259547650001</v>
      </c>
      <c r="K154" s="4161">
        <v>11432.636279160004</v>
      </c>
      <c r="L154" s="33"/>
      <c r="M154" s="33"/>
      <c r="N154" s="33"/>
      <c r="O154" s="33"/>
      <c r="P154" s="33"/>
      <c r="Q154" s="33"/>
      <c r="R154" s="33"/>
      <c r="S154" s="33"/>
      <c r="T154" s="33"/>
      <c r="U154" s="33"/>
      <c r="V154" s="33"/>
      <c r="W154" s="33"/>
      <c r="X154" s="33"/>
      <c r="Y154" s="33"/>
      <c r="Z154" s="33"/>
    </row>
    <row r="155" spans="1:26" ht="15.75" hidden="1">
      <c r="B155" s="4166" t="s">
        <v>163</v>
      </c>
      <c r="C155" s="4167">
        <v>26836.088243799997</v>
      </c>
      <c r="D155" s="4161">
        <v>25511.620926609998</v>
      </c>
      <c r="E155" s="4161">
        <v>1324.4673171900013</v>
      </c>
      <c r="F155" s="4161">
        <v>13073.35733986</v>
      </c>
      <c r="G155" s="4161">
        <v>-267.78168277999998</v>
      </c>
      <c r="H155" s="4161">
        <v>-1207.39849873</v>
      </c>
      <c r="I155" s="4161">
        <v>939.61681595000005</v>
      </c>
      <c r="J155" s="4161">
        <v>13341.13902264</v>
      </c>
      <c r="K155" s="4161">
        <v>11748.890022669999</v>
      </c>
    </row>
    <row r="156" spans="1:26" ht="15.75" hidden="1">
      <c r="B156" s="4166" t="s">
        <v>164</v>
      </c>
      <c r="C156" s="4167">
        <v>26708.034444695993</v>
      </c>
      <c r="D156" s="4161">
        <v>24957.745013772401</v>
      </c>
      <c r="E156" s="4161">
        <v>1750.2894309235944</v>
      </c>
      <c r="F156" s="4161">
        <v>13479.191039810001</v>
      </c>
      <c r="G156" s="4161">
        <v>-62.451264949999995</v>
      </c>
      <c r="H156" s="4161">
        <v>-1153.99955643</v>
      </c>
      <c r="I156" s="4161">
        <v>1091.54829148</v>
      </c>
      <c r="J156" s="4161">
        <v>13541.64230476</v>
      </c>
      <c r="K156" s="4161">
        <v>11728.901608886406</v>
      </c>
    </row>
    <row r="157" spans="1:26" ht="15.75" hidden="1">
      <c r="B157" s="4166" t="s">
        <v>165</v>
      </c>
      <c r="C157" s="4167">
        <v>26831.327092610001</v>
      </c>
      <c r="D157" s="4161">
        <v>26009.805959349997</v>
      </c>
      <c r="E157" s="4161">
        <v>821.52113326000472</v>
      </c>
      <c r="F157" s="4161">
        <v>13897.7079901</v>
      </c>
      <c r="G157" s="4161">
        <v>131.6473196500001</v>
      </c>
      <c r="H157" s="4161">
        <v>-856.57014325</v>
      </c>
      <c r="I157" s="4161">
        <v>988.2174629000001</v>
      </c>
      <c r="J157" s="4161">
        <v>13766.060670449999</v>
      </c>
      <c r="K157" s="4161">
        <v>13076.186856839995</v>
      </c>
    </row>
    <row r="158" spans="1:26" ht="15.75" hidden="1">
      <c r="B158" s="4166" t="s">
        <v>166</v>
      </c>
      <c r="C158" s="4167">
        <v>25783.988060780001</v>
      </c>
      <c r="D158" s="4161">
        <v>26101.247011279997</v>
      </c>
      <c r="E158" s="4161">
        <v>-317.25895049999599</v>
      </c>
      <c r="F158" s="4161">
        <v>13362.112386919998</v>
      </c>
      <c r="G158" s="4161">
        <v>-967.92438650999986</v>
      </c>
      <c r="H158" s="4161">
        <v>-1687.5265806299999</v>
      </c>
      <c r="I158" s="4161">
        <v>719.60219412000004</v>
      </c>
      <c r="J158" s="4161">
        <v>14330.036773429998</v>
      </c>
      <c r="K158" s="4161">
        <v>13679.371337419994</v>
      </c>
    </row>
    <row r="159" spans="1:26" ht="15.75" hidden="1">
      <c r="B159" s="4166" t="s">
        <v>167</v>
      </c>
      <c r="C159" s="4167">
        <v>28864.034994720001</v>
      </c>
      <c r="D159" s="4161">
        <v>25423.605989039999</v>
      </c>
      <c r="E159" s="4161">
        <v>3440.42900568</v>
      </c>
      <c r="F159" s="4161">
        <v>14724.78792357</v>
      </c>
      <c r="G159" s="4161">
        <v>159.14026452999997</v>
      </c>
      <c r="H159" s="4161">
        <v>-777.54877187000011</v>
      </c>
      <c r="I159" s="4161">
        <v>936.68903640000008</v>
      </c>
      <c r="J159" s="4161">
        <v>14565.64765904</v>
      </c>
      <c r="K159" s="4161">
        <v>11284.35891789</v>
      </c>
    </row>
    <row r="160" spans="1:26" ht="15.75" hidden="1">
      <c r="B160" s="4166" t="s">
        <v>168</v>
      </c>
      <c r="C160" s="4167">
        <v>28621.565408030001</v>
      </c>
      <c r="D160" s="4161">
        <v>25918.409662749997</v>
      </c>
      <c r="E160" s="4161">
        <v>2703.1557452800043</v>
      </c>
      <c r="F160" s="4161">
        <v>14944.94787063</v>
      </c>
      <c r="G160" s="4161">
        <v>-56.168050809999841</v>
      </c>
      <c r="H160" s="4161">
        <v>-1013.1258429699999</v>
      </c>
      <c r="I160" s="4161">
        <v>956.95779216000005</v>
      </c>
      <c r="J160" s="4161">
        <v>15001.11592144</v>
      </c>
      <c r="K160" s="4161">
        <v>12241.792125349995</v>
      </c>
    </row>
    <row r="161" spans="2:11" ht="15.75" hidden="1">
      <c r="B161" s="4166" t="s">
        <v>169</v>
      </c>
      <c r="C161" s="4167">
        <v>33405.658745430002</v>
      </c>
      <c r="D161" s="4161">
        <v>30097.68434589</v>
      </c>
      <c r="E161" s="4161">
        <v>3307.9743995400022</v>
      </c>
      <c r="F161" s="4161">
        <v>14172.983630070001</v>
      </c>
      <c r="G161" s="4161">
        <v>-1455.2636509200001</v>
      </c>
      <c r="H161" s="4161">
        <v>-2639.84281134</v>
      </c>
      <c r="I161" s="4161">
        <v>1184.5791604199999</v>
      </c>
      <c r="J161" s="4161">
        <v>15628.247280990001</v>
      </c>
      <c r="K161" s="4161">
        <v>10865.009230529999</v>
      </c>
    </row>
    <row r="162" spans="2:11" ht="15.75" hidden="1">
      <c r="B162" s="4166" t="s">
        <v>170</v>
      </c>
      <c r="C162" s="4167">
        <v>33244.959267130005</v>
      </c>
      <c r="D162" s="4161">
        <v>34989.702869660003</v>
      </c>
      <c r="E162" s="4161">
        <v>-1744.7436025300012</v>
      </c>
      <c r="F162" s="4161">
        <v>13253.337365489999</v>
      </c>
      <c r="G162" s="4161">
        <v>-3048.4241727199997</v>
      </c>
      <c r="H162" s="4161">
        <v>-3999.0243976399997</v>
      </c>
      <c r="I162" s="4161">
        <v>950.60022492000007</v>
      </c>
      <c r="J162" s="4161">
        <v>16301.761538209999</v>
      </c>
      <c r="K162" s="4161">
        <v>14998.08096802</v>
      </c>
    </row>
    <row r="163" spans="2:11" ht="15.75" hidden="1">
      <c r="B163" s="4166" t="s">
        <v>171</v>
      </c>
      <c r="C163" s="4167">
        <v>32797.987955429999</v>
      </c>
      <c r="D163" s="4161">
        <v>36606.428988822699</v>
      </c>
      <c r="E163" s="4161">
        <v>-3808.4410333927026</v>
      </c>
      <c r="F163" s="4161">
        <v>13950.101776820002</v>
      </c>
      <c r="G163" s="4161">
        <v>-2679.5792427399997</v>
      </c>
      <c r="H163" s="4161">
        <v>-3595.0435200899997</v>
      </c>
      <c r="I163" s="4161">
        <v>915.46427735000009</v>
      </c>
      <c r="J163" s="4161">
        <v>16629.681019560001</v>
      </c>
      <c r="K163" s="4161">
        <v>17758.542810212704</v>
      </c>
    </row>
    <row r="164" spans="2:11" ht="15.75">
      <c r="B164" s="4166">
        <v>2008</v>
      </c>
      <c r="C164" s="4167">
        <v>31387.448945380002</v>
      </c>
      <c r="D164" s="4161">
        <v>35822.907463989999</v>
      </c>
      <c r="E164" s="4161">
        <v>-4435.4585186099976</v>
      </c>
      <c r="F164" s="4161">
        <v>10824.414730650002</v>
      </c>
      <c r="G164" s="4161">
        <v>-5997.9782020899993</v>
      </c>
      <c r="H164" s="4161">
        <v>-6890.9073355399996</v>
      </c>
      <c r="I164" s="4161">
        <v>892.92913345000011</v>
      </c>
      <c r="J164" s="4161">
        <v>16822.39293274</v>
      </c>
      <c r="K164" s="4161">
        <v>15259.873249259999</v>
      </c>
    </row>
    <row r="165" spans="2:11" ht="15.75" hidden="1">
      <c r="B165" s="4166">
        <v>2009</v>
      </c>
      <c r="C165" s="4167"/>
      <c r="D165" s="4161"/>
      <c r="E165" s="4161"/>
      <c r="F165" s="4161"/>
      <c r="G165" s="4161"/>
      <c r="H165" s="4161"/>
      <c r="I165" s="4161"/>
      <c r="J165" s="4161"/>
      <c r="K165" s="4161"/>
    </row>
    <row r="166" spans="2:11" ht="15.75" hidden="1">
      <c r="B166" s="4166" t="s">
        <v>161</v>
      </c>
      <c r="C166" s="4167">
        <v>31415.289789930008</v>
      </c>
      <c r="D166" s="4161">
        <v>34985.196563669997</v>
      </c>
      <c r="E166" s="4161">
        <v>-3569.9067737399891</v>
      </c>
      <c r="F166" s="4161">
        <v>14066.549978999999</v>
      </c>
      <c r="G166" s="4161">
        <v>-3102.3188573899997</v>
      </c>
      <c r="H166" s="4161">
        <v>-3991.6903798399999</v>
      </c>
      <c r="I166" s="4161">
        <v>889.37152245000004</v>
      </c>
      <c r="J166" s="4161">
        <v>17168.86883639</v>
      </c>
      <c r="K166" s="4161">
        <v>17636.456752739989</v>
      </c>
    </row>
    <row r="167" spans="2:11" ht="15.75" hidden="1">
      <c r="B167" s="4166" t="s">
        <v>162</v>
      </c>
      <c r="C167" s="4167">
        <v>30856.277419160004</v>
      </c>
      <c r="D167" s="4161">
        <v>34698.012279989998</v>
      </c>
      <c r="E167" s="4161">
        <v>-3841.7348608299963</v>
      </c>
      <c r="F167" s="4161">
        <v>12855.090354549999</v>
      </c>
      <c r="G167" s="4161">
        <v>-4452.11347699</v>
      </c>
      <c r="H167" s="4161">
        <v>-5342.30367544</v>
      </c>
      <c r="I167" s="4161">
        <v>890.19019845000003</v>
      </c>
      <c r="J167" s="4161">
        <v>17307.203831539999</v>
      </c>
      <c r="K167" s="4161">
        <v>16696.825215379995</v>
      </c>
    </row>
    <row r="168" spans="2:11" ht="15.75" hidden="1">
      <c r="B168" s="4166" t="s">
        <v>163</v>
      </c>
      <c r="C168" s="4167">
        <v>31781.781892480001</v>
      </c>
      <c r="D168" s="4161">
        <v>35056.122321369992</v>
      </c>
      <c r="E168" s="4161">
        <v>-3274.3404288899928</v>
      </c>
      <c r="F168" s="4161">
        <v>13683.660019820001</v>
      </c>
      <c r="G168" s="4161">
        <v>-4083.7888785699993</v>
      </c>
      <c r="H168" s="4161">
        <v>-4967.4939910199992</v>
      </c>
      <c r="I168" s="4161">
        <v>883.70511245</v>
      </c>
      <c r="J168" s="4161">
        <v>17767.448898390001</v>
      </c>
      <c r="K168" s="4161">
        <v>16958.000448709994</v>
      </c>
    </row>
    <row r="169" spans="2:11" ht="15.75" hidden="1">
      <c r="B169" s="4166" t="s">
        <v>164</v>
      </c>
      <c r="C169" s="4167">
        <v>31866.581747859997</v>
      </c>
      <c r="D169" s="4161">
        <v>33914.591380669997</v>
      </c>
      <c r="E169" s="4161">
        <v>-2048.0096328100008</v>
      </c>
      <c r="F169" s="4161">
        <v>14058.438609029999</v>
      </c>
      <c r="G169" s="4161">
        <v>-4046.7828736299998</v>
      </c>
      <c r="H169" s="4161">
        <v>-4926.2945640799999</v>
      </c>
      <c r="I169" s="4161">
        <v>879.51169045000006</v>
      </c>
      <c r="J169" s="4161">
        <v>18105.221482659999</v>
      </c>
      <c r="K169" s="4161">
        <v>16106.44824184</v>
      </c>
    </row>
    <row r="170" spans="2:11" ht="15.75" hidden="1">
      <c r="B170" s="4166" t="s">
        <v>165</v>
      </c>
      <c r="C170" s="4167">
        <v>32225.868510789995</v>
      </c>
      <c r="D170" s="4161">
        <v>33042.398554669999</v>
      </c>
      <c r="E170" s="4161">
        <v>-816.53004388000227</v>
      </c>
      <c r="F170" s="4161">
        <v>15308.636941720002</v>
      </c>
      <c r="G170" s="4161">
        <v>-3020.4326020099998</v>
      </c>
      <c r="H170" s="4161">
        <v>-3963.07532339</v>
      </c>
      <c r="I170" s="4161">
        <v>942.64272138000001</v>
      </c>
      <c r="J170" s="4161">
        <v>18329.069543730002</v>
      </c>
      <c r="K170" s="4161">
        <v>16125.166985600004</v>
      </c>
    </row>
    <row r="171" spans="2:11" ht="15.75" hidden="1">
      <c r="B171" s="4166" t="s">
        <v>166</v>
      </c>
      <c r="C171" s="4167">
        <v>32114.825163409998</v>
      </c>
      <c r="D171" s="4161">
        <v>32720.605592707776</v>
      </c>
      <c r="E171" s="4161">
        <v>-605.78042929777803</v>
      </c>
      <c r="F171" s="4161">
        <v>15732.944983609996</v>
      </c>
      <c r="G171" s="4161">
        <v>-2738.1312622000005</v>
      </c>
      <c r="H171" s="4161">
        <v>-3677.2763200100003</v>
      </c>
      <c r="I171" s="4161">
        <v>939.14505781000003</v>
      </c>
      <c r="J171" s="4161">
        <v>18471.076245809996</v>
      </c>
      <c r="K171" s="4161">
        <v>16338.725412907774</v>
      </c>
    </row>
    <row r="172" spans="2:11" ht="15.75" hidden="1">
      <c r="B172" s="4166" t="s">
        <v>167</v>
      </c>
      <c r="C172" s="4167">
        <v>32915.77904103</v>
      </c>
      <c r="D172" s="4161">
        <v>32933.481961747784</v>
      </c>
      <c r="E172" s="4161">
        <v>-17.702920717783854</v>
      </c>
      <c r="F172" s="4161">
        <v>16607.679294360001</v>
      </c>
      <c r="G172" s="4161">
        <v>-2171.7327039199999</v>
      </c>
      <c r="H172" s="4161">
        <v>-3106.8335912400003</v>
      </c>
      <c r="I172" s="4161">
        <v>935.10088732000008</v>
      </c>
      <c r="J172" s="4161">
        <v>18779.41199828</v>
      </c>
      <c r="K172" s="4161">
        <v>16625.382215077785</v>
      </c>
    </row>
    <row r="173" spans="2:11" ht="15.75" hidden="1">
      <c r="B173" s="4166" t="s">
        <v>168</v>
      </c>
      <c r="C173" s="4167">
        <v>35176.653922019992</v>
      </c>
      <c r="D173" s="4161">
        <v>34560.6037992075</v>
      </c>
      <c r="E173" s="4161">
        <v>616.05012281249583</v>
      </c>
      <c r="F173" s="4161">
        <v>17313.818990439995</v>
      </c>
      <c r="G173" s="4161">
        <v>-1699.8873472299999</v>
      </c>
      <c r="H173" s="4161">
        <v>-2639.06865027</v>
      </c>
      <c r="I173" s="4161">
        <v>939.1813030400001</v>
      </c>
      <c r="J173" s="4161">
        <v>19013.706337669995</v>
      </c>
      <c r="K173" s="4161">
        <v>16697.768867627499</v>
      </c>
    </row>
    <row r="174" spans="2:11" ht="15.75" hidden="1">
      <c r="B174" s="4166" t="s">
        <v>169</v>
      </c>
      <c r="C174" s="4167">
        <v>36718.983021179993</v>
      </c>
      <c r="D174" s="4161">
        <v>35184.970625107497</v>
      </c>
      <c r="E174" s="4161">
        <v>1534.0123960724977</v>
      </c>
      <c r="F174" s="4161">
        <v>17712.86543134</v>
      </c>
      <c r="G174" s="4161">
        <v>-1557.10606809</v>
      </c>
      <c r="H174" s="4161">
        <v>-2544.36911061</v>
      </c>
      <c r="I174" s="4161">
        <v>987.26304252000011</v>
      </c>
      <c r="J174" s="4161">
        <v>19269.971499430001</v>
      </c>
      <c r="K174" s="4161">
        <v>16178.853035267502</v>
      </c>
    </row>
    <row r="175" spans="2:11" ht="15.75" hidden="1">
      <c r="B175" s="4166" t="s">
        <v>170</v>
      </c>
      <c r="C175" s="4167">
        <v>39473.444115499995</v>
      </c>
      <c r="D175" s="4161">
        <v>35875.724168937501</v>
      </c>
      <c r="E175" s="4161">
        <v>3597.7199465624981</v>
      </c>
      <c r="F175" s="4161">
        <v>17540.388067870004</v>
      </c>
      <c r="G175" s="4161">
        <v>-1903.1317585899999</v>
      </c>
      <c r="H175" s="4161">
        <v>-2890.6250066299999</v>
      </c>
      <c r="I175" s="4161">
        <v>987.49324804000003</v>
      </c>
      <c r="J175" s="4161">
        <v>19443.519826460004</v>
      </c>
      <c r="K175" s="4161">
        <v>13942.668121307506</v>
      </c>
    </row>
    <row r="176" spans="2:11" ht="15.75" hidden="1">
      <c r="B176" s="4166" t="s">
        <v>171</v>
      </c>
      <c r="C176" s="4167">
        <v>43294.342314670008</v>
      </c>
      <c r="D176" s="4161">
        <v>39941.315365387512</v>
      </c>
      <c r="E176" s="4161">
        <v>3353.0269492824991</v>
      </c>
      <c r="F176" s="4161">
        <v>17670.74178855</v>
      </c>
      <c r="G176" s="4161">
        <v>-2326.7881233699995</v>
      </c>
      <c r="H176" s="4161">
        <v>-3323.2422873299997</v>
      </c>
      <c r="I176" s="4161">
        <v>996.45416396000019</v>
      </c>
      <c r="J176" s="4161">
        <v>19997.529911919999</v>
      </c>
      <c r="K176" s="4161">
        <v>14317.714839267501</v>
      </c>
    </row>
    <row r="177" spans="2:11" ht="15.75">
      <c r="B177" s="4166">
        <v>2009</v>
      </c>
      <c r="C177" s="4167">
        <v>43862.760980299994</v>
      </c>
      <c r="D177" s="4161">
        <v>38721.529981427506</v>
      </c>
      <c r="E177" s="4161">
        <v>5141.2309988724846</v>
      </c>
      <c r="F177" s="4161">
        <v>20337.409278319999</v>
      </c>
      <c r="G177" s="4161">
        <v>-18.291381730000126</v>
      </c>
      <c r="H177" s="4161">
        <v>-724.90443790000018</v>
      </c>
      <c r="I177" s="4161">
        <v>706.61305617000005</v>
      </c>
      <c r="J177" s="4161">
        <v>20355.700660049999</v>
      </c>
      <c r="K177" s="4161">
        <v>15196.178279447515</v>
      </c>
    </row>
    <row r="178" spans="2:11" ht="15.75" hidden="1">
      <c r="B178" s="4166">
        <v>2010</v>
      </c>
      <c r="C178" s="4168"/>
      <c r="D178" s="4169"/>
      <c r="E178" s="4161"/>
      <c r="F178" s="4161"/>
      <c r="G178" s="4161"/>
      <c r="H178" s="4161"/>
      <c r="I178" s="4161"/>
      <c r="J178" s="4161"/>
      <c r="K178" s="4161"/>
    </row>
    <row r="179" spans="2:11" ht="15.75" hidden="1">
      <c r="B179" s="4166" t="s">
        <v>161</v>
      </c>
      <c r="C179" s="4170">
        <v>41247.003628990002</v>
      </c>
      <c r="D179" s="4161">
        <v>36295.288891887503</v>
      </c>
      <c r="E179" s="4161">
        <v>4951.7147371024985</v>
      </c>
      <c r="F179" s="4161">
        <v>21662.797646189996</v>
      </c>
      <c r="G179" s="4161">
        <v>896.72072481000021</v>
      </c>
      <c r="H179" s="4161">
        <v>262.79802521000011</v>
      </c>
      <c r="I179" s="4161">
        <v>633.9226996000001</v>
      </c>
      <c r="J179" s="4161">
        <v>20766.076921379998</v>
      </c>
      <c r="K179" s="4161">
        <v>16711.082909087498</v>
      </c>
    </row>
    <row r="180" spans="2:11" ht="15.75" hidden="1">
      <c r="B180" s="4166" t="s">
        <v>162</v>
      </c>
      <c r="C180" s="4170">
        <v>44713.1734689</v>
      </c>
      <c r="D180" s="4161">
        <v>39396.076581637506</v>
      </c>
      <c r="E180" s="4161">
        <v>5317.0968872624908</v>
      </c>
      <c r="F180" s="4161">
        <v>21893.168061169996</v>
      </c>
      <c r="G180" s="4161">
        <v>916.36660876000042</v>
      </c>
      <c r="H180" s="4161">
        <v>281.79471113000045</v>
      </c>
      <c r="I180" s="4161">
        <v>634.57189762999997</v>
      </c>
      <c r="J180" s="4161">
        <v>20976.801452409996</v>
      </c>
      <c r="K180" s="4161">
        <v>16576.071173907505</v>
      </c>
    </row>
    <row r="181" spans="2:11" ht="15.75" hidden="1">
      <c r="B181" s="4166" t="s">
        <v>163</v>
      </c>
      <c r="C181" s="4170">
        <v>44342.001397219996</v>
      </c>
      <c r="D181" s="4161">
        <v>37288.913989957509</v>
      </c>
      <c r="E181" s="4161">
        <v>7053.0874072624865</v>
      </c>
      <c r="F181" s="4161">
        <v>24278.44400127</v>
      </c>
      <c r="G181" s="4161">
        <v>71.974549150000257</v>
      </c>
      <c r="H181" s="4161">
        <v>-593.27015098999982</v>
      </c>
      <c r="I181" s="4161">
        <v>665.24470014000008</v>
      </c>
      <c r="J181" s="4161">
        <v>24206.46945212</v>
      </c>
      <c r="K181" s="4161">
        <v>17225.356594007513</v>
      </c>
    </row>
    <row r="182" spans="2:11" ht="15.75" hidden="1">
      <c r="B182" s="4166" t="s">
        <v>164</v>
      </c>
      <c r="C182" s="4170">
        <v>42534.337997180002</v>
      </c>
      <c r="D182" s="4161">
        <v>35362.758246357494</v>
      </c>
      <c r="E182" s="4161">
        <v>7171.5797508225078</v>
      </c>
      <c r="F182" s="4161">
        <v>23170.992450409998</v>
      </c>
      <c r="G182" s="4161">
        <v>-1894.6560553900003</v>
      </c>
      <c r="H182" s="4161">
        <v>-2561.6969702300003</v>
      </c>
      <c r="I182" s="4161">
        <v>667.04091484000003</v>
      </c>
      <c r="J182" s="4161">
        <v>25065.6485058</v>
      </c>
      <c r="K182" s="4161">
        <v>15999.41269958749</v>
      </c>
    </row>
    <row r="183" spans="2:11" ht="15.75" hidden="1">
      <c r="B183" s="4166" t="s">
        <v>165</v>
      </c>
      <c r="C183" s="4170">
        <v>41824.567075059109</v>
      </c>
      <c r="D183" s="4161">
        <v>36159.968456097507</v>
      </c>
      <c r="E183" s="4161">
        <v>5664.5986189615978</v>
      </c>
      <c r="F183" s="4161">
        <v>23640.010112754</v>
      </c>
      <c r="G183" s="4161">
        <v>-1507.5044400599998</v>
      </c>
      <c r="H183" s="4161">
        <v>-1647.2594966299998</v>
      </c>
      <c r="I183" s="4161">
        <v>139.75505656999999</v>
      </c>
      <c r="J183" s="4161">
        <v>25147.514552813998</v>
      </c>
      <c r="K183" s="4161">
        <v>17975.411493792402</v>
      </c>
    </row>
    <row r="184" spans="2:11" ht="15.75" hidden="1">
      <c r="B184" s="4166" t="s">
        <v>166</v>
      </c>
      <c r="C184" s="4170">
        <v>41778.699127478001</v>
      </c>
      <c r="D184" s="4161">
        <v>35263.717312432491</v>
      </c>
      <c r="E184" s="4161">
        <v>6514.9818150455103</v>
      </c>
      <c r="F184" s="4161">
        <v>23136.544270098006</v>
      </c>
      <c r="G184" s="4161">
        <v>-2857.4345234800003</v>
      </c>
      <c r="H184" s="4161">
        <v>-2993.2416753800003</v>
      </c>
      <c r="I184" s="4161">
        <v>135.80715190000001</v>
      </c>
      <c r="J184" s="4161">
        <v>25993.978793578004</v>
      </c>
      <c r="K184" s="4161">
        <v>16621.562455052495</v>
      </c>
    </row>
    <row r="185" spans="2:11" ht="15.75" hidden="1">
      <c r="B185" s="4166" t="s">
        <v>167</v>
      </c>
      <c r="C185" s="4170">
        <v>43284.49147778</v>
      </c>
      <c r="D185" s="4161">
        <v>34686.611199092491</v>
      </c>
      <c r="E185" s="4161">
        <v>8597.8802786875094</v>
      </c>
      <c r="F185" s="4161">
        <v>25587.265125309998</v>
      </c>
      <c r="G185" s="4161">
        <v>-932.80839841999932</v>
      </c>
      <c r="H185" s="4161">
        <v>-1167.6189691999994</v>
      </c>
      <c r="I185" s="4161">
        <v>234.81057078000003</v>
      </c>
      <c r="J185" s="4161">
        <v>26520.073523729996</v>
      </c>
      <c r="K185" s="4161">
        <v>16989.384846622488</v>
      </c>
    </row>
    <row r="186" spans="2:11" ht="15.75" hidden="1">
      <c r="B186" s="4166" t="s">
        <v>168</v>
      </c>
      <c r="C186" s="4170">
        <v>49401.653803866997</v>
      </c>
      <c r="D186" s="4161">
        <v>40307.517467302496</v>
      </c>
      <c r="E186" s="4161">
        <v>9094.1363365645011</v>
      </c>
      <c r="F186" s="4161">
        <v>27206.600997841007</v>
      </c>
      <c r="G186" s="4161">
        <v>-12.845089569999914</v>
      </c>
      <c r="H186" s="4161">
        <v>-247.08344089999991</v>
      </c>
      <c r="I186" s="4161">
        <v>234.23835133</v>
      </c>
      <c r="J186" s="4161">
        <v>27219.446087411008</v>
      </c>
      <c r="K186" s="4161">
        <v>18112.464661276506</v>
      </c>
    </row>
    <row r="187" spans="2:11" ht="15.75" hidden="1">
      <c r="B187" s="4166" t="s">
        <v>169</v>
      </c>
      <c r="C187" s="4170">
        <v>50509.814135619992</v>
      </c>
      <c r="D187" s="4161">
        <v>41163.343427942491</v>
      </c>
      <c r="E187" s="4161">
        <v>9346.4707076775048</v>
      </c>
      <c r="F187" s="4161">
        <v>27354.103973939989</v>
      </c>
      <c r="G187" s="4161">
        <v>-295.3504598899998</v>
      </c>
      <c r="H187" s="4161">
        <v>-525.73630900999979</v>
      </c>
      <c r="I187" s="4161">
        <v>230.38584912000002</v>
      </c>
      <c r="J187" s="4161">
        <v>27649.454433829989</v>
      </c>
      <c r="K187" s="4161">
        <v>18007.633266262485</v>
      </c>
    </row>
    <row r="188" spans="2:11" ht="15.75" hidden="1">
      <c r="B188" s="4166" t="s">
        <v>170</v>
      </c>
      <c r="C188" s="4170">
        <v>51246.678525180003</v>
      </c>
      <c r="D188" s="4161">
        <v>39931.152550962506</v>
      </c>
      <c r="E188" s="4161">
        <v>11315.5259742175</v>
      </c>
      <c r="F188" s="4161">
        <v>27910.376564636015</v>
      </c>
      <c r="G188" s="4161">
        <v>-476.93736483999999</v>
      </c>
      <c r="H188" s="4161">
        <v>-615.66896004</v>
      </c>
      <c r="I188" s="4161">
        <v>138.73159519999999</v>
      </c>
      <c r="J188" s="4161">
        <v>28387.313929476015</v>
      </c>
      <c r="K188" s="4161">
        <v>16594.850590418515</v>
      </c>
    </row>
    <row r="189" spans="2:11" ht="15.75" hidden="1">
      <c r="B189" s="4166" t="s">
        <v>171</v>
      </c>
      <c r="C189" s="4170">
        <v>54862.079544752494</v>
      </c>
      <c r="D189" s="4161">
        <v>42028.926251822493</v>
      </c>
      <c r="E189" s="4161">
        <v>12833.153292930001</v>
      </c>
      <c r="F189" s="4161">
        <v>30550.201936537022</v>
      </c>
      <c r="G189" s="4161">
        <v>1755.6526962100002</v>
      </c>
      <c r="H189" s="4161">
        <v>1619.4391973800002</v>
      </c>
      <c r="I189" s="4161">
        <v>136.21349882999999</v>
      </c>
      <c r="J189" s="4161">
        <v>28794.549240327022</v>
      </c>
      <c r="K189" s="4161">
        <v>17717.04864360702</v>
      </c>
    </row>
    <row r="190" spans="2:11" ht="15.75">
      <c r="B190" s="4166">
        <v>2010</v>
      </c>
      <c r="C190" s="4170">
        <v>51112.051578689992</v>
      </c>
      <c r="D190" s="4161">
        <v>42030.759426742501</v>
      </c>
      <c r="E190" s="4161">
        <v>9081.2921519474912</v>
      </c>
      <c r="F190" s="4161">
        <v>29162.501253894974</v>
      </c>
      <c r="G190" s="4161">
        <v>-1645.9145014250298</v>
      </c>
      <c r="H190" s="4161">
        <v>-2060.3561886399998</v>
      </c>
      <c r="I190" s="4161">
        <v>414.44168721496993</v>
      </c>
      <c r="J190" s="4161">
        <v>30808.415755320002</v>
      </c>
      <c r="K190" s="4161">
        <v>20081.209101947483</v>
      </c>
    </row>
    <row r="191" spans="2:11" ht="15.75" hidden="1">
      <c r="B191" s="4166">
        <v>2011</v>
      </c>
      <c r="C191" s="4170"/>
      <c r="D191" s="4161"/>
      <c r="E191" s="4161"/>
      <c r="F191" s="4161"/>
      <c r="G191" s="4171"/>
      <c r="H191" s="4161"/>
      <c r="I191" s="4161"/>
      <c r="J191" s="4171"/>
      <c r="K191" s="4161"/>
    </row>
    <row r="192" spans="2:11" ht="15.75" hidden="1">
      <c r="B192" s="4166" t="s">
        <v>161</v>
      </c>
      <c r="C192" s="4167">
        <v>48392.631493763998</v>
      </c>
      <c r="D192" s="4172">
        <v>38000.463812952505</v>
      </c>
      <c r="E192" s="4172">
        <v>10392.16768081149</v>
      </c>
      <c r="F192" s="4172">
        <v>26624.758072249027</v>
      </c>
      <c r="G192" s="4173">
        <v>2169.9211279260007</v>
      </c>
      <c r="H192" s="4172">
        <v>-3566.5328957700003</v>
      </c>
      <c r="I192" s="4172">
        <v>5736.4540236960011</v>
      </c>
      <c r="J192" s="4173">
        <v>24454.836944323026</v>
      </c>
      <c r="K192" s="4172">
        <v>16232.590391437538</v>
      </c>
    </row>
    <row r="193" spans="2:11" ht="15.75" hidden="1">
      <c r="B193" s="4166" t="s">
        <v>162</v>
      </c>
      <c r="C193" s="4167">
        <v>49940.043398577502</v>
      </c>
      <c r="D193" s="4172">
        <v>36299.384178702501</v>
      </c>
      <c r="E193" s="4172">
        <v>13640.659219874997</v>
      </c>
      <c r="F193" s="4172">
        <v>27492.592090114023</v>
      </c>
      <c r="G193" s="4173">
        <v>-3151.4957419599996</v>
      </c>
      <c r="H193" s="4172">
        <v>-3769.2118941099998</v>
      </c>
      <c r="I193" s="4172">
        <v>617.71615214999997</v>
      </c>
      <c r="J193" s="4173">
        <v>30644.087832074023</v>
      </c>
      <c r="K193" s="4172">
        <v>13851.932870239027</v>
      </c>
    </row>
    <row r="194" spans="2:11" ht="15.75" hidden="1">
      <c r="B194" s="4166" t="s">
        <v>163</v>
      </c>
      <c r="C194" s="4167">
        <v>50209.381282044</v>
      </c>
      <c r="D194" s="4172">
        <v>35910.570269992495</v>
      </c>
      <c r="E194" s="4172">
        <v>14298.811012051505</v>
      </c>
      <c r="F194" s="4172">
        <v>30486.688860598893</v>
      </c>
      <c r="G194" s="4173">
        <v>-2094.5147855499999</v>
      </c>
      <c r="H194" s="4172">
        <v>-2332.6642498900001</v>
      </c>
      <c r="I194" s="4172">
        <v>238.14946433999998</v>
      </c>
      <c r="J194" s="4173">
        <v>32581.203646148893</v>
      </c>
      <c r="K194" s="4172">
        <v>16187.877848547389</v>
      </c>
    </row>
    <row r="195" spans="2:11" ht="15.75" hidden="1">
      <c r="B195" s="4166" t="s">
        <v>164</v>
      </c>
      <c r="C195" s="4167">
        <v>49439.786890866002</v>
      </c>
      <c r="D195" s="4172">
        <v>35113.391453847493</v>
      </c>
      <c r="E195" s="4172">
        <v>14326.395437018513</v>
      </c>
      <c r="F195" s="4172">
        <v>29844.302495995002</v>
      </c>
      <c r="G195" s="4173">
        <v>-3382.6184839299995</v>
      </c>
      <c r="H195" s="4172">
        <v>-3626.0361095499993</v>
      </c>
      <c r="I195" s="4172">
        <v>243.41762562</v>
      </c>
      <c r="J195" s="4173">
        <v>33226.920979925002</v>
      </c>
      <c r="K195" s="4172">
        <v>15517.907058976489</v>
      </c>
    </row>
    <row r="196" spans="2:11" ht="15.75" hidden="1">
      <c r="B196" s="4166" t="s">
        <v>165</v>
      </c>
      <c r="C196" s="4167">
        <v>50366.223494335609</v>
      </c>
      <c r="D196" s="4172">
        <v>36418.435280700003</v>
      </c>
      <c r="E196" s="4172">
        <v>13947.788213635606</v>
      </c>
      <c r="F196" s="4172">
        <v>29343.307227695084</v>
      </c>
      <c r="G196" s="4173">
        <v>-4712.09679461</v>
      </c>
      <c r="H196" s="4172">
        <v>-4960.22767656</v>
      </c>
      <c r="I196" s="4172">
        <v>248.13088195</v>
      </c>
      <c r="J196" s="4173">
        <v>34055.404022305083</v>
      </c>
      <c r="K196" s="4172">
        <v>15395.519014059479</v>
      </c>
    </row>
    <row r="197" spans="2:11" ht="15.75" hidden="1">
      <c r="B197" s="4166" t="s">
        <v>166</v>
      </c>
      <c r="C197" s="4167">
        <v>50639.795564975997</v>
      </c>
      <c r="D197" s="4172">
        <v>35531.991342059999</v>
      </c>
      <c r="E197" s="4172">
        <v>15107.804222916002</v>
      </c>
      <c r="F197" s="4172">
        <v>30705.716185640002</v>
      </c>
      <c r="G197" s="4173">
        <v>-2919.458741200001</v>
      </c>
      <c r="H197" s="4172">
        <v>-3955.322305480001</v>
      </c>
      <c r="I197" s="4172">
        <v>1035.86356428</v>
      </c>
      <c r="J197" s="4173">
        <v>33625.174926840002</v>
      </c>
      <c r="K197" s="4172">
        <v>15597.911962724</v>
      </c>
    </row>
    <row r="198" spans="2:11" ht="15.75" hidden="1">
      <c r="B198" s="4166" t="s">
        <v>167</v>
      </c>
      <c r="C198" s="4167">
        <v>49825.818545745999</v>
      </c>
      <c r="D198" s="4172">
        <v>35096.63810538</v>
      </c>
      <c r="E198" s="4172">
        <v>14729.180440365999</v>
      </c>
      <c r="F198" s="4172">
        <v>34434.610142216981</v>
      </c>
      <c r="G198" s="4173">
        <v>-80.697349150000036</v>
      </c>
      <c r="H198" s="4172">
        <v>-1055.5542961199999</v>
      </c>
      <c r="I198" s="4172">
        <v>974.85694696999985</v>
      </c>
      <c r="J198" s="4173">
        <v>34515.307491366984</v>
      </c>
      <c r="K198" s="4172">
        <v>19705.429701850982</v>
      </c>
    </row>
    <row r="199" spans="2:11" ht="15.75" hidden="1">
      <c r="B199" s="4166" t="s">
        <v>168</v>
      </c>
      <c r="C199" s="4167">
        <v>50592.518004373997</v>
      </c>
      <c r="D199" s="4172">
        <v>36106.561681350009</v>
      </c>
      <c r="E199" s="4172">
        <v>14485.956323023987</v>
      </c>
      <c r="F199" s="4172">
        <v>36035.326219071998</v>
      </c>
      <c r="G199" s="4173">
        <v>494.36484208000002</v>
      </c>
      <c r="H199" s="4172">
        <v>-547.87787662000005</v>
      </c>
      <c r="I199" s="4172">
        <v>1042.2427187000001</v>
      </c>
      <c r="J199" s="4173">
        <v>35540.961376991996</v>
      </c>
      <c r="K199" s="4172">
        <v>21549.369896048011</v>
      </c>
    </row>
    <row r="200" spans="2:11" ht="15.75" hidden="1">
      <c r="B200" s="4166" t="s">
        <v>169</v>
      </c>
      <c r="C200" s="4167">
        <v>53175.049496575994</v>
      </c>
      <c r="D200" s="4172">
        <v>37452.396029119991</v>
      </c>
      <c r="E200" s="4172">
        <v>15722.653467456003</v>
      </c>
      <c r="F200" s="4172">
        <v>36690.352437060006</v>
      </c>
      <c r="G200" s="4173">
        <v>-250.60546349999981</v>
      </c>
      <c r="H200" s="4172">
        <v>-1249.4981330699998</v>
      </c>
      <c r="I200" s="4172">
        <v>998.89266956999995</v>
      </c>
      <c r="J200" s="4173">
        <v>36940.957900560003</v>
      </c>
      <c r="K200" s="4172">
        <v>20967.698969604004</v>
      </c>
    </row>
    <row r="201" spans="2:11" ht="15.75" hidden="1">
      <c r="B201" s="4166" t="s">
        <v>170</v>
      </c>
      <c r="C201" s="4167">
        <v>54549.794057353989</v>
      </c>
      <c r="D201" s="4172">
        <v>37911.369330729998</v>
      </c>
      <c r="E201" s="4172">
        <v>16638.424726623991</v>
      </c>
      <c r="F201" s="4172">
        <v>39143.513515437975</v>
      </c>
      <c r="G201" s="4173">
        <v>1199.5094054599999</v>
      </c>
      <c r="H201" s="4172">
        <v>123.72288329999992</v>
      </c>
      <c r="I201" s="4172">
        <v>1075.78652216</v>
      </c>
      <c r="J201" s="4173">
        <v>37944.004109977977</v>
      </c>
      <c r="K201" s="4172">
        <v>22505.088788813984</v>
      </c>
    </row>
    <row r="202" spans="2:11" ht="15.75" hidden="1">
      <c r="B202" s="4166" t="s">
        <v>171</v>
      </c>
      <c r="C202" s="4167">
        <v>58284.754571962018</v>
      </c>
      <c r="D202" s="4172">
        <v>41393.093968879999</v>
      </c>
      <c r="E202" s="4172">
        <v>16891.660603082018</v>
      </c>
      <c r="F202" s="4172">
        <v>40949.09244568101</v>
      </c>
      <c r="G202" s="4173">
        <v>2018.0260061200001</v>
      </c>
      <c r="H202" s="4172">
        <v>767.08988382000018</v>
      </c>
      <c r="I202" s="4172">
        <v>1250.9361223000001</v>
      </c>
      <c r="J202" s="4173">
        <v>38931.066439561007</v>
      </c>
      <c r="K202" s="4172">
        <v>24057.431842598991</v>
      </c>
    </row>
    <row r="203" spans="2:11" ht="15.75">
      <c r="B203" s="4166">
        <v>2011</v>
      </c>
      <c r="C203" s="4167">
        <v>53228.606581783999</v>
      </c>
      <c r="D203" s="4172">
        <v>39290.66576098001</v>
      </c>
      <c r="E203" s="4172">
        <v>13937.940820803986</v>
      </c>
      <c r="F203" s="4172">
        <v>40310.206908558983</v>
      </c>
      <c r="G203" s="4173">
        <v>47.751369609999983</v>
      </c>
      <c r="H203" s="4172">
        <v>-1198.88926831</v>
      </c>
      <c r="I203" s="4172">
        <v>1246.64063792</v>
      </c>
      <c r="J203" s="4173">
        <v>40262.455538948983</v>
      </c>
      <c r="K203" s="4172">
        <v>26372.266087754997</v>
      </c>
    </row>
    <row r="204" spans="2:11" ht="15.75" hidden="1">
      <c r="B204" s="4166">
        <v>2012</v>
      </c>
      <c r="C204" s="4167"/>
      <c r="D204" s="4172"/>
      <c r="E204" s="4172"/>
      <c r="F204" s="4172"/>
      <c r="G204" s="4173"/>
      <c r="H204" s="4172"/>
      <c r="I204" s="4172"/>
      <c r="J204" s="4173"/>
      <c r="K204" s="4174"/>
    </row>
    <row r="205" spans="2:11" ht="15.75" hidden="1">
      <c r="B205" s="4166" t="s">
        <v>161</v>
      </c>
      <c r="C205" s="4167">
        <v>55178.987093955002</v>
      </c>
      <c r="D205" s="4172">
        <v>37176.957606569995</v>
      </c>
      <c r="E205" s="4172">
        <v>18002.029487385007</v>
      </c>
      <c r="F205" s="4172">
        <v>44298.29500093696</v>
      </c>
      <c r="G205" s="4173">
        <v>2603.2844613799998</v>
      </c>
      <c r="H205" s="4172">
        <v>1346.4857733700001</v>
      </c>
      <c r="I205" s="4172">
        <v>1256.79868801</v>
      </c>
      <c r="J205" s="4173">
        <v>41695.010539556963</v>
      </c>
      <c r="K205" s="4172">
        <v>26296.265513551953</v>
      </c>
    </row>
    <row r="206" spans="2:11" ht="15.75" hidden="1">
      <c r="B206" s="4166" t="s">
        <v>162</v>
      </c>
      <c r="C206" s="4167">
        <v>53620.17259702499</v>
      </c>
      <c r="D206" s="4172">
        <v>34523.085609200003</v>
      </c>
      <c r="E206" s="4172">
        <v>19097.086987824987</v>
      </c>
      <c r="F206" s="4172">
        <v>45170.122117204992</v>
      </c>
      <c r="G206" s="4173">
        <v>2697.8821026000001</v>
      </c>
      <c r="H206" s="4172">
        <v>1428.1241454200001</v>
      </c>
      <c r="I206" s="4172">
        <v>1269.7579571799999</v>
      </c>
      <c r="J206" s="4173">
        <v>42472.240014604991</v>
      </c>
      <c r="K206" s="4172">
        <v>26073.035129380005</v>
      </c>
    </row>
    <row r="207" spans="2:11" ht="15.75" hidden="1">
      <c r="B207" s="4166" t="s">
        <v>163</v>
      </c>
      <c r="C207" s="4167">
        <v>53144.525463170001</v>
      </c>
      <c r="D207" s="4172">
        <v>33007.874268159983</v>
      </c>
      <c r="E207" s="4172">
        <v>20136.651195010018</v>
      </c>
      <c r="F207" s="4172">
        <v>46992.040399979</v>
      </c>
      <c r="G207" s="4173">
        <v>4024.2892157399997</v>
      </c>
      <c r="H207" s="4172">
        <v>2769.6662023599997</v>
      </c>
      <c r="I207" s="4172">
        <v>1254.62301338</v>
      </c>
      <c r="J207" s="4173">
        <v>42967.751184239001</v>
      </c>
      <c r="K207" s="4172">
        <v>26855.389204968982</v>
      </c>
    </row>
    <row r="208" spans="2:11" ht="15.75" hidden="1">
      <c r="B208" s="4166" t="s">
        <v>164</v>
      </c>
      <c r="C208" s="4167">
        <v>49280.861558471006</v>
      </c>
      <c r="D208" s="4172">
        <v>32075.160511639988</v>
      </c>
      <c r="E208" s="4172">
        <v>17205.701046831022</v>
      </c>
      <c r="F208" s="4172">
        <v>45120.160532817019</v>
      </c>
      <c r="G208" s="4173">
        <v>1568.9401376099997</v>
      </c>
      <c r="H208" s="4172">
        <v>100.87303932999998</v>
      </c>
      <c r="I208" s="4172">
        <v>1468.0670982799998</v>
      </c>
      <c r="J208" s="4173">
        <v>43551.220395207019</v>
      </c>
      <c r="K208" s="4172">
        <v>27914.459485985997</v>
      </c>
    </row>
    <row r="209" spans="2:11" ht="15.75" hidden="1">
      <c r="B209" s="4166" t="s">
        <v>165</v>
      </c>
      <c r="C209" s="4167">
        <v>52145.835790700992</v>
      </c>
      <c r="D209" s="4172">
        <v>33727.665348449998</v>
      </c>
      <c r="E209" s="4172">
        <v>18418.170442250994</v>
      </c>
      <c r="F209" s="4172">
        <v>48056.615702181094</v>
      </c>
      <c r="G209" s="4173">
        <v>4459.7519049800003</v>
      </c>
      <c r="H209" s="4172">
        <v>2831.6497877000002</v>
      </c>
      <c r="I209" s="4172">
        <v>1628.1021172800001</v>
      </c>
      <c r="J209" s="4173">
        <v>43596.863797201091</v>
      </c>
      <c r="K209" s="4172">
        <v>29638.4452599301</v>
      </c>
    </row>
    <row r="210" spans="2:11" ht="15.75" hidden="1">
      <c r="B210" s="4166" t="s">
        <v>166</v>
      </c>
      <c r="C210" s="4167">
        <v>50122.898735541014</v>
      </c>
      <c r="D210" s="4172">
        <v>35532.107288890009</v>
      </c>
      <c r="E210" s="4172">
        <v>14590.791446651005</v>
      </c>
      <c r="F210" s="4172">
        <v>46466.080596448002</v>
      </c>
      <c r="G210" s="4173">
        <v>2731.4514908700003</v>
      </c>
      <c r="H210" s="4172">
        <v>1245.7928412400001</v>
      </c>
      <c r="I210" s="4172">
        <v>1485.6586496300001</v>
      </c>
      <c r="J210" s="4173">
        <v>43734.629105578002</v>
      </c>
      <c r="K210" s="4172">
        <v>31875.289149796998</v>
      </c>
    </row>
    <row r="211" spans="2:11" ht="15.75" hidden="1">
      <c r="B211" s="4166" t="s">
        <v>167</v>
      </c>
      <c r="C211" s="4167">
        <v>49666.144645753004</v>
      </c>
      <c r="D211" s="4172">
        <v>32376.129412510003</v>
      </c>
      <c r="E211" s="4172">
        <v>17290.015233243001</v>
      </c>
      <c r="F211" s="4172">
        <v>47436.879553849918</v>
      </c>
      <c r="G211" s="4173">
        <v>3283.5575963900005</v>
      </c>
      <c r="H211" s="4172">
        <v>1810.3683327800004</v>
      </c>
      <c r="I211" s="4172">
        <v>1473.1892636100001</v>
      </c>
      <c r="J211" s="4173">
        <v>44153.321957459921</v>
      </c>
      <c r="K211" s="4172">
        <v>30146.864320606917</v>
      </c>
    </row>
    <row r="212" spans="2:11" ht="15.75" hidden="1">
      <c r="B212" s="4166" t="s">
        <v>168</v>
      </c>
      <c r="C212" s="4167">
        <v>52720.545077352013</v>
      </c>
      <c r="D212" s="4172">
        <v>34023.67834554999</v>
      </c>
      <c r="E212" s="4172">
        <v>18696.86673180202</v>
      </c>
      <c r="F212" s="4172">
        <v>49115.583754273022</v>
      </c>
      <c r="G212" s="4173">
        <v>4512.2727777999999</v>
      </c>
      <c r="H212" s="4172">
        <v>3037.6501591699998</v>
      </c>
      <c r="I212" s="4172">
        <v>1474.6226186299998</v>
      </c>
      <c r="J212" s="4173">
        <v>44603.310976473025</v>
      </c>
      <c r="K212" s="4172">
        <v>30418.717022471003</v>
      </c>
    </row>
    <row r="213" spans="2:11" ht="15.75" hidden="1">
      <c r="B213" s="4166" t="s">
        <v>169</v>
      </c>
      <c r="C213" s="4167">
        <v>53814.064739529</v>
      </c>
      <c r="D213" s="4172">
        <v>34718.550374600003</v>
      </c>
      <c r="E213" s="4172">
        <v>19095.514364929</v>
      </c>
      <c r="F213" s="4172">
        <v>47630.725648210049</v>
      </c>
      <c r="G213" s="4173">
        <v>2832.0937858899997</v>
      </c>
      <c r="H213" s="4172">
        <v>1370.8568925299999</v>
      </c>
      <c r="I213" s="4172">
        <v>1461.2368933600001</v>
      </c>
      <c r="J213" s="4173">
        <v>44798.63186232005</v>
      </c>
      <c r="K213" s="4172">
        <v>28535.211283281049</v>
      </c>
    </row>
    <row r="214" spans="2:11" ht="15.75" hidden="1">
      <c r="B214" s="4166" t="s">
        <v>170</v>
      </c>
      <c r="C214" s="4167">
        <v>55631.900476047012</v>
      </c>
      <c r="D214" s="4172">
        <v>33699.046167060005</v>
      </c>
      <c r="E214" s="4172">
        <v>21932.854308987011</v>
      </c>
      <c r="F214" s="4172">
        <v>51360.127431980021</v>
      </c>
      <c r="G214" s="4173">
        <v>6489.9253080100007</v>
      </c>
      <c r="H214" s="4172">
        <v>4687.5168317200005</v>
      </c>
      <c r="I214" s="4172">
        <v>1802.40847629</v>
      </c>
      <c r="J214" s="4173">
        <v>44870.202123970019</v>
      </c>
      <c r="K214" s="4172">
        <v>29427.27312299301</v>
      </c>
    </row>
    <row r="215" spans="2:11" ht="15.75" hidden="1">
      <c r="B215" s="4166" t="s">
        <v>171</v>
      </c>
      <c r="C215" s="4167">
        <v>57576.539622697004</v>
      </c>
      <c r="D215" s="4172">
        <v>34453.273064180001</v>
      </c>
      <c r="E215" s="4172">
        <v>23123.266558517007</v>
      </c>
      <c r="F215" s="4172">
        <v>52847.384661076023</v>
      </c>
      <c r="G215" s="4173">
        <v>7719.9130956900008</v>
      </c>
      <c r="H215" s="4172">
        <v>6052.2917609900005</v>
      </c>
      <c r="I215" s="4172">
        <v>1667.6213346999998</v>
      </c>
      <c r="J215" s="4173">
        <v>45127.471565386026</v>
      </c>
      <c r="K215" s="4172">
        <v>29724.118102559016</v>
      </c>
    </row>
    <row r="216" spans="2:11" ht="15.75">
      <c r="B216" s="4166">
        <v>2012</v>
      </c>
      <c r="C216" s="4167">
        <v>56373.266001844997</v>
      </c>
      <c r="D216" s="4172">
        <v>36209.347340164568</v>
      </c>
      <c r="E216" s="4172">
        <v>20163.918661680433</v>
      </c>
      <c r="F216" s="4172">
        <v>50971.540989986963</v>
      </c>
      <c r="G216" s="4173">
        <v>5812.73057849</v>
      </c>
      <c r="H216" s="4172">
        <v>4167.3688948600002</v>
      </c>
      <c r="I216" s="4172">
        <v>1645.3616836300002</v>
      </c>
      <c r="J216" s="4173">
        <v>45158.810411496961</v>
      </c>
      <c r="K216" s="4172">
        <v>30807.62232830653</v>
      </c>
    </row>
    <row r="217" spans="2:11" ht="15.75">
      <c r="B217" s="4166">
        <v>2013</v>
      </c>
      <c r="C217" s="4167"/>
      <c r="D217" s="4172"/>
      <c r="E217" s="4172"/>
      <c r="F217" s="4172"/>
      <c r="G217" s="4173"/>
      <c r="H217" s="4172"/>
      <c r="I217" s="4172"/>
      <c r="J217" s="4173"/>
      <c r="K217" s="4172"/>
    </row>
    <row r="218" spans="2:11" ht="15.75">
      <c r="B218" s="4175" t="s">
        <v>161</v>
      </c>
      <c r="C218" s="4167">
        <v>53306.084687082999</v>
      </c>
      <c r="D218" s="4172">
        <v>33053.920839870007</v>
      </c>
      <c r="E218" s="4172">
        <v>20252.163847212993</v>
      </c>
      <c r="F218" s="4172">
        <v>52188.379553246028</v>
      </c>
      <c r="G218" s="4173">
        <v>6823.6910714200003</v>
      </c>
      <c r="H218" s="4172">
        <v>5170.4740827400001</v>
      </c>
      <c r="I218" s="4172">
        <v>1653.2169886799998</v>
      </c>
      <c r="J218" s="4173">
        <v>45364.68848182603</v>
      </c>
      <c r="K218" s="4172">
        <v>31936.215706033036</v>
      </c>
    </row>
    <row r="219" spans="2:11" ht="15.75">
      <c r="B219" s="4175" t="s">
        <v>162</v>
      </c>
      <c r="C219" s="4167">
        <v>52068.63722484999</v>
      </c>
      <c r="D219" s="4172">
        <v>32386.959569885003</v>
      </c>
      <c r="E219" s="4172">
        <v>19681.677654964988</v>
      </c>
      <c r="F219" s="4172">
        <v>52800.282517375941</v>
      </c>
      <c r="G219" s="4173">
        <v>7139.0054826699998</v>
      </c>
      <c r="H219" s="4172">
        <v>5296.0101899700003</v>
      </c>
      <c r="I219" s="4172">
        <v>1842.9952926999997</v>
      </c>
      <c r="J219" s="4173">
        <v>45661.277034705941</v>
      </c>
      <c r="K219" s="4172">
        <v>33118.604862410954</v>
      </c>
    </row>
    <row r="220" spans="2:11" ht="15.75">
      <c r="B220" s="4175" t="s">
        <v>163</v>
      </c>
      <c r="C220" s="4167">
        <v>55575.982089011006</v>
      </c>
      <c r="D220" s="4172">
        <v>42710.206209719996</v>
      </c>
      <c r="E220" s="4172">
        <v>12865.77587929101</v>
      </c>
      <c r="F220" s="4172">
        <v>52839.612246335972</v>
      </c>
      <c r="G220" s="4173">
        <v>6788.9854617800002</v>
      </c>
      <c r="H220" s="4172">
        <v>4952.1324302900002</v>
      </c>
      <c r="I220" s="4172">
        <v>1836.8530314899999</v>
      </c>
      <c r="J220" s="4173">
        <v>46050.626784555971</v>
      </c>
      <c r="K220" s="4172">
        <v>39973.836367044962</v>
      </c>
    </row>
    <row r="221" spans="2:11" ht="15.75">
      <c r="B221" s="4175" t="s">
        <v>164</v>
      </c>
      <c r="C221" s="4167">
        <v>51196.767142464007</v>
      </c>
      <c r="D221" s="4172">
        <v>37816.880809999988</v>
      </c>
      <c r="E221" s="4172">
        <v>13379.886332464019</v>
      </c>
      <c r="F221" s="4172">
        <v>51515.431380835966</v>
      </c>
      <c r="G221" s="4173">
        <v>4965.3682600699995</v>
      </c>
      <c r="H221" s="4172">
        <v>3359.1622615900001</v>
      </c>
      <c r="I221" s="4172">
        <v>1606.2059984799998</v>
      </c>
      <c r="J221" s="4173">
        <v>46550.063120765968</v>
      </c>
      <c r="K221" s="4172">
        <v>38135.545048371947</v>
      </c>
    </row>
    <row r="222" spans="2:11" ht="15.75">
      <c r="B222" s="4175" t="s">
        <v>165</v>
      </c>
      <c r="C222" s="4167">
        <v>52238.237900882988</v>
      </c>
      <c r="D222" s="4172">
        <v>39562.243119834995</v>
      </c>
      <c r="E222" s="4172">
        <v>12675.994781047993</v>
      </c>
      <c r="F222" s="4172">
        <v>52690.502637836944</v>
      </c>
      <c r="G222" s="4173">
        <v>6005.3190610499996</v>
      </c>
      <c r="H222" s="4172">
        <v>4175.2661102599996</v>
      </c>
      <c r="I222" s="4172">
        <v>1830.0529507900001</v>
      </c>
      <c r="J222" s="4173">
        <v>46685.183576786942</v>
      </c>
      <c r="K222" s="4172">
        <v>40014.50785678895</v>
      </c>
    </row>
    <row r="223" spans="2:11" ht="15.75">
      <c r="B223" s="4175" t="s">
        <v>166</v>
      </c>
      <c r="C223" s="4167">
        <v>59451.245735814991</v>
      </c>
      <c r="D223" s="4172">
        <v>48566.382606624997</v>
      </c>
      <c r="E223" s="4172">
        <v>10884.863129189995</v>
      </c>
      <c r="F223" s="4172">
        <v>52432.260981580999</v>
      </c>
      <c r="G223" s="4173">
        <v>5607.6522383699994</v>
      </c>
      <c r="H223" s="4172">
        <v>3323.0775239</v>
      </c>
      <c r="I223" s="4172">
        <v>2284.5747144699999</v>
      </c>
      <c r="J223" s="4173">
        <v>46824.608743211</v>
      </c>
      <c r="K223" s="4172">
        <v>41547.397852391005</v>
      </c>
    </row>
    <row r="224" spans="2:11" ht="15.75">
      <c r="B224" s="4175" t="s">
        <v>167</v>
      </c>
      <c r="C224" s="4167">
        <v>55338.073310397005</v>
      </c>
      <c r="D224" s="4172">
        <v>44984.933860504992</v>
      </c>
      <c r="E224" s="4172">
        <v>10353.139449892013</v>
      </c>
      <c r="F224" s="4172">
        <v>54651.971355201953</v>
      </c>
      <c r="G224" s="4173">
        <v>7421.5804801599998</v>
      </c>
      <c r="H224" s="4172">
        <v>5169.3947267799995</v>
      </c>
      <c r="I224" s="4172">
        <v>2252.1857533800003</v>
      </c>
      <c r="J224" s="4173">
        <v>47230.39087504195</v>
      </c>
      <c r="K224" s="4172">
        <v>44298.83190530994</v>
      </c>
    </row>
    <row r="225" spans="2:11" ht="15.75">
      <c r="B225" s="4175" t="s">
        <v>168</v>
      </c>
      <c r="C225" s="4167">
        <v>55511.099455976982</v>
      </c>
      <c r="D225" s="4172">
        <v>48512.350981085001</v>
      </c>
      <c r="E225" s="4172">
        <v>6998.7484748919815</v>
      </c>
      <c r="F225" s="4172">
        <v>54179.154064085975</v>
      </c>
      <c r="G225" s="4173">
        <v>7464.6775795100002</v>
      </c>
      <c r="H225" s="4172">
        <v>5097.7472332099996</v>
      </c>
      <c r="I225" s="4172">
        <v>2366.9303463000001</v>
      </c>
      <c r="J225" s="4173">
        <v>46714.476484575978</v>
      </c>
      <c r="K225" s="4172">
        <v>47180.405589193993</v>
      </c>
    </row>
    <row r="226" spans="2:11" ht="15.75">
      <c r="B226" s="4175" t="s">
        <v>169</v>
      </c>
      <c r="C226" s="4167">
        <v>57748.646867274023</v>
      </c>
      <c r="D226" s="4172">
        <v>46204.591933705</v>
      </c>
      <c r="E226" s="4172">
        <v>11544.054933569023</v>
      </c>
      <c r="F226" s="4172">
        <v>52362.520974006016</v>
      </c>
      <c r="G226" s="4173">
        <v>5165.0686448299994</v>
      </c>
      <c r="H226" s="4172">
        <v>2859.4284849399996</v>
      </c>
      <c r="I226" s="4172">
        <v>2305.6401598899997</v>
      </c>
      <c r="J226" s="4173">
        <v>47197.45232917602</v>
      </c>
      <c r="K226" s="4172">
        <v>40818.466040436993</v>
      </c>
    </row>
    <row r="227" spans="2:11" ht="15.75">
      <c r="B227" s="4175" t="s">
        <v>170</v>
      </c>
      <c r="C227" s="4167">
        <v>60266.125787020006</v>
      </c>
      <c r="D227" s="4172">
        <v>48699.976506974992</v>
      </c>
      <c r="E227" s="4172">
        <v>11566.149280045014</v>
      </c>
      <c r="F227" s="4172">
        <v>52013.030521305998</v>
      </c>
      <c r="G227" s="4173">
        <v>4172.3384925700002</v>
      </c>
      <c r="H227" s="4172">
        <v>2356.6383948800003</v>
      </c>
      <c r="I227" s="4172">
        <v>1815.7000976899999</v>
      </c>
      <c r="J227" s="4173">
        <v>47840.692028735997</v>
      </c>
      <c r="K227" s="4172">
        <v>40446.881241260984</v>
      </c>
    </row>
    <row r="228" spans="2:11" ht="15.75">
      <c r="B228" s="4175" t="s">
        <v>171</v>
      </c>
      <c r="C228" s="4167">
        <v>60158.344438540997</v>
      </c>
      <c r="D228" s="4172">
        <v>51440.620678924999</v>
      </c>
      <c r="E228" s="4172">
        <v>8717.7237596159976</v>
      </c>
      <c r="F228" s="4172">
        <v>50725.956343850019</v>
      </c>
      <c r="G228" s="4173">
        <v>2276.1043026500001</v>
      </c>
      <c r="H228" s="4172">
        <v>663.23373861999994</v>
      </c>
      <c r="I228" s="4172">
        <v>1612.87056403</v>
      </c>
      <c r="J228" s="4173">
        <v>48449.852041200022</v>
      </c>
      <c r="K228" s="4172">
        <v>42008.232584234021</v>
      </c>
    </row>
    <row r="229" spans="2:11" ht="15.75">
      <c r="B229" s="4175" t="s">
        <v>148</v>
      </c>
      <c r="C229" s="4167">
        <v>58209.85474861</v>
      </c>
      <c r="D229" s="4172">
        <v>51342.674592474985</v>
      </c>
      <c r="E229" s="4172">
        <v>6867.1801561350148</v>
      </c>
      <c r="F229" s="4172">
        <v>48009.600486929965</v>
      </c>
      <c r="G229" s="4173">
        <v>-742.17449622000072</v>
      </c>
      <c r="H229" s="4172">
        <v>-2388.5185021100006</v>
      </c>
      <c r="I229" s="4172">
        <v>1646.3440058899998</v>
      </c>
      <c r="J229" s="4173">
        <v>48751.774983149968</v>
      </c>
      <c r="K229" s="4172">
        <v>41142.42033079495</v>
      </c>
    </row>
    <row r="230" spans="2:11" ht="15.75">
      <c r="B230" s="4166">
        <v>2014</v>
      </c>
      <c r="C230" s="4167"/>
      <c r="D230" s="4172"/>
      <c r="E230" s="4172"/>
      <c r="F230" s="4172"/>
      <c r="G230" s="4173"/>
      <c r="H230" s="4172"/>
      <c r="I230" s="4172"/>
      <c r="J230" s="4173"/>
      <c r="K230" s="4172"/>
    </row>
    <row r="231" spans="2:11" ht="15.75">
      <c r="B231" s="4175" t="s">
        <v>161</v>
      </c>
      <c r="C231" s="4167">
        <v>60572.207313412</v>
      </c>
      <c r="D231" s="4172">
        <v>51362.841523484989</v>
      </c>
      <c r="E231" s="4172">
        <v>9209.3657899270111</v>
      </c>
      <c r="F231" s="4172">
        <v>50623.531861580013</v>
      </c>
      <c r="G231" s="4173">
        <v>1795.4476779899996</v>
      </c>
      <c r="H231" s="4172">
        <v>-779.8030995500003</v>
      </c>
      <c r="I231" s="4172">
        <v>2575.2507775399999</v>
      </c>
      <c r="J231" s="4173">
        <v>48828.084183590014</v>
      </c>
      <c r="K231" s="4172">
        <v>41414.166071653002</v>
      </c>
    </row>
    <row r="232" spans="2:11" ht="15.75">
      <c r="B232" s="4175" t="s">
        <v>162</v>
      </c>
      <c r="C232" s="4167">
        <v>61239.646422006997</v>
      </c>
      <c r="D232" s="4172">
        <v>53117.596012944981</v>
      </c>
      <c r="E232" s="4172">
        <v>8122.0504090620161</v>
      </c>
      <c r="F232" s="4172">
        <v>49714.362956980032</v>
      </c>
      <c r="G232" s="4173">
        <v>759.87078741000005</v>
      </c>
      <c r="H232" s="4172">
        <v>-1859.4663621999998</v>
      </c>
      <c r="I232" s="4172">
        <v>2619.3371496099999</v>
      </c>
      <c r="J232" s="4173">
        <v>48954.492169570032</v>
      </c>
      <c r="K232" s="4172">
        <v>41592.312547918016</v>
      </c>
    </row>
    <row r="233" spans="2:11" ht="15.75">
      <c r="B233" s="4175" t="s">
        <v>163</v>
      </c>
      <c r="C233" s="4167">
        <v>58876.259797171006</v>
      </c>
      <c r="D233" s="4172">
        <v>51837.510583294992</v>
      </c>
      <c r="E233" s="4172">
        <v>7038.7492138760135</v>
      </c>
      <c r="F233" s="4172">
        <v>51202.887178999998</v>
      </c>
      <c r="G233" s="4173">
        <v>2385.4919479600003</v>
      </c>
      <c r="H233" s="4172">
        <v>-480.57457854999984</v>
      </c>
      <c r="I233" s="4172">
        <v>2866.0665265100001</v>
      </c>
      <c r="J233" s="4173">
        <v>48817.395231039998</v>
      </c>
      <c r="K233" s="4172">
        <v>44164.137965123984</v>
      </c>
    </row>
    <row r="234" spans="2:11" ht="15.75">
      <c r="B234" s="4175" t="s">
        <v>164</v>
      </c>
      <c r="C234" s="4167">
        <v>58900.114702723004</v>
      </c>
      <c r="D234" s="4172">
        <v>49405.639504184997</v>
      </c>
      <c r="E234" s="4172">
        <v>9494.4751985380062</v>
      </c>
      <c r="F234" s="4172">
        <v>51523.438095711004</v>
      </c>
      <c r="G234" s="4173">
        <v>3013.4951141199995</v>
      </c>
      <c r="H234" s="4172">
        <v>98.363183589999608</v>
      </c>
      <c r="I234" s="4172">
        <v>2915.1319305299999</v>
      </c>
      <c r="J234" s="4173">
        <v>48509.942981591004</v>
      </c>
      <c r="K234" s="4172">
        <v>42028.962897172998</v>
      </c>
    </row>
    <row r="235" spans="2:11" ht="15.75">
      <c r="B235" s="4175" t="s">
        <v>165</v>
      </c>
      <c r="C235" s="4167">
        <v>62784.160642551011</v>
      </c>
      <c r="D235" s="4172">
        <v>56774.9999508775</v>
      </c>
      <c r="E235" s="4172">
        <v>6009.1606916735109</v>
      </c>
      <c r="F235" s="4172">
        <v>49247.520784059969</v>
      </c>
      <c r="G235" s="4173">
        <v>-159.92675125999995</v>
      </c>
      <c r="H235" s="4172">
        <v>-2960.1394835699998</v>
      </c>
      <c r="I235" s="4172">
        <v>2800.2127323099999</v>
      </c>
      <c r="J235" s="4173">
        <v>49407.447535319967</v>
      </c>
      <c r="K235" s="4172">
        <v>43238.360092386458</v>
      </c>
    </row>
    <row r="236" spans="2:11" ht="15.75">
      <c r="B236" s="4102" t="s">
        <v>166</v>
      </c>
      <c r="C236" s="4092">
        <v>63387.800669612989</v>
      </c>
      <c r="D236" s="4123">
        <v>53886.461494811512</v>
      </c>
      <c r="E236" s="4123">
        <v>9501.3391748014765</v>
      </c>
      <c r="F236" s="4123">
        <v>52299.011466129996</v>
      </c>
      <c r="G236" s="4173">
        <v>2460.3408452199997</v>
      </c>
      <c r="H236" s="4123">
        <v>-1978.0117701200002</v>
      </c>
      <c r="I236" s="4123">
        <v>4438.3526153399998</v>
      </c>
      <c r="J236" s="4173">
        <v>49838.670620909994</v>
      </c>
      <c r="K236" s="4123">
        <v>42797.672291328519</v>
      </c>
    </row>
    <row r="237" spans="2:11" ht="15.75">
      <c r="B237" s="4102" t="s">
        <v>167</v>
      </c>
      <c r="C237" s="4092">
        <v>64309.067985440997</v>
      </c>
      <c r="D237" s="4123">
        <v>52812.027662216955</v>
      </c>
      <c r="E237" s="4123">
        <v>11497.040323224042</v>
      </c>
      <c r="F237" s="4123">
        <v>53410.804487413981</v>
      </c>
      <c r="G237" s="4173">
        <v>3010.9557339999997</v>
      </c>
      <c r="H237" s="4123">
        <v>-1217.1177986799999</v>
      </c>
      <c r="I237" s="4123">
        <v>4228.0735326799995</v>
      </c>
      <c r="J237" s="4173">
        <v>50399.848753413979</v>
      </c>
      <c r="K237" s="4123">
        <v>41913.764164189939</v>
      </c>
    </row>
    <row r="238" spans="2:11" ht="15.75">
      <c r="B238" s="4102" t="s">
        <v>168</v>
      </c>
      <c r="C238" s="4092">
        <v>65713.081146331009</v>
      </c>
      <c r="D238" s="4123">
        <v>53723.911567042502</v>
      </c>
      <c r="E238" s="4123">
        <v>11989.169579288508</v>
      </c>
      <c r="F238" s="4123">
        <v>54223.280208556018</v>
      </c>
      <c r="G238" s="4173">
        <v>3492.2939403400001</v>
      </c>
      <c r="H238" s="4123">
        <v>479.9384892600001</v>
      </c>
      <c r="I238" s="4123">
        <v>3012.35545108</v>
      </c>
      <c r="J238" s="4173">
        <v>50730.986268216016</v>
      </c>
      <c r="K238" s="4123">
        <v>42234.11062926751</v>
      </c>
    </row>
    <row r="239" spans="2:11" ht="15.75">
      <c r="B239" s="4102" t="s">
        <v>169</v>
      </c>
      <c r="C239" s="4092">
        <v>68172.746378115</v>
      </c>
      <c r="D239" s="4123">
        <v>61829.636340097997</v>
      </c>
      <c r="E239" s="4123">
        <v>6343.1100380170028</v>
      </c>
      <c r="F239" s="4123">
        <v>51003.185305267987</v>
      </c>
      <c r="G239" s="4173">
        <v>-594.65188919000002</v>
      </c>
      <c r="H239" s="4123">
        <v>-3554.3261961599997</v>
      </c>
      <c r="I239" s="4123">
        <v>2959.6743069699996</v>
      </c>
      <c r="J239" s="4173">
        <v>51597.837194457985</v>
      </c>
      <c r="K239" s="4123">
        <v>44660.075267250984</v>
      </c>
    </row>
    <row r="240" spans="2:11" ht="15.75">
      <c r="B240" s="4102" t="s">
        <v>170</v>
      </c>
      <c r="C240" s="4092">
        <v>70364.396602600988</v>
      </c>
      <c r="D240" s="4123">
        <v>62519.755950052495</v>
      </c>
      <c r="E240" s="4123">
        <v>7844.6406525484854</v>
      </c>
      <c r="F240" s="4123">
        <v>53174.294318629014</v>
      </c>
      <c r="G240" s="4173">
        <v>779.74146059000032</v>
      </c>
      <c r="H240" s="4123">
        <v>-2477.8638504199998</v>
      </c>
      <c r="I240" s="4123">
        <v>3257.6053110100002</v>
      </c>
      <c r="J240" s="4173">
        <v>52394.552858039016</v>
      </c>
      <c r="K240" s="4123">
        <v>45329.653666080529</v>
      </c>
    </row>
    <row r="241" spans="1:11" ht="15.75">
      <c r="B241" s="4102" t="s">
        <v>171</v>
      </c>
      <c r="C241" s="4092">
        <v>73234.307710426991</v>
      </c>
      <c r="D241" s="4123">
        <v>68021.645765842492</v>
      </c>
      <c r="E241" s="4123">
        <v>5212.661944584499</v>
      </c>
      <c r="F241" s="4123">
        <v>50955.761302369996</v>
      </c>
      <c r="G241" s="4173">
        <v>-1674.466946909999</v>
      </c>
      <c r="H241" s="4123">
        <v>-5062.0005043599995</v>
      </c>
      <c r="I241" s="4123">
        <v>3387.5335574500004</v>
      </c>
      <c r="J241" s="4173">
        <v>52630.228249279993</v>
      </c>
      <c r="K241" s="4123">
        <v>45743.099357785497</v>
      </c>
    </row>
    <row r="242" spans="1:11" ht="15.75">
      <c r="B242" s="4102" t="s">
        <v>148</v>
      </c>
      <c r="C242" s="4092">
        <v>73366.103409640986</v>
      </c>
      <c r="D242" s="4123">
        <v>69081.589319902501</v>
      </c>
      <c r="E242" s="4123">
        <v>4284.5140897384845</v>
      </c>
      <c r="F242" s="4123">
        <v>51449.567459083046</v>
      </c>
      <c r="G242" s="4173">
        <v>-1900.52180047</v>
      </c>
      <c r="H242" s="4123">
        <v>-5013.4018021599995</v>
      </c>
      <c r="I242" s="4123">
        <v>3112.8800016899995</v>
      </c>
      <c r="J242" s="4173">
        <v>53350.089259553046</v>
      </c>
      <c r="K242" s="4123">
        <v>47165.053369344561</v>
      </c>
    </row>
    <row r="243" spans="1:11" ht="15.75">
      <c r="B243" s="4126">
        <v>2015</v>
      </c>
      <c r="C243" s="4092"/>
      <c r="D243" s="4123"/>
      <c r="E243" s="4123"/>
      <c r="F243" s="4123"/>
      <c r="G243" s="4173"/>
      <c r="H243" s="4123"/>
      <c r="I243" s="4123"/>
      <c r="J243" s="4173"/>
      <c r="K243" s="4123"/>
    </row>
    <row r="244" spans="1:11" ht="15.75">
      <c r="B244" s="4176" t="s">
        <v>161</v>
      </c>
      <c r="C244" s="4092">
        <v>75626.216484882985</v>
      </c>
      <c r="D244" s="4123">
        <v>67049.0964545225</v>
      </c>
      <c r="E244" s="4123">
        <v>8577.1200303604855</v>
      </c>
      <c r="F244" s="4123">
        <v>54562.621371000001</v>
      </c>
      <c r="G244" s="4173">
        <v>1009.8501799699998</v>
      </c>
      <c r="H244" s="4123">
        <v>-2071.6112750100001</v>
      </c>
      <c r="I244" s="4123">
        <v>3081.4614549799999</v>
      </c>
      <c r="J244" s="4173">
        <v>53552.771191029999</v>
      </c>
      <c r="K244" s="4123">
        <v>45985.501340639516</v>
      </c>
    </row>
    <row r="245" spans="1:11" ht="15.75">
      <c r="B245" s="4176" t="s">
        <v>162</v>
      </c>
      <c r="C245" s="4092">
        <v>71582.925277863804</v>
      </c>
      <c r="D245" s="4123">
        <v>64199.647617352501</v>
      </c>
      <c r="E245" s="4123">
        <v>7383.2776605113104</v>
      </c>
      <c r="F245" s="4123">
        <v>53288.999866029997</v>
      </c>
      <c r="G245" s="4173">
        <v>-875.98386597000035</v>
      </c>
      <c r="H245" s="4123">
        <v>-3996.2801508000002</v>
      </c>
      <c r="I245" s="4123">
        <v>3120.2962848299999</v>
      </c>
      <c r="J245" s="4173">
        <v>54164.983732000001</v>
      </c>
      <c r="K245" s="4123">
        <v>45905.722205518687</v>
      </c>
    </row>
    <row r="246" spans="1:11" ht="15.75">
      <c r="B246" s="4176" t="s">
        <v>163</v>
      </c>
      <c r="C246" s="4092">
        <v>67636.295713496977</v>
      </c>
      <c r="D246" s="4123">
        <v>60410.554843762497</v>
      </c>
      <c r="E246" s="4123">
        <v>7225.7408697344872</v>
      </c>
      <c r="F246" s="4123">
        <v>55006.304458629987</v>
      </c>
      <c r="G246" s="4173">
        <v>-410.69668107999951</v>
      </c>
      <c r="H246" s="4123">
        <v>-3668.3920248999993</v>
      </c>
      <c r="I246" s="4123">
        <v>3257.6953438199998</v>
      </c>
      <c r="J246" s="4173">
        <v>55417.001139709988</v>
      </c>
      <c r="K246" s="4123">
        <v>47780.5635888955</v>
      </c>
    </row>
    <row r="247" spans="1:11" ht="15.75">
      <c r="B247" s="4176" t="s">
        <v>164</v>
      </c>
      <c r="C247" s="4092">
        <v>68804.083261349733</v>
      </c>
      <c r="D247" s="4123">
        <v>57137.891017187234</v>
      </c>
      <c r="E247" s="4123">
        <v>11666.192244162492</v>
      </c>
      <c r="F247" s="4123">
        <v>57450.550727049995</v>
      </c>
      <c r="G247" s="4173">
        <v>1869.849611820001</v>
      </c>
      <c r="H247" s="4123">
        <v>-2017.6339057999994</v>
      </c>
      <c r="I247" s="4123">
        <v>3887.4835176200004</v>
      </c>
      <c r="J247" s="4173">
        <v>55580.701115229997</v>
      </c>
      <c r="K247" s="4123">
        <v>45784.358482887503</v>
      </c>
    </row>
    <row r="248" spans="1:11" ht="15.75">
      <c r="B248" s="4176" t="s">
        <v>165</v>
      </c>
      <c r="C248" s="4092">
        <v>71188.839560394321</v>
      </c>
      <c r="D248" s="4123">
        <v>56297.103602657502</v>
      </c>
      <c r="E248" s="4123">
        <v>14891.735957736826</v>
      </c>
      <c r="F248" s="4123">
        <v>62298.489989560003</v>
      </c>
      <c r="G248" s="4173">
        <v>6062.86357417</v>
      </c>
      <c r="H248" s="4123">
        <v>-551.70853815999999</v>
      </c>
      <c r="I248" s="4123">
        <v>6614.57211233</v>
      </c>
      <c r="J248" s="4173">
        <v>56235.626415390005</v>
      </c>
      <c r="K248" s="4123">
        <v>47406.754031823177</v>
      </c>
    </row>
    <row r="249" spans="1:11" ht="15.75">
      <c r="B249" s="4176" t="s">
        <v>166</v>
      </c>
      <c r="C249" s="4092">
        <v>68344.292054373014</v>
      </c>
      <c r="D249" s="4123">
        <v>58248.736068217506</v>
      </c>
      <c r="E249" s="4123">
        <v>10095.555986155508</v>
      </c>
      <c r="F249" s="4123">
        <v>56255.122860815973</v>
      </c>
      <c r="G249" s="4173">
        <v>-565.41242078999949</v>
      </c>
      <c r="H249" s="4123">
        <v>-7739.69887784</v>
      </c>
      <c r="I249" s="4123">
        <v>7174.2864570500005</v>
      </c>
      <c r="J249" s="4173">
        <v>56820.535281605975</v>
      </c>
      <c r="K249" s="4123">
        <v>46159.566874660464</v>
      </c>
    </row>
    <row r="250" spans="1:11" ht="15.75">
      <c r="B250" s="4176" t="s">
        <v>167</v>
      </c>
      <c r="C250" s="4092">
        <v>67943.443936926997</v>
      </c>
      <c r="D250" s="4123">
        <v>56816.730403242495</v>
      </c>
      <c r="E250" s="4123">
        <v>11126.713533684502</v>
      </c>
      <c r="F250" s="4123">
        <v>58652.415607406954</v>
      </c>
      <c r="G250" s="4173">
        <v>1599.8401228499988</v>
      </c>
      <c r="H250" s="4123">
        <v>-4581.517145060001</v>
      </c>
      <c r="I250" s="4123">
        <v>6181.3572679099998</v>
      </c>
      <c r="J250" s="4173">
        <v>57052.575484556954</v>
      </c>
      <c r="K250" s="4123">
        <v>47525.702073722452</v>
      </c>
    </row>
    <row r="251" spans="1:11" ht="15.75">
      <c r="B251" s="4176" t="s">
        <v>168</v>
      </c>
      <c r="C251" s="4092">
        <v>68616.20510627699</v>
      </c>
      <c r="D251" s="4123">
        <v>64840.977186765493</v>
      </c>
      <c r="E251" s="4123">
        <v>3775.2279195115043</v>
      </c>
      <c r="F251" s="4123">
        <v>54265.069417377155</v>
      </c>
      <c r="G251" s="4173">
        <v>-3365.6298864800001</v>
      </c>
      <c r="H251" s="4123">
        <v>-8798.0324270599995</v>
      </c>
      <c r="I251" s="4123">
        <v>5432.4025405799994</v>
      </c>
      <c r="J251" s="4173">
        <v>57630.699303857153</v>
      </c>
      <c r="K251" s="4123">
        <v>50489.841497865651</v>
      </c>
    </row>
    <row r="252" spans="1:11" ht="15.75">
      <c r="B252" s="4176" t="s">
        <v>169</v>
      </c>
      <c r="C252" s="4092">
        <v>69742.134018327008</v>
      </c>
      <c r="D252" s="4123">
        <v>72455.275372094737</v>
      </c>
      <c r="E252" s="4123">
        <v>-2713.141353767729</v>
      </c>
      <c r="F252" s="4123">
        <v>52384.182271593963</v>
      </c>
      <c r="G252" s="4173">
        <v>-5983.8986304700029</v>
      </c>
      <c r="H252" s="4123">
        <v>-11075.651285120002</v>
      </c>
      <c r="I252" s="4123">
        <v>5091.7526546499994</v>
      </c>
      <c r="J252" s="4173">
        <v>58368.080902063964</v>
      </c>
      <c r="K252" s="4123">
        <v>55097.323625361692</v>
      </c>
    </row>
    <row r="253" spans="1:11" ht="15.75">
      <c r="B253" s="4176" t="s">
        <v>170</v>
      </c>
      <c r="C253" s="4092">
        <v>75716.182573330007</v>
      </c>
      <c r="D253" s="4123">
        <v>69871.197684553015</v>
      </c>
      <c r="E253" s="4123">
        <v>5844.9848887769913</v>
      </c>
      <c r="F253" s="4123">
        <v>53581.868606740987</v>
      </c>
      <c r="G253" s="4173">
        <v>-5634.1206272600011</v>
      </c>
      <c r="H253" s="4123">
        <v>-10809.583043210001</v>
      </c>
      <c r="I253" s="4123">
        <v>5175.4624159499999</v>
      </c>
      <c r="J253" s="4173">
        <v>59215.98923400099</v>
      </c>
      <c r="K253" s="4123">
        <v>47736.883717963996</v>
      </c>
    </row>
    <row r="254" spans="1:11" ht="15.75">
      <c r="B254" s="4176" t="s">
        <v>171</v>
      </c>
      <c r="C254" s="4092">
        <v>76991.356844213005</v>
      </c>
      <c r="D254" s="4123">
        <v>68871.151799151747</v>
      </c>
      <c r="E254" s="4123">
        <v>8120.205045061266</v>
      </c>
      <c r="F254" s="4123">
        <v>56770.809528438018</v>
      </c>
      <c r="G254" s="4173">
        <v>-3141.57184297</v>
      </c>
      <c r="H254" s="4123">
        <v>-8573.1622825699997</v>
      </c>
      <c r="I254" s="4123">
        <v>5431.5904395999996</v>
      </c>
      <c r="J254" s="4173">
        <v>59912.381371408017</v>
      </c>
      <c r="K254" s="4123">
        <v>48650.604483376752</v>
      </c>
    </row>
    <row r="255" spans="1:11" ht="15.75">
      <c r="B255" s="4176" t="s">
        <v>148</v>
      </c>
      <c r="C255" s="4092">
        <v>76148.606929818023</v>
      </c>
      <c r="D255" s="4123">
        <v>66305.106574482503</v>
      </c>
      <c r="E255" s="4123">
        <v>9843.5003553355127</v>
      </c>
      <c r="F255" s="4123">
        <v>59196.001653544001</v>
      </c>
      <c r="G255" s="4173">
        <v>-782.53043910000088</v>
      </c>
      <c r="H255" s="4123">
        <v>-6123.1352414400008</v>
      </c>
      <c r="I255" s="4123">
        <v>5340.6048023399999</v>
      </c>
      <c r="J255" s="4173">
        <v>59978.532092644004</v>
      </c>
      <c r="K255" s="4123">
        <v>49352.501298208488</v>
      </c>
    </row>
    <row r="256" spans="1:11" s="4283" customFormat="1" ht="15.75">
      <c r="A256" s="36"/>
      <c r="B256" s="4102">
        <v>2016</v>
      </c>
      <c r="C256" s="4092"/>
      <c r="D256" s="4123"/>
      <c r="E256" s="4123"/>
      <c r="F256" s="4123"/>
      <c r="G256" s="4173"/>
      <c r="H256" s="4123"/>
      <c r="I256" s="4123"/>
      <c r="J256" s="4173"/>
      <c r="K256" s="4123"/>
    </row>
    <row r="257" spans="1:11" s="4283" customFormat="1" ht="15.75">
      <c r="A257" s="36"/>
      <c r="B257" s="4102" t="s">
        <v>161</v>
      </c>
      <c r="C257" s="4092">
        <v>76507.536178253999</v>
      </c>
      <c r="D257" s="4123">
        <v>65658.244197022519</v>
      </c>
      <c r="E257" s="4123">
        <v>10849.291981231479</v>
      </c>
      <c r="F257" s="4123">
        <v>60394.62728439999</v>
      </c>
      <c r="G257" s="4173">
        <v>-829.54499983999813</v>
      </c>
      <c r="H257" s="4123">
        <v>-6222.1235201699983</v>
      </c>
      <c r="I257" s="4123">
        <v>5392.5785203300002</v>
      </c>
      <c r="J257" s="4173">
        <v>61224.17228423999</v>
      </c>
      <c r="K257" s="4123">
        <v>49545.335303168511</v>
      </c>
    </row>
    <row r="258" spans="1:11" s="4283" customFormat="1" ht="15.75">
      <c r="A258" s="36"/>
      <c r="B258" s="4285" t="s">
        <v>162</v>
      </c>
      <c r="C258" s="4286">
        <v>77571.123851818993</v>
      </c>
      <c r="D258" s="4287">
        <v>68914.911008280018</v>
      </c>
      <c r="E258" s="4287">
        <v>8656.2128435389823</v>
      </c>
      <c r="F258" s="4287">
        <v>60814.400767619991</v>
      </c>
      <c r="G258" s="4288">
        <v>-525.95890335000058</v>
      </c>
      <c r="H258" s="4287">
        <v>-5898.7293299599996</v>
      </c>
      <c r="I258" s="4287">
        <v>5372.770426609999</v>
      </c>
      <c r="J258" s="4288">
        <v>61340.359670969992</v>
      </c>
      <c r="K258" s="4287">
        <v>52158.187924081009</v>
      </c>
    </row>
    <row r="259" spans="1:11" ht="26.25" customHeight="1">
      <c r="B259" s="4561" t="s">
        <v>1623</v>
      </c>
      <c r="C259" s="4561"/>
      <c r="D259" s="4561"/>
      <c r="E259" s="4561"/>
      <c r="F259" s="4561"/>
      <c r="G259" s="4561"/>
      <c r="H259" s="4561"/>
      <c r="I259" s="4561"/>
      <c r="J259" s="4561"/>
      <c r="K259" s="4561"/>
    </row>
  </sheetData>
  <mergeCells count="15">
    <mergeCell ref="B259:K259"/>
    <mergeCell ref="B1:K1"/>
    <mergeCell ref="J2:K2"/>
    <mergeCell ref="J6:J7"/>
    <mergeCell ref="C8:K8"/>
    <mergeCell ref="B3:B7"/>
    <mergeCell ref="C3:K3"/>
    <mergeCell ref="C4:C7"/>
    <mergeCell ref="D4:D7"/>
    <mergeCell ref="E4:K4"/>
    <mergeCell ref="E5:E7"/>
    <mergeCell ref="F5:J5"/>
    <mergeCell ref="K5:K7"/>
    <mergeCell ref="F6:F7"/>
    <mergeCell ref="G6:I6"/>
  </mergeCells>
  <phoneticPr fontId="0" type="noConversion"/>
  <pageMargins left="0.94" right="0.34" top="0.9" bottom="1" header="0.5" footer="0.5"/>
  <pageSetup paperSize="9" scale="36" orientation="portrait" horizontalDpi="300" verticalDpi="300" r:id="rId1"/>
  <headerFooter alignWithMargins="0">
    <oddFooter xml:space="preserve">&amp;L &amp;C                                         </oddFooter>
  </headerFooter>
</worksheet>
</file>

<file path=xl/worksheets/sheet26.xml><?xml version="1.0" encoding="utf-8"?>
<worksheet xmlns="http://schemas.openxmlformats.org/spreadsheetml/2006/main" xmlns:r="http://schemas.openxmlformats.org/officeDocument/2006/relationships">
  <dimension ref="G2:G28"/>
  <sheetViews>
    <sheetView topLeftCell="A31" zoomScale="80" zoomScaleNormal="80" zoomScaleSheetLayoutView="100" workbookViewId="0">
      <selection activeCell="O32" sqref="O32"/>
    </sheetView>
  </sheetViews>
  <sheetFormatPr defaultRowHeight="12.75"/>
  <cols>
    <col min="1" max="16384" width="9.140625" style="4064"/>
  </cols>
  <sheetData>
    <row r="2" spans="7:7" ht="18">
      <c r="G2" s="3889" t="s">
        <v>1904</v>
      </c>
    </row>
    <row r="28" spans="7:7" ht="18">
      <c r="G28" s="3897" t="s">
        <v>1905</v>
      </c>
    </row>
  </sheetData>
  <pageMargins left="0.7" right="0.7" top="0.75" bottom="0.75" header="0.3" footer="0.3"/>
  <pageSetup scale="67" firstPageNumber="0" orientation="portrait" useFirstPageNumber="1" r:id="rId1"/>
  <drawing r:id="rId2"/>
</worksheet>
</file>

<file path=xl/worksheets/sheet27.xml><?xml version="1.0" encoding="utf-8"?>
<worksheet xmlns="http://schemas.openxmlformats.org/spreadsheetml/2006/main" xmlns:r="http://schemas.openxmlformats.org/officeDocument/2006/relationships">
  <sheetPr codeName="Sheet26"/>
  <dimension ref="A1:L227"/>
  <sheetViews>
    <sheetView zoomScale="70" zoomScaleNormal="70" workbookViewId="0">
      <pane xSplit="2" ySplit="9" topLeftCell="C208" activePane="bottomRight" state="frozen"/>
      <selection activeCell="K31" sqref="K31"/>
      <selection pane="topRight" activeCell="K31" sqref="K31"/>
      <selection pane="bottomLeft" activeCell="K31" sqref="K31"/>
      <selection pane="bottomRight" activeCell="M223" sqref="M223"/>
    </sheetView>
  </sheetViews>
  <sheetFormatPr defaultRowHeight="16.5"/>
  <cols>
    <col min="1" max="1" width="9.140625" style="2351"/>
    <col min="2" max="2" width="11.85546875" style="2351" customWidth="1"/>
    <col min="3" max="3" width="14.7109375" style="2564" customWidth="1"/>
    <col min="4" max="4" width="13" style="2351" customWidth="1"/>
    <col min="5" max="5" width="12.7109375" style="2351" customWidth="1"/>
    <col min="6" max="6" width="13.42578125" style="2351" customWidth="1"/>
    <col min="7" max="7" width="13.140625" style="2351" customWidth="1"/>
    <col min="8" max="8" width="12.5703125" style="2351" customWidth="1"/>
    <col min="9" max="9" width="14.5703125" style="2351" customWidth="1"/>
    <col min="10" max="10" width="16.5703125" style="2351" customWidth="1"/>
    <col min="11" max="11" width="10.42578125" style="2351" customWidth="1"/>
    <col min="12" max="12" width="17.140625" style="2351" bestFit="1" customWidth="1"/>
    <col min="13" max="16384" width="9.140625" style="2351"/>
  </cols>
  <sheetData>
    <row r="1" spans="1:12" ht="18">
      <c r="A1" s="3990"/>
      <c r="B1" s="4573" t="s">
        <v>2068</v>
      </c>
      <c r="C1" s="4573"/>
      <c r="D1" s="4573"/>
      <c r="E1" s="4573"/>
      <c r="F1" s="4573"/>
      <c r="G1" s="4573"/>
      <c r="H1" s="4573"/>
      <c r="I1" s="4573"/>
      <c r="J1" s="4573"/>
      <c r="K1" s="2557"/>
    </row>
    <row r="2" spans="1:12">
      <c r="A2" s="3990"/>
      <c r="B2" s="3145" t="s">
        <v>1757</v>
      </c>
      <c r="C2" s="2791"/>
      <c r="D2" s="2357"/>
      <c r="E2" s="2357"/>
      <c r="F2" s="2357"/>
      <c r="G2" s="2357"/>
      <c r="H2" s="2357"/>
      <c r="I2" s="2357"/>
      <c r="J2" s="2357"/>
      <c r="K2" s="2357"/>
    </row>
    <row r="3" spans="1:12">
      <c r="A3" s="3990"/>
      <c r="B3" s="4589" t="s">
        <v>227</v>
      </c>
      <c r="C3" s="3504"/>
      <c r="D3" s="2792"/>
      <c r="E3" s="2792"/>
      <c r="F3" s="2792"/>
      <c r="G3" s="2792"/>
      <c r="H3" s="2792"/>
      <c r="I3" s="2792"/>
      <c r="J3" s="2793"/>
      <c r="K3" s="2391"/>
    </row>
    <row r="4" spans="1:12">
      <c r="A4" s="3990"/>
      <c r="B4" s="4590"/>
      <c r="C4" s="2359" t="s">
        <v>172</v>
      </c>
      <c r="D4" s="2359"/>
      <c r="E4" s="2359"/>
      <c r="F4" s="2359"/>
      <c r="G4" s="2359"/>
      <c r="H4" s="2359"/>
      <c r="I4" s="2359"/>
      <c r="J4" s="2582"/>
      <c r="K4" s="2391"/>
    </row>
    <row r="5" spans="1:12" ht="16.5" customHeight="1">
      <c r="A5" s="3990"/>
      <c r="B5" s="4590"/>
      <c r="C5" s="4586" t="s">
        <v>152</v>
      </c>
      <c r="D5" s="4581" t="s">
        <v>429</v>
      </c>
      <c r="E5" s="4578" t="s">
        <v>421</v>
      </c>
      <c r="F5" s="4579"/>
      <c r="G5" s="4580"/>
      <c r="H5" s="4581" t="s">
        <v>928</v>
      </c>
      <c r="I5" s="2794"/>
      <c r="J5" s="2795"/>
      <c r="K5" s="3006"/>
      <c r="L5" s="2564"/>
    </row>
    <row r="6" spans="1:12">
      <c r="A6" s="3990"/>
      <c r="B6" s="4590"/>
      <c r="C6" s="4587"/>
      <c r="D6" s="4582"/>
      <c r="E6" s="4581" t="s">
        <v>152</v>
      </c>
      <c r="F6" s="4581" t="s">
        <v>141</v>
      </c>
      <c r="G6" s="4581" t="s">
        <v>431</v>
      </c>
      <c r="H6" s="4582"/>
      <c r="I6" s="2796" t="s">
        <v>428</v>
      </c>
      <c r="J6" s="2797"/>
      <c r="K6" s="2558"/>
    </row>
    <row r="7" spans="1:12">
      <c r="A7" s="3990"/>
      <c r="B7" s="4590"/>
      <c r="C7" s="4587"/>
      <c r="D7" s="4582"/>
      <c r="E7" s="4584"/>
      <c r="F7" s="4584"/>
      <c r="G7" s="4584"/>
      <c r="H7" s="4582" t="s">
        <v>173</v>
      </c>
      <c r="I7" s="2796" t="s">
        <v>174</v>
      </c>
      <c r="J7" s="2797" t="s">
        <v>428</v>
      </c>
      <c r="K7" s="2558"/>
    </row>
    <row r="8" spans="1:12">
      <c r="A8" s="3990"/>
      <c r="B8" s="4590"/>
      <c r="C8" s="4587"/>
      <c r="D8" s="4582" t="s">
        <v>429</v>
      </c>
      <c r="E8" s="4584"/>
      <c r="F8" s="4584"/>
      <c r="G8" s="4584"/>
      <c r="H8" s="4582" t="s">
        <v>200</v>
      </c>
      <c r="I8" s="2796" t="s">
        <v>1538</v>
      </c>
      <c r="J8" s="2797" t="s">
        <v>174</v>
      </c>
      <c r="K8" s="2558"/>
    </row>
    <row r="9" spans="1:12" ht="33">
      <c r="A9" s="3990"/>
      <c r="B9" s="4591"/>
      <c r="C9" s="4588" t="s">
        <v>152</v>
      </c>
      <c r="D9" s="4583" t="s">
        <v>430</v>
      </c>
      <c r="E9" s="4585" t="s">
        <v>152</v>
      </c>
      <c r="F9" s="4585" t="s">
        <v>141</v>
      </c>
      <c r="G9" s="4585"/>
      <c r="H9" s="4583" t="s">
        <v>177</v>
      </c>
      <c r="I9" s="2798" t="s">
        <v>1539</v>
      </c>
      <c r="J9" s="2799" t="s">
        <v>1550</v>
      </c>
      <c r="K9" s="2558"/>
    </row>
    <row r="10" spans="1:12" hidden="1">
      <c r="A10" s="3990"/>
      <c r="B10" s="2804">
        <v>2000</v>
      </c>
      <c r="C10" s="2806"/>
      <c r="D10" s="2562"/>
      <c r="E10" s="2563"/>
      <c r="F10" s="2562"/>
      <c r="G10" s="2562"/>
      <c r="H10" s="2562"/>
      <c r="I10" s="2800"/>
      <c r="J10" s="2581"/>
      <c r="K10" s="2143"/>
    </row>
    <row r="11" spans="1:12" hidden="1">
      <c r="A11" s="3990"/>
      <c r="B11" s="2802" t="s">
        <v>161</v>
      </c>
      <c r="C11" s="2806">
        <v>10064.009999999998</v>
      </c>
      <c r="D11" s="2562">
        <v>3290.56</v>
      </c>
      <c r="E11" s="2563">
        <v>4840.41</v>
      </c>
      <c r="F11" s="2562">
        <v>3879.47</v>
      </c>
      <c r="G11" s="2562">
        <v>960.94</v>
      </c>
      <c r="H11" s="2562">
        <v>50</v>
      </c>
      <c r="I11" s="2800">
        <v>521.9</v>
      </c>
      <c r="J11" s="2581">
        <v>1361.14</v>
      </c>
      <c r="K11" s="2143"/>
    </row>
    <row r="12" spans="1:12" hidden="1">
      <c r="A12" s="3990"/>
      <c r="B12" s="2802" t="s">
        <v>162</v>
      </c>
      <c r="C12" s="2806">
        <v>9705.5999999999985</v>
      </c>
      <c r="D12" s="2562">
        <v>3290.67</v>
      </c>
      <c r="E12" s="2563">
        <v>4505.3899999999994</v>
      </c>
      <c r="F12" s="2562">
        <v>3475.22</v>
      </c>
      <c r="G12" s="2562">
        <v>1030.17</v>
      </c>
      <c r="H12" s="2562">
        <v>50</v>
      </c>
      <c r="I12" s="2800">
        <v>516.9</v>
      </c>
      <c r="J12" s="2581">
        <v>1342.64</v>
      </c>
      <c r="K12" s="2143"/>
    </row>
    <row r="13" spans="1:12" hidden="1">
      <c r="A13" s="3990"/>
      <c r="B13" s="2802" t="s">
        <v>163</v>
      </c>
      <c r="C13" s="2806">
        <v>9714.01</v>
      </c>
      <c r="D13" s="2562">
        <v>3442.36</v>
      </c>
      <c r="E13" s="2563">
        <v>4344.07</v>
      </c>
      <c r="F13" s="2562">
        <v>3260.12</v>
      </c>
      <c r="G13" s="2562">
        <v>1083.95</v>
      </c>
      <c r="H13" s="2562">
        <v>50</v>
      </c>
      <c r="I13" s="2800">
        <v>515.94000000000005</v>
      </c>
      <c r="J13" s="2581">
        <v>1361.64</v>
      </c>
      <c r="K13" s="2143"/>
    </row>
    <row r="14" spans="1:12" hidden="1">
      <c r="A14" s="3990"/>
      <c r="B14" s="2802" t="s">
        <v>164</v>
      </c>
      <c r="C14" s="2806">
        <v>9839.6899999999987</v>
      </c>
      <c r="D14" s="2562">
        <v>3329.74</v>
      </c>
      <c r="E14" s="2563">
        <v>4607.62</v>
      </c>
      <c r="F14" s="2562">
        <v>3503.92</v>
      </c>
      <c r="G14" s="2562">
        <v>1103.7</v>
      </c>
      <c r="H14" s="2562">
        <v>50</v>
      </c>
      <c r="I14" s="2800">
        <v>513.62</v>
      </c>
      <c r="J14" s="2581">
        <v>1338.71</v>
      </c>
      <c r="K14" s="2143"/>
    </row>
    <row r="15" spans="1:12" hidden="1">
      <c r="A15" s="3990"/>
      <c r="B15" s="2802" t="s">
        <v>165</v>
      </c>
      <c r="C15" s="2806">
        <v>9727.9500000000007</v>
      </c>
      <c r="D15" s="2562">
        <v>3667.13</v>
      </c>
      <c r="E15" s="2563">
        <v>4150.2299999999996</v>
      </c>
      <c r="F15" s="2562">
        <v>3050.91</v>
      </c>
      <c r="G15" s="2562">
        <v>1099.32</v>
      </c>
      <c r="H15" s="2562">
        <v>50</v>
      </c>
      <c r="I15" s="2800">
        <v>510.47999999999996</v>
      </c>
      <c r="J15" s="2581">
        <v>1350.11</v>
      </c>
      <c r="K15" s="2143"/>
    </row>
    <row r="16" spans="1:12" hidden="1">
      <c r="A16" s="3990"/>
      <c r="B16" s="2802" t="s">
        <v>166</v>
      </c>
      <c r="C16" s="2806">
        <v>10257.970000000003</v>
      </c>
      <c r="D16" s="2562">
        <v>4262.3500000000004</v>
      </c>
      <c r="E16" s="2563">
        <v>4085.3900000000003</v>
      </c>
      <c r="F16" s="2562">
        <v>3011.4</v>
      </c>
      <c r="G16" s="2562">
        <v>1073.99</v>
      </c>
      <c r="H16" s="2562">
        <v>50</v>
      </c>
      <c r="I16" s="2800">
        <v>499.71000000000004</v>
      </c>
      <c r="J16" s="2581">
        <v>1360.52</v>
      </c>
      <c r="K16" s="2143"/>
    </row>
    <row r="17" spans="1:11" hidden="1">
      <c r="A17" s="3990"/>
      <c r="B17" s="2802" t="s">
        <v>167</v>
      </c>
      <c r="C17" s="2806">
        <v>10345.359999999999</v>
      </c>
      <c r="D17" s="2562">
        <v>3991.49</v>
      </c>
      <c r="E17" s="2563">
        <v>4429.3599999999997</v>
      </c>
      <c r="F17" s="2562">
        <v>3422.73</v>
      </c>
      <c r="G17" s="2562">
        <v>1006.63</v>
      </c>
      <c r="H17" s="2562">
        <v>50</v>
      </c>
      <c r="I17" s="2800">
        <v>490.08000000000004</v>
      </c>
      <c r="J17" s="2581">
        <v>1384.43</v>
      </c>
      <c r="K17" s="2143"/>
    </row>
    <row r="18" spans="1:11" hidden="1">
      <c r="A18" s="3990"/>
      <c r="B18" s="2802" t="s">
        <v>168</v>
      </c>
      <c r="C18" s="2806">
        <v>10606.22</v>
      </c>
      <c r="D18" s="2562">
        <v>4359.2299999999996</v>
      </c>
      <c r="E18" s="2563">
        <v>4324.79</v>
      </c>
      <c r="F18" s="2562">
        <v>3343.5</v>
      </c>
      <c r="G18" s="2562">
        <v>981.29</v>
      </c>
      <c r="H18" s="2562">
        <v>50</v>
      </c>
      <c r="I18" s="2800">
        <v>482.65</v>
      </c>
      <c r="J18" s="2581">
        <v>1389.55</v>
      </c>
      <c r="K18" s="2143"/>
    </row>
    <row r="19" spans="1:11" hidden="1">
      <c r="A19" s="3990"/>
      <c r="B19" s="2802" t="s">
        <v>183</v>
      </c>
      <c r="C19" s="2806">
        <v>11201.13</v>
      </c>
      <c r="D19" s="2562">
        <v>4551.76</v>
      </c>
      <c r="E19" s="2563">
        <v>4668.42</v>
      </c>
      <c r="F19" s="2562">
        <v>3549.84</v>
      </c>
      <c r="G19" s="2562">
        <v>1118.58</v>
      </c>
      <c r="H19" s="2562">
        <v>50</v>
      </c>
      <c r="I19" s="2800">
        <v>487.04999999999995</v>
      </c>
      <c r="J19" s="2581">
        <v>1443.9</v>
      </c>
      <c r="K19" s="2143"/>
    </row>
    <row r="20" spans="1:11" hidden="1">
      <c r="A20" s="3990"/>
      <c r="B20" s="2802" t="s">
        <v>170</v>
      </c>
      <c r="C20" s="2806">
        <v>11116.480000000001</v>
      </c>
      <c r="D20" s="2562">
        <v>4403.22</v>
      </c>
      <c r="E20" s="2562">
        <v>4684.2700000000004</v>
      </c>
      <c r="F20" s="2562">
        <v>3551.49</v>
      </c>
      <c r="G20" s="2562">
        <v>1132.78</v>
      </c>
      <c r="H20" s="2562">
        <v>50</v>
      </c>
      <c r="I20" s="2800">
        <v>480.06000000000006</v>
      </c>
      <c r="J20" s="2581">
        <v>1498.93</v>
      </c>
      <c r="K20" s="2143"/>
    </row>
    <row r="21" spans="1:11" hidden="1">
      <c r="A21" s="3990"/>
      <c r="B21" s="2802" t="s">
        <v>171</v>
      </c>
      <c r="C21" s="2806">
        <v>11031.690000000002</v>
      </c>
      <c r="D21" s="2562">
        <v>4380.2</v>
      </c>
      <c r="E21" s="2562">
        <v>4535.22</v>
      </c>
      <c r="F21" s="2562">
        <v>3507.45</v>
      </c>
      <c r="G21" s="2562">
        <v>1027.77</v>
      </c>
      <c r="H21" s="2562">
        <v>50</v>
      </c>
      <c r="I21" s="2800">
        <v>479.06</v>
      </c>
      <c r="J21" s="2581">
        <v>1587.21</v>
      </c>
      <c r="K21" s="2143"/>
    </row>
    <row r="22" spans="1:11" hidden="1">
      <c r="A22" s="3990"/>
      <c r="B22" s="2804">
        <v>2000</v>
      </c>
      <c r="C22" s="2806">
        <v>11518.74</v>
      </c>
      <c r="D22" s="2562">
        <v>4669.46</v>
      </c>
      <c r="E22" s="2562">
        <v>4716.1400000000003</v>
      </c>
      <c r="F22" s="2562">
        <v>3623.43</v>
      </c>
      <c r="G22" s="2562">
        <v>1092.71</v>
      </c>
      <c r="H22" s="2562">
        <v>50</v>
      </c>
      <c r="I22" s="2800">
        <v>459.32</v>
      </c>
      <c r="J22" s="2581">
        <v>1623.82</v>
      </c>
      <c r="K22" s="2143"/>
    </row>
    <row r="23" spans="1:11" ht="16.5" hidden="1" customHeight="1">
      <c r="A23" s="3990"/>
      <c r="B23" s="2804">
        <v>2001</v>
      </c>
      <c r="C23" s="2806"/>
      <c r="D23" s="2562"/>
      <c r="E23" s="2562"/>
      <c r="F23" s="2562"/>
      <c r="G23" s="2562"/>
      <c r="H23" s="2562"/>
      <c r="I23" s="2800"/>
      <c r="J23" s="2581"/>
      <c r="K23" s="2559"/>
    </row>
    <row r="24" spans="1:11" ht="16.5" hidden="1" customHeight="1">
      <c r="A24" s="3990"/>
      <c r="B24" s="2802" t="s">
        <v>161</v>
      </c>
      <c r="C24" s="2806">
        <v>10604.089999999998</v>
      </c>
      <c r="D24" s="2563">
        <v>3627.9</v>
      </c>
      <c r="E24" s="2563">
        <v>4663.08</v>
      </c>
      <c r="F24" s="2563">
        <v>3656.97</v>
      </c>
      <c r="G24" s="2563">
        <v>1006.11</v>
      </c>
      <c r="H24" s="2562">
        <v>50</v>
      </c>
      <c r="I24" s="2800">
        <v>451.46</v>
      </c>
      <c r="J24" s="2581">
        <v>1811.65</v>
      </c>
      <c r="K24" s="2357"/>
    </row>
    <row r="25" spans="1:11" ht="16.5" hidden="1" customHeight="1">
      <c r="A25" s="3990"/>
      <c r="B25" s="2802" t="s">
        <v>162</v>
      </c>
      <c r="C25" s="2806">
        <v>10564.239999999998</v>
      </c>
      <c r="D25" s="2563">
        <v>3640.37</v>
      </c>
      <c r="E25" s="2563">
        <v>4563.41</v>
      </c>
      <c r="F25" s="2563">
        <v>3580.73</v>
      </c>
      <c r="G25" s="2563">
        <v>982.68</v>
      </c>
      <c r="H25" s="2562">
        <v>50</v>
      </c>
      <c r="I25" s="2800">
        <v>451.49</v>
      </c>
      <c r="J25" s="2581">
        <v>1858.97</v>
      </c>
      <c r="K25" s="2357"/>
    </row>
    <row r="26" spans="1:11" ht="16.5" hidden="1" customHeight="1">
      <c r="A26" s="3990"/>
      <c r="B26" s="2802" t="s">
        <v>163</v>
      </c>
      <c r="C26" s="2806">
        <v>10632.65</v>
      </c>
      <c r="D26" s="2563">
        <v>3462.09</v>
      </c>
      <c r="E26" s="2563">
        <v>4748.25</v>
      </c>
      <c r="F26" s="2563">
        <v>3954.95</v>
      </c>
      <c r="G26" s="2563">
        <v>793.3</v>
      </c>
      <c r="H26" s="2562">
        <v>50</v>
      </c>
      <c r="I26" s="2800">
        <v>460.51</v>
      </c>
      <c r="J26" s="2581">
        <v>1911.8</v>
      </c>
      <c r="K26" s="2357"/>
    </row>
    <row r="27" spans="1:11" ht="16.5" hidden="1" customHeight="1">
      <c r="A27" s="3990"/>
      <c r="B27" s="2802" t="s">
        <v>164</v>
      </c>
      <c r="C27" s="2806">
        <v>12134.830000000002</v>
      </c>
      <c r="D27" s="2562">
        <v>4573.21</v>
      </c>
      <c r="E27" s="2563">
        <v>5128.08</v>
      </c>
      <c r="F27" s="2562">
        <v>3686.58</v>
      </c>
      <c r="G27" s="2562">
        <v>1441.5</v>
      </c>
      <c r="H27" s="2562">
        <v>50</v>
      </c>
      <c r="I27" s="2800">
        <v>449.42</v>
      </c>
      <c r="J27" s="2581">
        <v>1934.1200000000001</v>
      </c>
      <c r="K27" s="2143"/>
    </row>
    <row r="28" spans="1:11" ht="16.5" hidden="1" customHeight="1">
      <c r="A28" s="3990"/>
      <c r="B28" s="2802" t="s">
        <v>165</v>
      </c>
      <c r="C28" s="2806">
        <v>11675.260000000002</v>
      </c>
      <c r="D28" s="2562">
        <v>3998.67</v>
      </c>
      <c r="E28" s="2563">
        <v>4876.1100000000006</v>
      </c>
      <c r="F28" s="2562">
        <v>3433.42</v>
      </c>
      <c r="G28" s="2562">
        <v>1442.69</v>
      </c>
      <c r="H28" s="2562">
        <v>344.85</v>
      </c>
      <c r="I28" s="2800">
        <v>452.92</v>
      </c>
      <c r="J28" s="2581">
        <v>2002.71</v>
      </c>
      <c r="K28" s="2143"/>
    </row>
    <row r="29" spans="1:11" s="2352" customFormat="1" ht="16.5" hidden="1" customHeight="1">
      <c r="A29" s="2559"/>
      <c r="B29" s="2802" t="s">
        <v>166</v>
      </c>
      <c r="C29" s="2806">
        <v>12147.119999999999</v>
      </c>
      <c r="D29" s="2562">
        <v>4057.44</v>
      </c>
      <c r="E29" s="2563">
        <v>4940.38</v>
      </c>
      <c r="F29" s="2562">
        <v>3477.95</v>
      </c>
      <c r="G29" s="2562">
        <v>1462.43</v>
      </c>
      <c r="H29" s="2562">
        <v>677.67</v>
      </c>
      <c r="I29" s="2800">
        <v>453.28000000000003</v>
      </c>
      <c r="J29" s="2581">
        <v>2018.35</v>
      </c>
      <c r="K29" s="2143"/>
    </row>
    <row r="30" spans="1:11" ht="16.5" hidden="1" customHeight="1">
      <c r="A30" s="3990"/>
      <c r="B30" s="2802" t="s">
        <v>167</v>
      </c>
      <c r="C30" s="2806">
        <v>12758.349999999999</v>
      </c>
      <c r="D30" s="2562">
        <v>4182.83</v>
      </c>
      <c r="E30" s="2563">
        <v>5002.49</v>
      </c>
      <c r="F30" s="2561">
        <v>3453.16</v>
      </c>
      <c r="G30" s="2562">
        <v>1549.33</v>
      </c>
      <c r="H30" s="2561">
        <v>1099.6199999999999</v>
      </c>
      <c r="I30" s="2800">
        <v>424.69</v>
      </c>
      <c r="J30" s="2581">
        <v>2048.7199999999998</v>
      </c>
      <c r="K30" s="2143"/>
    </row>
    <row r="31" spans="1:11" ht="16.5" hidden="1" customHeight="1">
      <c r="A31" s="3990"/>
      <c r="B31" s="2802" t="s">
        <v>168</v>
      </c>
      <c r="C31" s="2806">
        <v>12280.92</v>
      </c>
      <c r="D31" s="2562">
        <v>4237.88</v>
      </c>
      <c r="E31" s="2563">
        <v>4829.55</v>
      </c>
      <c r="F31" s="2561">
        <v>3461.98</v>
      </c>
      <c r="G31" s="2562">
        <v>1367.57</v>
      </c>
      <c r="H31" s="2561">
        <v>655.49</v>
      </c>
      <c r="I31" s="2800">
        <v>430.51</v>
      </c>
      <c r="J31" s="2581">
        <v>2127.4900000000002</v>
      </c>
      <c r="K31" s="2143"/>
    </row>
    <row r="32" spans="1:11" ht="16.5" hidden="1" customHeight="1">
      <c r="A32" s="3990"/>
      <c r="B32" s="2802" t="s">
        <v>169</v>
      </c>
      <c r="C32" s="2806">
        <v>12241.41</v>
      </c>
      <c r="D32" s="2562">
        <v>4568.75</v>
      </c>
      <c r="E32" s="2563">
        <v>4557.59</v>
      </c>
      <c r="F32" s="2562">
        <v>3137.5</v>
      </c>
      <c r="G32" s="2562">
        <v>1420.09</v>
      </c>
      <c r="H32" s="2562">
        <v>489.36</v>
      </c>
      <c r="I32" s="2800">
        <v>440.19</v>
      </c>
      <c r="J32" s="2581">
        <v>2185.52</v>
      </c>
      <c r="K32" s="2143"/>
    </row>
    <row r="33" spans="1:11" ht="16.5" hidden="1" customHeight="1">
      <c r="A33" s="3990"/>
      <c r="B33" s="2802" t="s">
        <v>170</v>
      </c>
      <c r="C33" s="2806">
        <v>12802.38</v>
      </c>
      <c r="D33" s="2563">
        <v>4846.6899999999996</v>
      </c>
      <c r="E33" s="2563">
        <v>4937.5</v>
      </c>
      <c r="F33" s="2562">
        <v>3305.3</v>
      </c>
      <c r="G33" s="2562">
        <v>1632.2</v>
      </c>
      <c r="H33" s="2562">
        <v>370</v>
      </c>
      <c r="I33" s="2800">
        <v>428.59000000000003</v>
      </c>
      <c r="J33" s="2581">
        <v>2219.6</v>
      </c>
      <c r="K33" s="2143"/>
    </row>
    <row r="34" spans="1:11" ht="16.5" hidden="1" customHeight="1">
      <c r="A34" s="3990"/>
      <c r="B34" s="2802" t="s">
        <v>171</v>
      </c>
      <c r="C34" s="2806">
        <v>12652.6</v>
      </c>
      <c r="D34" s="2563">
        <v>4575.96</v>
      </c>
      <c r="E34" s="2563">
        <v>5001.1000000000004</v>
      </c>
      <c r="F34" s="2562">
        <v>3343.88</v>
      </c>
      <c r="G34" s="2562">
        <v>1657.22</v>
      </c>
      <c r="H34" s="2562">
        <v>370</v>
      </c>
      <c r="I34" s="2800">
        <v>422.9</v>
      </c>
      <c r="J34" s="2581">
        <v>2282.64</v>
      </c>
      <c r="K34" s="2143"/>
    </row>
    <row r="35" spans="1:11" hidden="1">
      <c r="A35" s="3990"/>
      <c r="B35" s="2804">
        <v>2001</v>
      </c>
      <c r="C35" s="2806">
        <v>13112.849999999999</v>
      </c>
      <c r="D35" s="2563">
        <v>4923.62</v>
      </c>
      <c r="E35" s="2563">
        <v>5080.57</v>
      </c>
      <c r="F35" s="2562">
        <v>3162.96</v>
      </c>
      <c r="G35" s="2562">
        <v>1917.61</v>
      </c>
      <c r="H35" s="2562">
        <v>370</v>
      </c>
      <c r="I35" s="2800">
        <v>432.58000000000004</v>
      </c>
      <c r="J35" s="2581">
        <v>2306.08</v>
      </c>
      <c r="K35" s="2143"/>
    </row>
    <row r="36" spans="1:11" ht="16.5" hidden="1" customHeight="1">
      <c r="A36" s="3990"/>
      <c r="B36" s="2804">
        <v>2002</v>
      </c>
      <c r="C36" s="2806"/>
      <c r="D36" s="2563"/>
      <c r="E36" s="2563"/>
      <c r="F36" s="2562"/>
      <c r="G36" s="2562"/>
      <c r="H36" s="2562"/>
      <c r="I36" s="2800"/>
      <c r="J36" s="2581"/>
      <c r="K36" s="2143"/>
    </row>
    <row r="37" spans="1:11" ht="16.5" hidden="1" customHeight="1">
      <c r="A37" s="3990"/>
      <c r="B37" s="2802" t="s">
        <v>161</v>
      </c>
      <c r="C37" s="2806">
        <v>13454.650000000001</v>
      </c>
      <c r="D37" s="2563">
        <v>5399.99</v>
      </c>
      <c r="E37" s="2563">
        <v>5063.62</v>
      </c>
      <c r="F37" s="2562">
        <v>3087.03</v>
      </c>
      <c r="G37" s="2562">
        <v>1976.59</v>
      </c>
      <c r="H37" s="2562">
        <v>370</v>
      </c>
      <c r="I37" s="2800">
        <v>491.49</v>
      </c>
      <c r="J37" s="2581">
        <v>2129.5500000000002</v>
      </c>
      <c r="K37" s="2143"/>
    </row>
    <row r="38" spans="1:11" ht="16.5" hidden="1" customHeight="1">
      <c r="A38" s="3990"/>
      <c r="B38" s="2802" t="s">
        <v>162</v>
      </c>
      <c r="C38" s="2806">
        <v>13347.28</v>
      </c>
      <c r="D38" s="2563">
        <v>5056.75</v>
      </c>
      <c r="E38" s="2563">
        <v>5216.7700000000004</v>
      </c>
      <c r="F38" s="2562">
        <v>3264.34</v>
      </c>
      <c r="G38" s="2562">
        <v>1952.43</v>
      </c>
      <c r="H38" s="2562">
        <v>370</v>
      </c>
      <c r="I38" s="2800">
        <v>362.84</v>
      </c>
      <c r="J38" s="2581">
        <v>2340.92</v>
      </c>
      <c r="K38" s="2143"/>
    </row>
    <row r="39" spans="1:11" ht="16.5" hidden="1" customHeight="1">
      <c r="A39" s="3990"/>
      <c r="B39" s="2802" t="s">
        <v>163</v>
      </c>
      <c r="C39" s="2806">
        <v>14032.949999999999</v>
      </c>
      <c r="D39" s="2563">
        <v>5661.11</v>
      </c>
      <c r="E39" s="2563">
        <v>5052.17</v>
      </c>
      <c r="F39" s="2562">
        <v>3139.93</v>
      </c>
      <c r="G39" s="2562">
        <v>1912.24</v>
      </c>
      <c r="H39" s="2562">
        <v>486.16</v>
      </c>
      <c r="I39" s="2800">
        <v>433.93</v>
      </c>
      <c r="J39" s="2581">
        <v>2399.58</v>
      </c>
      <c r="K39" s="2143"/>
    </row>
    <row r="40" spans="1:11" ht="16.5" hidden="1" customHeight="1">
      <c r="A40" s="3990"/>
      <c r="B40" s="2802" t="s">
        <v>164</v>
      </c>
      <c r="C40" s="2806">
        <v>13641.27</v>
      </c>
      <c r="D40" s="2563">
        <v>5528.24</v>
      </c>
      <c r="E40" s="2563">
        <v>4908.28</v>
      </c>
      <c r="F40" s="2562">
        <v>2941.95</v>
      </c>
      <c r="G40" s="2562">
        <v>1966.33</v>
      </c>
      <c r="H40" s="2562">
        <v>370</v>
      </c>
      <c r="I40" s="2800">
        <v>407.8</v>
      </c>
      <c r="J40" s="2581">
        <v>2426.9499999999998</v>
      </c>
      <c r="K40" s="2143"/>
    </row>
    <row r="41" spans="1:11" ht="16.5" hidden="1" customHeight="1">
      <c r="A41" s="3990"/>
      <c r="B41" s="2802" t="s">
        <v>165</v>
      </c>
      <c r="C41" s="2806">
        <v>13528.64</v>
      </c>
      <c r="D41" s="2563">
        <v>5220.49</v>
      </c>
      <c r="E41" s="2563">
        <v>4926.37</v>
      </c>
      <c r="F41" s="2563">
        <v>2997.05</v>
      </c>
      <c r="G41" s="2563">
        <v>1929.3200000000002</v>
      </c>
      <c r="H41" s="2563">
        <v>495.3</v>
      </c>
      <c r="I41" s="2800">
        <v>363.08</v>
      </c>
      <c r="J41" s="2581">
        <v>2523.4</v>
      </c>
      <c r="K41" s="2357"/>
    </row>
    <row r="42" spans="1:11" ht="16.5" hidden="1" customHeight="1">
      <c r="A42" s="3990"/>
      <c r="B42" s="2802" t="s">
        <v>166</v>
      </c>
      <c r="C42" s="2806">
        <v>13443.98</v>
      </c>
      <c r="D42" s="2563">
        <v>5129.2300000000005</v>
      </c>
      <c r="E42" s="2563">
        <v>4904.32</v>
      </c>
      <c r="F42" s="2563">
        <v>3044.9700000000003</v>
      </c>
      <c r="G42" s="2563">
        <v>1859.35</v>
      </c>
      <c r="H42" s="2563">
        <v>386.88</v>
      </c>
      <c r="I42" s="2800">
        <v>414.2</v>
      </c>
      <c r="J42" s="2581">
        <v>2609.35</v>
      </c>
      <c r="K42" s="2357"/>
    </row>
    <row r="43" spans="1:11" ht="16.5" hidden="1" customHeight="1">
      <c r="A43" s="3990"/>
      <c r="B43" s="2802" t="s">
        <v>167</v>
      </c>
      <c r="C43" s="2806">
        <v>13772.679999999998</v>
      </c>
      <c r="D43" s="2563">
        <v>5515.74</v>
      </c>
      <c r="E43" s="2563">
        <v>4768.09</v>
      </c>
      <c r="F43" s="2563">
        <v>2897.55</v>
      </c>
      <c r="G43" s="2563">
        <v>1870.54</v>
      </c>
      <c r="H43" s="2563">
        <v>494.32</v>
      </c>
      <c r="I43" s="2800">
        <v>375.21</v>
      </c>
      <c r="J43" s="2581">
        <v>2619.3200000000002</v>
      </c>
      <c r="K43" s="2357"/>
    </row>
    <row r="44" spans="1:11" ht="16.5" hidden="1" customHeight="1">
      <c r="A44" s="3990"/>
      <c r="B44" s="2802" t="s">
        <v>168</v>
      </c>
      <c r="C44" s="2806">
        <v>14103.91</v>
      </c>
      <c r="D44" s="2563">
        <v>5761.58</v>
      </c>
      <c r="E44" s="2563">
        <v>4712.67</v>
      </c>
      <c r="F44" s="2563">
        <v>2813.69</v>
      </c>
      <c r="G44" s="2563">
        <v>1898.98</v>
      </c>
      <c r="H44" s="2563">
        <v>587.77</v>
      </c>
      <c r="I44" s="2800">
        <v>393.02</v>
      </c>
      <c r="J44" s="2581">
        <v>2648.87</v>
      </c>
      <c r="K44" s="2357"/>
    </row>
    <row r="45" spans="1:11" ht="16.5" hidden="1" customHeight="1">
      <c r="A45" s="3990"/>
      <c r="B45" s="2802" t="s">
        <v>169</v>
      </c>
      <c r="C45" s="2806">
        <v>13556.32</v>
      </c>
      <c r="D45" s="2563">
        <v>5036.49</v>
      </c>
      <c r="E45" s="2563">
        <v>4827.43</v>
      </c>
      <c r="F45" s="2563">
        <v>2871.9700000000003</v>
      </c>
      <c r="G45" s="2563">
        <v>1955.46</v>
      </c>
      <c r="H45" s="2563">
        <v>545.24</v>
      </c>
      <c r="I45" s="2800">
        <v>397.76</v>
      </c>
      <c r="J45" s="2581">
        <v>2749.4</v>
      </c>
      <c r="K45" s="2357"/>
    </row>
    <row r="46" spans="1:11" ht="16.5" hidden="1" customHeight="1">
      <c r="A46" s="3990"/>
      <c r="B46" s="2802" t="s">
        <v>170</v>
      </c>
      <c r="C46" s="2806">
        <v>14320.169999999998</v>
      </c>
      <c r="D46" s="2563">
        <v>5343.3</v>
      </c>
      <c r="E46" s="2563">
        <v>5076.07</v>
      </c>
      <c r="F46" s="2563">
        <v>3350.34</v>
      </c>
      <c r="G46" s="2563">
        <v>1725.73</v>
      </c>
      <c r="H46" s="2563">
        <v>687.49</v>
      </c>
      <c r="I46" s="2800">
        <v>471.26</v>
      </c>
      <c r="J46" s="2581">
        <v>2742.05</v>
      </c>
      <c r="K46" s="2357"/>
    </row>
    <row r="47" spans="1:11" ht="16.5" hidden="1" customHeight="1">
      <c r="A47" s="3990"/>
      <c r="B47" s="2802" t="s">
        <v>171</v>
      </c>
      <c r="C47" s="2806">
        <v>13999.8</v>
      </c>
      <c r="D47" s="2563">
        <v>5871.51</v>
      </c>
      <c r="E47" s="2563">
        <v>4304.3999999999996</v>
      </c>
      <c r="F47" s="2563">
        <v>2731.49</v>
      </c>
      <c r="G47" s="2563">
        <v>1572.91</v>
      </c>
      <c r="H47" s="2563">
        <v>545.71</v>
      </c>
      <c r="I47" s="2800">
        <v>388.71000000000004</v>
      </c>
      <c r="J47" s="2581">
        <v>2889.47</v>
      </c>
      <c r="K47" s="2357"/>
    </row>
    <row r="48" spans="1:11" hidden="1">
      <c r="A48" s="3990"/>
      <c r="B48" s="2804">
        <v>2002</v>
      </c>
      <c r="C48" s="2806">
        <v>16155.24</v>
      </c>
      <c r="D48" s="2563">
        <v>6473.41</v>
      </c>
      <c r="E48" s="2563">
        <v>5305.01</v>
      </c>
      <c r="F48" s="2563">
        <v>3653.6</v>
      </c>
      <c r="G48" s="2563">
        <v>1651.41</v>
      </c>
      <c r="H48" s="2563">
        <v>973.76</v>
      </c>
      <c r="I48" s="2800">
        <v>369.74</v>
      </c>
      <c r="J48" s="2581">
        <v>3033.32</v>
      </c>
      <c r="K48" s="2357"/>
    </row>
    <row r="49" spans="1:11" ht="16.5" hidden="1" customHeight="1">
      <c r="A49" s="3990"/>
      <c r="B49" s="2804">
        <v>2003</v>
      </c>
      <c r="C49" s="2806"/>
      <c r="D49" s="2568"/>
      <c r="E49" s="2568"/>
      <c r="F49" s="2568"/>
      <c r="G49" s="2568"/>
      <c r="H49" s="2568"/>
      <c r="I49" s="2568"/>
      <c r="J49" s="2568"/>
      <c r="K49" s="2357"/>
    </row>
    <row r="50" spans="1:11" ht="16.5" hidden="1" customHeight="1">
      <c r="A50" s="3990"/>
      <c r="B50" s="2802" t="s">
        <v>161</v>
      </c>
      <c r="C50" s="2806">
        <v>15661.30944037</v>
      </c>
      <c r="D50" s="2805">
        <v>6393.1422182799997</v>
      </c>
      <c r="E50" s="2805">
        <v>4652.91</v>
      </c>
      <c r="F50" s="2805">
        <v>3002.6883360399997</v>
      </c>
      <c r="G50" s="2805">
        <v>1650.2235740799999</v>
      </c>
      <c r="H50" s="2805">
        <v>910.98800000000006</v>
      </c>
      <c r="I50" s="2805">
        <v>569.57593896000003</v>
      </c>
      <c r="J50" s="2805">
        <v>3134.6932831300005</v>
      </c>
      <c r="K50" s="2356"/>
    </row>
    <row r="51" spans="1:11" ht="16.5" hidden="1" customHeight="1">
      <c r="A51" s="3990"/>
      <c r="B51" s="2802" t="s">
        <v>162</v>
      </c>
      <c r="C51" s="2806">
        <v>15488.851526519997</v>
      </c>
      <c r="D51" s="2805">
        <v>6369.1272004799994</v>
      </c>
      <c r="E51" s="2568">
        <v>4268.97</v>
      </c>
      <c r="F51" s="2805">
        <v>2541.4461465999998</v>
      </c>
      <c r="G51" s="2805">
        <v>1727.5356045399999</v>
      </c>
      <c r="H51" s="2805">
        <v>1087.604</v>
      </c>
      <c r="I51" s="2805">
        <v>571.44386765000002</v>
      </c>
      <c r="J51" s="2805">
        <v>3191.7064583900001</v>
      </c>
      <c r="K51" s="2356"/>
    </row>
    <row r="52" spans="1:11" s="2353" customFormat="1" ht="16.5" hidden="1" customHeight="1">
      <c r="A52" s="3991"/>
      <c r="B52" s="2802" t="s">
        <v>163</v>
      </c>
      <c r="C52" s="2806">
        <v>16172.217006840001</v>
      </c>
      <c r="D52" s="2805">
        <v>6428.1657927400001</v>
      </c>
      <c r="E52" s="2805">
        <v>4577.75</v>
      </c>
      <c r="F52" s="2805">
        <v>2697.0282201500004</v>
      </c>
      <c r="G52" s="2805">
        <v>1880.7226680399999</v>
      </c>
      <c r="H52" s="2805">
        <v>1337.8389010799999</v>
      </c>
      <c r="I52" s="2805">
        <v>577.70166158999996</v>
      </c>
      <c r="J52" s="2805">
        <v>3250.7606514300005</v>
      </c>
      <c r="K52" s="2356"/>
    </row>
    <row r="53" spans="1:11" ht="16.5" hidden="1" customHeight="1">
      <c r="A53" s="3990"/>
      <c r="B53" s="2802" t="s">
        <v>164</v>
      </c>
      <c r="C53" s="2806">
        <v>17468.06317985</v>
      </c>
      <c r="D53" s="2805">
        <v>7283.6658349299996</v>
      </c>
      <c r="E53" s="2805">
        <v>5369.29</v>
      </c>
      <c r="F53" s="2805">
        <v>2587.7819869499999</v>
      </c>
      <c r="G53" s="2805">
        <v>2781.4908319599999</v>
      </c>
      <c r="H53" s="2805">
        <v>943.81755879000002</v>
      </c>
      <c r="I53" s="2805">
        <v>620.66824699000006</v>
      </c>
      <c r="J53" s="2805">
        <v>3250.6215391400006</v>
      </c>
      <c r="K53" s="2356"/>
    </row>
    <row r="54" spans="1:11" ht="16.5" hidden="1" customHeight="1">
      <c r="A54" s="3990"/>
      <c r="B54" s="2802" t="s">
        <v>165</v>
      </c>
      <c r="C54" s="2806">
        <v>17804.138386080002</v>
      </c>
      <c r="D54" s="2805">
        <v>7211.9965213599999</v>
      </c>
      <c r="E54" s="2805">
        <v>5308.57</v>
      </c>
      <c r="F54" s="2805">
        <v>2499.6657384</v>
      </c>
      <c r="G54" s="2805">
        <v>2808.8905855499997</v>
      </c>
      <c r="H54" s="2805">
        <v>1236.73470617</v>
      </c>
      <c r="I54" s="2805">
        <v>729.67711061</v>
      </c>
      <c r="J54" s="2805">
        <v>3317.1600479400004</v>
      </c>
      <c r="K54" s="2356"/>
    </row>
    <row r="55" spans="1:11" ht="16.5" hidden="1" customHeight="1">
      <c r="A55" s="3990"/>
      <c r="B55" s="2802" t="s">
        <v>147</v>
      </c>
      <c r="C55" s="2806">
        <v>17624.111990310001</v>
      </c>
      <c r="D55" s="2805">
        <v>6857.1990442199995</v>
      </c>
      <c r="E55" s="2805">
        <v>5185.2299999999996</v>
      </c>
      <c r="F55" s="2805">
        <v>2487.9828124800001</v>
      </c>
      <c r="G55" s="2805">
        <v>2697.2430488099999</v>
      </c>
      <c r="H55" s="2805">
        <v>1460.1043104099999</v>
      </c>
      <c r="I55" s="2805">
        <v>647.23416997999993</v>
      </c>
      <c r="J55" s="2805">
        <v>3474.3444657000005</v>
      </c>
      <c r="K55" s="2356"/>
    </row>
    <row r="56" spans="1:11" ht="16.5" hidden="1" customHeight="1">
      <c r="A56" s="3990"/>
      <c r="B56" s="2802" t="s">
        <v>184</v>
      </c>
      <c r="C56" s="2806">
        <v>17789.268398369997</v>
      </c>
      <c r="D56" s="2805">
        <v>7028.0399542199993</v>
      </c>
      <c r="E56" s="2805">
        <v>5013.9399999999996</v>
      </c>
      <c r="F56" s="2805">
        <v>2554.4812826499997</v>
      </c>
      <c r="G56" s="2805">
        <v>2459.46108486</v>
      </c>
      <c r="H56" s="2805">
        <v>1533.5269290400001</v>
      </c>
      <c r="I56" s="2805">
        <v>672.13238363999994</v>
      </c>
      <c r="J56" s="2805">
        <v>3541.6291314699997</v>
      </c>
      <c r="K56" s="2356"/>
    </row>
    <row r="57" spans="1:11" ht="16.5" hidden="1" customHeight="1">
      <c r="A57" s="3990"/>
      <c r="B57" s="2802" t="s">
        <v>168</v>
      </c>
      <c r="C57" s="2806">
        <v>18078.322294030004</v>
      </c>
      <c r="D57" s="2805">
        <v>7290.0719858499997</v>
      </c>
      <c r="E57" s="2805">
        <v>4787.7573397100005</v>
      </c>
      <c r="F57" s="2805">
        <v>2462.6174071700002</v>
      </c>
      <c r="G57" s="2805">
        <v>2325.1399325400002</v>
      </c>
      <c r="H57" s="2805">
        <v>1719.7190622099999</v>
      </c>
      <c r="I57" s="2805">
        <v>644.33580419000009</v>
      </c>
      <c r="J57" s="2805">
        <v>3636.4381020700007</v>
      </c>
      <c r="K57" s="2356"/>
    </row>
    <row r="58" spans="1:11" ht="16.5" hidden="1" customHeight="1">
      <c r="A58" s="3990"/>
      <c r="B58" s="2802" t="s">
        <v>183</v>
      </c>
      <c r="C58" s="2806">
        <v>17663.228916170003</v>
      </c>
      <c r="D58" s="2805">
        <v>6944.1136944200007</v>
      </c>
      <c r="E58" s="2805">
        <v>5247.3681962800001</v>
      </c>
      <c r="F58" s="2805">
        <v>2968.0005466299999</v>
      </c>
      <c r="G58" s="2805">
        <v>2279.3676496500002</v>
      </c>
      <c r="H58" s="2805">
        <v>1251.78718458</v>
      </c>
      <c r="I58" s="2805">
        <v>470.89897786000006</v>
      </c>
      <c r="J58" s="2805">
        <v>3749.0608630300003</v>
      </c>
      <c r="K58" s="2356"/>
    </row>
    <row r="59" spans="1:11" ht="16.5" hidden="1" customHeight="1">
      <c r="A59" s="3990"/>
      <c r="B59" s="2802" t="s">
        <v>170</v>
      </c>
      <c r="C59" s="2806">
        <v>17578.030888870002</v>
      </c>
      <c r="D59" s="2805">
        <v>6257.7463872299995</v>
      </c>
      <c r="E59" s="2805">
        <v>4545.8020144000002</v>
      </c>
      <c r="F59" s="2805">
        <v>2453.0289362100002</v>
      </c>
      <c r="G59" s="2805">
        <v>2092.77307819</v>
      </c>
      <c r="H59" s="2805">
        <v>2150.5142617599995</v>
      </c>
      <c r="I59" s="2805">
        <v>852.55343163999987</v>
      </c>
      <c r="J59" s="2805">
        <v>3771.4147938400006</v>
      </c>
      <c r="K59" s="2356"/>
    </row>
    <row r="60" spans="1:11" ht="16.5" hidden="1" customHeight="1">
      <c r="A60" s="3990"/>
      <c r="B60" s="2802" t="s">
        <v>171</v>
      </c>
      <c r="C60" s="2806">
        <v>17288.401106109999</v>
      </c>
      <c r="D60" s="2805">
        <v>6436.587815670001</v>
      </c>
      <c r="E60" s="2805">
        <v>5065.7312896699996</v>
      </c>
      <c r="F60" s="2805">
        <v>2862.9987350299998</v>
      </c>
      <c r="G60" s="2805">
        <v>2202.7325546399998</v>
      </c>
      <c r="H60" s="2805">
        <v>934.61380673999997</v>
      </c>
      <c r="I60" s="2805">
        <v>869.41872705999992</v>
      </c>
      <c r="J60" s="2805">
        <v>3982.0494669699997</v>
      </c>
      <c r="K60" s="2356"/>
    </row>
    <row r="61" spans="1:11">
      <c r="A61" s="3990"/>
      <c r="B61" s="2804">
        <v>2003</v>
      </c>
      <c r="C61" s="2806">
        <v>16964.028335020001</v>
      </c>
      <c r="D61" s="2805">
        <v>6342.4176165500003</v>
      </c>
      <c r="E61" s="2805">
        <v>4903.8808733099995</v>
      </c>
      <c r="F61" s="2805">
        <v>2588.60427858</v>
      </c>
      <c r="G61" s="2805">
        <v>2315.2765947299999</v>
      </c>
      <c r="H61" s="2805">
        <v>793.5497312</v>
      </c>
      <c r="I61" s="2805">
        <v>908.05542988000002</v>
      </c>
      <c r="J61" s="2805">
        <v>4016.1246840800004</v>
      </c>
      <c r="K61" s="2356"/>
    </row>
    <row r="62" spans="1:11" ht="16.5" hidden="1" customHeight="1">
      <c r="A62" s="3990"/>
      <c r="B62" s="2804">
        <v>2004</v>
      </c>
      <c r="C62" s="2806"/>
      <c r="D62" s="2805"/>
      <c r="E62" s="2805"/>
      <c r="F62" s="2805"/>
      <c r="G62" s="2805"/>
      <c r="H62" s="2805"/>
      <c r="I62" s="2805"/>
      <c r="J62" s="2805"/>
      <c r="K62" s="2356"/>
    </row>
    <row r="63" spans="1:11" ht="16.5" hidden="1" customHeight="1">
      <c r="A63" s="3990"/>
      <c r="B63" s="2802" t="s">
        <v>161</v>
      </c>
      <c r="C63" s="2806">
        <v>17910.486412760001</v>
      </c>
      <c r="D63" s="2805">
        <v>7224.284345940001</v>
      </c>
      <c r="E63" s="2805">
        <v>4953.5614807399998</v>
      </c>
      <c r="F63" s="2805">
        <v>2477.5028771100001</v>
      </c>
      <c r="G63" s="2805">
        <v>2476.0586036300001</v>
      </c>
      <c r="H63" s="2805">
        <v>793.58404769999993</v>
      </c>
      <c r="I63" s="2805">
        <v>865.66817019999996</v>
      </c>
      <c r="J63" s="2805">
        <v>4073.3883681799998</v>
      </c>
      <c r="K63" s="2356"/>
    </row>
    <row r="64" spans="1:11" ht="16.5" hidden="1" customHeight="1">
      <c r="A64" s="3990"/>
      <c r="B64" s="2802" t="s">
        <v>162</v>
      </c>
      <c r="C64" s="2806">
        <v>17453.41170208</v>
      </c>
      <c r="D64" s="2805">
        <v>6622.0224064800004</v>
      </c>
      <c r="E64" s="2805">
        <v>5022.5342015400001</v>
      </c>
      <c r="F64" s="2805">
        <v>2494.4455813000004</v>
      </c>
      <c r="G64" s="2805">
        <v>2528.0886202399997</v>
      </c>
      <c r="H64" s="2805">
        <v>794.64088391999996</v>
      </c>
      <c r="I64" s="2805">
        <v>883.93026774999987</v>
      </c>
      <c r="J64" s="2805">
        <v>4130.2839423899995</v>
      </c>
      <c r="K64" s="2356"/>
    </row>
    <row r="65" spans="1:11" ht="16.5" hidden="1" customHeight="1">
      <c r="A65" s="3990"/>
      <c r="B65" s="2802" t="s">
        <v>163</v>
      </c>
      <c r="C65" s="2806">
        <v>17806.473903910002</v>
      </c>
      <c r="D65" s="2805">
        <v>6564.0234498500004</v>
      </c>
      <c r="E65" s="2805">
        <v>5210.3565005399996</v>
      </c>
      <c r="F65" s="2805">
        <v>2499.3598242899998</v>
      </c>
      <c r="G65" s="2805">
        <v>2710.9966762499998</v>
      </c>
      <c r="H65" s="2805">
        <v>793.57762314000001</v>
      </c>
      <c r="I65" s="2805">
        <v>871.15871996999999</v>
      </c>
      <c r="J65" s="2805">
        <v>4367.3576104099993</v>
      </c>
      <c r="K65" s="2356"/>
    </row>
    <row r="66" spans="1:11" ht="16.5" hidden="1" customHeight="1">
      <c r="A66" s="3990"/>
      <c r="B66" s="2802" t="s">
        <v>164</v>
      </c>
      <c r="C66" s="2806">
        <v>19058.30481845</v>
      </c>
      <c r="D66" s="2805">
        <v>8192.5321018700015</v>
      </c>
      <c r="E66" s="2805">
        <v>4780.5039675299995</v>
      </c>
      <c r="F66" s="2805">
        <v>2485.4737426199999</v>
      </c>
      <c r="G66" s="2805">
        <v>2295.03022491</v>
      </c>
      <c r="H66" s="2805">
        <v>791.63099999999997</v>
      </c>
      <c r="I66" s="2805">
        <v>891.49847492999993</v>
      </c>
      <c r="J66" s="2805">
        <v>4402.1392741199998</v>
      </c>
      <c r="K66" s="2356"/>
    </row>
    <row r="67" spans="1:11" ht="16.5" hidden="1" customHeight="1">
      <c r="A67" s="3990"/>
      <c r="B67" s="2802" t="s">
        <v>165</v>
      </c>
      <c r="C67" s="2806">
        <v>18415.95386551</v>
      </c>
      <c r="D67" s="2805">
        <v>7692.4331456</v>
      </c>
      <c r="E67" s="2805">
        <v>4558.9133310199995</v>
      </c>
      <c r="F67" s="2805">
        <v>2518.5550164699998</v>
      </c>
      <c r="G67" s="2805">
        <v>2040.3583145500002</v>
      </c>
      <c r="H67" s="2805">
        <v>791.63099999999997</v>
      </c>
      <c r="I67" s="2805">
        <v>895.65019715000005</v>
      </c>
      <c r="J67" s="2805">
        <v>4477.3261917400005</v>
      </c>
      <c r="K67" s="2356"/>
    </row>
    <row r="68" spans="1:11" ht="16.5" hidden="1" customHeight="1">
      <c r="A68" s="3990"/>
      <c r="B68" s="2802" t="s">
        <v>166</v>
      </c>
      <c r="C68" s="2806">
        <v>17698.110651809999</v>
      </c>
      <c r="D68" s="2805">
        <v>7072.8118752599994</v>
      </c>
      <c r="E68" s="2805">
        <v>4318.7738132799996</v>
      </c>
      <c r="F68" s="2805">
        <v>2553.5685956199995</v>
      </c>
      <c r="G68" s="2805">
        <v>1765.20521766</v>
      </c>
      <c r="H68" s="2805">
        <v>819.51800000000003</v>
      </c>
      <c r="I68" s="2805">
        <v>963.78333597999995</v>
      </c>
      <c r="J68" s="2805">
        <v>4523.22362729</v>
      </c>
      <c r="K68" s="2356"/>
    </row>
    <row r="69" spans="1:11" ht="16.5" hidden="1" customHeight="1">
      <c r="A69" s="3990"/>
      <c r="B69" s="2802" t="s">
        <v>184</v>
      </c>
      <c r="C69" s="2806">
        <v>17171.434797860002</v>
      </c>
      <c r="D69" s="2805">
        <v>6664.0506612100007</v>
      </c>
      <c r="E69" s="2805">
        <v>4078.65033649</v>
      </c>
      <c r="F69" s="2805">
        <v>2483.1338884800002</v>
      </c>
      <c r="G69" s="2805">
        <v>1595.51644801</v>
      </c>
      <c r="H69" s="2805">
        <v>879.97</v>
      </c>
      <c r="I69" s="2805">
        <v>911.66102279000006</v>
      </c>
      <c r="J69" s="2805">
        <v>4637.1027773699998</v>
      </c>
      <c r="K69" s="2356"/>
    </row>
    <row r="70" spans="1:11" ht="16.5" hidden="1" customHeight="1">
      <c r="A70" s="3990"/>
      <c r="B70" s="2802" t="s">
        <v>168</v>
      </c>
      <c r="C70" s="2806">
        <v>17532.232266209998</v>
      </c>
      <c r="D70" s="2805">
        <v>6866.0023391200002</v>
      </c>
      <c r="E70" s="2805">
        <v>3801.49207553</v>
      </c>
      <c r="F70" s="2805">
        <v>2185.56087927</v>
      </c>
      <c r="G70" s="2805">
        <v>1615.93119626</v>
      </c>
      <c r="H70" s="2805">
        <v>1161.355</v>
      </c>
      <c r="I70" s="2805">
        <v>926.20712813</v>
      </c>
      <c r="J70" s="2805">
        <v>4777.1757234300003</v>
      </c>
      <c r="K70" s="2356"/>
    </row>
    <row r="71" spans="1:11" ht="16.5" hidden="1" customHeight="1">
      <c r="A71" s="3990"/>
      <c r="B71" s="2808" t="s">
        <v>169</v>
      </c>
      <c r="C71" s="2806">
        <v>16559.149333630001</v>
      </c>
      <c r="D71" s="2805">
        <v>6225.5529988600001</v>
      </c>
      <c r="E71" s="2805">
        <v>3620.15324667</v>
      </c>
      <c r="F71" s="2805">
        <v>2138.93203313</v>
      </c>
      <c r="G71" s="2805">
        <v>1481.22121354</v>
      </c>
      <c r="H71" s="2805">
        <v>819.51800000000003</v>
      </c>
      <c r="I71" s="2805">
        <v>926.51366103999999</v>
      </c>
      <c r="J71" s="2805">
        <v>4967.4114270599994</v>
      </c>
      <c r="K71" s="2356"/>
    </row>
    <row r="72" spans="1:11" ht="16.5" hidden="1" customHeight="1">
      <c r="A72" s="3990"/>
      <c r="B72" s="2808" t="s">
        <v>170</v>
      </c>
      <c r="C72" s="2806">
        <v>18515.475146769997</v>
      </c>
      <c r="D72" s="2805">
        <v>6750.7910265600003</v>
      </c>
      <c r="E72" s="2805">
        <v>4283.46578159</v>
      </c>
      <c r="F72" s="2805">
        <v>2705.7529852899997</v>
      </c>
      <c r="G72" s="2805">
        <v>1577.7127963</v>
      </c>
      <c r="H72" s="2805">
        <v>1498.05595131</v>
      </c>
      <c r="I72" s="2805">
        <v>976.01749565</v>
      </c>
      <c r="J72" s="2805">
        <v>5007.1448916600002</v>
      </c>
      <c r="K72" s="2356"/>
    </row>
    <row r="73" spans="1:11" ht="16.5" hidden="1" customHeight="1">
      <c r="A73" s="3990"/>
      <c r="B73" s="2808" t="s">
        <v>171</v>
      </c>
      <c r="C73" s="2806">
        <v>20907.04604212</v>
      </c>
      <c r="D73" s="2805">
        <v>7796.7062459800009</v>
      </c>
      <c r="E73" s="2805">
        <v>5064.06546351</v>
      </c>
      <c r="F73" s="2805">
        <v>3406.1734804500002</v>
      </c>
      <c r="G73" s="2805">
        <v>1657.89198306</v>
      </c>
      <c r="H73" s="2805">
        <v>2013.27634919</v>
      </c>
      <c r="I73" s="2805">
        <v>963.94427121000001</v>
      </c>
      <c r="J73" s="2805">
        <v>5069.0537122300002</v>
      </c>
      <c r="K73" s="2356"/>
    </row>
    <row r="74" spans="1:11">
      <c r="A74" s="3990"/>
      <c r="B74" s="2804">
        <v>2004</v>
      </c>
      <c r="C74" s="2806">
        <v>19532.28618431</v>
      </c>
      <c r="D74" s="2805">
        <v>6608.0988898799997</v>
      </c>
      <c r="E74" s="2805">
        <v>4326.8068085200002</v>
      </c>
      <c r="F74" s="2805">
        <v>2736.9852719800001</v>
      </c>
      <c r="G74" s="2805">
        <v>1589.8215365399999</v>
      </c>
      <c r="H74" s="2805">
        <v>2520.80228068</v>
      </c>
      <c r="I74" s="2805">
        <v>917.53550705000009</v>
      </c>
      <c r="J74" s="2805">
        <v>5159.0426981800001</v>
      </c>
      <c r="K74" s="2356"/>
    </row>
    <row r="75" spans="1:11" ht="16.5" hidden="1" customHeight="1">
      <c r="A75" s="3990"/>
      <c r="B75" s="2809">
        <v>2005</v>
      </c>
      <c r="C75" s="2806"/>
      <c r="D75" s="2805"/>
      <c r="E75" s="2805"/>
      <c r="F75" s="2805"/>
      <c r="G75" s="2805"/>
      <c r="H75" s="2805"/>
      <c r="I75" s="2805"/>
      <c r="J75" s="2805"/>
      <c r="K75" s="2356"/>
    </row>
    <row r="76" spans="1:11" ht="16.5" hidden="1" customHeight="1">
      <c r="A76" s="3990"/>
      <c r="B76" s="2808" t="s">
        <v>161</v>
      </c>
      <c r="C76" s="2806">
        <v>19199.076793939999</v>
      </c>
      <c r="D76" s="2805">
        <v>6049.8062963299999</v>
      </c>
      <c r="E76" s="2805">
        <v>4475.3552180300003</v>
      </c>
      <c r="F76" s="2805">
        <v>2967.26363919</v>
      </c>
      <c r="G76" s="2805">
        <v>1508.09157884</v>
      </c>
      <c r="H76" s="2805">
        <v>2513.6711189399998</v>
      </c>
      <c r="I76" s="2805">
        <v>981.89635542000008</v>
      </c>
      <c r="J76" s="2805">
        <v>5178.3478052199998</v>
      </c>
      <c r="K76" s="2356"/>
    </row>
    <row r="77" spans="1:11" ht="16.5" hidden="1" customHeight="1">
      <c r="A77" s="3990"/>
      <c r="B77" s="2808" t="s">
        <v>162</v>
      </c>
      <c r="C77" s="2806">
        <v>19014.187111969997</v>
      </c>
      <c r="D77" s="2805">
        <v>6084.3748785999996</v>
      </c>
      <c r="E77" s="2805">
        <v>4178.1269925099996</v>
      </c>
      <c r="F77" s="2805">
        <v>2719.8080815099997</v>
      </c>
      <c r="G77" s="2805">
        <v>1458.3189109999998</v>
      </c>
      <c r="H77" s="2805">
        <v>2515.9663657599999</v>
      </c>
      <c r="I77" s="2805">
        <v>948.52231881000012</v>
      </c>
      <c r="J77" s="2805">
        <v>5287.1965562899995</v>
      </c>
      <c r="K77" s="2356"/>
    </row>
    <row r="78" spans="1:11" ht="16.5" hidden="1" customHeight="1">
      <c r="A78" s="3990"/>
      <c r="B78" s="2808" t="s">
        <v>163</v>
      </c>
      <c r="C78" s="2806">
        <v>19953.255355459998</v>
      </c>
      <c r="D78" s="2805">
        <v>6351.84561545</v>
      </c>
      <c r="E78" s="2805">
        <v>4686.9114083200002</v>
      </c>
      <c r="F78" s="2805">
        <v>3143.2625698000002</v>
      </c>
      <c r="G78" s="2805">
        <v>1543.64883852</v>
      </c>
      <c r="H78" s="2805">
        <v>2528.1146094699998</v>
      </c>
      <c r="I78" s="2805">
        <v>925.51731851000011</v>
      </c>
      <c r="J78" s="2805">
        <v>5460.8664037099998</v>
      </c>
      <c r="K78" s="2356"/>
    </row>
    <row r="79" spans="1:11" ht="16.5" hidden="1" customHeight="1">
      <c r="A79" s="3990"/>
      <c r="B79" s="2808" t="s">
        <v>164</v>
      </c>
      <c r="C79" s="2806">
        <v>18307.523685460004</v>
      </c>
      <c r="D79" s="2805">
        <v>5654.6415172300003</v>
      </c>
      <c r="E79" s="2805">
        <v>3669.7325578800001</v>
      </c>
      <c r="F79" s="2805">
        <v>2254.42985989</v>
      </c>
      <c r="G79" s="2805">
        <v>1415.3026979900001</v>
      </c>
      <c r="H79" s="2805">
        <v>2513.6995686</v>
      </c>
      <c r="I79" s="2805">
        <v>889.67813191000005</v>
      </c>
      <c r="J79" s="2805">
        <v>5579.7719098400003</v>
      </c>
      <c r="K79" s="2356"/>
    </row>
    <row r="80" spans="1:11" ht="16.5" hidden="1" customHeight="1">
      <c r="A80" s="3990"/>
      <c r="B80" s="2808" t="s">
        <v>165</v>
      </c>
      <c r="C80" s="2806">
        <v>19562.732269279997</v>
      </c>
      <c r="D80" s="2805">
        <v>6584.7536673900004</v>
      </c>
      <c r="E80" s="2805">
        <v>3918.8426026699999</v>
      </c>
      <c r="F80" s="2805">
        <v>2506.8661514800001</v>
      </c>
      <c r="G80" s="2805">
        <v>1411.9764511899998</v>
      </c>
      <c r="H80" s="2805">
        <v>2516.0519400200001</v>
      </c>
      <c r="I80" s="2805">
        <v>931.07662708999999</v>
      </c>
      <c r="J80" s="2805">
        <v>5612.0074321099992</v>
      </c>
      <c r="K80" s="2356"/>
    </row>
    <row r="81" spans="1:11" ht="16.5" hidden="1" customHeight="1">
      <c r="A81" s="3990"/>
      <c r="B81" s="2808" t="s">
        <v>166</v>
      </c>
      <c r="C81" s="2806">
        <v>18738.503437219999</v>
      </c>
      <c r="D81" s="2805">
        <v>6655.5459657199999</v>
      </c>
      <c r="E81" s="2805">
        <v>2889.4752348300003</v>
      </c>
      <c r="F81" s="2805">
        <v>1525.3418498800002</v>
      </c>
      <c r="G81" s="2805">
        <v>1364.1333849500002</v>
      </c>
      <c r="H81" s="2805">
        <v>2526.5034162699999</v>
      </c>
      <c r="I81" s="2805">
        <v>888.47973134000006</v>
      </c>
      <c r="J81" s="2805">
        <v>5778.4990890600002</v>
      </c>
      <c r="K81" s="2356"/>
    </row>
    <row r="82" spans="1:11" ht="16.5" hidden="1" customHeight="1">
      <c r="A82" s="3990"/>
      <c r="B82" s="2808" t="s">
        <v>167</v>
      </c>
      <c r="C82" s="2806">
        <v>19277.425662770002</v>
      </c>
      <c r="D82" s="2805">
        <v>8452.0770861199999</v>
      </c>
      <c r="E82" s="2805">
        <v>2979.9374937900002</v>
      </c>
      <c r="F82" s="2805">
        <v>1595.6191243500002</v>
      </c>
      <c r="G82" s="2805">
        <v>1384.31836944</v>
      </c>
      <c r="H82" s="2805">
        <v>1111.441</v>
      </c>
      <c r="I82" s="2805">
        <v>912.71108214000003</v>
      </c>
      <c r="J82" s="2805">
        <v>5821.2590007199997</v>
      </c>
      <c r="K82" s="2356"/>
    </row>
    <row r="83" spans="1:11" ht="16.5" hidden="1" customHeight="1">
      <c r="A83" s="3990"/>
      <c r="B83" s="2808" t="s">
        <v>168</v>
      </c>
      <c r="C83" s="2806">
        <v>18539.553219000001</v>
      </c>
      <c r="D83" s="2805">
        <v>7342.3684099299999</v>
      </c>
      <c r="E83" s="2805">
        <v>3330.2202902399999</v>
      </c>
      <c r="F83" s="2805">
        <v>1927.9898114399998</v>
      </c>
      <c r="G83" s="2805">
        <v>1402.2304788000001</v>
      </c>
      <c r="H83" s="2805">
        <v>897.00199999999995</v>
      </c>
      <c r="I83" s="2805">
        <v>915.97568695000007</v>
      </c>
      <c r="J83" s="2805">
        <v>6053.98683188</v>
      </c>
      <c r="K83" s="2356"/>
    </row>
    <row r="84" spans="1:11" ht="16.5" hidden="1" customHeight="1">
      <c r="A84" s="3990"/>
      <c r="B84" s="2808" t="s">
        <v>169</v>
      </c>
      <c r="C84" s="2806">
        <v>19236.253066610003</v>
      </c>
      <c r="D84" s="2805">
        <v>7367.0031801400009</v>
      </c>
      <c r="E84" s="2805">
        <v>3847.40063599</v>
      </c>
      <c r="F84" s="2805">
        <v>1919.0756582199999</v>
      </c>
      <c r="G84" s="2805">
        <v>1928.32497777</v>
      </c>
      <c r="H84" s="2805">
        <v>897.00199999999995</v>
      </c>
      <c r="I84" s="2805">
        <v>906.01512667000009</v>
      </c>
      <c r="J84" s="2805">
        <v>6218.8321238100007</v>
      </c>
      <c r="K84" s="2356"/>
    </row>
    <row r="85" spans="1:11" ht="16.5" hidden="1" customHeight="1">
      <c r="A85" s="3990"/>
      <c r="B85" s="2808" t="s">
        <v>170</v>
      </c>
      <c r="C85" s="2806">
        <v>19530.066850930001</v>
      </c>
      <c r="D85" s="2805">
        <v>7224.7245869800008</v>
      </c>
      <c r="E85" s="2805">
        <v>4148.1241616099996</v>
      </c>
      <c r="F85" s="2805">
        <v>2494.8451283400004</v>
      </c>
      <c r="G85" s="2805">
        <v>1653.2790332699997</v>
      </c>
      <c r="H85" s="2805">
        <v>897.00199999999995</v>
      </c>
      <c r="I85" s="2805">
        <v>949.66680421000001</v>
      </c>
      <c r="J85" s="2805">
        <v>6310.5492981299994</v>
      </c>
      <c r="K85" s="2356"/>
    </row>
    <row r="86" spans="1:11" ht="16.5" hidden="1" customHeight="1">
      <c r="A86" s="3990"/>
      <c r="B86" s="2808" t="s">
        <v>171</v>
      </c>
      <c r="C86" s="2806">
        <v>22181.986944179996</v>
      </c>
      <c r="D86" s="2805">
        <v>9302.3671261399995</v>
      </c>
      <c r="E86" s="2805">
        <v>4584.8071694399996</v>
      </c>
      <c r="F86" s="2805">
        <v>2859.9472061299998</v>
      </c>
      <c r="G86" s="2805">
        <v>1724.85996331</v>
      </c>
      <c r="H86" s="2805">
        <v>897.00199999999995</v>
      </c>
      <c r="I86" s="2805">
        <v>933.51094656000009</v>
      </c>
      <c r="J86" s="2805">
        <v>6464.299702039998</v>
      </c>
      <c r="K86" s="2356"/>
    </row>
    <row r="87" spans="1:11">
      <c r="A87" s="3990"/>
      <c r="B87" s="2809">
        <v>2005</v>
      </c>
      <c r="C87" s="2806">
        <v>21879.193439609997</v>
      </c>
      <c r="D87" s="2805">
        <v>9423.7923352399994</v>
      </c>
      <c r="E87" s="2805">
        <v>4017.3912393099999</v>
      </c>
      <c r="F87" s="2805">
        <v>2239.8531460699996</v>
      </c>
      <c r="G87" s="2805">
        <v>1777.5380932400001</v>
      </c>
      <c r="H87" s="2805">
        <v>897.00199999999995</v>
      </c>
      <c r="I87" s="2805">
        <v>810.62115994999999</v>
      </c>
      <c r="J87" s="2805">
        <v>6730.3867051099987</v>
      </c>
      <c r="K87" s="2356"/>
    </row>
    <row r="88" spans="1:11" ht="16.5" hidden="1" customHeight="1">
      <c r="A88" s="3990"/>
      <c r="B88" s="2809">
        <v>2006</v>
      </c>
      <c r="C88" s="2806"/>
      <c r="D88" s="2805"/>
      <c r="E88" s="2805"/>
      <c r="F88" s="2805"/>
      <c r="G88" s="2805"/>
      <c r="H88" s="2805"/>
      <c r="I88" s="2805"/>
      <c r="J88" s="2805"/>
      <c r="K88" s="2356"/>
    </row>
    <row r="89" spans="1:11" ht="16.5" hidden="1" customHeight="1">
      <c r="A89" s="3990"/>
      <c r="B89" s="2808" t="s">
        <v>161</v>
      </c>
      <c r="C89" s="2806">
        <v>22619.687614969997</v>
      </c>
      <c r="D89" s="2805">
        <v>9403.380231369998</v>
      </c>
      <c r="E89" s="2805">
        <v>4503.2533813200007</v>
      </c>
      <c r="F89" s="2805">
        <v>2326.23170157</v>
      </c>
      <c r="G89" s="2805">
        <v>2177.0216797500002</v>
      </c>
      <c r="H89" s="2805">
        <v>897.00199999999995</v>
      </c>
      <c r="I89" s="2805">
        <v>980.05223239000009</v>
      </c>
      <c r="J89" s="2805">
        <v>6835.9997698899988</v>
      </c>
      <c r="K89" s="2356"/>
    </row>
    <row r="90" spans="1:11" ht="16.5" hidden="1" customHeight="1">
      <c r="A90" s="3990"/>
      <c r="B90" s="2808" t="s">
        <v>162</v>
      </c>
      <c r="C90" s="2806">
        <v>22203.069981619999</v>
      </c>
      <c r="D90" s="2805">
        <v>9304.2939898900004</v>
      </c>
      <c r="E90" s="2805">
        <v>4156.2320604400002</v>
      </c>
      <c r="F90" s="2805">
        <v>1981.1354322700001</v>
      </c>
      <c r="G90" s="2805">
        <v>2175.0966281699998</v>
      </c>
      <c r="H90" s="2805">
        <v>577.00199999999995</v>
      </c>
      <c r="I90" s="2805">
        <v>990.71532791000004</v>
      </c>
      <c r="J90" s="2805">
        <v>7174.8266033799991</v>
      </c>
      <c r="K90" s="2356"/>
    </row>
    <row r="91" spans="1:11" ht="16.5" hidden="1" customHeight="1">
      <c r="A91" s="3990"/>
      <c r="B91" s="2808" t="s">
        <v>163</v>
      </c>
      <c r="C91" s="2806">
        <v>23267.223659119998</v>
      </c>
      <c r="D91" s="2805">
        <v>9262.912889180001</v>
      </c>
      <c r="E91" s="2805">
        <v>5035.4294541399995</v>
      </c>
      <c r="F91" s="2805">
        <v>2688.4485272400002</v>
      </c>
      <c r="G91" s="2805">
        <v>2346.9809268999998</v>
      </c>
      <c r="H91" s="2805">
        <v>577.00199999999995</v>
      </c>
      <c r="I91" s="2805">
        <v>913.87649483000007</v>
      </c>
      <c r="J91" s="2805">
        <v>7478.0028209699994</v>
      </c>
      <c r="K91" s="2356"/>
    </row>
    <row r="92" spans="1:11" ht="16.5" hidden="1" customHeight="1">
      <c r="A92" s="3990"/>
      <c r="B92" s="2808" t="s">
        <v>164</v>
      </c>
      <c r="C92" s="2806">
        <v>24961.181886080001</v>
      </c>
      <c r="D92" s="2805">
        <v>10147.17127438</v>
      </c>
      <c r="E92" s="2805">
        <v>5473.0367178100005</v>
      </c>
      <c r="F92" s="2805">
        <v>3256.6818612100001</v>
      </c>
      <c r="G92" s="2805">
        <v>2216.3548565999999</v>
      </c>
      <c r="H92" s="2805">
        <v>777.00199999999995</v>
      </c>
      <c r="I92" s="2805">
        <v>1075.59457385</v>
      </c>
      <c r="J92" s="2805">
        <v>7488.3773200399992</v>
      </c>
      <c r="K92" s="2356"/>
    </row>
    <row r="93" spans="1:11" ht="16.5" hidden="1" customHeight="1">
      <c r="A93" s="3990"/>
      <c r="B93" s="2808" t="s">
        <v>165</v>
      </c>
      <c r="C93" s="2806">
        <v>23385.60378713</v>
      </c>
      <c r="D93" s="2805">
        <v>10410.14120661</v>
      </c>
      <c r="E93" s="2805">
        <v>3707.1453349100002</v>
      </c>
      <c r="F93" s="2805">
        <v>1603.0960519800001</v>
      </c>
      <c r="G93" s="2805">
        <v>2104.0492829300001</v>
      </c>
      <c r="H93" s="2805">
        <v>577.00199999999995</v>
      </c>
      <c r="I93" s="2805">
        <v>1140.6542079999999</v>
      </c>
      <c r="J93" s="2805">
        <v>7550.6610376099989</v>
      </c>
      <c r="K93" s="2356"/>
    </row>
    <row r="94" spans="1:11" ht="16.5" hidden="1" customHeight="1">
      <c r="A94" s="3990"/>
      <c r="B94" s="2808" t="s">
        <v>166</v>
      </c>
      <c r="C94" s="2806">
        <v>23888.663232769999</v>
      </c>
      <c r="D94" s="2805">
        <v>10788.83339673</v>
      </c>
      <c r="E94" s="2805">
        <v>3802.6155793500002</v>
      </c>
      <c r="F94" s="2805">
        <v>1648.1145158699999</v>
      </c>
      <c r="G94" s="2805">
        <v>2154.5010634800001</v>
      </c>
      <c r="H94" s="2805">
        <v>577.00199999999995</v>
      </c>
      <c r="I94" s="2805">
        <v>871.87197389000005</v>
      </c>
      <c r="J94" s="2805">
        <v>7848.3402827999989</v>
      </c>
      <c r="K94" s="2356"/>
    </row>
    <row r="95" spans="1:11" ht="16.5" hidden="1" customHeight="1">
      <c r="A95" s="3990"/>
      <c r="B95" s="2808" t="s">
        <v>167</v>
      </c>
      <c r="C95" s="2806">
        <v>23905.455165439998</v>
      </c>
      <c r="D95" s="2805">
        <v>10511.482733169998</v>
      </c>
      <c r="E95" s="2805">
        <v>3501.4821635900007</v>
      </c>
      <c r="F95" s="2805">
        <v>1344.7939042300002</v>
      </c>
      <c r="G95" s="2805">
        <v>2156.6882593600003</v>
      </c>
      <c r="H95" s="2805">
        <v>1032.393</v>
      </c>
      <c r="I95" s="2805">
        <v>1108.7377457900002</v>
      </c>
      <c r="J95" s="2805">
        <v>7751.3595228900003</v>
      </c>
      <c r="K95" s="2356"/>
    </row>
    <row r="96" spans="1:11" ht="16.5" hidden="1" customHeight="1">
      <c r="A96" s="3990"/>
      <c r="B96" s="2808" t="s">
        <v>168</v>
      </c>
      <c r="C96" s="2806">
        <v>24015.019431929999</v>
      </c>
      <c r="D96" s="2805">
        <v>10303.56902809</v>
      </c>
      <c r="E96" s="2805">
        <v>3686.5584843699999</v>
      </c>
      <c r="F96" s="2805">
        <v>1404.1690345699999</v>
      </c>
      <c r="G96" s="2805">
        <v>2282.3894498</v>
      </c>
      <c r="H96" s="2805">
        <v>1040.1410000000001</v>
      </c>
      <c r="I96" s="2805">
        <v>1094.7421093800001</v>
      </c>
      <c r="J96" s="2805">
        <v>7890.0088100900002</v>
      </c>
      <c r="K96" s="2356"/>
    </row>
    <row r="97" spans="1:11" ht="16.5" hidden="1" customHeight="1">
      <c r="A97" s="3990"/>
      <c r="B97" s="2808" t="s">
        <v>169</v>
      </c>
      <c r="C97" s="2806">
        <v>23995.359216739998</v>
      </c>
      <c r="D97" s="2805">
        <v>9871.9013467200002</v>
      </c>
      <c r="E97" s="2805">
        <v>4003.01900703</v>
      </c>
      <c r="F97" s="2805">
        <v>1582.0478076899999</v>
      </c>
      <c r="G97" s="2805">
        <v>2420.9711993400001</v>
      </c>
      <c r="H97" s="2805">
        <v>798.15300000000002</v>
      </c>
      <c r="I97" s="2805">
        <v>993.45883812000011</v>
      </c>
      <c r="J97" s="2805">
        <v>8328.827024870001</v>
      </c>
      <c r="K97" s="2356"/>
    </row>
    <row r="98" spans="1:11" ht="16.5" hidden="1" customHeight="1">
      <c r="A98" s="3990"/>
      <c r="B98" s="2808" t="s">
        <v>170</v>
      </c>
      <c r="C98" s="2806">
        <v>25065.902085310001</v>
      </c>
      <c r="D98" s="2805">
        <v>10318.64310012</v>
      </c>
      <c r="E98" s="2805">
        <v>4703.1049509700006</v>
      </c>
      <c r="F98" s="2805">
        <v>2031.1816530400001</v>
      </c>
      <c r="G98" s="2805">
        <v>2671.92329793</v>
      </c>
      <c r="H98" s="2805">
        <v>577.00199999999995</v>
      </c>
      <c r="I98" s="2805">
        <v>1093.1629527800001</v>
      </c>
      <c r="J98" s="2805">
        <v>8373.9890814399987</v>
      </c>
      <c r="K98" s="2356"/>
    </row>
    <row r="99" spans="1:11" ht="16.5" hidden="1" customHeight="1">
      <c r="A99" s="3990"/>
      <c r="B99" s="2808" t="s">
        <v>171</v>
      </c>
      <c r="C99" s="2806">
        <v>25865.221880739999</v>
      </c>
      <c r="D99" s="2805">
        <v>9781.4207146799999</v>
      </c>
      <c r="E99" s="2805">
        <v>5851.5421414000002</v>
      </c>
      <c r="F99" s="2805">
        <v>3077.4291165500003</v>
      </c>
      <c r="G99" s="2805">
        <v>2774.1130248499999</v>
      </c>
      <c r="H99" s="2805">
        <v>577.00199999999995</v>
      </c>
      <c r="I99" s="2805">
        <v>1105.41495459</v>
      </c>
      <c r="J99" s="2805">
        <v>8549.842070069999</v>
      </c>
      <c r="K99" s="2356"/>
    </row>
    <row r="100" spans="1:11">
      <c r="A100" s="3990"/>
      <c r="B100" s="2809">
        <v>2006</v>
      </c>
      <c r="C100" s="2806">
        <v>26484.015405329999</v>
      </c>
      <c r="D100" s="2805">
        <v>9858.4067916900003</v>
      </c>
      <c r="E100" s="2805">
        <v>6027.6932709400007</v>
      </c>
      <c r="F100" s="2805">
        <v>3585.2797803000003</v>
      </c>
      <c r="G100" s="2805">
        <v>2442.41349064</v>
      </c>
      <c r="H100" s="2805">
        <v>577.00199999999995</v>
      </c>
      <c r="I100" s="2805">
        <v>884.60265736000008</v>
      </c>
      <c r="J100" s="2805">
        <v>9136.3106853399986</v>
      </c>
      <c r="K100" s="2356"/>
    </row>
    <row r="101" spans="1:11" ht="16.5" hidden="1" customHeight="1">
      <c r="A101" s="3990"/>
      <c r="B101" s="2809">
        <v>2007</v>
      </c>
      <c r="C101" s="2806"/>
      <c r="D101" s="2805"/>
      <c r="E101" s="2805"/>
      <c r="F101" s="2805"/>
      <c r="G101" s="2805"/>
      <c r="H101" s="2805"/>
      <c r="I101" s="2805"/>
      <c r="J101" s="2805"/>
      <c r="K101" s="2356"/>
    </row>
    <row r="102" spans="1:11" ht="16.5" hidden="1" customHeight="1">
      <c r="A102" s="3990"/>
      <c r="B102" s="2808" t="s">
        <v>161</v>
      </c>
      <c r="C102" s="2806">
        <v>25973.989888099997</v>
      </c>
      <c r="D102" s="2805">
        <v>10847.83504984</v>
      </c>
      <c r="E102" s="2805">
        <v>4420.6443187500008</v>
      </c>
      <c r="F102" s="2805">
        <v>1614.5335499300002</v>
      </c>
      <c r="G102" s="2805">
        <v>2806.1107688200004</v>
      </c>
      <c r="H102" s="2805">
        <v>577.00199999999995</v>
      </c>
      <c r="I102" s="2805">
        <v>1114.6058836300001</v>
      </c>
      <c r="J102" s="2805">
        <v>9013.9026358799983</v>
      </c>
      <c r="K102" s="2356"/>
    </row>
    <row r="103" spans="1:11" ht="16.5" hidden="1" customHeight="1">
      <c r="A103" s="3990"/>
      <c r="B103" s="2808" t="s">
        <v>162</v>
      </c>
      <c r="C103" s="2806">
        <v>25903.510831860003</v>
      </c>
      <c r="D103" s="2805">
        <v>10572.515027270001</v>
      </c>
      <c r="E103" s="2805">
        <v>4426.5416059400004</v>
      </c>
      <c r="F103" s="2805">
        <v>1434.1523908500001</v>
      </c>
      <c r="G103" s="2805">
        <v>2992.3892150900001</v>
      </c>
      <c r="H103" s="2805">
        <v>577.00199999999995</v>
      </c>
      <c r="I103" s="2805">
        <v>1109.8245423200001</v>
      </c>
      <c r="J103" s="2805">
        <v>9217.6276563299998</v>
      </c>
      <c r="K103" s="2356"/>
    </row>
    <row r="104" spans="1:11" ht="16.5" hidden="1" customHeight="1">
      <c r="A104" s="3990"/>
      <c r="B104" s="2808" t="s">
        <v>163</v>
      </c>
      <c r="C104" s="2806">
        <v>25590.552577620001</v>
      </c>
      <c r="D104" s="2805">
        <v>10121.145546940001</v>
      </c>
      <c r="E104" s="2805">
        <v>4389.5311417899993</v>
      </c>
      <c r="F104" s="2805">
        <v>1306.2443446299999</v>
      </c>
      <c r="G104" s="2805">
        <v>3083.2867971599999</v>
      </c>
      <c r="H104" s="2805">
        <v>577.00199999999995</v>
      </c>
      <c r="I104" s="2805">
        <v>905.48439343000007</v>
      </c>
      <c r="J104" s="2805">
        <v>9597.3894954600019</v>
      </c>
      <c r="K104" s="2356"/>
    </row>
    <row r="105" spans="1:11" ht="16.5" hidden="1" customHeight="1">
      <c r="A105" s="3990"/>
      <c r="B105" s="2808" t="s">
        <v>164</v>
      </c>
      <c r="C105" s="2806">
        <v>26905.5072095</v>
      </c>
      <c r="D105" s="2805">
        <v>11027.318316540001</v>
      </c>
      <c r="E105" s="2805">
        <v>4266.4703489399999</v>
      </c>
      <c r="F105" s="2805">
        <v>998.2960567099999</v>
      </c>
      <c r="G105" s="2805">
        <v>3268.17429223</v>
      </c>
      <c r="H105" s="2805">
        <v>577.00199999999995</v>
      </c>
      <c r="I105" s="2805">
        <v>1162.3135704700001</v>
      </c>
      <c r="J105" s="2805">
        <v>9872.4029735499989</v>
      </c>
      <c r="K105" s="2356"/>
    </row>
    <row r="106" spans="1:11" ht="16.5" hidden="1" customHeight="1">
      <c r="A106" s="3990"/>
      <c r="B106" s="2808" t="s">
        <v>165</v>
      </c>
      <c r="C106" s="2806">
        <v>26162.839404409999</v>
      </c>
      <c r="D106" s="2805">
        <v>10041.80630582</v>
      </c>
      <c r="E106" s="2805">
        <v>4283.6516413299996</v>
      </c>
      <c r="F106" s="2805">
        <v>894.49476144999994</v>
      </c>
      <c r="G106" s="2805">
        <v>3389.1568798799999</v>
      </c>
      <c r="H106" s="2805">
        <v>577.00199999999995</v>
      </c>
      <c r="I106" s="2805">
        <v>1074.3581556600002</v>
      </c>
      <c r="J106" s="2805">
        <v>10186.0213016</v>
      </c>
      <c r="K106" s="2356"/>
    </row>
    <row r="107" spans="1:11" ht="16.5" hidden="1" customHeight="1">
      <c r="A107" s="3990"/>
      <c r="B107" s="2808" t="s">
        <v>166</v>
      </c>
      <c r="C107" s="2806">
        <v>26507.953744440005</v>
      </c>
      <c r="D107" s="2805">
        <v>10553.171049500002</v>
      </c>
      <c r="E107" s="2805">
        <v>3893.4159601900001</v>
      </c>
      <c r="F107" s="2805">
        <v>658.41122180000002</v>
      </c>
      <c r="G107" s="2805">
        <v>3235.0047383900001</v>
      </c>
      <c r="H107" s="2805">
        <v>577.00199999999995</v>
      </c>
      <c r="I107" s="2805">
        <v>943.44056152999997</v>
      </c>
      <c r="J107" s="2805">
        <v>10540.924173219999</v>
      </c>
      <c r="K107" s="2356"/>
    </row>
    <row r="108" spans="1:11" ht="16.5" hidden="1" customHeight="1">
      <c r="A108" s="3990"/>
      <c r="B108" s="2808" t="s">
        <v>167</v>
      </c>
      <c r="C108" s="2806">
        <v>26915.608401910002</v>
      </c>
      <c r="D108" s="2805">
        <v>10878.57451934</v>
      </c>
      <c r="E108" s="2805">
        <v>3744.56155971</v>
      </c>
      <c r="F108" s="2805">
        <v>540.57631086000004</v>
      </c>
      <c r="G108" s="2805">
        <v>3203.9852488500001</v>
      </c>
      <c r="H108" s="2805">
        <v>577.00199999999995</v>
      </c>
      <c r="I108" s="2805">
        <v>1153.1317919200001</v>
      </c>
      <c r="J108" s="2805">
        <v>10562.338530939998</v>
      </c>
      <c r="K108" s="2356"/>
    </row>
    <row r="109" spans="1:11" ht="16.5" hidden="1" customHeight="1">
      <c r="A109" s="3990"/>
      <c r="B109" s="2808" t="s">
        <v>168</v>
      </c>
      <c r="C109" s="2806">
        <v>27523.955975299999</v>
      </c>
      <c r="D109" s="2805">
        <v>10822.64454015</v>
      </c>
      <c r="E109" s="2805">
        <v>4118.2158018099999</v>
      </c>
      <c r="F109" s="2805">
        <v>1578.35055704</v>
      </c>
      <c r="G109" s="2805">
        <v>2539.8652447699997</v>
      </c>
      <c r="H109" s="2805">
        <v>577.00199999999995</v>
      </c>
      <c r="I109" s="2805">
        <v>1114.9120331700001</v>
      </c>
      <c r="J109" s="2805">
        <v>10891.181600169999</v>
      </c>
      <c r="K109" s="2356"/>
    </row>
    <row r="110" spans="1:11" ht="16.5" hidden="1" customHeight="1">
      <c r="A110" s="3990"/>
      <c r="B110" s="2808" t="s">
        <v>169</v>
      </c>
      <c r="C110" s="2806">
        <v>27339.943932009999</v>
      </c>
      <c r="D110" s="2805">
        <v>10816.85769302</v>
      </c>
      <c r="E110" s="2805">
        <v>3725.5966997099999</v>
      </c>
      <c r="F110" s="2805">
        <v>1504.2712461299998</v>
      </c>
      <c r="G110" s="2805">
        <v>2221.3254535800002</v>
      </c>
      <c r="H110" s="2805">
        <v>577.00199999999995</v>
      </c>
      <c r="I110" s="2805">
        <v>928.10925993000001</v>
      </c>
      <c r="J110" s="2805">
        <v>11292.378279350001</v>
      </c>
      <c r="K110" s="2356"/>
    </row>
    <row r="111" spans="1:11" ht="16.5" hidden="1" customHeight="1">
      <c r="A111" s="3990"/>
      <c r="B111" s="2808" t="s">
        <v>170</v>
      </c>
      <c r="C111" s="2806">
        <v>28571.40707234</v>
      </c>
      <c r="D111" s="2805">
        <v>11719.975910950001</v>
      </c>
      <c r="E111" s="2805">
        <v>3773.0244797599998</v>
      </c>
      <c r="F111" s="2805">
        <v>1596.25508739</v>
      </c>
      <c r="G111" s="2805">
        <v>2176.7693923699999</v>
      </c>
      <c r="H111" s="2805">
        <v>577.00199999999995</v>
      </c>
      <c r="I111" s="2805">
        <v>752.19820453000011</v>
      </c>
      <c r="J111" s="2805">
        <v>11749.2064771</v>
      </c>
      <c r="K111" s="2356"/>
    </row>
    <row r="112" spans="1:11" ht="16.5" hidden="1" customHeight="1">
      <c r="A112" s="3990"/>
      <c r="B112" s="2808" t="s">
        <v>171</v>
      </c>
      <c r="C112" s="2806">
        <v>29865.475069740001</v>
      </c>
      <c r="D112" s="2805">
        <v>12991.588993449999</v>
      </c>
      <c r="E112" s="2805">
        <v>3561.8420980800001</v>
      </c>
      <c r="F112" s="2805">
        <v>1393.8001077800002</v>
      </c>
      <c r="G112" s="2805">
        <v>2168.0419903000002</v>
      </c>
      <c r="H112" s="2805">
        <v>577.00199999999995</v>
      </c>
      <c r="I112" s="2805">
        <v>1085.7776958899999</v>
      </c>
      <c r="J112" s="2805">
        <v>11649.264282319999</v>
      </c>
      <c r="K112" s="2356"/>
    </row>
    <row r="113" spans="1:11">
      <c r="A113" s="3990"/>
      <c r="B113" s="2809">
        <v>2007</v>
      </c>
      <c r="C113" s="2806">
        <v>28620.990772839999</v>
      </c>
      <c r="D113" s="2805">
        <v>11734.736455510001</v>
      </c>
      <c r="E113" s="2805">
        <v>3228.5611586299997</v>
      </c>
      <c r="F113" s="2805">
        <v>1470.6802873299998</v>
      </c>
      <c r="G113" s="2805">
        <v>1757.8808712999999</v>
      </c>
      <c r="H113" s="2805">
        <v>577.00199999999995</v>
      </c>
      <c r="I113" s="2805">
        <v>1045.2054778400002</v>
      </c>
      <c r="J113" s="2805">
        <v>12035.48568086</v>
      </c>
      <c r="K113" s="2356"/>
    </row>
    <row r="114" spans="1:11" ht="16.5" hidden="1" customHeight="1">
      <c r="A114" s="3990"/>
      <c r="B114" s="2809">
        <v>2008</v>
      </c>
      <c r="C114" s="2806"/>
      <c r="D114" s="2805"/>
      <c r="E114" s="2805"/>
      <c r="F114" s="2805"/>
      <c r="G114" s="2805"/>
      <c r="H114" s="2805"/>
      <c r="I114" s="2805"/>
      <c r="J114" s="2805"/>
      <c r="K114" s="2356"/>
    </row>
    <row r="115" spans="1:11" ht="16.5" hidden="1" customHeight="1">
      <c r="A115" s="3990"/>
      <c r="B115" s="2808" t="s">
        <v>161</v>
      </c>
      <c r="C115" s="2806">
        <v>26530.336841889999</v>
      </c>
      <c r="D115" s="2805">
        <v>10106.89218416</v>
      </c>
      <c r="E115" s="2805">
        <v>2569.3282943700001</v>
      </c>
      <c r="F115" s="2805">
        <v>1049.6293296399999</v>
      </c>
      <c r="G115" s="2805">
        <v>1519.6989647300002</v>
      </c>
      <c r="H115" s="2805">
        <v>577.00199999999995</v>
      </c>
      <c r="I115" s="2805">
        <v>967.31629599999997</v>
      </c>
      <c r="J115" s="2805">
        <v>12309.79806736</v>
      </c>
      <c r="K115" s="2356"/>
    </row>
    <row r="116" spans="1:11" ht="16.5" hidden="1" customHeight="1">
      <c r="A116" s="3990"/>
      <c r="B116" s="2808" t="s">
        <v>162</v>
      </c>
      <c r="C116" s="2806">
        <v>28777.604828379997</v>
      </c>
      <c r="D116" s="2805">
        <v>10934.172765599998</v>
      </c>
      <c r="E116" s="2805">
        <v>3448.0723028399998</v>
      </c>
      <c r="F116" s="2805">
        <v>1811.1070257399997</v>
      </c>
      <c r="G116" s="2805">
        <v>1636.9652771000001</v>
      </c>
      <c r="H116" s="2805">
        <v>577.00199999999995</v>
      </c>
      <c r="I116" s="2805">
        <v>984.33990326000003</v>
      </c>
      <c r="J116" s="2805">
        <v>12834.01785668</v>
      </c>
      <c r="K116" s="2356"/>
    </row>
    <row r="117" spans="1:11" ht="16.5" hidden="1" customHeight="1">
      <c r="A117" s="3990"/>
      <c r="B117" s="2808" t="s">
        <v>163</v>
      </c>
      <c r="C117" s="2806">
        <v>28304.102519460001</v>
      </c>
      <c r="D117" s="2805">
        <v>11252.62279625</v>
      </c>
      <c r="E117" s="2805">
        <v>2206.5985389099997</v>
      </c>
      <c r="F117" s="2805">
        <v>1125.97129612</v>
      </c>
      <c r="G117" s="2805">
        <v>1080.6272427899999</v>
      </c>
      <c r="H117" s="2805">
        <v>577.00199999999995</v>
      </c>
      <c r="I117" s="2805">
        <v>939.61681595000005</v>
      </c>
      <c r="J117" s="2805">
        <v>13328.262368350001</v>
      </c>
      <c r="K117" s="2356"/>
    </row>
    <row r="118" spans="1:11" ht="16.5" hidden="1" customHeight="1">
      <c r="A118" s="3990"/>
      <c r="B118" s="2808" t="s">
        <v>164</v>
      </c>
      <c r="C118" s="2806">
        <v>28417.85387228</v>
      </c>
      <c r="D118" s="2805">
        <v>11323.133220149999</v>
      </c>
      <c r="E118" s="2805">
        <v>1898.1959486199999</v>
      </c>
      <c r="F118" s="2805">
        <v>898.24571032999995</v>
      </c>
      <c r="G118" s="2805">
        <v>999.95023829000002</v>
      </c>
      <c r="H118" s="2805">
        <v>577.00199999999995</v>
      </c>
      <c r="I118" s="2805">
        <v>1091.54829148</v>
      </c>
      <c r="J118" s="2805">
        <v>13527.97441203</v>
      </c>
      <c r="K118" s="2356"/>
    </row>
    <row r="119" spans="1:11" ht="16.5" hidden="1" customHeight="1">
      <c r="A119" s="3990"/>
      <c r="B119" s="2808" t="s">
        <v>165</v>
      </c>
      <c r="C119" s="2806">
        <v>27834.093403129998</v>
      </c>
      <c r="D119" s="2805">
        <v>10723.045099180001</v>
      </c>
      <c r="E119" s="2805">
        <v>1793.8945743200002</v>
      </c>
      <c r="F119" s="2805">
        <v>934.56685538000011</v>
      </c>
      <c r="G119" s="2805">
        <v>859.32771893999995</v>
      </c>
      <c r="H119" s="2805">
        <v>577.00199999999995</v>
      </c>
      <c r="I119" s="2805">
        <v>988.2174629000001</v>
      </c>
      <c r="J119" s="2805">
        <v>13751.934266729999</v>
      </c>
      <c r="K119" s="2356"/>
    </row>
    <row r="120" spans="1:11" ht="16.5" hidden="1" customHeight="1">
      <c r="A120" s="3990"/>
      <c r="B120" s="2808" t="s">
        <v>166</v>
      </c>
      <c r="C120" s="2806">
        <v>27279.921563569998</v>
      </c>
      <c r="D120" s="2805">
        <v>9873.2095999600006</v>
      </c>
      <c r="E120" s="2805">
        <v>1794.53739892</v>
      </c>
      <c r="F120" s="2805">
        <v>774.12650725000003</v>
      </c>
      <c r="G120" s="2805">
        <v>1020.41089167</v>
      </c>
      <c r="H120" s="2805">
        <v>577.00199999999995</v>
      </c>
      <c r="I120" s="2805">
        <v>719.60219412000004</v>
      </c>
      <c r="J120" s="2805">
        <v>14315.570370569998</v>
      </c>
      <c r="K120" s="2356"/>
    </row>
    <row r="121" spans="1:11" ht="16.5" hidden="1" customHeight="1">
      <c r="A121" s="3990"/>
      <c r="B121" s="2808" t="s">
        <v>167</v>
      </c>
      <c r="C121" s="2806">
        <v>29401.054026439997</v>
      </c>
      <c r="D121" s="2805">
        <v>11239.053651800001</v>
      </c>
      <c r="E121" s="2805">
        <v>1948.2005096099997</v>
      </c>
      <c r="F121" s="2805">
        <v>767.51856679999992</v>
      </c>
      <c r="G121" s="2805">
        <v>1180.6819428099998</v>
      </c>
      <c r="H121" s="2805">
        <v>726.74499999999989</v>
      </c>
      <c r="I121" s="2805">
        <v>936.68903640000008</v>
      </c>
      <c r="J121" s="2805">
        <v>14550.36582863</v>
      </c>
      <c r="K121" s="2356"/>
    </row>
    <row r="122" spans="1:11" ht="16.5" hidden="1" customHeight="1">
      <c r="A122" s="3990"/>
      <c r="B122" s="2808" t="s">
        <v>168</v>
      </c>
      <c r="C122" s="2806">
        <v>29994.56469793</v>
      </c>
      <c r="D122" s="2805">
        <v>11898.078668149999</v>
      </c>
      <c r="E122" s="2805">
        <v>1576.4391740400001</v>
      </c>
      <c r="F122" s="2805">
        <v>642.26193076000004</v>
      </c>
      <c r="G122" s="2805">
        <v>934.17724327999997</v>
      </c>
      <c r="H122" s="2805">
        <v>577.00199999999995</v>
      </c>
      <c r="I122" s="2805">
        <v>956.95779216000005</v>
      </c>
      <c r="J122" s="2805">
        <v>14986.08706358</v>
      </c>
      <c r="K122" s="2356"/>
    </row>
    <row r="123" spans="1:11" ht="16.5" hidden="1" customHeight="1">
      <c r="A123" s="3990"/>
      <c r="B123" s="2808" t="s">
        <v>169</v>
      </c>
      <c r="C123" s="2806">
        <v>31602.102384780002</v>
      </c>
      <c r="D123" s="2805">
        <v>12112.35450657</v>
      </c>
      <c r="E123" s="2805">
        <v>2165.0536772099999</v>
      </c>
      <c r="F123" s="2805">
        <v>955.55897905000006</v>
      </c>
      <c r="G123" s="2805">
        <v>1209.4946981599999</v>
      </c>
      <c r="H123" s="2805">
        <v>527.00199999999995</v>
      </c>
      <c r="I123" s="2805">
        <v>1184.5791604199999</v>
      </c>
      <c r="J123" s="2805">
        <v>15613.113040580001</v>
      </c>
      <c r="K123" s="2356"/>
    </row>
    <row r="124" spans="1:11" ht="16.5" hidden="1" customHeight="1">
      <c r="A124" s="3990"/>
      <c r="B124" s="2808" t="s">
        <v>170</v>
      </c>
      <c r="C124" s="2806">
        <v>33000.510526600003</v>
      </c>
      <c r="D124" s="2805">
        <v>13418.225389490002</v>
      </c>
      <c r="E124" s="2805">
        <v>1745.3199192699999</v>
      </c>
      <c r="F124" s="2805">
        <v>761.99869385</v>
      </c>
      <c r="G124" s="2805">
        <v>983.32122542000002</v>
      </c>
      <c r="H124" s="2805">
        <v>600.61690911999995</v>
      </c>
      <c r="I124" s="2805">
        <v>950.60022492000007</v>
      </c>
      <c r="J124" s="2805">
        <v>16285.748083799999</v>
      </c>
      <c r="K124" s="2356"/>
    </row>
    <row r="125" spans="1:11" ht="16.5" hidden="1" customHeight="1">
      <c r="A125" s="3990"/>
      <c r="B125" s="2808" t="s">
        <v>171</v>
      </c>
      <c r="C125" s="2806">
        <v>34010.184172210007</v>
      </c>
      <c r="D125" s="2805">
        <v>13946.77093015</v>
      </c>
      <c r="E125" s="2805">
        <v>1933.3562290500001</v>
      </c>
      <c r="F125" s="2805">
        <v>1099.9884256600001</v>
      </c>
      <c r="G125" s="2805">
        <v>833.36780339000006</v>
      </c>
      <c r="H125" s="2805">
        <v>601.01036650999993</v>
      </c>
      <c r="I125" s="2805">
        <v>915.46427735000009</v>
      </c>
      <c r="J125" s="2805">
        <v>16613.582369150001</v>
      </c>
      <c r="K125" s="2356"/>
    </row>
    <row r="126" spans="1:11">
      <c r="A126" s="3990"/>
      <c r="B126" s="2809">
        <v>2008</v>
      </c>
      <c r="C126" s="2806">
        <v>35349.434631199998</v>
      </c>
      <c r="D126" s="2805">
        <v>14619.604899739999</v>
      </c>
      <c r="E126" s="2805">
        <v>2445.0167178899997</v>
      </c>
      <c r="F126" s="2805">
        <v>1179.2342334199998</v>
      </c>
      <c r="G126" s="2805">
        <v>1265.7824844699999</v>
      </c>
      <c r="H126" s="2805">
        <v>586.29307179</v>
      </c>
      <c r="I126" s="2805">
        <v>892.92913345000011</v>
      </c>
      <c r="J126" s="2805">
        <v>16805.590808329998</v>
      </c>
      <c r="K126" s="2356"/>
    </row>
    <row r="127" spans="1:11" ht="16.5" hidden="1" customHeight="1">
      <c r="A127" s="3990"/>
      <c r="B127" s="2804">
        <v>2009</v>
      </c>
      <c r="C127" s="2806"/>
      <c r="D127" s="2805"/>
      <c r="E127" s="2805"/>
      <c r="F127" s="2805"/>
      <c r="G127" s="2805"/>
      <c r="H127" s="2805"/>
      <c r="I127" s="2805"/>
      <c r="J127" s="2805"/>
      <c r="K127" s="2356"/>
    </row>
    <row r="128" spans="1:11" ht="16.5" hidden="1" customHeight="1">
      <c r="A128" s="3990"/>
      <c r="B128" s="2808" t="s">
        <v>161</v>
      </c>
      <c r="C128" s="2806">
        <v>32590.686870099998</v>
      </c>
      <c r="D128" s="2805">
        <v>11522.665649470002</v>
      </c>
      <c r="E128" s="2805">
        <v>2439.8580720999998</v>
      </c>
      <c r="F128" s="2805">
        <v>901.24923138000008</v>
      </c>
      <c r="G128" s="2805">
        <v>1538.60884072</v>
      </c>
      <c r="H128" s="2805">
        <v>586.62540968999997</v>
      </c>
      <c r="I128" s="2805">
        <v>889.37152245000004</v>
      </c>
      <c r="J128" s="2805">
        <v>17152.16621639</v>
      </c>
      <c r="K128" s="2356"/>
    </row>
    <row r="129" spans="1:11" ht="16.5" hidden="1" customHeight="1">
      <c r="A129" s="3990"/>
      <c r="B129" s="2808" t="s">
        <v>162</v>
      </c>
      <c r="C129" s="2806">
        <v>33264.935724039999</v>
      </c>
      <c r="D129" s="2805">
        <v>12016.844333080002</v>
      </c>
      <c r="E129" s="2805">
        <v>2480.7263754200003</v>
      </c>
      <c r="F129" s="2805">
        <v>832.70320244000004</v>
      </c>
      <c r="G129" s="2805">
        <v>1648.02317298</v>
      </c>
      <c r="H129" s="2805">
        <v>586.92311854999991</v>
      </c>
      <c r="I129" s="2805">
        <v>890.19019845000003</v>
      </c>
      <c r="J129" s="2805">
        <v>17290.25169854</v>
      </c>
      <c r="K129" s="2356"/>
    </row>
    <row r="130" spans="1:11" ht="16.5" hidden="1" customHeight="1">
      <c r="A130" s="3990"/>
      <c r="B130" s="2808" t="s">
        <v>163</v>
      </c>
      <c r="C130" s="2806">
        <v>33572.761981290001</v>
      </c>
      <c r="D130" s="2805">
        <v>11979.620599190001</v>
      </c>
      <c r="E130" s="2805">
        <v>2370.7806528000001</v>
      </c>
      <c r="F130" s="2805">
        <v>749.93614747999993</v>
      </c>
      <c r="G130" s="2805">
        <v>1620.8445053200001</v>
      </c>
      <c r="H130" s="2805">
        <v>588.25561745999994</v>
      </c>
      <c r="I130" s="2805">
        <v>883.70511245</v>
      </c>
      <c r="J130" s="2805">
        <v>17750.39999939</v>
      </c>
      <c r="K130" s="2356"/>
    </row>
    <row r="131" spans="1:11" ht="16.5" hidden="1" customHeight="1">
      <c r="A131" s="3990"/>
      <c r="B131" s="2808" t="s">
        <v>164</v>
      </c>
      <c r="C131" s="2806">
        <v>33604.969362659998</v>
      </c>
      <c r="D131" s="2805">
        <v>11751.38758604</v>
      </c>
      <c r="E131" s="2805">
        <v>2299.2052617499999</v>
      </c>
      <c r="F131" s="2805">
        <v>915.63162253999985</v>
      </c>
      <c r="G131" s="2805">
        <v>1383.57363921</v>
      </c>
      <c r="H131" s="2805">
        <v>587.57618775999993</v>
      </c>
      <c r="I131" s="2805">
        <v>879.51169045000006</v>
      </c>
      <c r="J131" s="2805">
        <v>18087.28863666</v>
      </c>
      <c r="K131" s="2356"/>
    </row>
    <row r="132" spans="1:11" ht="16.5" hidden="1" customHeight="1">
      <c r="A132" s="3990"/>
      <c r="B132" s="2808" t="s">
        <v>165</v>
      </c>
      <c r="C132" s="2806">
        <v>33671.565713210002</v>
      </c>
      <c r="D132" s="2805">
        <v>11267.580038749998</v>
      </c>
      <c r="E132" s="2805">
        <v>2622.7427323500001</v>
      </c>
      <c r="F132" s="2805">
        <v>868.83949661999998</v>
      </c>
      <c r="G132" s="2805">
        <v>1753.90323573</v>
      </c>
      <c r="H132" s="2805">
        <v>527.00199999999995</v>
      </c>
      <c r="I132" s="2805">
        <v>942.64272138000001</v>
      </c>
      <c r="J132" s="2805">
        <v>18311.59822073</v>
      </c>
      <c r="K132" s="2356"/>
    </row>
    <row r="133" spans="1:11" ht="16.5" hidden="1" customHeight="1">
      <c r="A133" s="3990"/>
      <c r="B133" s="2808" t="s">
        <v>147</v>
      </c>
      <c r="C133" s="2806">
        <v>33365.637642559996</v>
      </c>
      <c r="D133" s="2805">
        <v>11689.10843423</v>
      </c>
      <c r="E133" s="2805">
        <v>1756.5134957099999</v>
      </c>
      <c r="F133" s="2805">
        <v>540.44673262999993</v>
      </c>
      <c r="G133" s="2805">
        <v>1216.0667630799999</v>
      </c>
      <c r="H133" s="2805">
        <v>527.00199999999995</v>
      </c>
      <c r="I133" s="2805">
        <v>939.14505781000003</v>
      </c>
      <c r="J133" s="2805">
        <v>18453.868654809998</v>
      </c>
      <c r="K133" s="2356"/>
    </row>
    <row r="134" spans="1:11" ht="16.5" hidden="1" customHeight="1">
      <c r="A134" s="3990"/>
      <c r="B134" s="2808" t="s">
        <v>184</v>
      </c>
      <c r="C134" s="2806">
        <v>34557.892960730002</v>
      </c>
      <c r="D134" s="2805">
        <v>11464.865898830001</v>
      </c>
      <c r="E134" s="2805">
        <v>2868.4071994799997</v>
      </c>
      <c r="F134" s="2805">
        <v>1369.1408639699996</v>
      </c>
      <c r="G134" s="2805">
        <v>1499.2663355100003</v>
      </c>
      <c r="H134" s="2805">
        <v>527.00199999999995</v>
      </c>
      <c r="I134" s="2805">
        <v>935.10088732000008</v>
      </c>
      <c r="J134" s="2805">
        <v>18762.516975099999</v>
      </c>
      <c r="K134" s="2356"/>
    </row>
    <row r="135" spans="1:11" ht="16.5" hidden="1" customHeight="1">
      <c r="A135" s="3990"/>
      <c r="B135" s="2808" t="s">
        <v>168</v>
      </c>
      <c r="C135" s="2806">
        <v>37153.166892729998</v>
      </c>
      <c r="D135" s="2805">
        <v>12682.11885988</v>
      </c>
      <c r="E135" s="2805">
        <v>4008.5843707200002</v>
      </c>
      <c r="F135" s="2805">
        <v>2364.9373965300001</v>
      </c>
      <c r="G135" s="2805">
        <v>1643.6469741899998</v>
      </c>
      <c r="H135" s="2805">
        <v>527.00199999999995</v>
      </c>
      <c r="I135" s="2805">
        <v>939.1813030400001</v>
      </c>
      <c r="J135" s="2805">
        <v>18996.280359089997</v>
      </c>
      <c r="K135" s="2356"/>
    </row>
    <row r="136" spans="1:11" ht="16.5" hidden="1" customHeight="1">
      <c r="A136" s="3990"/>
      <c r="B136" s="2808" t="s">
        <v>169</v>
      </c>
      <c r="C136" s="2806">
        <v>37799.368012260005</v>
      </c>
      <c r="D136" s="2805">
        <v>13965.01711499</v>
      </c>
      <c r="E136" s="2805">
        <v>3067.2323149000003</v>
      </c>
      <c r="F136" s="2805">
        <v>1324.6417439500001</v>
      </c>
      <c r="G136" s="2805">
        <v>1742.59057095</v>
      </c>
      <c r="H136" s="2805">
        <v>527.00199999999995</v>
      </c>
      <c r="I136" s="2805">
        <v>987.26304252000011</v>
      </c>
      <c r="J136" s="2805">
        <v>19252.853539850003</v>
      </c>
      <c r="K136" s="2356"/>
    </row>
    <row r="137" spans="1:11" ht="16.5" hidden="1" customHeight="1">
      <c r="A137" s="3990"/>
      <c r="B137" s="2808" t="s">
        <v>170</v>
      </c>
      <c r="C137" s="2806">
        <v>40263.071891320003</v>
      </c>
      <c r="D137" s="2805">
        <v>15993.079261409999</v>
      </c>
      <c r="E137" s="2805">
        <v>3328.7117177099999</v>
      </c>
      <c r="F137" s="2805">
        <v>1287.5574474500002</v>
      </c>
      <c r="G137" s="2805">
        <v>2041.15427026</v>
      </c>
      <c r="H137" s="2805">
        <v>527.00199999999995</v>
      </c>
      <c r="I137" s="2805">
        <v>987.49324804000003</v>
      </c>
      <c r="J137" s="2805">
        <v>19426.785664160005</v>
      </c>
      <c r="K137" s="2356"/>
    </row>
    <row r="138" spans="1:11" ht="16.5" hidden="1" customHeight="1">
      <c r="A138" s="3990"/>
      <c r="B138" s="2808" t="s">
        <v>171</v>
      </c>
      <c r="C138" s="2806">
        <v>44522.12226181</v>
      </c>
      <c r="D138" s="2805">
        <v>18823.275218549999</v>
      </c>
      <c r="E138" s="2805">
        <v>4194.5127176800006</v>
      </c>
      <c r="F138" s="2805">
        <v>1878.9069330500001</v>
      </c>
      <c r="G138" s="2805">
        <v>2315.6057846300005</v>
      </c>
      <c r="H138" s="2805">
        <v>527.00199999999995</v>
      </c>
      <c r="I138" s="2805">
        <v>996.45416396000019</v>
      </c>
      <c r="J138" s="2805">
        <v>19980.878161619999</v>
      </c>
      <c r="K138" s="2356"/>
    </row>
    <row r="139" spans="1:11">
      <c r="A139" s="3990"/>
      <c r="B139" s="2804">
        <v>2009</v>
      </c>
      <c r="C139" s="2806">
        <v>45506.819767930006</v>
      </c>
      <c r="D139" s="2805">
        <v>19152.488065050002</v>
      </c>
      <c r="E139" s="2805">
        <v>2793.4671423100003</v>
      </c>
      <c r="F139" s="2805">
        <v>1702.4619864300003</v>
      </c>
      <c r="G139" s="2805">
        <v>1091.0051558800001</v>
      </c>
      <c r="H139" s="2805">
        <v>2514.364</v>
      </c>
      <c r="I139" s="2805">
        <v>706.61305617000005</v>
      </c>
      <c r="J139" s="2805">
        <v>20339.887504399998</v>
      </c>
      <c r="K139" s="2356"/>
    </row>
    <row r="140" spans="1:11" ht="16.5" hidden="1" customHeight="1">
      <c r="A140" s="3990"/>
      <c r="B140" s="2495">
        <v>2010</v>
      </c>
      <c r="C140" s="2806"/>
      <c r="D140" s="2568"/>
      <c r="E140" s="2805"/>
      <c r="F140" s="2805"/>
      <c r="G140" s="2805"/>
      <c r="H140" s="2805"/>
      <c r="I140" s="2805"/>
      <c r="J140" s="2805"/>
      <c r="K140" s="2343"/>
    </row>
    <row r="141" spans="1:11" ht="16.5" hidden="1" customHeight="1">
      <c r="A141" s="3990"/>
      <c r="B141" s="2403" t="s">
        <v>161</v>
      </c>
      <c r="C141" s="2807">
        <v>42748.28112765</v>
      </c>
      <c r="D141" s="2775">
        <v>15610.52132344</v>
      </c>
      <c r="E141" s="2776">
        <v>3239.5030838800003</v>
      </c>
      <c r="F141" s="2776">
        <v>1828.3613511200003</v>
      </c>
      <c r="G141" s="2776">
        <v>1411.14173276</v>
      </c>
      <c r="H141" s="2776">
        <v>2514.364</v>
      </c>
      <c r="I141" s="2776">
        <v>633.9226996000001</v>
      </c>
      <c r="J141" s="2776">
        <v>20749.970020729997</v>
      </c>
      <c r="K141" s="2343"/>
    </row>
    <row r="142" spans="1:11" ht="16.5" hidden="1" customHeight="1">
      <c r="A142" s="3990"/>
      <c r="B142" s="2403" t="s">
        <v>162</v>
      </c>
      <c r="C142" s="2807">
        <v>45833.540660449995</v>
      </c>
      <c r="D142" s="2775">
        <v>15597.971998549998</v>
      </c>
      <c r="E142" s="2776">
        <v>6126.1194935099993</v>
      </c>
      <c r="F142" s="2776">
        <v>4688.6852969099991</v>
      </c>
      <c r="G142" s="2776">
        <v>1437.4341966</v>
      </c>
      <c r="H142" s="2776">
        <v>2514.364</v>
      </c>
      <c r="I142" s="2776">
        <v>634.57189762999997</v>
      </c>
      <c r="J142" s="2776">
        <v>20960.513270759995</v>
      </c>
      <c r="K142" s="2343"/>
    </row>
    <row r="143" spans="1:11" ht="16.5" hidden="1" customHeight="1">
      <c r="A143" s="3990"/>
      <c r="B143" s="2403" t="s">
        <v>163</v>
      </c>
      <c r="C143" s="2807">
        <v>48480.461721</v>
      </c>
      <c r="D143" s="2775">
        <v>18029.155080960001</v>
      </c>
      <c r="E143" s="2776">
        <v>3576.0183294300004</v>
      </c>
      <c r="F143" s="2776">
        <v>1910.1911302800002</v>
      </c>
      <c r="G143" s="2776">
        <v>1665.8271991500003</v>
      </c>
      <c r="H143" s="2776">
        <v>2019.5394999999999</v>
      </c>
      <c r="I143" s="2776">
        <v>665.24470014000008</v>
      </c>
      <c r="J143" s="2776">
        <v>24190.504110469999</v>
      </c>
      <c r="K143" s="2343"/>
    </row>
    <row r="144" spans="1:11" ht="16.5" hidden="1" customHeight="1">
      <c r="A144" s="3990"/>
      <c r="B144" s="2403" t="s">
        <v>164</v>
      </c>
      <c r="C144" s="2807">
        <v>46496.859965849995</v>
      </c>
      <c r="D144" s="2775">
        <v>15426.450433409998</v>
      </c>
      <c r="E144" s="2776">
        <v>3335.6063238799998</v>
      </c>
      <c r="F144" s="2776">
        <v>1719.21454326</v>
      </c>
      <c r="G144" s="2776">
        <v>1616.3917806199997</v>
      </c>
      <c r="H144" s="2776">
        <v>2019.5394999999999</v>
      </c>
      <c r="I144" s="2776">
        <v>667.04091484000003</v>
      </c>
      <c r="J144" s="2776">
        <v>25048.22279372</v>
      </c>
      <c r="K144" s="2343"/>
    </row>
    <row r="145" spans="1:11" ht="16.5" hidden="1" customHeight="1">
      <c r="A145" s="3990"/>
      <c r="B145" s="2403" t="s">
        <v>165</v>
      </c>
      <c r="C145" s="2807">
        <v>45422.321692623998</v>
      </c>
      <c r="D145" s="2775">
        <v>14566.774628879999</v>
      </c>
      <c r="E145" s="2776">
        <v>3039.4943506099999</v>
      </c>
      <c r="F145" s="2776">
        <v>1786.5490502499999</v>
      </c>
      <c r="G145" s="2776">
        <v>1252.9453003600001</v>
      </c>
      <c r="H145" s="2776">
        <v>2546.5425</v>
      </c>
      <c r="I145" s="2776">
        <v>139.75505656999999</v>
      </c>
      <c r="J145" s="2776">
        <v>25129.755156563999</v>
      </c>
      <c r="K145" s="2343"/>
    </row>
    <row r="146" spans="1:11" ht="16.5" hidden="1" customHeight="1">
      <c r="A146" s="3990"/>
      <c r="B146" s="2403" t="s">
        <v>166</v>
      </c>
      <c r="C146" s="2807">
        <v>45442.271131528003</v>
      </c>
      <c r="D146" s="2775">
        <v>15472.053556160001</v>
      </c>
      <c r="E146" s="2776">
        <v>2804.71151964</v>
      </c>
      <c r="F146" s="2776">
        <v>1292.32538522</v>
      </c>
      <c r="G146" s="2776">
        <v>1512.38613442</v>
      </c>
      <c r="H146" s="2776">
        <v>1054.0050000000001</v>
      </c>
      <c r="I146" s="2776">
        <v>135.80715190000001</v>
      </c>
      <c r="J146" s="2776">
        <v>25975.693903828003</v>
      </c>
      <c r="K146" s="2343"/>
    </row>
    <row r="147" spans="1:11" ht="16.5" hidden="1" customHeight="1">
      <c r="A147" s="3990"/>
      <c r="B147" s="2403" t="s">
        <v>167</v>
      </c>
      <c r="C147" s="2807">
        <v>46672.750926859997</v>
      </c>
      <c r="D147" s="2775">
        <v>15574.364014749999</v>
      </c>
      <c r="E147" s="2776">
        <v>2862.14556085</v>
      </c>
      <c r="F147" s="2776">
        <v>1511.31937049</v>
      </c>
      <c r="G147" s="2776">
        <v>1350.8261903600001</v>
      </c>
      <c r="H147" s="2776">
        <v>1500.9112500000001</v>
      </c>
      <c r="I147" s="2776">
        <v>234.81057078000003</v>
      </c>
      <c r="J147" s="2776">
        <v>26500.519530479996</v>
      </c>
      <c r="K147" s="2343"/>
    </row>
    <row r="148" spans="1:11" ht="16.5" hidden="1" customHeight="1">
      <c r="A148" s="3990"/>
      <c r="B148" s="2403" t="s">
        <v>168</v>
      </c>
      <c r="C148" s="2807">
        <v>53175.510063671012</v>
      </c>
      <c r="D148" s="2775">
        <v>15728.420104939998</v>
      </c>
      <c r="E148" s="2776">
        <v>8064.7983832899999</v>
      </c>
      <c r="F148" s="2776">
        <v>6625.1829804700001</v>
      </c>
      <c r="G148" s="2776">
        <v>1439.6154028200001</v>
      </c>
      <c r="H148" s="2776">
        <v>1947.8175000000001</v>
      </c>
      <c r="I148" s="2776">
        <v>234.23835133</v>
      </c>
      <c r="J148" s="2776">
        <v>27200.235724111008</v>
      </c>
      <c r="K148" s="2343"/>
    </row>
    <row r="149" spans="1:11" ht="16.5" hidden="1" customHeight="1">
      <c r="A149" s="3990"/>
      <c r="B149" s="2403" t="s">
        <v>169</v>
      </c>
      <c r="C149" s="2807">
        <v>53432.996752489991</v>
      </c>
      <c r="D149" s="2775">
        <v>21013.155881229999</v>
      </c>
      <c r="E149" s="2776">
        <v>2612.5646873600003</v>
      </c>
      <c r="F149" s="2776">
        <v>1006.40385136</v>
      </c>
      <c r="G149" s="2776">
        <v>1606.1608360000002</v>
      </c>
      <c r="H149" s="2776">
        <v>1947.8175000000001</v>
      </c>
      <c r="I149" s="2776">
        <v>230.38584912000002</v>
      </c>
      <c r="J149" s="2776">
        <v>27629.072834779989</v>
      </c>
      <c r="K149" s="2343"/>
    </row>
    <row r="150" spans="1:11" ht="16.5" hidden="1" customHeight="1">
      <c r="A150" s="3990"/>
      <c r="B150" s="2403" t="s">
        <v>170</v>
      </c>
      <c r="C150" s="2807">
        <v>53728.921486566018</v>
      </c>
      <c r="D150" s="2775">
        <v>19762.921231029999</v>
      </c>
      <c r="E150" s="2776">
        <v>3409.84997591</v>
      </c>
      <c r="F150" s="2776">
        <v>916.24614294000003</v>
      </c>
      <c r="G150" s="2776">
        <v>2493.60383297</v>
      </c>
      <c r="H150" s="2776">
        <v>2050.4050000000002</v>
      </c>
      <c r="I150" s="2776">
        <v>138.73159519999999</v>
      </c>
      <c r="J150" s="2776">
        <v>28367.013684426016</v>
      </c>
      <c r="K150" s="2343"/>
    </row>
    <row r="151" spans="1:11" ht="16.5" hidden="1" customHeight="1">
      <c r="A151" s="3990"/>
      <c r="B151" s="2403" t="s">
        <v>171</v>
      </c>
      <c r="C151" s="2807">
        <v>59119.313774567025</v>
      </c>
      <c r="D151" s="2775">
        <v>25292.946984300001</v>
      </c>
      <c r="E151" s="2776">
        <v>2865.3943124899997</v>
      </c>
      <c r="F151" s="2776">
        <v>1398.8682132500001</v>
      </c>
      <c r="G151" s="2776">
        <v>1466.5260992399999</v>
      </c>
      <c r="H151" s="2776">
        <v>2050.4050000000002</v>
      </c>
      <c r="I151" s="2776">
        <v>136.21349882999999</v>
      </c>
      <c r="J151" s="2776">
        <v>28774.353978947023</v>
      </c>
      <c r="K151" s="2343"/>
    </row>
    <row r="152" spans="1:11">
      <c r="A152" s="3990"/>
      <c r="B152" s="2811">
        <v>2010</v>
      </c>
      <c r="C152" s="2807">
        <v>58638.700832274975</v>
      </c>
      <c r="D152" s="2775">
        <v>23065.936221190001</v>
      </c>
      <c r="E152" s="2776">
        <v>2319.2510804399999</v>
      </c>
      <c r="F152" s="2776">
        <v>1149.7125675300001</v>
      </c>
      <c r="G152" s="2776">
        <v>1169.53851291</v>
      </c>
      <c r="H152" s="2776">
        <v>2050.4050000000002</v>
      </c>
      <c r="I152" s="2776">
        <v>414.44168721496993</v>
      </c>
      <c r="J152" s="2776">
        <v>30788.666843430001</v>
      </c>
      <c r="K152" s="2343"/>
    </row>
    <row r="153" spans="1:11" ht="16.5" hidden="1" customHeight="1">
      <c r="A153" s="3990"/>
      <c r="B153" s="2495">
        <v>2011</v>
      </c>
      <c r="C153" s="2807"/>
      <c r="D153" s="2775"/>
      <c r="E153" s="2776"/>
      <c r="F153" s="2776"/>
      <c r="G153" s="2776"/>
      <c r="H153" s="2776"/>
      <c r="I153" s="2776"/>
      <c r="J153" s="2776"/>
      <c r="K153" s="2343"/>
    </row>
    <row r="154" spans="1:11" ht="16.5" hidden="1" customHeight="1">
      <c r="A154" s="3990"/>
      <c r="B154" s="2810" t="s">
        <v>161</v>
      </c>
      <c r="C154" s="2807">
        <v>52103.48422370902</v>
      </c>
      <c r="D154" s="2775">
        <v>18434.268171989999</v>
      </c>
      <c r="E154" s="2776">
        <v>2356.0892079199998</v>
      </c>
      <c r="F154" s="2776">
        <v>941.97976517000006</v>
      </c>
      <c r="G154" s="2776">
        <v>1414.1094427499997</v>
      </c>
      <c r="H154" s="2776">
        <v>1141.71648267</v>
      </c>
      <c r="I154" s="2776">
        <v>5736.4540236960011</v>
      </c>
      <c r="J154" s="2776">
        <v>24434.956337433025</v>
      </c>
      <c r="K154" s="2343"/>
    </row>
    <row r="155" spans="1:11" ht="16.5" hidden="1" customHeight="1">
      <c r="A155" s="3990"/>
      <c r="B155" s="2403" t="s">
        <v>162</v>
      </c>
      <c r="C155" s="2807">
        <v>53657.943322384024</v>
      </c>
      <c r="D155" s="2775">
        <v>19054.47069459</v>
      </c>
      <c r="E155" s="2776">
        <v>2302.7064902799998</v>
      </c>
      <c r="F155" s="2776">
        <v>678.94035397000005</v>
      </c>
      <c r="G155" s="2776">
        <v>1623.7661363099999</v>
      </c>
      <c r="H155" s="2776">
        <v>1059.0617309400002</v>
      </c>
      <c r="I155" s="2776">
        <v>617.71615214999997</v>
      </c>
      <c r="J155" s="2776">
        <v>30623.988254424024</v>
      </c>
      <c r="K155" s="2343"/>
    </row>
    <row r="156" spans="1:11" ht="16.5" hidden="1" customHeight="1">
      <c r="A156" s="3990"/>
      <c r="B156" s="2403" t="s">
        <v>163</v>
      </c>
      <c r="C156" s="2807">
        <v>54135.2282974189</v>
      </c>
      <c r="D156" s="2775">
        <v>15738.06143401</v>
      </c>
      <c r="E156" s="2776">
        <v>4043.6888054000001</v>
      </c>
      <c r="F156" s="2776">
        <v>1018.6502586900001</v>
      </c>
      <c r="G156" s="2776">
        <v>3025.03854671</v>
      </c>
      <c r="H156" s="2776">
        <v>1553.38</v>
      </c>
      <c r="I156" s="2776">
        <v>238.14946433999998</v>
      </c>
      <c r="J156" s="2776">
        <v>32561.948593668894</v>
      </c>
      <c r="K156" s="2343"/>
    </row>
    <row r="157" spans="1:11" ht="16.5" hidden="1" customHeight="1">
      <c r="A157" s="3990"/>
      <c r="B157" s="2403" t="s">
        <v>164</v>
      </c>
      <c r="C157" s="2807">
        <v>54471.10211458501</v>
      </c>
      <c r="D157" s="2775">
        <v>16116.461703350002</v>
      </c>
      <c r="E157" s="2776">
        <v>3350.1792547599998</v>
      </c>
      <c r="F157" s="2776">
        <v>1120.3579638199999</v>
      </c>
      <c r="G157" s="2776">
        <v>2229.8212909399999</v>
      </c>
      <c r="H157" s="2776">
        <v>1553.38</v>
      </c>
      <c r="I157" s="2776">
        <v>243.41762562</v>
      </c>
      <c r="J157" s="2776">
        <v>33207.663530855003</v>
      </c>
      <c r="K157" s="2343"/>
    </row>
    <row r="158" spans="1:11" ht="16.5" hidden="1" customHeight="1">
      <c r="A158" s="3990"/>
      <c r="B158" s="2403" t="s">
        <v>165</v>
      </c>
      <c r="C158" s="2807">
        <v>53528.215083505085</v>
      </c>
      <c r="D158" s="2775">
        <v>14567.798895900001</v>
      </c>
      <c r="E158" s="2776">
        <v>3122.8850434199999</v>
      </c>
      <c r="F158" s="2776">
        <v>673.46727382999995</v>
      </c>
      <c r="G158" s="2776">
        <v>2449.4177695899998</v>
      </c>
      <c r="H158" s="2776">
        <v>1553.38</v>
      </c>
      <c r="I158" s="2776">
        <v>248.13088195</v>
      </c>
      <c r="J158" s="2776">
        <v>34036.020262235084</v>
      </c>
      <c r="K158" s="2343"/>
    </row>
    <row r="159" spans="1:11" ht="16.5" hidden="1" customHeight="1">
      <c r="A159" s="3990"/>
      <c r="B159" s="2403" t="s">
        <v>166</v>
      </c>
      <c r="C159" s="2807">
        <v>54058.611377660003</v>
      </c>
      <c r="D159" s="2775">
        <v>15400.989605580002</v>
      </c>
      <c r="E159" s="2776">
        <v>2896.5147696399999</v>
      </c>
      <c r="F159" s="2776">
        <v>710.20366561000003</v>
      </c>
      <c r="G159" s="2776">
        <v>2186.31110403</v>
      </c>
      <c r="H159" s="2776">
        <v>1119.06152425</v>
      </c>
      <c r="I159" s="2776">
        <v>1035.86356428</v>
      </c>
      <c r="J159" s="2776">
        <v>33606.181913910004</v>
      </c>
      <c r="K159" s="2343"/>
    </row>
    <row r="160" spans="1:11" ht="18" hidden="1" customHeight="1">
      <c r="A160" s="3990"/>
      <c r="B160" s="2403" t="s">
        <v>167</v>
      </c>
      <c r="C160" s="2807">
        <v>55830.939916056988</v>
      </c>
      <c r="D160" s="2775">
        <v>16208.740052700001</v>
      </c>
      <c r="E160" s="2776">
        <v>3043.5953030400001</v>
      </c>
      <c r="F160" s="2776">
        <v>422.94691390999998</v>
      </c>
      <c r="G160" s="2776">
        <v>2620.6483891299999</v>
      </c>
      <c r="H160" s="2776">
        <v>1107.9202513300002</v>
      </c>
      <c r="I160" s="2776">
        <v>974.85694696999985</v>
      </c>
      <c r="J160" s="2776">
        <v>34495.827362016986</v>
      </c>
      <c r="K160" s="2343"/>
    </row>
    <row r="161" spans="1:11" ht="18" hidden="1" customHeight="1">
      <c r="A161" s="3990"/>
      <c r="B161" s="2403" t="s">
        <v>168</v>
      </c>
      <c r="C161" s="2807">
        <v>55187.234267092004</v>
      </c>
      <c r="D161" s="2775">
        <v>14133.848332670002</v>
      </c>
      <c r="E161" s="2776">
        <v>2892.3443891300003</v>
      </c>
      <c r="F161" s="2776">
        <v>894.90677827999991</v>
      </c>
      <c r="G161" s="2776">
        <v>1997.4376108500005</v>
      </c>
      <c r="H161" s="2776">
        <v>1597.7526059499999</v>
      </c>
      <c r="I161" s="2776">
        <v>1042.2427187000001</v>
      </c>
      <c r="J161" s="2776">
        <v>35521.046220641998</v>
      </c>
      <c r="K161" s="2343"/>
    </row>
    <row r="162" spans="1:11" ht="18" hidden="1" customHeight="1">
      <c r="A162" s="3990"/>
      <c r="B162" s="2403" t="s">
        <v>169</v>
      </c>
      <c r="C162" s="2807">
        <v>57914.625693490001</v>
      </c>
      <c r="D162" s="2775">
        <v>16373.9110659</v>
      </c>
      <c r="E162" s="2776">
        <v>2024.2401293200001</v>
      </c>
      <c r="F162" s="2776">
        <v>166.62500968999998</v>
      </c>
      <c r="G162" s="2776">
        <v>1857.61511963</v>
      </c>
      <c r="H162" s="2776">
        <v>1596.5625232299999</v>
      </c>
      <c r="I162" s="2776">
        <v>998.89266956999995</v>
      </c>
      <c r="J162" s="2776">
        <v>36921.019305469999</v>
      </c>
      <c r="K162" s="2343"/>
    </row>
    <row r="163" spans="1:11" ht="18" hidden="1" customHeight="1">
      <c r="A163" s="3990"/>
      <c r="B163" s="2403" t="s">
        <v>170</v>
      </c>
      <c r="C163" s="2807">
        <v>59772.491755187977</v>
      </c>
      <c r="D163" s="2775">
        <v>16483.669588480003</v>
      </c>
      <c r="E163" s="2776">
        <v>2695.2890647900003</v>
      </c>
      <c r="F163" s="2776">
        <v>968.09297335999997</v>
      </c>
      <c r="G163" s="2776">
        <v>1727.1960914300003</v>
      </c>
      <c r="H163" s="2776">
        <v>1592.6966606399999</v>
      </c>
      <c r="I163" s="2776">
        <v>1075.78652216</v>
      </c>
      <c r="J163" s="2776">
        <v>37925.049919117977</v>
      </c>
      <c r="K163" s="2343"/>
    </row>
    <row r="164" spans="1:11" ht="18" hidden="1" customHeight="1">
      <c r="A164" s="3990"/>
      <c r="B164" s="2403" t="s">
        <v>171</v>
      </c>
      <c r="C164" s="2807">
        <v>63691.175970111006</v>
      </c>
      <c r="D164" s="2775">
        <v>18632.2613471</v>
      </c>
      <c r="E164" s="2776">
        <v>3306.3932685600003</v>
      </c>
      <c r="F164" s="2776">
        <v>1640.7009293900001</v>
      </c>
      <c r="G164" s="2776">
        <v>1665.6923391700002</v>
      </c>
      <c r="H164" s="2776">
        <v>1589.9932201200002</v>
      </c>
      <c r="I164" s="2776">
        <v>1250.9361223000001</v>
      </c>
      <c r="J164" s="2776">
        <v>38911.592012031004</v>
      </c>
      <c r="K164" s="2343"/>
    </row>
    <row r="165" spans="1:11" ht="18" customHeight="1">
      <c r="A165" s="3990"/>
      <c r="B165" s="2495">
        <v>2011</v>
      </c>
      <c r="C165" s="2807">
        <v>59808.850885978987</v>
      </c>
      <c r="D165" s="2775">
        <v>14492.009378860002</v>
      </c>
      <c r="E165" s="2776">
        <v>2243.2539279699999</v>
      </c>
      <c r="F165" s="2776">
        <v>823.97952056999998</v>
      </c>
      <c r="G165" s="2776">
        <v>1419.2744074</v>
      </c>
      <c r="H165" s="2776">
        <v>1583.8835995900001</v>
      </c>
      <c r="I165" s="2776">
        <v>1246.64063792</v>
      </c>
      <c r="J165" s="2776">
        <v>40243.063341638983</v>
      </c>
      <c r="K165" s="2343"/>
    </row>
    <row r="166" spans="1:11" ht="18" hidden="1" customHeight="1">
      <c r="A166" s="3990"/>
      <c r="B166" s="2811">
        <v>2012</v>
      </c>
      <c r="C166" s="2807"/>
      <c r="D166" s="2775"/>
      <c r="E166" s="2776"/>
      <c r="F166" s="2776"/>
      <c r="G166" s="2776"/>
      <c r="H166" s="2776"/>
      <c r="I166" s="2776"/>
      <c r="J166" s="2776"/>
      <c r="K166" s="2343"/>
    </row>
    <row r="167" spans="1:11" ht="18" hidden="1" customHeight="1">
      <c r="A167" s="3990"/>
      <c r="B167" s="2403" t="s">
        <v>161</v>
      </c>
      <c r="C167" s="2807">
        <v>61522.117119506962</v>
      </c>
      <c r="D167" s="2775">
        <v>14631.288802810001</v>
      </c>
      <c r="E167" s="2776">
        <v>2376.0624337899999</v>
      </c>
      <c r="F167" s="2776">
        <v>861.98470382999994</v>
      </c>
      <c r="G167" s="2776">
        <v>1514.0777299599997</v>
      </c>
      <c r="H167" s="2776">
        <v>1582.1293438000002</v>
      </c>
      <c r="I167" s="2776">
        <v>1256.79868801</v>
      </c>
      <c r="J167" s="2776">
        <v>41675.837851096963</v>
      </c>
      <c r="K167" s="2343"/>
    </row>
    <row r="168" spans="1:11" ht="18" hidden="1" customHeight="1">
      <c r="A168" s="3990"/>
      <c r="B168" s="2403" t="s">
        <v>162</v>
      </c>
      <c r="C168" s="2807">
        <v>64281.401980754992</v>
      </c>
      <c r="D168" s="2775">
        <v>15372.351041800001</v>
      </c>
      <c r="E168" s="2776">
        <v>2399.3834099000001</v>
      </c>
      <c r="F168" s="2776">
        <v>408.83633775000004</v>
      </c>
      <c r="G168" s="2776">
        <v>1990.5470721499998</v>
      </c>
      <c r="H168" s="2776">
        <v>2786.4826349800001</v>
      </c>
      <c r="I168" s="2776">
        <v>1269.7579571799999</v>
      </c>
      <c r="J168" s="2776">
        <v>42453.42693689499</v>
      </c>
      <c r="K168" s="2343"/>
    </row>
    <row r="169" spans="1:11" ht="18" hidden="1" customHeight="1">
      <c r="A169" s="3990"/>
      <c r="B169" s="2403" t="s">
        <v>163</v>
      </c>
      <c r="C169" s="2807">
        <v>61443.761340429002</v>
      </c>
      <c r="D169" s="2775">
        <v>11068.77684147</v>
      </c>
      <c r="E169" s="2776">
        <v>3119.0964582400002</v>
      </c>
      <c r="F169" s="2776">
        <v>897.53882423999983</v>
      </c>
      <c r="G169" s="2776">
        <v>2221.5576340000002</v>
      </c>
      <c r="H169" s="2776">
        <v>3052.2065769299998</v>
      </c>
      <c r="I169" s="2776">
        <v>1254.62301338</v>
      </c>
      <c r="J169" s="2776">
        <v>42949.058450409</v>
      </c>
      <c r="K169" s="2343"/>
    </row>
    <row r="170" spans="1:11" ht="18" hidden="1" customHeight="1">
      <c r="A170" s="3990"/>
      <c r="B170" s="2403" t="s">
        <v>164</v>
      </c>
      <c r="C170" s="2807">
        <v>58756.017497337023</v>
      </c>
      <c r="D170" s="2775">
        <v>9318.03200603</v>
      </c>
      <c r="E170" s="2776">
        <v>2586.0846607100002</v>
      </c>
      <c r="F170" s="2776">
        <v>832.17628446999993</v>
      </c>
      <c r="G170" s="2776">
        <v>1753.9083762400001</v>
      </c>
      <c r="H170" s="2776">
        <v>1850.9154059800001</v>
      </c>
      <c r="I170" s="2776">
        <v>1468.0670982799998</v>
      </c>
      <c r="J170" s="2776">
        <v>43532.918326337021</v>
      </c>
      <c r="K170" s="2343"/>
    </row>
    <row r="171" spans="1:11" ht="18" hidden="1" customHeight="1">
      <c r="A171" s="3990"/>
      <c r="B171" s="2403" t="s">
        <v>165</v>
      </c>
      <c r="C171" s="2807">
        <v>62477.208411601088</v>
      </c>
      <c r="D171" s="2775">
        <v>12524.70039985</v>
      </c>
      <c r="E171" s="2776">
        <v>2886.7705359900001</v>
      </c>
      <c r="F171" s="2776">
        <v>1377.4943553600001</v>
      </c>
      <c r="G171" s="2776">
        <v>1509.27618063</v>
      </c>
      <c r="H171" s="2776">
        <v>1860.2956887300004</v>
      </c>
      <c r="I171" s="2776">
        <v>1628.1021172800001</v>
      </c>
      <c r="J171" s="2776">
        <v>43577.339669751091</v>
      </c>
      <c r="K171" s="2343"/>
    </row>
    <row r="172" spans="1:11" ht="18" hidden="1" customHeight="1">
      <c r="A172" s="3990"/>
      <c r="B172" s="2403" t="s">
        <v>166</v>
      </c>
      <c r="C172" s="2807">
        <v>59623.513608048001</v>
      </c>
      <c r="D172" s="2775">
        <v>10539.99591962</v>
      </c>
      <c r="E172" s="2776">
        <v>2809.0909827900005</v>
      </c>
      <c r="F172" s="2776">
        <v>1392.6150664300001</v>
      </c>
      <c r="G172" s="2776">
        <v>1416.4759163600002</v>
      </c>
      <c r="H172" s="2776">
        <v>1072.96055688</v>
      </c>
      <c r="I172" s="2776">
        <v>1485.6586496300001</v>
      </c>
      <c r="J172" s="2776">
        <v>43715.807499128001</v>
      </c>
      <c r="K172" s="2343"/>
    </row>
    <row r="173" spans="1:11" ht="18" hidden="1" customHeight="1">
      <c r="A173" s="3990"/>
      <c r="B173" s="2403" t="s">
        <v>167</v>
      </c>
      <c r="C173" s="2807">
        <v>59843.507634419919</v>
      </c>
      <c r="D173" s="2775">
        <v>7958.82231434</v>
      </c>
      <c r="E173" s="2776">
        <v>3465.2843549899999</v>
      </c>
      <c r="F173" s="2776">
        <v>2071.1923398700001</v>
      </c>
      <c r="G173" s="2776">
        <v>1394.09201512</v>
      </c>
      <c r="H173" s="2776">
        <v>2812.0636293300004</v>
      </c>
      <c r="I173" s="2776">
        <v>1473.1892636100001</v>
      </c>
      <c r="J173" s="2776">
        <v>44134.148072149917</v>
      </c>
      <c r="K173" s="2343"/>
    </row>
    <row r="174" spans="1:11" ht="18" hidden="1" customHeight="1">
      <c r="A174" s="3990"/>
      <c r="B174" s="2403" t="s">
        <v>168</v>
      </c>
      <c r="C174" s="2807">
        <v>61911.814417613023</v>
      </c>
      <c r="D174" s="2775">
        <v>10717.57780709</v>
      </c>
      <c r="E174" s="2776">
        <v>2325.14681582</v>
      </c>
      <c r="F174" s="2776">
        <v>970.94644272000005</v>
      </c>
      <c r="G174" s="2776">
        <v>1354.2003731</v>
      </c>
      <c r="H174" s="2776">
        <v>2810.4949748399999</v>
      </c>
      <c r="I174" s="2776">
        <v>1474.6226186299998</v>
      </c>
      <c r="J174" s="2776">
        <v>44583.972201233024</v>
      </c>
      <c r="K174" s="2343"/>
    </row>
    <row r="175" spans="1:11" ht="18" hidden="1" customHeight="1">
      <c r="A175" s="3990"/>
      <c r="B175" s="2403" t="s">
        <v>169</v>
      </c>
      <c r="C175" s="2807">
        <v>63502.736961900053</v>
      </c>
      <c r="D175" s="2775">
        <v>10755.46976865</v>
      </c>
      <c r="E175" s="2776">
        <v>4439.5098960100004</v>
      </c>
      <c r="F175" s="2776">
        <v>2231.3686102699999</v>
      </c>
      <c r="G175" s="2776">
        <v>2208.1412857400001</v>
      </c>
      <c r="H175" s="2776">
        <v>2066.4418477899999</v>
      </c>
      <c r="I175" s="2776">
        <v>1461.2368933600001</v>
      </c>
      <c r="J175" s="2776">
        <v>44780.078556090048</v>
      </c>
      <c r="K175" s="2343"/>
    </row>
    <row r="176" spans="1:11" ht="18" hidden="1" customHeight="1">
      <c r="A176" s="3990"/>
      <c r="B176" s="2403" t="s">
        <v>170</v>
      </c>
      <c r="C176" s="2807">
        <v>64918.339321600011</v>
      </c>
      <c r="D176" s="2775">
        <v>11675.238353069999</v>
      </c>
      <c r="E176" s="2776">
        <v>3431.4655825600003</v>
      </c>
      <c r="F176" s="2776">
        <v>1323.8046917899999</v>
      </c>
      <c r="G176" s="2776">
        <v>2107.6608907700002</v>
      </c>
      <c r="H176" s="2776">
        <v>3157.1606209400002</v>
      </c>
      <c r="I176" s="2776">
        <v>1802.40847629</v>
      </c>
      <c r="J176" s="2776">
        <v>44852.066288740018</v>
      </c>
      <c r="K176" s="2343"/>
    </row>
    <row r="177" spans="1:11" ht="18" hidden="1" customHeight="1">
      <c r="A177" s="3990"/>
      <c r="B177" s="2403" t="s">
        <v>171</v>
      </c>
      <c r="C177" s="2807">
        <v>67557.124788986024</v>
      </c>
      <c r="D177" s="2775">
        <v>13887.884407520001</v>
      </c>
      <c r="E177" s="2776">
        <v>2451.74461634</v>
      </c>
      <c r="F177" s="2776">
        <v>775.77500921000001</v>
      </c>
      <c r="G177" s="2776">
        <v>1675.96960713</v>
      </c>
      <c r="H177" s="2776">
        <v>4440.3263808800002</v>
      </c>
      <c r="I177" s="2776">
        <v>1667.6213346999998</v>
      </c>
      <c r="J177" s="2776">
        <v>45109.548049546029</v>
      </c>
      <c r="K177" s="2343"/>
    </row>
    <row r="178" spans="1:11" ht="18" customHeight="1">
      <c r="A178" s="3990"/>
      <c r="B178" s="2811">
        <v>2012</v>
      </c>
      <c r="C178" s="2807">
        <v>68535.123715401511</v>
      </c>
      <c r="D178" s="2775">
        <v>12496.63878646</v>
      </c>
      <c r="E178" s="2776">
        <v>4661.9500469645609</v>
      </c>
      <c r="F178" s="2776">
        <v>1305.9699813545599</v>
      </c>
      <c r="G178" s="2776">
        <v>3355.9800656100006</v>
      </c>
      <c r="H178" s="2776">
        <v>4589.7815763400004</v>
      </c>
      <c r="I178" s="2776">
        <v>1645.3616836300002</v>
      </c>
      <c r="J178" s="2776">
        <v>45141.391622006959</v>
      </c>
      <c r="K178" s="2343"/>
    </row>
    <row r="179" spans="1:11" ht="18" customHeight="1">
      <c r="A179" s="3990"/>
      <c r="B179" s="2811">
        <v>2013</v>
      </c>
      <c r="C179" s="2807"/>
      <c r="D179" s="2775"/>
      <c r="E179" s="2776"/>
      <c r="F179" s="2776"/>
      <c r="G179" s="2776"/>
      <c r="H179" s="2776"/>
      <c r="I179" s="2776"/>
      <c r="J179" s="2776"/>
      <c r="K179" s="2343"/>
    </row>
    <row r="180" spans="1:11" ht="18" customHeight="1">
      <c r="A180" s="3990"/>
      <c r="B180" s="2403" t="s">
        <v>161</v>
      </c>
      <c r="C180" s="2807">
        <v>66763.399968886035</v>
      </c>
      <c r="D180" s="2775">
        <v>11340.560695280001</v>
      </c>
      <c r="E180" s="2776">
        <v>3779.8834632499997</v>
      </c>
      <c r="F180" s="2776">
        <v>1377.4276624099998</v>
      </c>
      <c r="G180" s="2776">
        <v>2402.4558008399999</v>
      </c>
      <c r="H180" s="2776">
        <v>4642.0463</v>
      </c>
      <c r="I180" s="2776">
        <v>1653.2169886799998</v>
      </c>
      <c r="J180" s="2776">
        <v>45347.692521676028</v>
      </c>
      <c r="K180" s="2343"/>
    </row>
    <row r="181" spans="1:11" ht="18" customHeight="1">
      <c r="A181" s="3990"/>
      <c r="B181" s="2403" t="s">
        <v>162</v>
      </c>
      <c r="C181" s="2807">
        <v>65679.483227895951</v>
      </c>
      <c r="D181" s="2775">
        <v>9849.601427040001</v>
      </c>
      <c r="E181" s="2776">
        <v>4052.5269736099995</v>
      </c>
      <c r="F181" s="2776">
        <v>903.90242089000003</v>
      </c>
      <c r="G181" s="2776">
        <v>3148.6245527199994</v>
      </c>
      <c r="H181" s="2776">
        <v>4289.63</v>
      </c>
      <c r="I181" s="2776">
        <v>1842.9952926999997</v>
      </c>
      <c r="J181" s="2776">
        <v>45644.729534545942</v>
      </c>
      <c r="K181" s="2343"/>
    </row>
    <row r="182" spans="1:11" ht="18" customHeight="1">
      <c r="A182" s="3990"/>
      <c r="B182" s="2403" t="s">
        <v>163</v>
      </c>
      <c r="C182" s="2807">
        <v>69624.208570025978</v>
      </c>
      <c r="D182" s="2775">
        <v>10568.145779360002</v>
      </c>
      <c r="E182" s="2776">
        <v>5660.7303657799994</v>
      </c>
      <c r="F182" s="2776">
        <v>2119.1456005499995</v>
      </c>
      <c r="G182" s="2776">
        <v>3541.5847652299999</v>
      </c>
      <c r="H182" s="2776">
        <v>5524.0050000000001</v>
      </c>
      <c r="I182" s="2776">
        <v>1836.8530314899999</v>
      </c>
      <c r="J182" s="2776">
        <v>46034.474393395969</v>
      </c>
      <c r="K182" s="2343"/>
    </row>
    <row r="183" spans="1:11" ht="18" customHeight="1">
      <c r="A183" s="3990"/>
      <c r="B183" s="2810" t="s">
        <v>164</v>
      </c>
      <c r="C183" s="2807">
        <v>63607.135240915966</v>
      </c>
      <c r="D183" s="2775">
        <v>6673.4051232299989</v>
      </c>
      <c r="E183" s="2776">
        <v>3272.8602763900003</v>
      </c>
      <c r="F183" s="2776">
        <v>720.40778420999993</v>
      </c>
      <c r="G183" s="2776">
        <v>2552.4524921800003</v>
      </c>
      <c r="H183" s="2776">
        <v>5520.25520564</v>
      </c>
      <c r="I183" s="2776">
        <v>1606.2059984799998</v>
      </c>
      <c r="J183" s="2776">
        <v>46534.408637175969</v>
      </c>
      <c r="K183" s="2343"/>
    </row>
    <row r="184" spans="1:11" ht="18" customHeight="1">
      <c r="A184" s="3990"/>
      <c r="B184" s="2810" t="s">
        <v>165</v>
      </c>
      <c r="C184" s="2807">
        <v>65709.746219966939</v>
      </c>
      <c r="D184" s="2775">
        <v>8537.4649371500018</v>
      </c>
      <c r="E184" s="2776">
        <v>3891.9932962700004</v>
      </c>
      <c r="F184" s="2776">
        <v>711.99418790000004</v>
      </c>
      <c r="G184" s="2776">
        <v>3179.9991083700006</v>
      </c>
      <c r="H184" s="2776">
        <v>4779.63</v>
      </c>
      <c r="I184" s="2776">
        <v>1830.0529507900001</v>
      </c>
      <c r="J184" s="2776">
        <v>46670.60503575694</v>
      </c>
      <c r="K184" s="2343"/>
    </row>
    <row r="185" spans="1:11" ht="18" customHeight="1">
      <c r="A185" s="3990"/>
      <c r="B185" s="2810" t="s">
        <v>166</v>
      </c>
      <c r="C185" s="2807">
        <v>71596.543359111005</v>
      </c>
      <c r="D185" s="2775">
        <v>17408.07908634</v>
      </c>
      <c r="E185" s="2776">
        <v>2932.8857890300001</v>
      </c>
      <c r="F185" s="2776">
        <v>818.40389450999999</v>
      </c>
      <c r="G185" s="2776">
        <v>2114.48189452</v>
      </c>
      <c r="H185" s="2776">
        <v>2159.9384173200001</v>
      </c>
      <c r="I185" s="2776">
        <v>2284.5747144699999</v>
      </c>
      <c r="J185" s="2776">
        <v>46811.065351951002</v>
      </c>
      <c r="K185" s="2343"/>
    </row>
    <row r="186" spans="1:11" ht="18" customHeight="1">
      <c r="A186" s="3990"/>
      <c r="B186" s="2819" t="s">
        <v>167</v>
      </c>
      <c r="C186" s="2807">
        <v>66838.799695461959</v>
      </c>
      <c r="D186" s="2775">
        <v>8726.7835512400015</v>
      </c>
      <c r="E186" s="2776">
        <v>3147.8405999799998</v>
      </c>
      <c r="F186" s="2776">
        <v>884.30378900999995</v>
      </c>
      <c r="G186" s="2776">
        <v>2263.5368109699998</v>
      </c>
      <c r="H186" s="2776">
        <v>5495.8687276199998</v>
      </c>
      <c r="I186" s="2776">
        <v>2252.1857533800003</v>
      </c>
      <c r="J186" s="2776">
        <v>47216.121063241953</v>
      </c>
      <c r="K186" s="2343"/>
    </row>
    <row r="187" spans="1:11" ht="18" customHeight="1">
      <c r="A187" s="3990"/>
      <c r="B187" s="2819" t="s">
        <v>168</v>
      </c>
      <c r="C187" s="2882">
        <v>68216.73231937598</v>
      </c>
      <c r="D187" s="2775">
        <v>11475.77979339</v>
      </c>
      <c r="E187" s="2776">
        <v>2946.2761416099997</v>
      </c>
      <c r="F187" s="2776">
        <v>635.60992774999988</v>
      </c>
      <c r="G187" s="2776">
        <v>2310.66621386</v>
      </c>
      <c r="H187" s="2776">
        <v>4727.9016316899997</v>
      </c>
      <c r="I187" s="2776">
        <v>2366.9303463000001</v>
      </c>
      <c r="J187" s="2776">
        <v>46699.844406385979</v>
      </c>
      <c r="K187" s="2343"/>
    </row>
    <row r="188" spans="1:11" ht="18" customHeight="1">
      <c r="A188" s="3990"/>
      <c r="B188" s="2819" t="s">
        <v>169</v>
      </c>
      <c r="C188" s="2882">
        <v>72446.473083056015</v>
      </c>
      <c r="D188" s="2775">
        <v>16010.542747119998</v>
      </c>
      <c r="E188" s="2776">
        <v>3411.4101922899999</v>
      </c>
      <c r="F188" s="2776">
        <v>866.56916316999991</v>
      </c>
      <c r="G188" s="2776">
        <v>2544.8410291199998</v>
      </c>
      <c r="H188" s="2776">
        <v>3535.6811372499997</v>
      </c>
      <c r="I188" s="2776">
        <v>2305.6401598899997</v>
      </c>
      <c r="J188" s="2776">
        <v>47183.19884650602</v>
      </c>
      <c r="K188" s="2343"/>
    </row>
    <row r="189" spans="1:11" ht="18" customHeight="1">
      <c r="A189" s="3990"/>
      <c r="B189" s="2819" t="s">
        <v>170</v>
      </c>
      <c r="C189" s="2882">
        <v>72291.550010256004</v>
      </c>
      <c r="D189" s="2775">
        <v>16863.3412054</v>
      </c>
      <c r="E189" s="2776">
        <v>3805.2841661000002</v>
      </c>
      <c r="F189" s="2776">
        <v>902.78592856</v>
      </c>
      <c r="G189" s="2776">
        <v>2902.49823754</v>
      </c>
      <c r="H189" s="2776">
        <v>1980.3822</v>
      </c>
      <c r="I189" s="2776">
        <v>1815.7000976899999</v>
      </c>
      <c r="J189" s="2776">
        <v>47826.842341065996</v>
      </c>
      <c r="K189" s="2343"/>
    </row>
    <row r="190" spans="1:11" ht="18" customHeight="1">
      <c r="A190" s="3990"/>
      <c r="B190" s="2819" t="s">
        <v>171</v>
      </c>
      <c r="C190" s="2882">
        <v>74250.44906737002</v>
      </c>
      <c r="D190" s="2775">
        <v>18490.317916440003</v>
      </c>
      <c r="E190" s="2776">
        <v>3729.9831070199994</v>
      </c>
      <c r="F190" s="2776">
        <v>868.63426639999989</v>
      </c>
      <c r="G190" s="2776">
        <v>2861.3488406199995</v>
      </c>
      <c r="H190" s="2776">
        <v>1980.3822</v>
      </c>
      <c r="I190" s="2776">
        <v>1612.87056403</v>
      </c>
      <c r="J190" s="2776">
        <v>48436.895279880024</v>
      </c>
      <c r="K190" s="2343"/>
    </row>
    <row r="191" spans="1:11" ht="18" customHeight="1">
      <c r="A191" s="3990"/>
      <c r="B191" s="2819" t="s">
        <v>148</v>
      </c>
      <c r="C191" s="2882">
        <v>72598.510151449969</v>
      </c>
      <c r="D191" s="2775">
        <v>15771.050272619999</v>
      </c>
      <c r="E191" s="2776">
        <v>3550.9299760800004</v>
      </c>
      <c r="F191" s="2776">
        <v>632.71391141000004</v>
      </c>
      <c r="G191" s="2776">
        <v>2918.2160646700004</v>
      </c>
      <c r="H191" s="2776">
        <v>2890.9054999999998</v>
      </c>
      <c r="I191" s="2776">
        <v>1646.3440058899998</v>
      </c>
      <c r="J191" s="2776">
        <v>48739.280396859969</v>
      </c>
      <c r="K191" s="2343"/>
    </row>
    <row r="192" spans="1:11" ht="18" customHeight="1">
      <c r="A192" s="3990"/>
      <c r="B192" s="2927">
        <v>2014</v>
      </c>
      <c r="C192" s="2882"/>
      <c r="D192" s="2775"/>
      <c r="E192" s="2776"/>
      <c r="F192" s="2776"/>
      <c r="G192" s="2776"/>
      <c r="H192" s="2776"/>
      <c r="I192" s="2776"/>
      <c r="J192" s="2776"/>
      <c r="K192" s="2343"/>
    </row>
    <row r="193" spans="1:11" ht="18" customHeight="1">
      <c r="A193" s="3990"/>
      <c r="B193" s="2819" t="s">
        <v>161</v>
      </c>
      <c r="C193" s="2882">
        <v>75798.056133250007</v>
      </c>
      <c r="D193" s="2775">
        <v>17201.844921650001</v>
      </c>
      <c r="E193" s="2776">
        <v>4513.3366307600008</v>
      </c>
      <c r="F193" s="2776">
        <v>1095.5567862100006</v>
      </c>
      <c r="G193" s="2776">
        <v>3417.7798445500002</v>
      </c>
      <c r="H193" s="2776">
        <v>2692.4054999999998</v>
      </c>
      <c r="I193" s="2776">
        <v>2575.2507775399999</v>
      </c>
      <c r="J193" s="2776">
        <v>48815.218303300011</v>
      </c>
      <c r="K193" s="2343"/>
    </row>
    <row r="194" spans="1:11" ht="18" customHeight="1">
      <c r="A194" s="3990"/>
      <c r="B194" s="2819" t="s">
        <v>162</v>
      </c>
      <c r="C194" s="2882">
        <v>76914.141310690029</v>
      </c>
      <c r="D194" s="2775">
        <v>16891.246053350002</v>
      </c>
      <c r="E194" s="2776">
        <v>5769.1912389199997</v>
      </c>
      <c r="F194" s="2776">
        <v>1027.82932886</v>
      </c>
      <c r="G194" s="2776">
        <v>4741.3619100599999</v>
      </c>
      <c r="H194" s="2776">
        <v>2692.4054999999998</v>
      </c>
      <c r="I194" s="2776">
        <v>2619.3371496099999</v>
      </c>
      <c r="J194" s="2776">
        <v>48941.961368810029</v>
      </c>
      <c r="K194" s="2343"/>
    </row>
    <row r="195" spans="1:11" ht="18" customHeight="1">
      <c r="A195" s="3990"/>
      <c r="B195" s="2819" t="s">
        <v>163</v>
      </c>
      <c r="C195" s="2882">
        <v>74783.740878960001</v>
      </c>
      <c r="D195" s="2775">
        <v>15631.491454449999</v>
      </c>
      <c r="E195" s="2776">
        <v>4684.51097372</v>
      </c>
      <c r="F195" s="2776">
        <v>642.98131664000005</v>
      </c>
      <c r="G195" s="2776">
        <v>4041.5296570800001</v>
      </c>
      <c r="H195" s="2776">
        <v>2796.4679999999998</v>
      </c>
      <c r="I195" s="2776">
        <v>2866.0665265100001</v>
      </c>
      <c r="J195" s="2776">
        <v>48805.203924279995</v>
      </c>
      <c r="K195" s="2343"/>
    </row>
    <row r="196" spans="1:11" ht="18" customHeight="1">
      <c r="A196" s="3990"/>
      <c r="B196" s="2819" t="s">
        <v>164</v>
      </c>
      <c r="C196" s="2882">
        <v>75580.029611100996</v>
      </c>
      <c r="D196" s="2775">
        <v>16323.651086419999</v>
      </c>
      <c r="E196" s="2776">
        <v>5007.4110965600003</v>
      </c>
      <c r="F196" s="2776">
        <v>772.68949658000054</v>
      </c>
      <c r="G196" s="2776">
        <v>4234.7215999800001</v>
      </c>
      <c r="H196" s="2776">
        <v>2836.4679999999998</v>
      </c>
      <c r="I196" s="2776">
        <v>2915.1319305299999</v>
      </c>
      <c r="J196" s="2776">
        <v>48497.367497591003</v>
      </c>
      <c r="K196" s="2343"/>
    </row>
    <row r="197" spans="1:11" ht="18" customHeight="1">
      <c r="A197" s="3990"/>
      <c r="B197" s="2819" t="s">
        <v>165</v>
      </c>
      <c r="C197" s="2882">
        <v>79124.766428899966</v>
      </c>
      <c r="D197" s="2775">
        <v>19544.796329149998</v>
      </c>
      <c r="E197" s="2776">
        <v>4352.4523405999998</v>
      </c>
      <c r="F197" s="2776">
        <v>1129.2630587699998</v>
      </c>
      <c r="G197" s="2776">
        <v>3223.1892818300003</v>
      </c>
      <c r="H197" s="2776">
        <v>3032.4079999999999</v>
      </c>
      <c r="I197" s="2776">
        <v>2800.2127323099999</v>
      </c>
      <c r="J197" s="2776">
        <v>49394.897026839964</v>
      </c>
      <c r="K197" s="2343"/>
    </row>
    <row r="198" spans="1:11" ht="18" customHeight="1">
      <c r="A198" s="3990"/>
      <c r="B198" s="2819" t="s">
        <v>166</v>
      </c>
      <c r="C198" s="2882">
        <v>80539.435196933991</v>
      </c>
      <c r="D198" s="2775">
        <v>21088.026341079996</v>
      </c>
      <c r="E198" s="2776">
        <v>3311.1552849340087</v>
      </c>
      <c r="F198" s="2776">
        <v>772.14573354000015</v>
      </c>
      <c r="G198" s="2776">
        <v>2539.0095513940087</v>
      </c>
      <c r="H198" s="2776">
        <v>1876.8298674299999</v>
      </c>
      <c r="I198" s="2776">
        <v>4438.3526153399998</v>
      </c>
      <c r="J198" s="2776">
        <v>49825.071088149991</v>
      </c>
      <c r="K198" s="2343"/>
    </row>
    <row r="199" spans="1:11" ht="18" customHeight="1">
      <c r="A199" s="3990"/>
      <c r="B199" s="3007" t="s">
        <v>167</v>
      </c>
      <c r="C199" s="3008">
        <v>82088.840986488445</v>
      </c>
      <c r="D199" s="3009">
        <v>22654.01221239</v>
      </c>
      <c r="E199" s="3010">
        <v>4329.8477890644635</v>
      </c>
      <c r="F199" s="3010">
        <v>884.05255705999991</v>
      </c>
      <c r="G199" s="3010">
        <v>3445.7952320044633</v>
      </c>
      <c r="H199" s="3010">
        <v>490.90899999999999</v>
      </c>
      <c r="I199" s="3010">
        <v>4228.0735326799995</v>
      </c>
      <c r="J199" s="3010">
        <v>50385.998452353975</v>
      </c>
      <c r="K199" s="2343"/>
    </row>
    <row r="200" spans="1:11" ht="18" customHeight="1">
      <c r="A200" s="3990"/>
      <c r="B200" s="2819" t="s">
        <v>168</v>
      </c>
      <c r="C200" s="2882">
        <v>82677.527946896007</v>
      </c>
      <c r="D200" s="2775">
        <v>20891.565517349998</v>
      </c>
      <c r="E200" s="2776">
        <v>3571.32661641</v>
      </c>
      <c r="F200" s="2776">
        <v>852.47335123000005</v>
      </c>
      <c r="G200" s="2776">
        <v>2718.8532651800001</v>
      </c>
      <c r="H200" s="2776">
        <v>4484.7798339999999</v>
      </c>
      <c r="I200" s="2776">
        <v>3012.35545108</v>
      </c>
      <c r="J200" s="2776">
        <v>50717.500528056014</v>
      </c>
      <c r="K200" s="2343"/>
    </row>
    <row r="201" spans="1:11" ht="18" customHeight="1">
      <c r="A201" s="3990"/>
      <c r="B201" s="2819" t="s">
        <v>169</v>
      </c>
      <c r="C201" s="2882">
        <v>86662.721315853487</v>
      </c>
      <c r="D201" s="2775">
        <v>24862.81873449</v>
      </c>
      <c r="E201" s="2776">
        <v>4270.1490831355004</v>
      </c>
      <c r="F201" s="2776">
        <v>1075.8669837</v>
      </c>
      <c r="G201" s="2776">
        <v>3194.2820994355006</v>
      </c>
      <c r="H201" s="2776">
        <v>2985.3965000000003</v>
      </c>
      <c r="I201" s="2776">
        <v>2959.6743069699996</v>
      </c>
      <c r="J201" s="2776">
        <v>51584.682691257985</v>
      </c>
      <c r="K201" s="2343"/>
    </row>
    <row r="202" spans="1:11" ht="18" customHeight="1">
      <c r="A202" s="3990"/>
      <c r="B202" s="2819" t="s">
        <v>170</v>
      </c>
      <c r="C202" s="2882">
        <v>88271.36093516901</v>
      </c>
      <c r="D202" s="2775">
        <v>24385.352110189997</v>
      </c>
      <c r="E202" s="2776">
        <v>3918.6576667300001</v>
      </c>
      <c r="F202" s="2776">
        <v>809.10487658</v>
      </c>
      <c r="G202" s="2776">
        <v>3109.55279015</v>
      </c>
      <c r="H202" s="2776">
        <v>4329.4613890000001</v>
      </c>
      <c r="I202" s="2776">
        <v>3257.6053110100002</v>
      </c>
      <c r="J202" s="2776">
        <v>52380.284458239017</v>
      </c>
      <c r="K202" s="2343"/>
    </row>
    <row r="203" spans="1:11" ht="18" customHeight="1">
      <c r="A203" s="3990"/>
      <c r="B203" s="2819" t="s">
        <v>171</v>
      </c>
      <c r="C203" s="2882">
        <v>91177.682529429992</v>
      </c>
      <c r="D203" s="2775">
        <v>28174.844774590005</v>
      </c>
      <c r="E203" s="2776">
        <v>3553.6484942799998</v>
      </c>
      <c r="F203" s="2776">
        <v>1322.7994029800002</v>
      </c>
      <c r="G203" s="2776">
        <v>2230.8490912999996</v>
      </c>
      <c r="H203" s="2776">
        <v>3447.880889</v>
      </c>
      <c r="I203" s="2776">
        <v>3387.5335574500004</v>
      </c>
      <c r="J203" s="2776">
        <v>52613.774814109995</v>
      </c>
      <c r="K203" s="2343"/>
    </row>
    <row r="204" spans="1:11" ht="18" customHeight="1">
      <c r="A204" s="3990"/>
      <c r="B204" s="2819" t="s">
        <v>148</v>
      </c>
      <c r="C204" s="2882">
        <v>91003.42716352304</v>
      </c>
      <c r="D204" s="2775">
        <v>27940.429726750001</v>
      </c>
      <c r="E204" s="2776">
        <v>3579.5175822400001</v>
      </c>
      <c r="F204" s="2776">
        <v>1303.1383186500002</v>
      </c>
      <c r="G204" s="2776">
        <v>2276.3792635899999</v>
      </c>
      <c r="H204" s="2776">
        <v>3036.5755559999998</v>
      </c>
      <c r="I204" s="2776">
        <v>3112.8800016899995</v>
      </c>
      <c r="J204" s="2776">
        <v>53334.024296843039</v>
      </c>
      <c r="K204" s="2343"/>
    </row>
    <row r="205" spans="1:11" ht="18" customHeight="1">
      <c r="A205" s="3990"/>
      <c r="B205" s="2927">
        <v>2015</v>
      </c>
      <c r="C205" s="2882"/>
      <c r="D205" s="2775"/>
      <c r="E205" s="2776"/>
      <c r="F205" s="2776"/>
      <c r="G205" s="2776"/>
      <c r="H205" s="2776"/>
      <c r="I205" s="2776"/>
      <c r="J205" s="2776"/>
      <c r="K205" s="2343"/>
    </row>
    <row r="206" spans="1:11" ht="18" customHeight="1">
      <c r="A206" s="3990"/>
      <c r="B206" s="2819" t="s">
        <v>161</v>
      </c>
      <c r="C206" s="2882">
        <v>90009.95978219001</v>
      </c>
      <c r="D206" s="2775">
        <v>26618.868128929997</v>
      </c>
      <c r="E206" s="2776">
        <v>3435.48016577</v>
      </c>
      <c r="F206" s="2776">
        <v>1137.5470609900001</v>
      </c>
      <c r="G206" s="2776">
        <v>2297.9331047799997</v>
      </c>
      <c r="H206" s="2776">
        <v>3338.2150000000001</v>
      </c>
      <c r="I206" s="2776">
        <v>3081.4614549799999</v>
      </c>
      <c r="J206" s="2776">
        <v>53535.935032510002</v>
      </c>
      <c r="K206" s="2343"/>
    </row>
    <row r="207" spans="1:11" ht="18" customHeight="1">
      <c r="A207" s="3990"/>
      <c r="B207" s="2819" t="s">
        <v>162</v>
      </c>
      <c r="C207" s="2882">
        <v>90153.534173310007</v>
      </c>
      <c r="D207" s="2775">
        <v>25187.78986411</v>
      </c>
      <c r="E207" s="2776">
        <v>4358.57489867</v>
      </c>
      <c r="F207" s="2776">
        <v>1161.35281102</v>
      </c>
      <c r="G207" s="2776">
        <v>3197.2220876499996</v>
      </c>
      <c r="H207" s="2776">
        <v>3338.2150000000001</v>
      </c>
      <c r="I207" s="2776">
        <v>3120.2962848299999</v>
      </c>
      <c r="J207" s="2776">
        <v>54148.6581257</v>
      </c>
      <c r="K207" s="2343"/>
    </row>
    <row r="208" spans="1:11" ht="18" customHeight="1">
      <c r="A208" s="3990"/>
      <c r="B208" s="2819" t="s">
        <v>163</v>
      </c>
      <c r="C208" s="2882">
        <v>86342.425151489995</v>
      </c>
      <c r="D208" s="2775">
        <v>18250.835776659998</v>
      </c>
      <c r="E208" s="2776">
        <v>5095.1471715099997</v>
      </c>
      <c r="F208" s="2776">
        <v>1526.22747656</v>
      </c>
      <c r="G208" s="2776">
        <v>3568.9196949499997</v>
      </c>
      <c r="H208" s="2776">
        <v>4338.3725000000004</v>
      </c>
      <c r="I208" s="2776">
        <v>3257.6953438199998</v>
      </c>
      <c r="J208" s="2776">
        <v>55400.374359499991</v>
      </c>
      <c r="K208" s="2343"/>
    </row>
    <row r="209" spans="1:11" ht="18" customHeight="1">
      <c r="A209" s="3990"/>
      <c r="B209" s="2819" t="s">
        <v>164</v>
      </c>
      <c r="C209" s="2882">
        <v>86607.898904059999</v>
      </c>
      <c r="D209" s="2775">
        <v>19450.440247565268</v>
      </c>
      <c r="E209" s="2776">
        <v>3171.0587799447339</v>
      </c>
      <c r="F209" s="2776">
        <v>1060.4488537247341</v>
      </c>
      <c r="G209" s="2776">
        <v>2110.60992622</v>
      </c>
      <c r="H209" s="2776">
        <v>4538.8325000000004</v>
      </c>
      <c r="I209" s="2776">
        <v>3887.4835176200004</v>
      </c>
      <c r="J209" s="2776">
        <v>55560.083858929996</v>
      </c>
      <c r="K209" s="2343"/>
    </row>
    <row r="210" spans="1:11" ht="18" customHeight="1">
      <c r="A210" s="3990"/>
      <c r="B210" s="2819" t="s">
        <v>165</v>
      </c>
      <c r="C210" s="2882">
        <v>88961.161452810004</v>
      </c>
      <c r="D210" s="2775">
        <v>20138.968043119999</v>
      </c>
      <c r="E210" s="2776">
        <v>2958.47514585</v>
      </c>
      <c r="F210" s="2776">
        <v>1082.1336126599999</v>
      </c>
      <c r="G210" s="2776">
        <v>1876.3415331900001</v>
      </c>
      <c r="H210" s="2776">
        <v>3038.9575</v>
      </c>
      <c r="I210" s="2776">
        <v>6614.57211233</v>
      </c>
      <c r="J210" s="2776">
        <v>56210.188651510005</v>
      </c>
      <c r="K210" s="2343"/>
    </row>
    <row r="211" spans="1:11" ht="18" customHeight="1">
      <c r="A211" s="3990"/>
      <c r="B211" s="2819" t="s">
        <v>166</v>
      </c>
      <c r="C211" s="2882">
        <v>86691.970108305977</v>
      </c>
      <c r="D211" s="2775">
        <v>19549.260272350002</v>
      </c>
      <c r="E211" s="2776">
        <v>3136.21463907</v>
      </c>
      <c r="F211" s="2776">
        <v>1207.82136773</v>
      </c>
      <c r="G211" s="2776">
        <v>1928.39327134</v>
      </c>
      <c r="H211" s="2776">
        <v>40</v>
      </c>
      <c r="I211" s="2776">
        <v>7174.2864570500005</v>
      </c>
      <c r="J211" s="2776">
        <v>56792.208739835973</v>
      </c>
      <c r="K211" s="2343"/>
    </row>
    <row r="212" spans="1:11" ht="18" customHeight="1">
      <c r="A212" s="3990"/>
      <c r="B212" s="2819" t="s">
        <v>167</v>
      </c>
      <c r="C212" s="2882">
        <v>84467.482366326949</v>
      </c>
      <c r="D212" s="2775">
        <v>15498.416961619998</v>
      </c>
      <c r="E212" s="2776">
        <v>2725.7097075500001</v>
      </c>
      <c r="F212" s="2776">
        <v>784.83049659999995</v>
      </c>
      <c r="G212" s="2776">
        <v>1940.87921095</v>
      </c>
      <c r="H212" s="2776">
        <v>3039.0141669999998</v>
      </c>
      <c r="I212" s="2776">
        <v>6181.3572679099998</v>
      </c>
      <c r="J212" s="2776">
        <v>57022.984262246951</v>
      </c>
      <c r="K212" s="2343"/>
    </row>
    <row r="213" spans="1:11" ht="18" customHeight="1">
      <c r="A213" s="3990"/>
      <c r="B213" s="2819" t="s">
        <v>168</v>
      </c>
      <c r="C213" s="2882">
        <v>86940.292714310155</v>
      </c>
      <c r="D213" s="2775">
        <v>17823.446558719999</v>
      </c>
      <c r="E213" s="2776">
        <v>3043.104145153</v>
      </c>
      <c r="F213" s="2776">
        <v>1054.6270218999998</v>
      </c>
      <c r="G213" s="2776">
        <v>1988.4771232529999</v>
      </c>
      <c r="H213" s="2776">
        <v>3039.0141669999998</v>
      </c>
      <c r="I213" s="2776">
        <v>5432.4025405799994</v>
      </c>
      <c r="J213" s="2776">
        <v>57602.325302857156</v>
      </c>
      <c r="K213" s="2343"/>
    </row>
    <row r="214" spans="1:11" ht="18" customHeight="1">
      <c r="A214" s="3990"/>
      <c r="B214" s="2819" t="s">
        <v>169</v>
      </c>
      <c r="C214" s="2882">
        <v>87997.780143996206</v>
      </c>
      <c r="D214" s="2775">
        <v>16263.245347079999</v>
      </c>
      <c r="E214" s="2776">
        <v>5262.4311878222506</v>
      </c>
      <c r="F214" s="2776">
        <v>2347.0360773699999</v>
      </c>
      <c r="G214" s="2776">
        <v>2915.3951104522503</v>
      </c>
      <c r="H214" s="2776">
        <v>3039.0141669999998</v>
      </c>
      <c r="I214" s="2776">
        <v>5091.7526546499994</v>
      </c>
      <c r="J214" s="2776">
        <v>58341.336787443965</v>
      </c>
      <c r="K214" s="2343"/>
    </row>
    <row r="215" spans="1:11" ht="18" customHeight="1">
      <c r="A215" s="3990"/>
      <c r="B215" s="2819" t="s">
        <v>170</v>
      </c>
      <c r="C215" s="2882">
        <v>92870.504987221502</v>
      </c>
      <c r="D215" s="2775">
        <v>20733.694149540002</v>
      </c>
      <c r="E215" s="2776">
        <v>4755.6632239705004</v>
      </c>
      <c r="F215" s="2776">
        <v>1491.7767899999999</v>
      </c>
      <c r="G215" s="2776">
        <v>3263.8864339705005</v>
      </c>
      <c r="H215" s="2776">
        <v>3017.5</v>
      </c>
      <c r="I215" s="2776">
        <v>5175.4624159499999</v>
      </c>
      <c r="J215" s="2776">
        <v>59188.185197760991</v>
      </c>
      <c r="K215" s="2343"/>
    </row>
    <row r="216" spans="1:11" ht="18" customHeight="1">
      <c r="A216" s="3990"/>
      <c r="B216" s="4179" t="s">
        <v>171</v>
      </c>
      <c r="C216" s="4180">
        <v>95179.503267487264</v>
      </c>
      <c r="D216" s="4177">
        <v>19977.76608859</v>
      </c>
      <c r="E216" s="4178">
        <v>4374.8930272692505</v>
      </c>
      <c r="F216" s="4178">
        <v>1426.8736855700001</v>
      </c>
      <c r="G216" s="4178">
        <v>2948.0193416992502</v>
      </c>
      <c r="H216" s="4178">
        <v>5510.0430313999996</v>
      </c>
      <c r="I216" s="4178">
        <v>5431.5904395999996</v>
      </c>
      <c r="J216" s="4178">
        <v>59885.210680628014</v>
      </c>
      <c r="K216" s="2343"/>
    </row>
    <row r="217" spans="1:11" ht="18" customHeight="1">
      <c r="A217" s="3990"/>
      <c r="B217" s="4179" t="s">
        <v>148</v>
      </c>
      <c r="C217" s="4180">
        <v>93589.893689224002</v>
      </c>
      <c r="D217" s="4177">
        <v>18298.65082101</v>
      </c>
      <c r="E217" s="4178">
        <v>4494.7986236699999</v>
      </c>
      <c r="F217" s="4178">
        <v>2113.9763785099994</v>
      </c>
      <c r="G217" s="4178">
        <v>2380.82224516</v>
      </c>
      <c r="H217" s="4178">
        <v>5505.1875</v>
      </c>
      <c r="I217" s="4178">
        <v>5340.6048023399999</v>
      </c>
      <c r="J217" s="4178">
        <v>59950.651942204</v>
      </c>
      <c r="K217" s="2343"/>
    </row>
    <row r="218" spans="1:11" ht="18" customHeight="1">
      <c r="A218" s="3990"/>
      <c r="B218" s="4293">
        <v>2016</v>
      </c>
      <c r="C218" s="4180"/>
      <c r="D218" s="4177"/>
      <c r="E218" s="4178"/>
      <c r="F218" s="4178"/>
      <c r="G218" s="4178"/>
      <c r="H218" s="4178"/>
      <c r="I218" s="4178"/>
      <c r="J218" s="4178"/>
      <c r="K218" s="2343"/>
    </row>
    <row r="219" spans="1:11" ht="18" customHeight="1">
      <c r="A219" s="3990"/>
      <c r="B219" s="4179" t="s">
        <v>161</v>
      </c>
      <c r="C219" s="4180">
        <v>94468.150895959989</v>
      </c>
      <c r="D219" s="4177">
        <v>18560.632093569999</v>
      </c>
      <c r="E219" s="4178">
        <v>4197.7147627699997</v>
      </c>
      <c r="F219" s="4178">
        <v>2287.0522132900001</v>
      </c>
      <c r="G219" s="4178">
        <v>1910.6625494800001</v>
      </c>
      <c r="H219" s="4178">
        <v>5123.0921670000007</v>
      </c>
      <c r="I219" s="4178">
        <v>5392.5785203300002</v>
      </c>
      <c r="J219" s="4178">
        <v>61194.133352289988</v>
      </c>
      <c r="K219" s="2343"/>
    </row>
    <row r="220" spans="1:11" ht="18" customHeight="1">
      <c r="A220" s="3990"/>
      <c r="B220" s="4289" t="s">
        <v>162</v>
      </c>
      <c r="C220" s="4290">
        <v>97324.729132840002</v>
      </c>
      <c r="D220" s="4291">
        <v>21687.300232169997</v>
      </c>
      <c r="E220" s="4292">
        <v>3417.4822919300077</v>
      </c>
      <c r="F220" s="4292">
        <v>1731.1216271200001</v>
      </c>
      <c r="G220" s="4292">
        <v>1686.3606648100076</v>
      </c>
      <c r="H220" s="4292">
        <v>5537.1018890000005</v>
      </c>
      <c r="I220" s="4292">
        <v>5372.770426609999</v>
      </c>
      <c r="J220" s="4292">
        <v>61310.07429312999</v>
      </c>
      <c r="K220" s="2343"/>
    </row>
    <row r="221" spans="1:11" ht="16.5" customHeight="1">
      <c r="A221" s="3990"/>
      <c r="B221" s="4576" t="s">
        <v>1643</v>
      </c>
      <c r="C221" s="4576"/>
      <c r="D221" s="4576"/>
      <c r="E221" s="4576"/>
      <c r="F221" s="4576"/>
      <c r="G221" s="4576"/>
      <c r="H221" s="4576"/>
      <c r="I221" s="4576"/>
      <c r="J221" s="4576"/>
      <c r="K221" s="4078"/>
    </row>
    <row r="222" spans="1:11" ht="16.5" customHeight="1">
      <c r="A222" s="3990"/>
      <c r="B222" s="4577"/>
      <c r="C222" s="4577"/>
      <c r="D222" s="4577"/>
      <c r="E222" s="4577"/>
      <c r="F222" s="4577"/>
      <c r="G222" s="4577"/>
      <c r="H222" s="4577"/>
      <c r="I222" s="4577"/>
      <c r="J222" s="4577"/>
      <c r="K222" s="4078"/>
    </row>
    <row r="223" spans="1:11" ht="16.5" customHeight="1">
      <c r="A223" s="3990"/>
      <c r="B223" s="4575" t="s">
        <v>1642</v>
      </c>
      <c r="C223" s="4575"/>
      <c r="D223" s="4575"/>
      <c r="E223" s="4575"/>
      <c r="F223" s="4575"/>
      <c r="G223" s="4575"/>
      <c r="H223" s="4575"/>
      <c r="I223" s="4575"/>
      <c r="J223" s="4575"/>
      <c r="K223" s="4078"/>
    </row>
    <row r="224" spans="1:11" ht="16.5" customHeight="1">
      <c r="A224" s="3990"/>
      <c r="B224" s="4575" t="s">
        <v>1641</v>
      </c>
      <c r="C224" s="4575"/>
      <c r="D224" s="4575"/>
      <c r="E224" s="4575"/>
      <c r="F224" s="4575"/>
      <c r="G224" s="4575"/>
      <c r="H224" s="4575"/>
      <c r="I224" s="4575"/>
      <c r="J224" s="4575"/>
      <c r="K224" s="4078"/>
    </row>
    <row r="225" spans="1:11" ht="16.5" customHeight="1">
      <c r="A225" s="3990"/>
      <c r="B225" s="4574"/>
      <c r="C225" s="4574"/>
      <c r="D225" s="4574"/>
      <c r="E225" s="4574"/>
      <c r="F225" s="4574"/>
      <c r="G225" s="4574"/>
      <c r="H225" s="4574"/>
      <c r="I225" s="4574"/>
      <c r="J225" s="4574"/>
      <c r="K225" s="2354"/>
    </row>
    <row r="226" spans="1:11">
      <c r="A226" s="3990"/>
      <c r="B226" s="2355"/>
      <c r="C226" s="2791"/>
      <c r="D226" s="2356"/>
      <c r="E226" s="2356"/>
      <c r="F226" s="2356"/>
      <c r="G226" s="2356"/>
      <c r="H226" s="2356"/>
      <c r="I226" s="2356"/>
      <c r="J226" s="2356"/>
      <c r="K226" s="2354"/>
    </row>
    <row r="227" spans="1:11">
      <c r="A227" s="3990"/>
    </row>
  </sheetData>
  <mergeCells count="13">
    <mergeCell ref="B1:J1"/>
    <mergeCell ref="B225:J225"/>
    <mergeCell ref="B224:J224"/>
    <mergeCell ref="B221:J222"/>
    <mergeCell ref="B223:J223"/>
    <mergeCell ref="E5:G5"/>
    <mergeCell ref="H5:H9"/>
    <mergeCell ref="G6:G9"/>
    <mergeCell ref="F6:F9"/>
    <mergeCell ref="E6:E9"/>
    <mergeCell ref="D5:D9"/>
    <mergeCell ref="C5:C9"/>
    <mergeCell ref="B3:B9"/>
  </mergeCells>
  <phoneticPr fontId="0" type="noConversion"/>
  <pageMargins left="0.75" right="0.75" top="1" bottom="1" header="0.5" footer="0.5"/>
  <pageSetup scale="68" orientation="portrait" r:id="rId1"/>
  <headerFooter alignWithMargins="0"/>
  <rowBreaks count="1" manualBreakCount="1">
    <brk id="225" min="1" max="13" man="1"/>
  </rowBreaks>
</worksheet>
</file>

<file path=xl/worksheets/sheet28.xml><?xml version="1.0" encoding="utf-8"?>
<worksheet xmlns="http://schemas.openxmlformats.org/spreadsheetml/2006/main" xmlns:r="http://schemas.openxmlformats.org/officeDocument/2006/relationships">
  <sheetPr codeName="Sheet27"/>
  <dimension ref="A1:AA222"/>
  <sheetViews>
    <sheetView zoomScale="70" zoomScaleNormal="70" workbookViewId="0">
      <pane ySplit="9" topLeftCell="A208" activePane="bottomLeft" state="frozen"/>
      <selection activeCell="K31" sqref="K31"/>
      <selection pane="bottomLeft" activeCell="N215" sqref="N215"/>
    </sheetView>
  </sheetViews>
  <sheetFormatPr defaultColWidth="11" defaultRowHeight="12.75"/>
  <cols>
    <col min="1" max="1" width="11" style="62"/>
    <col min="2" max="2" width="12.140625" style="62" customWidth="1"/>
    <col min="3" max="3" width="15.140625" style="35" customWidth="1"/>
    <col min="4" max="4" width="12.42578125" style="62" customWidth="1"/>
    <col min="5" max="5" width="12.85546875" style="62" customWidth="1"/>
    <col min="6" max="6" width="12.42578125" style="62" customWidth="1"/>
    <col min="7" max="7" width="10.7109375" style="62" customWidth="1"/>
    <col min="8" max="8" width="10.42578125" style="62" customWidth="1"/>
    <col min="9" max="9" width="9.85546875" style="62" customWidth="1"/>
    <col min="10" max="10" width="13" style="62" customWidth="1"/>
    <col min="11" max="11" width="15.5703125" style="62" customWidth="1"/>
    <col min="12" max="12" width="12.7109375" style="62" customWidth="1"/>
    <col min="13" max="13" width="10.85546875" style="62" bestFit="1" customWidth="1"/>
    <col min="14" max="14" width="10.140625" style="62" customWidth="1"/>
    <col min="15" max="17" width="7.5703125" style="62" customWidth="1"/>
    <col min="18" max="18" width="8.7109375" style="62" customWidth="1"/>
    <col min="19" max="19" width="7.5703125" style="62" customWidth="1"/>
    <col min="20" max="20" width="9.85546875" style="62" customWidth="1"/>
    <col min="21" max="21" width="7.5703125" style="62" customWidth="1"/>
    <col min="22" max="16384" width="11" style="62"/>
  </cols>
  <sheetData>
    <row r="1" spans="1:14" ht="15.75" customHeight="1">
      <c r="A1" s="1978"/>
      <c r="B1" s="4573" t="s">
        <v>2074</v>
      </c>
      <c r="C1" s="4573"/>
      <c r="D1" s="4573"/>
      <c r="E1" s="4573"/>
      <c r="F1" s="4573"/>
      <c r="G1" s="4573"/>
      <c r="H1" s="4573"/>
      <c r="I1" s="4573"/>
      <c r="J1" s="4573"/>
      <c r="K1" s="4573"/>
      <c r="L1" s="4573"/>
      <c r="M1" s="4573"/>
      <c r="N1" s="2565"/>
    </row>
    <row r="2" spans="1:14" ht="15">
      <c r="A2" s="1978"/>
      <c r="B2" s="3148" t="s">
        <v>1757</v>
      </c>
      <c r="C2" s="3146"/>
      <c r="D2" s="3146"/>
      <c r="E2" s="3146"/>
      <c r="F2" s="1662"/>
      <c r="G2" s="2566"/>
      <c r="H2" s="2566"/>
      <c r="I2" s="2566"/>
      <c r="J2" s="2566"/>
      <c r="K2" s="2566"/>
      <c r="L2" s="2566"/>
      <c r="M2" s="2566"/>
      <c r="N2" s="2566"/>
    </row>
    <row r="3" spans="1:14" ht="16.5">
      <c r="A3" s="1978"/>
      <c r="B3" s="4597" t="s">
        <v>217</v>
      </c>
      <c r="C3" s="3505"/>
      <c r="D3" s="2792"/>
      <c r="E3" s="2792"/>
      <c r="F3" s="2792"/>
      <c r="G3" s="2792"/>
      <c r="H3" s="2792"/>
      <c r="I3" s="2792"/>
      <c r="J3" s="2792"/>
      <c r="K3" s="2792"/>
      <c r="L3" s="2815"/>
      <c r="M3" s="2816"/>
      <c r="N3" s="1978"/>
    </row>
    <row r="4" spans="1:14" ht="16.5">
      <c r="A4" s="1978"/>
      <c r="B4" s="4598"/>
      <c r="C4" s="2358" t="s">
        <v>188</v>
      </c>
      <c r="D4" s="2342"/>
      <c r="E4" s="2342"/>
      <c r="F4" s="2342"/>
      <c r="G4" s="2342"/>
      <c r="H4" s="2342"/>
      <c r="I4" s="2342"/>
      <c r="J4" s="2342"/>
      <c r="K4" s="2342"/>
      <c r="L4" s="2340"/>
      <c r="M4" s="2822"/>
      <c r="N4" s="2355"/>
    </row>
    <row r="5" spans="1:14" ht="15.75" customHeight="1">
      <c r="A5" s="1978"/>
      <c r="B5" s="4598"/>
      <c r="C5" s="4592" t="s">
        <v>152</v>
      </c>
      <c r="D5" s="4592" t="s">
        <v>1562</v>
      </c>
      <c r="E5" s="4592" t="s">
        <v>631</v>
      </c>
      <c r="F5" s="4592" t="s">
        <v>1613</v>
      </c>
      <c r="G5" s="4605" t="s">
        <v>432</v>
      </c>
      <c r="H5" s="4605"/>
      <c r="I5" s="4605"/>
      <c r="J5" s="4592" t="s">
        <v>1614</v>
      </c>
      <c r="K5" s="4592" t="s">
        <v>1615</v>
      </c>
      <c r="L5" s="4592" t="s">
        <v>1616</v>
      </c>
      <c r="M5" s="4602" t="s">
        <v>1617</v>
      </c>
      <c r="N5" s="2339"/>
    </row>
    <row r="6" spans="1:14" ht="15.75" customHeight="1">
      <c r="A6" s="1978"/>
      <c r="B6" s="4598"/>
      <c r="C6" s="4600"/>
      <c r="D6" s="4593"/>
      <c r="E6" s="4593"/>
      <c r="F6" s="4593"/>
      <c r="G6" s="4581" t="s">
        <v>152</v>
      </c>
      <c r="H6" s="4581" t="s">
        <v>141</v>
      </c>
      <c r="I6" s="4581" t="s">
        <v>431</v>
      </c>
      <c r="J6" s="4593"/>
      <c r="K6" s="4593"/>
      <c r="L6" s="4593"/>
      <c r="M6" s="4603"/>
      <c r="N6" s="2567"/>
    </row>
    <row r="7" spans="1:14">
      <c r="A7" s="1978"/>
      <c r="B7" s="4598"/>
      <c r="C7" s="4600"/>
      <c r="D7" s="4593"/>
      <c r="E7" s="4593"/>
      <c r="F7" s="4593" t="s">
        <v>176</v>
      </c>
      <c r="G7" s="4595"/>
      <c r="H7" s="4595"/>
      <c r="I7" s="4595"/>
      <c r="J7" s="4593"/>
      <c r="K7" s="4593" t="s">
        <v>1276</v>
      </c>
      <c r="L7" s="4593"/>
      <c r="M7" s="4603" t="s">
        <v>189</v>
      </c>
      <c r="N7" s="2567"/>
    </row>
    <row r="8" spans="1:14">
      <c r="A8" s="1978"/>
      <c r="B8" s="4598"/>
      <c r="C8" s="4600"/>
      <c r="D8" s="4593"/>
      <c r="E8" s="4593" t="s">
        <v>434</v>
      </c>
      <c r="F8" s="4593" t="s">
        <v>179</v>
      </c>
      <c r="G8" s="4595"/>
      <c r="H8" s="4595"/>
      <c r="I8" s="4595"/>
      <c r="J8" s="4593" t="s">
        <v>177</v>
      </c>
      <c r="K8" s="4593" t="s">
        <v>1537</v>
      </c>
      <c r="L8" s="4593" t="s">
        <v>435</v>
      </c>
      <c r="M8" s="4603" t="s">
        <v>191</v>
      </c>
      <c r="N8" s="2567"/>
    </row>
    <row r="9" spans="1:14">
      <c r="A9" s="1978"/>
      <c r="B9" s="4599"/>
      <c r="C9" s="4601"/>
      <c r="D9" s="4594"/>
      <c r="E9" s="4594" t="s">
        <v>192</v>
      </c>
      <c r="F9" s="4594" t="s">
        <v>192</v>
      </c>
      <c r="G9" s="4596"/>
      <c r="H9" s="4596" t="s">
        <v>141</v>
      </c>
      <c r="I9" s="4596" t="s">
        <v>431</v>
      </c>
      <c r="J9" s="4594" t="s">
        <v>192</v>
      </c>
      <c r="K9" s="4594"/>
      <c r="L9" s="4594" t="s">
        <v>436</v>
      </c>
      <c r="M9" s="4604" t="s">
        <v>180</v>
      </c>
      <c r="N9" s="2567"/>
    </row>
    <row r="10" spans="1:14" ht="16.5" hidden="1">
      <c r="A10" s="1978"/>
      <c r="B10" s="2813">
        <v>2000</v>
      </c>
      <c r="C10" s="2579"/>
      <c r="D10" s="2560"/>
      <c r="E10" s="2560"/>
      <c r="F10" s="2560"/>
      <c r="G10" s="2580"/>
      <c r="H10" s="2580"/>
      <c r="I10" s="2580"/>
      <c r="J10" s="2560"/>
      <c r="K10" s="2560"/>
      <c r="L10" s="2560"/>
      <c r="M10" s="2581"/>
      <c r="N10" s="2143"/>
    </row>
    <row r="11" spans="1:14" ht="16.5" hidden="1">
      <c r="A11" s="1978"/>
      <c r="B11" s="2801" t="s">
        <v>161</v>
      </c>
      <c r="C11" s="2579">
        <v>10063.619999999999</v>
      </c>
      <c r="D11" s="2560">
        <v>2275.41</v>
      </c>
      <c r="E11" s="2560">
        <v>5002.54</v>
      </c>
      <c r="F11" s="2560">
        <v>342.2</v>
      </c>
      <c r="G11" s="2580">
        <v>0</v>
      </c>
      <c r="H11" s="2580">
        <v>0</v>
      </c>
      <c r="I11" s="2580">
        <v>0</v>
      </c>
      <c r="J11" s="2560">
        <v>740.39</v>
      </c>
      <c r="K11" s="2560">
        <v>0</v>
      </c>
      <c r="L11" s="2560">
        <v>635.30999999999995</v>
      </c>
      <c r="M11" s="2581">
        <v>1067.77</v>
      </c>
      <c r="N11" s="2143"/>
    </row>
    <row r="12" spans="1:14" ht="16.5" hidden="1">
      <c r="A12" s="1978"/>
      <c r="B12" s="2801" t="s">
        <v>162</v>
      </c>
      <c r="C12" s="2579">
        <v>9705.6</v>
      </c>
      <c r="D12" s="2560">
        <v>1970.05</v>
      </c>
      <c r="E12" s="2560">
        <v>5065.63</v>
      </c>
      <c r="F12" s="2560">
        <v>317.45999999999998</v>
      </c>
      <c r="G12" s="2580">
        <v>0</v>
      </c>
      <c r="H12" s="2580">
        <v>0</v>
      </c>
      <c r="I12" s="2580">
        <v>0</v>
      </c>
      <c r="J12" s="2560">
        <v>766.83</v>
      </c>
      <c r="K12" s="2560">
        <v>0</v>
      </c>
      <c r="L12" s="2560">
        <v>637.20000000000005</v>
      </c>
      <c r="M12" s="2581">
        <v>948.43</v>
      </c>
      <c r="N12" s="2143"/>
    </row>
    <row r="13" spans="1:14" ht="16.5" hidden="1">
      <c r="A13" s="1978"/>
      <c r="B13" s="2801" t="s">
        <v>163</v>
      </c>
      <c r="C13" s="2579">
        <v>9714.01</v>
      </c>
      <c r="D13" s="2560">
        <v>2979.48</v>
      </c>
      <c r="E13" s="2560">
        <v>4653.0200000000004</v>
      </c>
      <c r="F13" s="2560">
        <v>296.44</v>
      </c>
      <c r="G13" s="2580">
        <v>0</v>
      </c>
      <c r="H13" s="2580">
        <v>0</v>
      </c>
      <c r="I13" s="2580">
        <v>0</v>
      </c>
      <c r="J13" s="2560">
        <v>808.16</v>
      </c>
      <c r="K13" s="2560">
        <v>0</v>
      </c>
      <c r="L13" s="2560">
        <v>639.65</v>
      </c>
      <c r="M13" s="2581">
        <v>337.26</v>
      </c>
      <c r="N13" s="2143"/>
    </row>
    <row r="14" spans="1:14" ht="16.5" hidden="1">
      <c r="A14" s="1978"/>
      <c r="B14" s="2801" t="s">
        <v>164</v>
      </c>
      <c r="C14" s="2579">
        <v>9839.69</v>
      </c>
      <c r="D14" s="2560">
        <v>2412.1999999999998</v>
      </c>
      <c r="E14" s="2560">
        <v>4569.71</v>
      </c>
      <c r="F14" s="2560">
        <v>287.88</v>
      </c>
      <c r="G14" s="2580">
        <v>0</v>
      </c>
      <c r="H14" s="2580">
        <v>0</v>
      </c>
      <c r="I14" s="2580">
        <v>0</v>
      </c>
      <c r="J14" s="2560">
        <v>726.81</v>
      </c>
      <c r="K14" s="2560">
        <v>0</v>
      </c>
      <c r="L14" s="2560">
        <v>645.19000000000005</v>
      </c>
      <c r="M14" s="2581">
        <v>1197.9000000000001</v>
      </c>
      <c r="N14" s="2143"/>
    </row>
    <row r="15" spans="1:14" ht="16.5" hidden="1">
      <c r="A15" s="1978"/>
      <c r="B15" s="2801" t="s">
        <v>437</v>
      </c>
      <c r="C15" s="2579">
        <v>9727.9500000000007</v>
      </c>
      <c r="D15" s="2560">
        <v>2340.5100000000002</v>
      </c>
      <c r="E15" s="2560">
        <v>4557.95</v>
      </c>
      <c r="F15" s="2560">
        <v>258.7</v>
      </c>
      <c r="G15" s="2580">
        <v>0</v>
      </c>
      <c r="H15" s="2580">
        <v>0</v>
      </c>
      <c r="I15" s="2580">
        <v>0</v>
      </c>
      <c r="J15" s="2560">
        <v>819.69</v>
      </c>
      <c r="K15" s="2560">
        <v>0</v>
      </c>
      <c r="L15" s="2560">
        <v>647.24</v>
      </c>
      <c r="M15" s="2581">
        <v>1103.8599999999999</v>
      </c>
      <c r="N15" s="2143"/>
    </row>
    <row r="16" spans="1:14" ht="16.5" hidden="1">
      <c r="A16" s="1978"/>
      <c r="B16" s="2801" t="s">
        <v>166</v>
      </c>
      <c r="C16" s="2579">
        <v>10257.969999999999</v>
      </c>
      <c r="D16" s="2560">
        <v>2474.7600000000002</v>
      </c>
      <c r="E16" s="2560">
        <v>5016.58</v>
      </c>
      <c r="F16" s="2560">
        <v>222.3</v>
      </c>
      <c r="G16" s="2580">
        <v>0</v>
      </c>
      <c r="H16" s="2580">
        <v>0</v>
      </c>
      <c r="I16" s="2580">
        <v>0</v>
      </c>
      <c r="J16" s="2560">
        <v>698.44</v>
      </c>
      <c r="K16" s="2560">
        <v>0</v>
      </c>
      <c r="L16" s="2560">
        <v>642.54999999999995</v>
      </c>
      <c r="M16" s="2581">
        <v>1203.3399999999999</v>
      </c>
      <c r="N16" s="2143"/>
    </row>
    <row r="17" spans="1:15" ht="16.5" hidden="1">
      <c r="A17" s="1978"/>
      <c r="B17" s="2801" t="s">
        <v>167</v>
      </c>
      <c r="C17" s="2579">
        <v>10345.359999999999</v>
      </c>
      <c r="D17" s="2560">
        <v>2669.47</v>
      </c>
      <c r="E17" s="2560">
        <v>5466.34</v>
      </c>
      <c r="F17" s="2560">
        <v>244.21</v>
      </c>
      <c r="G17" s="2580">
        <v>0</v>
      </c>
      <c r="H17" s="2580">
        <v>0</v>
      </c>
      <c r="I17" s="2580">
        <v>0</v>
      </c>
      <c r="J17" s="2560">
        <v>644.51</v>
      </c>
      <c r="K17" s="2560">
        <v>0</v>
      </c>
      <c r="L17" s="2560">
        <v>646.20000000000005</v>
      </c>
      <c r="M17" s="2581">
        <v>674.63</v>
      </c>
      <c r="N17" s="2143"/>
    </row>
    <row r="18" spans="1:15" ht="16.5" hidden="1">
      <c r="A18" s="1978"/>
      <c r="B18" s="2801" t="s">
        <v>168</v>
      </c>
      <c r="C18" s="2579">
        <v>10606.16</v>
      </c>
      <c r="D18" s="2560">
        <v>2652.01</v>
      </c>
      <c r="E18" s="2560">
        <v>5558.18</v>
      </c>
      <c r="F18" s="2560">
        <v>220.57</v>
      </c>
      <c r="G18" s="2580">
        <v>0</v>
      </c>
      <c r="H18" s="2580">
        <v>0</v>
      </c>
      <c r="I18" s="2580">
        <v>0</v>
      </c>
      <c r="J18" s="2560">
        <v>483</v>
      </c>
      <c r="K18" s="2560">
        <v>0</v>
      </c>
      <c r="L18" s="2560">
        <v>650.49</v>
      </c>
      <c r="M18" s="2581">
        <v>1041.9100000000001</v>
      </c>
      <c r="N18" s="2143"/>
    </row>
    <row r="19" spans="1:15" ht="16.5" hidden="1">
      <c r="A19" s="1978"/>
      <c r="B19" s="2801" t="s">
        <v>183</v>
      </c>
      <c r="C19" s="2579">
        <v>11201.130000000001</v>
      </c>
      <c r="D19" s="2560">
        <v>3251.02</v>
      </c>
      <c r="E19" s="2560">
        <v>5516.4</v>
      </c>
      <c r="F19" s="2560">
        <v>298.54000000000002</v>
      </c>
      <c r="G19" s="2580">
        <v>0</v>
      </c>
      <c r="H19" s="2580">
        <v>0</v>
      </c>
      <c r="I19" s="2580">
        <v>0</v>
      </c>
      <c r="J19" s="2560">
        <v>548.53</v>
      </c>
      <c r="K19" s="2560">
        <v>0</v>
      </c>
      <c r="L19" s="2560">
        <v>664.73</v>
      </c>
      <c r="M19" s="2581">
        <v>921.91</v>
      </c>
      <c r="N19" s="2143"/>
    </row>
    <row r="20" spans="1:15" ht="16.5" hidden="1">
      <c r="A20" s="1978"/>
      <c r="B20" s="2801" t="s">
        <v>170</v>
      </c>
      <c r="C20" s="2579">
        <v>11116.48</v>
      </c>
      <c r="D20" s="2560">
        <v>2907.45</v>
      </c>
      <c r="E20" s="2560">
        <v>5204.9399999999996</v>
      </c>
      <c r="F20" s="2560">
        <v>253.02</v>
      </c>
      <c r="G20" s="2580">
        <v>0</v>
      </c>
      <c r="H20" s="2580">
        <v>0</v>
      </c>
      <c r="I20" s="2580">
        <v>0</v>
      </c>
      <c r="J20" s="2560">
        <v>649.91</v>
      </c>
      <c r="K20" s="2560">
        <v>0</v>
      </c>
      <c r="L20" s="2560">
        <v>670.4</v>
      </c>
      <c r="M20" s="2581">
        <v>1430.76</v>
      </c>
      <c r="N20" s="2143"/>
    </row>
    <row r="21" spans="1:15" ht="16.5" hidden="1">
      <c r="A21" s="1978"/>
      <c r="B21" s="2801" t="s">
        <v>171</v>
      </c>
      <c r="C21" s="2579">
        <v>11031.69</v>
      </c>
      <c r="D21" s="2560">
        <v>2692.61</v>
      </c>
      <c r="E21" s="2560">
        <v>5815.66</v>
      </c>
      <c r="F21" s="2560">
        <v>227.25</v>
      </c>
      <c r="G21" s="2580">
        <v>0</v>
      </c>
      <c r="H21" s="2580">
        <v>0</v>
      </c>
      <c r="I21" s="2580">
        <v>0</v>
      </c>
      <c r="J21" s="2560">
        <v>582.85</v>
      </c>
      <c r="K21" s="2560">
        <v>0</v>
      </c>
      <c r="L21" s="2560">
        <v>674.55</v>
      </c>
      <c r="M21" s="2581">
        <v>1038.77</v>
      </c>
      <c r="N21" s="2143"/>
    </row>
    <row r="22" spans="1:15" s="63" customFormat="1" ht="16.5" hidden="1">
      <c r="A22" s="1662"/>
      <c r="B22" s="2813">
        <v>2000</v>
      </c>
      <c r="C22" s="2579">
        <v>11518.74</v>
      </c>
      <c r="D22" s="2560">
        <v>2669.46</v>
      </c>
      <c r="E22" s="2560">
        <v>5815.41</v>
      </c>
      <c r="F22" s="2560">
        <v>180.91</v>
      </c>
      <c r="G22" s="2580">
        <v>0</v>
      </c>
      <c r="H22" s="2580">
        <v>0</v>
      </c>
      <c r="I22" s="2580">
        <v>0</v>
      </c>
      <c r="J22" s="2560">
        <v>631.19000000000005</v>
      </c>
      <c r="K22" s="2560">
        <v>0</v>
      </c>
      <c r="L22" s="2560">
        <v>756.07</v>
      </c>
      <c r="M22" s="2581">
        <v>1465.7</v>
      </c>
      <c r="N22" s="2143"/>
    </row>
    <row r="23" spans="1:15" ht="16.5" hidden="1">
      <c r="A23" s="1978"/>
      <c r="B23" s="2813">
        <v>2001</v>
      </c>
      <c r="C23" s="2579"/>
      <c r="D23" s="2560"/>
      <c r="E23" s="2560"/>
      <c r="F23" s="2560"/>
      <c r="G23" s="2560"/>
      <c r="H23" s="2560"/>
      <c r="I23" s="2560"/>
      <c r="J23" s="2560"/>
      <c r="K23" s="2560"/>
      <c r="L23" s="2560"/>
      <c r="M23" s="2581"/>
      <c r="N23" s="2559"/>
      <c r="O23" s="63"/>
    </row>
    <row r="24" spans="1:15" ht="16.5" hidden="1">
      <c r="A24" s="1978"/>
      <c r="B24" s="2801" t="s">
        <v>161</v>
      </c>
      <c r="C24" s="2579">
        <v>10604.08</v>
      </c>
      <c r="D24" s="2580">
        <v>2594.2199999999998</v>
      </c>
      <c r="E24" s="2580">
        <v>4902.92</v>
      </c>
      <c r="F24" s="2580">
        <v>253.13</v>
      </c>
      <c r="G24" s="2580">
        <v>1064.4100000000001</v>
      </c>
      <c r="H24" s="2580">
        <v>1064.4100000000001</v>
      </c>
      <c r="I24" s="2580">
        <v>0</v>
      </c>
      <c r="J24" s="2580">
        <v>585.80999999999995</v>
      </c>
      <c r="K24" s="2560">
        <v>0</v>
      </c>
      <c r="L24" s="2580">
        <v>829.14</v>
      </c>
      <c r="M24" s="2814">
        <v>374.45</v>
      </c>
      <c r="N24" s="2357"/>
      <c r="O24" s="63"/>
    </row>
    <row r="25" spans="1:15" ht="16.5" hidden="1">
      <c r="A25" s="1978"/>
      <c r="B25" s="2801" t="s">
        <v>162</v>
      </c>
      <c r="C25" s="2579">
        <v>10564.220000000001</v>
      </c>
      <c r="D25" s="2580">
        <v>2397.5100000000002</v>
      </c>
      <c r="E25" s="2580">
        <v>4855.1899999999996</v>
      </c>
      <c r="F25" s="2580">
        <v>293.08</v>
      </c>
      <c r="G25" s="2580">
        <v>1258.1600000000001</v>
      </c>
      <c r="H25" s="2580">
        <v>1258.1600000000001</v>
      </c>
      <c r="I25" s="2580">
        <v>0</v>
      </c>
      <c r="J25" s="2580">
        <v>574.12</v>
      </c>
      <c r="K25" s="2560">
        <v>0</v>
      </c>
      <c r="L25" s="2580">
        <v>774.83</v>
      </c>
      <c r="M25" s="2814">
        <v>411.33</v>
      </c>
      <c r="N25" s="2357"/>
      <c r="O25" s="63"/>
    </row>
    <row r="26" spans="1:15" ht="15.75" hidden="1" customHeight="1">
      <c r="A26" s="1978"/>
      <c r="B26" s="2801" t="s">
        <v>163</v>
      </c>
      <c r="C26" s="2579">
        <v>10632.62</v>
      </c>
      <c r="D26" s="2580">
        <v>2879.1</v>
      </c>
      <c r="E26" s="2580">
        <v>5540.97</v>
      </c>
      <c r="F26" s="2580">
        <v>197.61</v>
      </c>
      <c r="G26" s="2580">
        <v>134.35</v>
      </c>
      <c r="H26" s="2580">
        <v>134.35</v>
      </c>
      <c r="I26" s="2580">
        <v>0</v>
      </c>
      <c r="J26" s="2580">
        <v>726</v>
      </c>
      <c r="K26" s="2560">
        <v>0</v>
      </c>
      <c r="L26" s="2580">
        <v>782.78</v>
      </c>
      <c r="M26" s="2814">
        <v>371.81</v>
      </c>
      <c r="N26" s="2357"/>
      <c r="O26" s="63"/>
    </row>
    <row r="27" spans="1:15" ht="15" hidden="1" customHeight="1">
      <c r="A27" s="1978"/>
      <c r="B27" s="2801" t="s">
        <v>164</v>
      </c>
      <c r="C27" s="2579">
        <v>12134.840000000002</v>
      </c>
      <c r="D27" s="2560">
        <v>2769.21</v>
      </c>
      <c r="E27" s="2560">
        <v>5436.58</v>
      </c>
      <c r="F27" s="2560">
        <v>302.45</v>
      </c>
      <c r="G27" s="2560">
        <v>494.77</v>
      </c>
      <c r="H27" s="2560">
        <v>494.77</v>
      </c>
      <c r="I27" s="2580">
        <v>0</v>
      </c>
      <c r="J27" s="2560">
        <v>1300.94</v>
      </c>
      <c r="K27" s="2560">
        <v>0</v>
      </c>
      <c r="L27" s="2560">
        <v>784.73</v>
      </c>
      <c r="M27" s="2814">
        <v>1046.1600000000001</v>
      </c>
      <c r="N27" s="2357"/>
      <c r="O27" s="63"/>
    </row>
    <row r="28" spans="1:15" ht="16.5" hidden="1">
      <c r="A28" s="1978"/>
      <c r="B28" s="2801" t="s">
        <v>165</v>
      </c>
      <c r="C28" s="2579">
        <v>11675.23</v>
      </c>
      <c r="D28" s="2560">
        <v>1873.53</v>
      </c>
      <c r="E28" s="2560">
        <v>5277.72</v>
      </c>
      <c r="F28" s="2560">
        <v>309.93</v>
      </c>
      <c r="G28" s="2560">
        <v>825.08</v>
      </c>
      <c r="H28" s="2560">
        <v>825.08</v>
      </c>
      <c r="I28" s="2580">
        <v>0</v>
      </c>
      <c r="J28" s="2560">
        <v>1213.6500000000001</v>
      </c>
      <c r="K28" s="2560">
        <v>0</v>
      </c>
      <c r="L28" s="2560">
        <v>791.48</v>
      </c>
      <c r="M28" s="2814">
        <v>1383.84</v>
      </c>
      <c r="N28" s="2357"/>
      <c r="O28" s="63"/>
    </row>
    <row r="29" spans="1:15" ht="16.5" hidden="1">
      <c r="A29" s="1978"/>
      <c r="B29" s="2801" t="s">
        <v>166</v>
      </c>
      <c r="C29" s="2579">
        <v>12147.08</v>
      </c>
      <c r="D29" s="2560">
        <v>2889.7</v>
      </c>
      <c r="E29" s="2560">
        <v>4710.49</v>
      </c>
      <c r="F29" s="2560">
        <v>231.47</v>
      </c>
      <c r="G29" s="2560">
        <v>1199.49</v>
      </c>
      <c r="H29" s="2560">
        <v>1199.49</v>
      </c>
      <c r="I29" s="2580">
        <v>0</v>
      </c>
      <c r="J29" s="2560">
        <v>1352.9</v>
      </c>
      <c r="K29" s="2560">
        <v>0</v>
      </c>
      <c r="L29" s="2560">
        <v>797.77</v>
      </c>
      <c r="M29" s="2814">
        <v>965.26</v>
      </c>
      <c r="N29" s="2357"/>
      <c r="O29" s="63"/>
    </row>
    <row r="30" spans="1:15" ht="16.5" hidden="1">
      <c r="A30" s="1978"/>
      <c r="B30" s="2801" t="s">
        <v>167</v>
      </c>
      <c r="C30" s="2579">
        <v>12758.37</v>
      </c>
      <c r="D30" s="2560">
        <v>3194.33</v>
      </c>
      <c r="E30" s="2560">
        <v>5513.59</v>
      </c>
      <c r="F30" s="2560">
        <v>289.58999999999997</v>
      </c>
      <c r="G30" s="2560">
        <v>2049.2399999999998</v>
      </c>
      <c r="H30" s="2560">
        <v>2049.2399999999998</v>
      </c>
      <c r="I30" s="2580">
        <v>0</v>
      </c>
      <c r="J30" s="2560">
        <v>1098.18</v>
      </c>
      <c r="K30" s="2560">
        <v>0</v>
      </c>
      <c r="L30" s="2560">
        <v>803.77</v>
      </c>
      <c r="M30" s="2814">
        <v>-190.33</v>
      </c>
      <c r="N30" s="2357"/>
      <c r="O30" s="63"/>
    </row>
    <row r="31" spans="1:15" ht="16.5" hidden="1">
      <c r="A31" s="1978"/>
      <c r="B31" s="2801" t="s">
        <v>168</v>
      </c>
      <c r="C31" s="2579">
        <v>12280.939999999999</v>
      </c>
      <c r="D31" s="2560">
        <v>3230.06</v>
      </c>
      <c r="E31" s="2560">
        <v>5593.88</v>
      </c>
      <c r="F31" s="2560">
        <v>157</v>
      </c>
      <c r="G31" s="2560">
        <v>1292.92</v>
      </c>
      <c r="H31" s="2560">
        <v>1292.92</v>
      </c>
      <c r="I31" s="2580">
        <v>0</v>
      </c>
      <c r="J31" s="2560">
        <v>1099.8699999999999</v>
      </c>
      <c r="K31" s="2560">
        <v>0</v>
      </c>
      <c r="L31" s="2560">
        <v>778.58</v>
      </c>
      <c r="M31" s="2814">
        <v>128.63</v>
      </c>
      <c r="N31" s="2357"/>
      <c r="O31" s="63"/>
    </row>
    <row r="32" spans="1:15" s="63" customFormat="1" ht="16.5" hidden="1">
      <c r="A32" s="1662"/>
      <c r="B32" s="2801" t="s">
        <v>169</v>
      </c>
      <c r="C32" s="2579">
        <v>12241.4</v>
      </c>
      <c r="D32" s="2560">
        <v>3005.65</v>
      </c>
      <c r="E32" s="2560">
        <v>5728.3</v>
      </c>
      <c r="F32" s="2560">
        <v>180.14</v>
      </c>
      <c r="G32" s="2560">
        <v>1106.32</v>
      </c>
      <c r="H32" s="2560">
        <v>1106.32</v>
      </c>
      <c r="I32" s="2580">
        <v>0</v>
      </c>
      <c r="J32" s="2560">
        <v>1145.93</v>
      </c>
      <c r="K32" s="2560">
        <v>0</v>
      </c>
      <c r="L32" s="2560">
        <v>931.73</v>
      </c>
      <c r="M32" s="2814">
        <v>143.33000000000001</v>
      </c>
      <c r="N32" s="2357"/>
    </row>
    <row r="33" spans="1:15" ht="16.5" hidden="1">
      <c r="A33" s="1978"/>
      <c r="B33" s="2801" t="s">
        <v>170</v>
      </c>
      <c r="C33" s="2579">
        <v>12802.400000000001</v>
      </c>
      <c r="D33" s="2560">
        <v>3678.47</v>
      </c>
      <c r="E33" s="2560">
        <v>5288.38</v>
      </c>
      <c r="F33" s="2560">
        <v>263.25</v>
      </c>
      <c r="G33" s="2560">
        <v>1156.95</v>
      </c>
      <c r="H33" s="2560">
        <v>1156.95</v>
      </c>
      <c r="I33" s="2560">
        <v>0</v>
      </c>
      <c r="J33" s="2560">
        <v>1170.75</v>
      </c>
      <c r="K33" s="2560">
        <v>0</v>
      </c>
      <c r="L33" s="2560">
        <v>962.28</v>
      </c>
      <c r="M33" s="2581">
        <v>282.32</v>
      </c>
      <c r="N33" s="2143"/>
      <c r="O33" s="63"/>
    </row>
    <row r="34" spans="1:15" ht="16.5" hidden="1">
      <c r="A34" s="1978"/>
      <c r="B34" s="2801" t="s">
        <v>171</v>
      </c>
      <c r="C34" s="2579">
        <v>12652.600000000002</v>
      </c>
      <c r="D34" s="2560">
        <v>3009.17</v>
      </c>
      <c r="E34" s="2560">
        <v>5319.42</v>
      </c>
      <c r="F34" s="2560">
        <v>220.2</v>
      </c>
      <c r="G34" s="2560">
        <v>1377.29</v>
      </c>
      <c r="H34" s="2560">
        <v>1377.29</v>
      </c>
      <c r="I34" s="2560">
        <v>0</v>
      </c>
      <c r="J34" s="2560">
        <v>1007.18</v>
      </c>
      <c r="K34" s="2560">
        <v>0</v>
      </c>
      <c r="L34" s="2560">
        <v>934.74</v>
      </c>
      <c r="M34" s="2581">
        <v>784.6</v>
      </c>
      <c r="N34" s="2143"/>
      <c r="O34" s="63"/>
    </row>
    <row r="35" spans="1:15" ht="16.5" hidden="1">
      <c r="A35" s="1978"/>
      <c r="B35" s="2813">
        <v>2001</v>
      </c>
      <c r="C35" s="2579">
        <v>13112.849999999999</v>
      </c>
      <c r="D35" s="2560">
        <v>3238.21</v>
      </c>
      <c r="E35" s="2560">
        <v>5628.3</v>
      </c>
      <c r="F35" s="2560">
        <v>239.29</v>
      </c>
      <c r="G35" s="2560">
        <v>973.4</v>
      </c>
      <c r="H35" s="2560">
        <v>973.4</v>
      </c>
      <c r="I35" s="2560">
        <v>0</v>
      </c>
      <c r="J35" s="2560">
        <v>1287.8</v>
      </c>
      <c r="K35" s="2560">
        <v>0</v>
      </c>
      <c r="L35" s="2560">
        <v>957.97</v>
      </c>
      <c r="M35" s="2581">
        <v>787.88</v>
      </c>
      <c r="N35" s="2143"/>
      <c r="O35" s="63"/>
    </row>
    <row r="36" spans="1:15" ht="16.5" hidden="1">
      <c r="A36" s="1978"/>
      <c r="B36" s="2813">
        <v>2002</v>
      </c>
      <c r="C36" s="2579"/>
      <c r="D36" s="2560"/>
      <c r="E36" s="2560"/>
      <c r="F36" s="2560"/>
      <c r="G36" s="2560"/>
      <c r="H36" s="2560"/>
      <c r="I36" s="2560"/>
      <c r="J36" s="2560"/>
      <c r="K36" s="2560"/>
      <c r="L36" s="2560"/>
      <c r="M36" s="2581"/>
      <c r="N36" s="2143"/>
      <c r="O36" s="63"/>
    </row>
    <row r="37" spans="1:15" ht="16.5" hidden="1">
      <c r="A37" s="1978"/>
      <c r="B37" s="2801" t="s">
        <v>161</v>
      </c>
      <c r="C37" s="2579">
        <v>13454.65</v>
      </c>
      <c r="D37" s="2560">
        <v>3166.23</v>
      </c>
      <c r="E37" s="2560">
        <v>5316.64</v>
      </c>
      <c r="F37" s="2560">
        <v>357.71</v>
      </c>
      <c r="G37" s="2560">
        <v>1519.8</v>
      </c>
      <c r="H37" s="2560">
        <v>1519.8</v>
      </c>
      <c r="I37" s="2560">
        <v>0</v>
      </c>
      <c r="J37" s="2560">
        <v>1216.54</v>
      </c>
      <c r="K37" s="2560">
        <v>0</v>
      </c>
      <c r="L37" s="2560">
        <v>1006.45</v>
      </c>
      <c r="M37" s="2581">
        <v>871.28</v>
      </c>
      <c r="N37" s="2143"/>
      <c r="O37" s="63"/>
    </row>
    <row r="38" spans="1:15" ht="16.5" hidden="1">
      <c r="A38" s="1978"/>
      <c r="B38" s="2801" t="s">
        <v>162</v>
      </c>
      <c r="C38" s="2579">
        <v>13347.28</v>
      </c>
      <c r="D38" s="2560">
        <v>3535.81</v>
      </c>
      <c r="E38" s="2560">
        <v>5798.31</v>
      </c>
      <c r="F38" s="2560">
        <v>343.87</v>
      </c>
      <c r="G38" s="2560">
        <v>644.13</v>
      </c>
      <c r="H38" s="2560">
        <v>644.13</v>
      </c>
      <c r="I38" s="2560">
        <v>0</v>
      </c>
      <c r="J38" s="2560">
        <v>1136.43</v>
      </c>
      <c r="K38" s="2560">
        <v>0</v>
      </c>
      <c r="L38" s="2560">
        <v>995.51</v>
      </c>
      <c r="M38" s="2581">
        <v>893.22</v>
      </c>
      <c r="N38" s="2143"/>
      <c r="O38" s="63"/>
    </row>
    <row r="39" spans="1:15" ht="16.5" hidden="1">
      <c r="A39" s="1978"/>
      <c r="B39" s="2801" t="s">
        <v>163</v>
      </c>
      <c r="C39" s="2579">
        <v>14032.949999999999</v>
      </c>
      <c r="D39" s="2560">
        <v>3137.85</v>
      </c>
      <c r="E39" s="2560">
        <v>5846.53</v>
      </c>
      <c r="F39" s="2560">
        <v>361.06</v>
      </c>
      <c r="G39" s="2560">
        <v>1480.27</v>
      </c>
      <c r="H39" s="2560">
        <v>1480.27</v>
      </c>
      <c r="I39" s="2560">
        <v>0</v>
      </c>
      <c r="J39" s="2560">
        <v>1144.31</v>
      </c>
      <c r="K39" s="2560">
        <v>0</v>
      </c>
      <c r="L39" s="2560">
        <v>1005.7</v>
      </c>
      <c r="M39" s="2581">
        <v>1057.23</v>
      </c>
      <c r="N39" s="2143"/>
      <c r="O39" s="63"/>
    </row>
    <row r="40" spans="1:15" ht="16.5" hidden="1">
      <c r="A40" s="1978"/>
      <c r="B40" s="2801" t="s">
        <v>164</v>
      </c>
      <c r="C40" s="2579">
        <v>13641.269999999997</v>
      </c>
      <c r="D40" s="2560">
        <v>3143.81</v>
      </c>
      <c r="E40" s="2560">
        <v>5492.66</v>
      </c>
      <c r="F40" s="2560">
        <v>339.13</v>
      </c>
      <c r="G40" s="2560">
        <v>1747.06</v>
      </c>
      <c r="H40" s="2560">
        <v>1747.06</v>
      </c>
      <c r="I40" s="2560">
        <v>0</v>
      </c>
      <c r="J40" s="2560">
        <v>1105.01</v>
      </c>
      <c r="K40" s="2560">
        <v>0</v>
      </c>
      <c r="L40" s="2560">
        <v>1009.56</v>
      </c>
      <c r="M40" s="2581">
        <v>804.04</v>
      </c>
      <c r="N40" s="2143"/>
      <c r="O40" s="63"/>
    </row>
    <row r="41" spans="1:15" ht="16.5" hidden="1">
      <c r="A41" s="1978"/>
      <c r="B41" s="2801" t="s">
        <v>165</v>
      </c>
      <c r="C41" s="2579">
        <v>13528.64</v>
      </c>
      <c r="D41" s="2560">
        <v>3409.6</v>
      </c>
      <c r="E41" s="2560">
        <v>6069.27</v>
      </c>
      <c r="F41" s="2560">
        <v>331.48999999999995</v>
      </c>
      <c r="G41" s="2560">
        <v>661.81</v>
      </c>
      <c r="H41" s="2560">
        <v>661.81</v>
      </c>
      <c r="I41" s="2560">
        <v>0</v>
      </c>
      <c r="J41" s="2560">
        <v>1322.75</v>
      </c>
      <c r="K41" s="2560">
        <v>0</v>
      </c>
      <c r="L41" s="2560">
        <v>1014.9000000000001</v>
      </c>
      <c r="M41" s="2581">
        <f>'[12]BOB Liabs'!L76+'[12]BNB Liabs'!L61</f>
        <v>718.82</v>
      </c>
      <c r="N41" s="2143"/>
      <c r="O41" s="63"/>
    </row>
    <row r="42" spans="1:15" ht="16.5" hidden="1">
      <c r="A42" s="1978"/>
      <c r="B42" s="2801" t="s">
        <v>147</v>
      </c>
      <c r="C42" s="2579">
        <v>13443.98</v>
      </c>
      <c r="D42" s="2560">
        <v>3313.5899999999997</v>
      </c>
      <c r="E42" s="2560">
        <v>5764.5599999999995</v>
      </c>
      <c r="F42" s="2560">
        <v>292.88</v>
      </c>
      <c r="G42" s="2560">
        <v>1366.28</v>
      </c>
      <c r="H42" s="2560">
        <v>1366.28</v>
      </c>
      <c r="I42" s="2560">
        <v>0</v>
      </c>
      <c r="J42" s="2560">
        <v>1143.9299999999998</v>
      </c>
      <c r="K42" s="2560">
        <v>0</v>
      </c>
      <c r="L42" s="2560">
        <v>1026.24</v>
      </c>
      <c r="M42" s="2581">
        <f>'[12]BOB Liabs'!L77+'[12]BNB Liabs'!L62</f>
        <v>536.5</v>
      </c>
      <c r="N42" s="2143"/>
      <c r="O42" s="63"/>
    </row>
    <row r="43" spans="1:15" ht="16.5" hidden="1">
      <c r="A43" s="1978"/>
      <c r="B43" s="2801" t="s">
        <v>167</v>
      </c>
      <c r="C43" s="2579">
        <v>13772.679999999998</v>
      </c>
      <c r="D43" s="2560">
        <v>4599.3999999999996</v>
      </c>
      <c r="E43" s="2560">
        <v>5510.04</v>
      </c>
      <c r="F43" s="2560">
        <v>430.7</v>
      </c>
      <c r="G43" s="2560">
        <v>930.97</v>
      </c>
      <c r="H43" s="2560">
        <v>930.97</v>
      </c>
      <c r="I43" s="2560">
        <v>0</v>
      </c>
      <c r="J43" s="2560">
        <v>1177.77</v>
      </c>
      <c r="K43" s="2560">
        <v>0</v>
      </c>
      <c r="L43" s="2560">
        <v>1031.67</v>
      </c>
      <c r="M43" s="2581">
        <f>'[12]BOB Liabs'!L78+'[12]BNB Liabs'!L63</f>
        <v>92.13000000000001</v>
      </c>
      <c r="N43" s="2143"/>
      <c r="O43" s="63"/>
    </row>
    <row r="44" spans="1:15" ht="16.5" hidden="1">
      <c r="A44" s="1978"/>
      <c r="B44" s="2801" t="s">
        <v>168</v>
      </c>
      <c r="C44" s="2579">
        <v>14103.91</v>
      </c>
      <c r="D44" s="2560">
        <v>3589.55</v>
      </c>
      <c r="E44" s="2560">
        <v>5416.13</v>
      </c>
      <c r="F44" s="2560">
        <v>341.48</v>
      </c>
      <c r="G44" s="2560">
        <v>1757.14</v>
      </c>
      <c r="H44" s="2560">
        <v>1757.14</v>
      </c>
      <c r="I44" s="2560">
        <v>0</v>
      </c>
      <c r="J44" s="2560">
        <v>1183.9000000000001</v>
      </c>
      <c r="K44" s="2560">
        <v>0</v>
      </c>
      <c r="L44" s="2560">
        <v>1024.93</v>
      </c>
      <c r="M44" s="2581">
        <f>'[12]BOB Liabs'!L79+'[12]BNB Liabs'!L64</f>
        <v>790.78</v>
      </c>
      <c r="N44" s="2143"/>
      <c r="O44" s="63"/>
    </row>
    <row r="45" spans="1:15" ht="16.5" hidden="1">
      <c r="A45" s="1978"/>
      <c r="B45" s="2801" t="s">
        <v>169</v>
      </c>
      <c r="C45" s="2579">
        <v>13556.32</v>
      </c>
      <c r="D45" s="2560">
        <v>3621.3199999999997</v>
      </c>
      <c r="E45" s="2560">
        <v>5577.18</v>
      </c>
      <c r="F45" s="2560">
        <v>255</v>
      </c>
      <c r="G45" s="2560">
        <v>1198.4100000000001</v>
      </c>
      <c r="H45" s="2560">
        <v>1198.4100000000001</v>
      </c>
      <c r="I45" s="2560">
        <v>0</v>
      </c>
      <c r="J45" s="2560">
        <v>1221.4000000000001</v>
      </c>
      <c r="K45" s="2560">
        <v>0</v>
      </c>
      <c r="L45" s="2560">
        <v>1027.95</v>
      </c>
      <c r="M45" s="2581">
        <f>'[12]BOB Liabs'!L80+'[12]BNB Liabs'!L65</f>
        <v>655.06000000000006</v>
      </c>
      <c r="N45" s="2143"/>
      <c r="O45" s="63"/>
    </row>
    <row r="46" spans="1:15" ht="15" hidden="1" customHeight="1">
      <c r="A46" s="1978"/>
      <c r="B46" s="2801" t="s">
        <v>170</v>
      </c>
      <c r="C46" s="2579">
        <v>14320.17</v>
      </c>
      <c r="D46" s="2580">
        <v>4461.99</v>
      </c>
      <c r="E46" s="2580">
        <v>5786.78</v>
      </c>
      <c r="F46" s="2580">
        <v>222.89</v>
      </c>
      <c r="G46" s="2580">
        <v>385.86</v>
      </c>
      <c r="H46" s="2580">
        <v>385.86</v>
      </c>
      <c r="I46" s="2580">
        <v>0</v>
      </c>
      <c r="J46" s="2580">
        <v>1662.19</v>
      </c>
      <c r="K46" s="2580">
        <v>0</v>
      </c>
      <c r="L46" s="2580">
        <v>1057.76</v>
      </c>
      <c r="M46" s="2814">
        <v>742.7</v>
      </c>
      <c r="N46" s="2357"/>
    </row>
    <row r="47" spans="1:15" s="5" customFormat="1" ht="16.5" hidden="1">
      <c r="A47" s="1619"/>
      <c r="B47" s="2801" t="s">
        <v>171</v>
      </c>
      <c r="C47" s="2579">
        <v>13999.8</v>
      </c>
      <c r="D47" s="2580">
        <v>7588.7</v>
      </c>
      <c r="E47" s="2580">
        <v>6061.82</v>
      </c>
      <c r="F47" s="2580">
        <v>283.18</v>
      </c>
      <c r="G47" s="2580">
        <v>0</v>
      </c>
      <c r="H47" s="2580">
        <v>0</v>
      </c>
      <c r="I47" s="2580">
        <v>0</v>
      </c>
      <c r="J47" s="2580">
        <v>1573.98</v>
      </c>
      <c r="K47" s="2580">
        <v>0</v>
      </c>
      <c r="L47" s="2580">
        <v>1093.1500000000001</v>
      </c>
      <c r="M47" s="2814">
        <v>-2601.0300000000002</v>
      </c>
      <c r="N47" s="2357"/>
    </row>
    <row r="48" spans="1:15" s="5" customFormat="1" ht="16.5" hidden="1">
      <c r="A48" s="1619"/>
      <c r="B48" s="2813">
        <v>2002</v>
      </c>
      <c r="C48" s="2803">
        <v>16155.24</v>
      </c>
      <c r="D48" s="2563">
        <v>5322.8</v>
      </c>
      <c r="E48" s="2563">
        <v>6260.8099999999995</v>
      </c>
      <c r="F48" s="2563">
        <v>471.46000000000004</v>
      </c>
      <c r="G48" s="2563">
        <v>0</v>
      </c>
      <c r="H48" s="2563">
        <v>0</v>
      </c>
      <c r="I48" s="2563">
        <v>0</v>
      </c>
      <c r="J48" s="2563">
        <v>1415.41</v>
      </c>
      <c r="K48" s="2563">
        <v>0</v>
      </c>
      <c r="L48" s="2563">
        <v>1194.33</v>
      </c>
      <c r="M48" s="2563">
        <f>'[13]BOB Liabs'!L83+'[13]BNB Liabs'!L68</f>
        <v>1490.4299999999998</v>
      </c>
      <c r="N48" s="2357"/>
    </row>
    <row r="49" spans="1:14" s="5" customFormat="1" ht="16.5" hidden="1">
      <c r="A49" s="1619"/>
      <c r="B49" s="2813">
        <v>2003</v>
      </c>
      <c r="C49" s="2579"/>
      <c r="D49" s="2560"/>
      <c r="E49" s="2560"/>
      <c r="F49" s="2560"/>
      <c r="G49" s="2560"/>
      <c r="H49" s="2560"/>
      <c r="I49" s="2560"/>
      <c r="J49" s="2560"/>
      <c r="K49" s="2560"/>
      <c r="L49" s="2560"/>
      <c r="M49" s="2581"/>
      <c r="N49" s="2559"/>
    </row>
    <row r="50" spans="1:14" s="5" customFormat="1" ht="16.5" hidden="1">
      <c r="A50" s="1619"/>
      <c r="B50" s="2801" t="s">
        <v>161</v>
      </c>
      <c r="C50" s="2579">
        <v>15661.311350490001</v>
      </c>
      <c r="D50" s="2560">
        <v>6036.976762620001</v>
      </c>
      <c r="E50" s="2560">
        <v>6400.6685472599993</v>
      </c>
      <c r="F50" s="2560">
        <v>489.58771497999999</v>
      </c>
      <c r="G50" s="2560">
        <v>0</v>
      </c>
      <c r="H50" s="2560">
        <v>0</v>
      </c>
      <c r="I50" s="2560">
        <v>0</v>
      </c>
      <c r="J50" s="2560">
        <v>0</v>
      </c>
      <c r="K50" s="2560">
        <v>0</v>
      </c>
      <c r="L50" s="2560">
        <v>1110.1164125299999</v>
      </c>
      <c r="M50" s="2581">
        <f>'[11]DMB Liabilites'!AP11</f>
        <v>1623.9619130999999</v>
      </c>
      <c r="N50" s="2356"/>
    </row>
    <row r="51" spans="1:14" s="5" customFormat="1" ht="16.5" hidden="1">
      <c r="A51" s="1619"/>
      <c r="B51" s="2801" t="s">
        <v>162</v>
      </c>
      <c r="C51" s="2579">
        <v>15488.863277660002</v>
      </c>
      <c r="D51" s="2560">
        <v>5393.7159434799996</v>
      </c>
      <c r="E51" s="2560">
        <v>6458.8240160099995</v>
      </c>
      <c r="F51" s="2560">
        <v>478.53033894000004</v>
      </c>
      <c r="G51" s="2560">
        <v>324.09249225000002</v>
      </c>
      <c r="H51" s="2560">
        <v>324.09249225000002</v>
      </c>
      <c r="I51" s="2560">
        <v>0</v>
      </c>
      <c r="J51" s="2560">
        <v>0</v>
      </c>
      <c r="K51" s="2560">
        <v>0</v>
      </c>
      <c r="L51" s="2560">
        <v>1116.02526646</v>
      </c>
      <c r="M51" s="2581">
        <f>'[11]DMB Liabilites'!AP12</f>
        <v>1717.6752205200046</v>
      </c>
      <c r="N51" s="2356"/>
    </row>
    <row r="52" spans="1:14" s="5" customFormat="1" ht="16.5" hidden="1">
      <c r="A52" s="1619"/>
      <c r="B52" s="2801" t="s">
        <v>163</v>
      </c>
      <c r="C52" s="2579">
        <v>16172.21789503</v>
      </c>
      <c r="D52" s="2560">
        <v>5350.8213672399997</v>
      </c>
      <c r="E52" s="2560">
        <v>6461.38853776</v>
      </c>
      <c r="F52" s="2560">
        <v>650.97690609999995</v>
      </c>
      <c r="G52" s="2560">
        <v>1014.5811269</v>
      </c>
      <c r="H52" s="2560">
        <v>1014.5811269</v>
      </c>
      <c r="I52" s="2560">
        <v>0</v>
      </c>
      <c r="J52" s="2560">
        <v>0</v>
      </c>
      <c r="K52" s="2560">
        <v>0</v>
      </c>
      <c r="L52" s="2560">
        <v>1140.10642069</v>
      </c>
      <c r="M52" s="2581">
        <f>'[11]DMB Liabilites'!AP13</f>
        <v>1554.3435363399985</v>
      </c>
      <c r="N52" s="2356"/>
    </row>
    <row r="53" spans="1:14" s="5" customFormat="1" ht="16.5" hidden="1">
      <c r="A53" s="1619"/>
      <c r="B53" s="2801" t="s">
        <v>164</v>
      </c>
      <c r="C53" s="2579">
        <v>17468.045998760004</v>
      </c>
      <c r="D53" s="2560">
        <v>6018.7797172899991</v>
      </c>
      <c r="E53" s="2560">
        <v>6556.1824299599994</v>
      </c>
      <c r="F53" s="2560">
        <v>1372.02375856</v>
      </c>
      <c r="G53" s="2560">
        <v>380.33457411000001</v>
      </c>
      <c r="H53" s="2560">
        <v>380.33457411000001</v>
      </c>
      <c r="I53" s="2560">
        <v>0</v>
      </c>
      <c r="J53" s="2560">
        <v>0</v>
      </c>
      <c r="K53" s="2560">
        <v>0</v>
      </c>
      <c r="L53" s="2560">
        <v>1143.9834269799999</v>
      </c>
      <c r="M53" s="2581">
        <f>'[11]DMB Liabilites'!AP14</f>
        <v>1996.7420918600037</v>
      </c>
      <c r="N53" s="2356"/>
    </row>
    <row r="54" spans="1:14" s="5" customFormat="1" ht="16.5" hidden="1">
      <c r="A54" s="1619"/>
      <c r="B54" s="2801" t="s">
        <v>165</v>
      </c>
      <c r="C54" s="2579">
        <v>17804.124710030002</v>
      </c>
      <c r="D54" s="2560">
        <v>6461.2838714799991</v>
      </c>
      <c r="E54" s="2560">
        <v>7053.6261482</v>
      </c>
      <c r="F54" s="2560">
        <v>1227.99490143</v>
      </c>
      <c r="G54" s="2560">
        <v>1408.62749478</v>
      </c>
      <c r="H54" s="2560">
        <v>1408.62749478</v>
      </c>
      <c r="I54" s="2560">
        <v>0</v>
      </c>
      <c r="J54" s="2560">
        <v>0</v>
      </c>
      <c r="K54" s="2560">
        <v>0</v>
      </c>
      <c r="L54" s="2560">
        <v>1160.53128128</v>
      </c>
      <c r="M54" s="2581">
        <f>'[11]DMB Liabilites'!AP15</f>
        <v>492.06101286000558</v>
      </c>
      <c r="N54" s="2356"/>
    </row>
    <row r="55" spans="1:14" ht="16.5" hidden="1">
      <c r="A55" s="1978"/>
      <c r="B55" s="2801" t="s">
        <v>147</v>
      </c>
      <c r="C55" s="2579">
        <v>17624.107851599998</v>
      </c>
      <c r="D55" s="2560">
        <v>5803.5300830400001</v>
      </c>
      <c r="E55" s="2560">
        <v>7211.5929645300002</v>
      </c>
      <c r="F55" s="2560">
        <v>1190.5312204100001</v>
      </c>
      <c r="G55" s="2560">
        <v>0</v>
      </c>
      <c r="H55" s="2560">
        <v>0</v>
      </c>
      <c r="I55" s="2560">
        <v>0</v>
      </c>
      <c r="J55" s="2560">
        <v>0</v>
      </c>
      <c r="K55" s="2560">
        <v>0</v>
      </c>
      <c r="L55" s="2560">
        <v>1177.9558712999999</v>
      </c>
      <c r="M55" s="2581">
        <f>'[11]DMB Liabilites'!AP16</f>
        <v>2240.4977123199969</v>
      </c>
      <c r="N55" s="2356"/>
    </row>
    <row r="56" spans="1:14" ht="16.5" hidden="1">
      <c r="A56" s="1978"/>
      <c r="B56" s="2801" t="s">
        <v>184</v>
      </c>
      <c r="C56" s="2579">
        <v>17789.270765879999</v>
      </c>
      <c r="D56" s="2560">
        <v>6894.7396649600014</v>
      </c>
      <c r="E56" s="2560">
        <v>7391.8428773699989</v>
      </c>
      <c r="F56" s="2560">
        <v>1147.2460268699999</v>
      </c>
      <c r="G56" s="2560">
        <v>135.09892672000001</v>
      </c>
      <c r="H56" s="2560">
        <v>135.09892672000001</v>
      </c>
      <c r="I56" s="2560">
        <v>0</v>
      </c>
      <c r="J56" s="2560">
        <v>0</v>
      </c>
      <c r="K56" s="2560">
        <v>0</v>
      </c>
      <c r="L56" s="2560">
        <v>1194.76097985</v>
      </c>
      <c r="M56" s="2581">
        <f>'[11]DMB Liabilites'!AP17</f>
        <v>1025.5822901099964</v>
      </c>
      <c r="N56" s="2356"/>
    </row>
    <row r="57" spans="1:14" ht="16.5" hidden="1">
      <c r="A57" s="1978"/>
      <c r="B57" s="2801" t="s">
        <v>168</v>
      </c>
      <c r="C57" s="2579">
        <v>18078.322294029997</v>
      </c>
      <c r="D57" s="2560">
        <v>6303.7990885099989</v>
      </c>
      <c r="E57" s="2560">
        <v>7378.3851131900019</v>
      </c>
      <c r="F57" s="2560">
        <v>1164.79514036</v>
      </c>
      <c r="G57" s="2560">
        <v>1013.28943127</v>
      </c>
      <c r="H57" s="2560">
        <v>1013.28943127</v>
      </c>
      <c r="I57" s="2560">
        <v>0</v>
      </c>
      <c r="J57" s="2560">
        <v>0</v>
      </c>
      <c r="K57" s="2560">
        <v>0</v>
      </c>
      <c r="L57" s="2560">
        <v>1194.6821697400001</v>
      </c>
      <c r="M57" s="2581">
        <f>'[11]DMB Liabilites'!AP18</f>
        <v>1023.3713509599947</v>
      </c>
      <c r="N57" s="2356"/>
    </row>
    <row r="58" spans="1:14" ht="16.5" hidden="1">
      <c r="A58" s="1978"/>
      <c r="B58" s="2801" t="s">
        <v>183</v>
      </c>
      <c r="C58" s="2579">
        <v>17663.228916170003</v>
      </c>
      <c r="D58" s="2560">
        <v>7560.3282836900016</v>
      </c>
      <c r="E58" s="2560">
        <v>7014.7362794900009</v>
      </c>
      <c r="F58" s="2560">
        <v>1127.2013240199999</v>
      </c>
      <c r="G58" s="2560">
        <v>0</v>
      </c>
      <c r="H58" s="2560">
        <v>0</v>
      </c>
      <c r="I58" s="2560">
        <v>0</v>
      </c>
      <c r="J58" s="2560">
        <v>0</v>
      </c>
      <c r="K58" s="2560">
        <v>0</v>
      </c>
      <c r="L58" s="2560">
        <v>1272.9401678899999</v>
      </c>
      <c r="M58" s="2581">
        <f>'[11]DMB Liabilites'!AP19</f>
        <v>688.02286108000044</v>
      </c>
      <c r="N58" s="2356"/>
    </row>
    <row r="59" spans="1:14" ht="16.5" hidden="1">
      <c r="A59" s="1978"/>
      <c r="B59" s="2801" t="s">
        <v>170</v>
      </c>
      <c r="C59" s="2579">
        <v>17578.030888870002</v>
      </c>
      <c r="D59" s="2560">
        <v>7026.8619273599998</v>
      </c>
      <c r="E59" s="2560">
        <v>6786.2220510700008</v>
      </c>
      <c r="F59" s="2560">
        <v>1126.5621275999999</v>
      </c>
      <c r="G59" s="2560">
        <v>130.59451729</v>
      </c>
      <c r="H59" s="2560">
        <v>130.59451729</v>
      </c>
      <c r="I59" s="2560">
        <v>0</v>
      </c>
      <c r="J59" s="2560">
        <v>0</v>
      </c>
      <c r="K59" s="2560">
        <v>0</v>
      </c>
      <c r="L59" s="2560">
        <v>1289.96568312</v>
      </c>
      <c r="M59" s="2581">
        <f>'[11]DMB Liabilites'!AP20</f>
        <v>1217.8245824300029</v>
      </c>
      <c r="N59" s="2356"/>
    </row>
    <row r="60" spans="1:14" ht="16.5" hidden="1">
      <c r="A60" s="1978"/>
      <c r="B60" s="2801" t="s">
        <v>171</v>
      </c>
      <c r="C60" s="2579">
        <v>17288.401106109999</v>
      </c>
      <c r="D60" s="2560">
        <v>7093.7003120099998</v>
      </c>
      <c r="E60" s="2560">
        <v>7005.0564319400009</v>
      </c>
      <c r="F60" s="2560">
        <v>1108.1375043</v>
      </c>
      <c r="G60" s="2560">
        <v>0</v>
      </c>
      <c r="H60" s="2560">
        <v>0</v>
      </c>
      <c r="I60" s="2560">
        <v>0</v>
      </c>
      <c r="J60" s="2560">
        <v>0</v>
      </c>
      <c r="K60" s="2560">
        <v>0</v>
      </c>
      <c r="L60" s="2560">
        <v>1299.80868033</v>
      </c>
      <c r="M60" s="2581">
        <f>'[11]DMB Liabilites'!AP21</f>
        <v>781.69817752999734</v>
      </c>
      <c r="N60" s="2356"/>
    </row>
    <row r="61" spans="1:14" ht="16.5">
      <c r="A61" s="1978"/>
      <c r="B61" s="2813">
        <v>2003</v>
      </c>
      <c r="C61" s="2579">
        <v>16964.028335019997</v>
      </c>
      <c r="D61" s="2560">
        <v>5937.4949364900003</v>
      </c>
      <c r="E61" s="2560">
        <v>7010.7478494099996</v>
      </c>
      <c r="F61" s="2560">
        <v>1046.3483946000001</v>
      </c>
      <c r="G61" s="2560">
        <v>0</v>
      </c>
      <c r="H61" s="2560">
        <v>0</v>
      </c>
      <c r="I61" s="2560">
        <v>0</v>
      </c>
      <c r="J61" s="2560">
        <v>0</v>
      </c>
      <c r="K61" s="2560">
        <v>0</v>
      </c>
      <c r="L61" s="2560">
        <v>1637.6974391900001</v>
      </c>
      <c r="M61" s="2581">
        <f>'[11]DMB Liabilites'!AP22</f>
        <v>1331.7397153299971</v>
      </c>
      <c r="N61" s="2356"/>
    </row>
    <row r="62" spans="1:14" ht="16.5" hidden="1">
      <c r="A62" s="1978"/>
      <c r="B62" s="2813">
        <v>2004</v>
      </c>
      <c r="C62" s="2579"/>
      <c r="D62" s="2560"/>
      <c r="E62" s="2560"/>
      <c r="F62" s="2560"/>
      <c r="G62" s="2560">
        <v>0</v>
      </c>
      <c r="H62" s="2560"/>
      <c r="I62" s="2560"/>
      <c r="J62" s="2560"/>
      <c r="K62" s="2560"/>
      <c r="L62" s="2560"/>
      <c r="M62" s="2581"/>
      <c r="N62" s="2559"/>
    </row>
    <row r="63" spans="1:14" ht="16.5" hidden="1">
      <c r="A63" s="1978"/>
      <c r="B63" s="2801" t="s">
        <v>161</v>
      </c>
      <c r="C63" s="2579">
        <v>17910.486412759998</v>
      </c>
      <c r="D63" s="2560">
        <v>6446.6702376000003</v>
      </c>
      <c r="E63" s="2560">
        <v>7291.3895889100004</v>
      </c>
      <c r="F63" s="2560">
        <v>1193.4774820600001</v>
      </c>
      <c r="G63" s="2560">
        <v>0</v>
      </c>
      <c r="H63" s="2560">
        <v>0</v>
      </c>
      <c r="I63" s="2560">
        <v>0</v>
      </c>
      <c r="J63" s="2560">
        <v>0</v>
      </c>
      <c r="K63" s="2560">
        <v>0</v>
      </c>
      <c r="L63" s="2560">
        <v>1654.1532911000002</v>
      </c>
      <c r="M63" s="2581">
        <f>'[11]DMB Liabilites'!AP23</f>
        <v>1324.795813089997</v>
      </c>
      <c r="N63" s="2356"/>
    </row>
    <row r="64" spans="1:14" ht="16.5" hidden="1">
      <c r="A64" s="1978"/>
      <c r="B64" s="2801" t="s">
        <v>162</v>
      </c>
      <c r="C64" s="2579">
        <v>17453.411702079997</v>
      </c>
      <c r="D64" s="2560">
        <v>6297.8904724999993</v>
      </c>
      <c r="E64" s="2560">
        <v>7466.2524743900003</v>
      </c>
      <c r="F64" s="2560">
        <v>1154.66222844</v>
      </c>
      <c r="G64" s="2560">
        <v>0</v>
      </c>
      <c r="H64" s="2560">
        <v>0</v>
      </c>
      <c r="I64" s="2560">
        <v>0</v>
      </c>
      <c r="J64" s="2560">
        <v>0</v>
      </c>
      <c r="K64" s="2560">
        <v>0</v>
      </c>
      <c r="L64" s="2560">
        <v>1658.6114993200001</v>
      </c>
      <c r="M64" s="2581">
        <f>'[11]DMB Liabilites'!AP24</f>
        <v>875.99502742999903</v>
      </c>
      <c r="N64" s="2356"/>
    </row>
    <row r="65" spans="1:14" ht="16.5" hidden="1">
      <c r="A65" s="1978"/>
      <c r="B65" s="2801" t="s">
        <v>163</v>
      </c>
      <c r="C65" s="2579">
        <v>17806.473903909999</v>
      </c>
      <c r="D65" s="2560">
        <v>5498.7524198499996</v>
      </c>
      <c r="E65" s="2560">
        <v>7484.6924795700015</v>
      </c>
      <c r="F65" s="2560">
        <v>1264.0283122399999</v>
      </c>
      <c r="G65" s="2560">
        <v>719.27044694000006</v>
      </c>
      <c r="H65" s="2560">
        <v>719.27044694000006</v>
      </c>
      <c r="I65" s="2560">
        <v>0</v>
      </c>
      <c r="J65" s="2560">
        <v>0</v>
      </c>
      <c r="K65" s="2560">
        <v>0</v>
      </c>
      <c r="L65" s="2560">
        <v>1683.4952644900002</v>
      </c>
      <c r="M65" s="2581">
        <f>'[11]DMB Liabilites'!AP25</f>
        <v>1156.2349808199979</v>
      </c>
      <c r="N65" s="2356"/>
    </row>
    <row r="66" spans="1:14" ht="16.5" hidden="1">
      <c r="A66" s="1978"/>
      <c r="B66" s="2801" t="s">
        <v>164</v>
      </c>
      <c r="C66" s="2579">
        <v>19058.30481845</v>
      </c>
      <c r="D66" s="2560">
        <v>7733.2136017099983</v>
      </c>
      <c r="E66" s="2560">
        <v>7505.8460034099999</v>
      </c>
      <c r="F66" s="2560">
        <v>1176.3855386999999</v>
      </c>
      <c r="G66" s="2560">
        <v>842.78836601</v>
      </c>
      <c r="H66" s="2560">
        <v>842.78836601</v>
      </c>
      <c r="I66" s="2560">
        <v>0</v>
      </c>
      <c r="J66" s="2560">
        <v>0</v>
      </c>
      <c r="K66" s="2560">
        <v>0</v>
      </c>
      <c r="L66" s="2560">
        <v>1690.4780700699998</v>
      </c>
      <c r="M66" s="2581">
        <f>'[11]DMB Liabilites'!AP26</f>
        <v>109.59323855000184</v>
      </c>
      <c r="N66" s="2356"/>
    </row>
    <row r="67" spans="1:14" ht="16.5" hidden="1">
      <c r="A67" s="1978"/>
      <c r="B67" s="2801" t="s">
        <v>165</v>
      </c>
      <c r="C67" s="2579">
        <v>18415.95386551</v>
      </c>
      <c r="D67" s="2560">
        <v>6771.3403118699998</v>
      </c>
      <c r="E67" s="2560">
        <v>7639.2676026499994</v>
      </c>
      <c r="F67" s="2560">
        <v>726.42611239999997</v>
      </c>
      <c r="G67" s="2560">
        <v>739.04907075000006</v>
      </c>
      <c r="H67" s="2560">
        <v>739.04907075000006</v>
      </c>
      <c r="I67" s="2560">
        <v>0</v>
      </c>
      <c r="J67" s="2560">
        <v>0</v>
      </c>
      <c r="K67" s="2560">
        <v>0</v>
      </c>
      <c r="L67" s="2560">
        <v>1708.3142090000001</v>
      </c>
      <c r="M67" s="2581">
        <f>'[11]DMB Liabilites'!AP27</f>
        <v>831.55655884000225</v>
      </c>
      <c r="N67" s="2356"/>
    </row>
    <row r="68" spans="1:14" ht="16.5" hidden="1">
      <c r="A68" s="1978"/>
      <c r="B68" s="2801" t="s">
        <v>166</v>
      </c>
      <c r="C68" s="2579">
        <v>17698.110651809999</v>
      </c>
      <c r="D68" s="2560">
        <v>6509.4443203600003</v>
      </c>
      <c r="E68" s="2560">
        <v>7463.6011830800007</v>
      </c>
      <c r="F68" s="2560">
        <v>604.3964469099999</v>
      </c>
      <c r="G68" s="2560">
        <v>1061.6331291900001</v>
      </c>
      <c r="H68" s="2560">
        <v>1061.6331291900001</v>
      </c>
      <c r="I68" s="2560">
        <v>0</v>
      </c>
      <c r="J68" s="2560">
        <v>0</v>
      </c>
      <c r="K68" s="2560">
        <v>0</v>
      </c>
      <c r="L68" s="2560">
        <v>1762.9579078900001</v>
      </c>
      <c r="M68" s="2581">
        <f>'[11]DMB Liabilites'!AP28</f>
        <v>296.07766437999817</v>
      </c>
      <c r="N68" s="2356"/>
    </row>
    <row r="69" spans="1:14" ht="16.5" hidden="1">
      <c r="A69" s="1978"/>
      <c r="B69" s="2801" t="s">
        <v>184</v>
      </c>
      <c r="C69" s="2579">
        <v>17171.434797860002</v>
      </c>
      <c r="D69" s="2560">
        <v>5920.8911125000004</v>
      </c>
      <c r="E69" s="2560">
        <v>7837.1815196200005</v>
      </c>
      <c r="F69" s="2560">
        <v>577.66744080000001</v>
      </c>
      <c r="G69" s="2560">
        <v>1052.71343361</v>
      </c>
      <c r="H69" s="2560">
        <v>1052.71343361</v>
      </c>
      <c r="I69" s="2560">
        <v>0</v>
      </c>
      <c r="J69" s="2560">
        <v>0</v>
      </c>
      <c r="K69" s="2560">
        <v>0</v>
      </c>
      <c r="L69" s="2560">
        <v>1741.1598058000002</v>
      </c>
      <c r="M69" s="2581">
        <f>'[11]DMB Liabilites'!AP29</f>
        <v>41.821485529999336</v>
      </c>
      <c r="N69" s="2356"/>
    </row>
    <row r="70" spans="1:14" ht="16.5" hidden="1">
      <c r="A70" s="1978"/>
      <c r="B70" s="2801" t="s">
        <v>168</v>
      </c>
      <c r="C70" s="2579">
        <v>17532.232266209998</v>
      </c>
      <c r="D70" s="2560">
        <v>5730.6731426599999</v>
      </c>
      <c r="E70" s="2560">
        <v>8032.5989489100011</v>
      </c>
      <c r="F70" s="2560">
        <v>693.84744877000003</v>
      </c>
      <c r="G70" s="2560">
        <v>568.51560954000001</v>
      </c>
      <c r="H70" s="2560">
        <v>568.51560954000001</v>
      </c>
      <c r="I70" s="2560">
        <v>0</v>
      </c>
      <c r="J70" s="2560">
        <v>0</v>
      </c>
      <c r="K70" s="2560">
        <v>0</v>
      </c>
      <c r="L70" s="2560">
        <v>1739.5105094999999</v>
      </c>
      <c r="M70" s="2581">
        <f>'[11]DMB Liabilites'!AP30</f>
        <v>767.08660682999471</v>
      </c>
      <c r="N70" s="2356"/>
    </row>
    <row r="71" spans="1:14" ht="16.5" hidden="1">
      <c r="A71" s="1978"/>
      <c r="B71" s="2801" t="s">
        <v>169</v>
      </c>
      <c r="C71" s="2579">
        <v>16559.149333629997</v>
      </c>
      <c r="D71" s="2560">
        <v>5215.6354729899995</v>
      </c>
      <c r="E71" s="2560">
        <v>7730.2909562800005</v>
      </c>
      <c r="F71" s="2560">
        <v>567.73468448000006</v>
      </c>
      <c r="G71" s="2560">
        <v>0</v>
      </c>
      <c r="H71" s="2560">
        <v>0</v>
      </c>
      <c r="I71" s="2560">
        <v>0</v>
      </c>
      <c r="J71" s="2560">
        <v>0</v>
      </c>
      <c r="K71" s="2560">
        <v>0</v>
      </c>
      <c r="L71" s="2560">
        <v>1778.9898209399998</v>
      </c>
      <c r="M71" s="2581">
        <f>'[11]DMB Liabilites'!AP31</f>
        <v>1266.4983989400007</v>
      </c>
      <c r="N71" s="2356"/>
    </row>
    <row r="72" spans="1:14" ht="16.5" hidden="1">
      <c r="A72" s="1978"/>
      <c r="B72" s="2801" t="s">
        <v>170</v>
      </c>
      <c r="C72" s="2579">
        <v>18515.475146769997</v>
      </c>
      <c r="D72" s="2560">
        <v>6608.8321047200006</v>
      </c>
      <c r="E72" s="2560">
        <v>8947.7962803899991</v>
      </c>
      <c r="F72" s="2560">
        <v>507.91109833999997</v>
      </c>
      <c r="G72" s="2560">
        <v>0</v>
      </c>
      <c r="H72" s="2560">
        <v>0</v>
      </c>
      <c r="I72" s="2560">
        <v>0</v>
      </c>
      <c r="J72" s="2560">
        <v>0</v>
      </c>
      <c r="K72" s="2560">
        <v>0</v>
      </c>
      <c r="L72" s="2560">
        <v>1783.8314164799999</v>
      </c>
      <c r="M72" s="2581">
        <f>'[11]DMB Liabilites'!AP32</f>
        <v>667.10424683999736</v>
      </c>
      <c r="N72" s="2356"/>
    </row>
    <row r="73" spans="1:14" ht="16.5" hidden="1">
      <c r="A73" s="1978"/>
      <c r="B73" s="2801" t="s">
        <v>171</v>
      </c>
      <c r="C73" s="2579">
        <v>20907.04604212</v>
      </c>
      <c r="D73" s="2560">
        <v>8035.5679065899994</v>
      </c>
      <c r="E73" s="2560">
        <v>9015.9913391499995</v>
      </c>
      <c r="F73" s="2560">
        <v>558.11234403000003</v>
      </c>
      <c r="G73" s="2560">
        <v>0</v>
      </c>
      <c r="H73" s="2560">
        <v>0</v>
      </c>
      <c r="I73" s="2560">
        <v>0</v>
      </c>
      <c r="J73" s="2560">
        <v>0</v>
      </c>
      <c r="K73" s="2560">
        <v>0</v>
      </c>
      <c r="L73" s="2560">
        <v>1798.7365998299999</v>
      </c>
      <c r="M73" s="2581">
        <f>'[11]DMB Liabilites'!AP33</f>
        <v>1498.6378525200016</v>
      </c>
      <c r="N73" s="2356"/>
    </row>
    <row r="74" spans="1:14" ht="16.5">
      <c r="A74" s="1978"/>
      <c r="B74" s="2813">
        <v>2004</v>
      </c>
      <c r="C74" s="2579">
        <v>19532.28618431</v>
      </c>
      <c r="D74" s="2560">
        <v>6822.2193921299986</v>
      </c>
      <c r="E74" s="2560">
        <v>8947.3491612399994</v>
      </c>
      <c r="F74" s="2560">
        <v>588.69175787999995</v>
      </c>
      <c r="G74" s="2560">
        <v>0</v>
      </c>
      <c r="H74" s="2560">
        <v>0</v>
      </c>
      <c r="I74" s="2560">
        <v>0</v>
      </c>
      <c r="J74" s="2560">
        <v>-9.9999904632568362E-9</v>
      </c>
      <c r="K74" s="2560">
        <v>0</v>
      </c>
      <c r="L74" s="2560">
        <v>1823.6554787399998</v>
      </c>
      <c r="M74" s="2581">
        <f>'[11]DMB Liabilites'!AP34</f>
        <v>1350.3703943300025</v>
      </c>
      <c r="N74" s="2356"/>
    </row>
    <row r="75" spans="1:14" ht="16.5" hidden="1">
      <c r="A75" s="1978"/>
      <c r="B75" s="2813">
        <v>2005</v>
      </c>
      <c r="C75" s="2579"/>
      <c r="D75" s="2560"/>
      <c r="E75" s="2560"/>
      <c r="F75" s="2560"/>
      <c r="G75" s="2560">
        <v>0</v>
      </c>
      <c r="H75" s="2560"/>
      <c r="I75" s="2560"/>
      <c r="J75" s="2560"/>
      <c r="K75" s="2560"/>
      <c r="L75" s="2560"/>
      <c r="M75" s="2581"/>
      <c r="N75" s="2559"/>
    </row>
    <row r="76" spans="1:14" ht="16.5" hidden="1">
      <c r="A76" s="1978"/>
      <c r="B76" s="2801" t="s">
        <v>161</v>
      </c>
      <c r="C76" s="2579">
        <v>19199.076793939999</v>
      </c>
      <c r="D76" s="2560">
        <v>6562.0894362200006</v>
      </c>
      <c r="E76" s="2560">
        <v>8981.1652829200011</v>
      </c>
      <c r="F76" s="2560">
        <v>582.60752817000002</v>
      </c>
      <c r="G76" s="2560">
        <v>0</v>
      </c>
      <c r="H76" s="2560">
        <v>0</v>
      </c>
      <c r="I76" s="2560">
        <v>0</v>
      </c>
      <c r="J76" s="2560">
        <v>0</v>
      </c>
      <c r="K76" s="2560">
        <v>0</v>
      </c>
      <c r="L76" s="2560">
        <v>1836.97476517</v>
      </c>
      <c r="M76" s="2581">
        <f>'[11]DMB Liabilites'!AP35</f>
        <v>1236.2397814600008</v>
      </c>
      <c r="N76" s="2356"/>
    </row>
    <row r="77" spans="1:14" ht="16.5" hidden="1">
      <c r="A77" s="1978"/>
      <c r="B77" s="2801" t="s">
        <v>162</v>
      </c>
      <c r="C77" s="2579">
        <v>19014.187111970001</v>
      </c>
      <c r="D77" s="2560">
        <v>6509.2555989899993</v>
      </c>
      <c r="E77" s="2560">
        <v>9073.7486067900008</v>
      </c>
      <c r="F77" s="2560">
        <v>487.20314585000006</v>
      </c>
      <c r="G77" s="2560">
        <v>0</v>
      </c>
      <c r="H77" s="2560">
        <v>0</v>
      </c>
      <c r="I77" s="2560">
        <v>0</v>
      </c>
      <c r="J77" s="2560">
        <v>0</v>
      </c>
      <c r="K77" s="2560">
        <v>0</v>
      </c>
      <c r="L77" s="2560">
        <v>1841.3098620399999</v>
      </c>
      <c r="M77" s="2581">
        <f>'[11]DMB Liabilites'!AP36</f>
        <v>1102.6698982999987</v>
      </c>
      <c r="N77" s="2356"/>
    </row>
    <row r="78" spans="1:14" ht="16.5" hidden="1">
      <c r="A78" s="1978"/>
      <c r="B78" s="2801" t="s">
        <v>163</v>
      </c>
      <c r="C78" s="2579">
        <v>19953.255355460002</v>
      </c>
      <c r="D78" s="2560">
        <v>7496.6727109799995</v>
      </c>
      <c r="E78" s="2560">
        <v>8163.0069617999998</v>
      </c>
      <c r="F78" s="2560">
        <v>461.36338778000004</v>
      </c>
      <c r="G78" s="2560">
        <v>0</v>
      </c>
      <c r="H78" s="2560">
        <v>0</v>
      </c>
      <c r="I78" s="2560">
        <v>0</v>
      </c>
      <c r="J78" s="2560">
        <v>0</v>
      </c>
      <c r="K78" s="2560">
        <v>0</v>
      </c>
      <c r="L78" s="2560">
        <v>1870.1590655999998</v>
      </c>
      <c r="M78" s="2581">
        <f>'[11]DMB Liabilites'!AP37</f>
        <v>1962.0532293000033</v>
      </c>
      <c r="N78" s="2356"/>
    </row>
    <row r="79" spans="1:14" ht="16.5" hidden="1">
      <c r="A79" s="1978"/>
      <c r="B79" s="2801" t="s">
        <v>164</v>
      </c>
      <c r="C79" s="2579">
        <v>18307.523685460004</v>
      </c>
      <c r="D79" s="2560">
        <v>6617.4211838000001</v>
      </c>
      <c r="E79" s="2560">
        <v>8228.3448226499986</v>
      </c>
      <c r="F79" s="2560">
        <v>455.48506249999997</v>
      </c>
      <c r="G79" s="2560">
        <v>0</v>
      </c>
      <c r="H79" s="2560">
        <v>0</v>
      </c>
      <c r="I79" s="2560">
        <v>0</v>
      </c>
      <c r="J79" s="2560">
        <v>0</v>
      </c>
      <c r="K79" s="2560">
        <v>0</v>
      </c>
      <c r="L79" s="2560">
        <v>1870.1909042299999</v>
      </c>
      <c r="M79" s="2581">
        <f>'[11]DMB Liabilites'!AP38</f>
        <v>1136.0817122800072</v>
      </c>
      <c r="N79" s="2356"/>
    </row>
    <row r="80" spans="1:14" ht="16.5" hidden="1">
      <c r="A80" s="1978"/>
      <c r="B80" s="2801" t="s">
        <v>165</v>
      </c>
      <c r="C80" s="2579">
        <v>19562.732269279997</v>
      </c>
      <c r="D80" s="2560">
        <v>7082.1779484299996</v>
      </c>
      <c r="E80" s="2560">
        <v>9323.9799788900018</v>
      </c>
      <c r="F80" s="2560">
        <v>492.22756963</v>
      </c>
      <c r="G80" s="2560">
        <v>0</v>
      </c>
      <c r="H80" s="2560">
        <v>0</v>
      </c>
      <c r="I80" s="2560">
        <v>0</v>
      </c>
      <c r="J80" s="2560">
        <v>0</v>
      </c>
      <c r="K80" s="2560">
        <v>0</v>
      </c>
      <c r="L80" s="2560">
        <v>1880.5521715899999</v>
      </c>
      <c r="M80" s="2581">
        <f>'[11]DMB Liabilites'!AP39</f>
        <v>783.79460073999871</v>
      </c>
      <c r="N80" s="2356"/>
    </row>
    <row r="81" spans="1:14" ht="16.5" hidden="1">
      <c r="A81" s="1978"/>
      <c r="B81" s="2801" t="s">
        <v>166</v>
      </c>
      <c r="C81" s="2579">
        <v>18738.503437219999</v>
      </c>
      <c r="D81" s="2560">
        <v>7028.4941063799997</v>
      </c>
      <c r="E81" s="2560">
        <v>8559.8728751500003</v>
      </c>
      <c r="F81" s="2560">
        <v>485.20391004999999</v>
      </c>
      <c r="G81" s="2560">
        <v>0</v>
      </c>
      <c r="H81" s="2560">
        <v>0</v>
      </c>
      <c r="I81" s="2560">
        <v>0</v>
      </c>
      <c r="J81" s="2560">
        <v>0</v>
      </c>
      <c r="K81" s="2560">
        <v>0</v>
      </c>
      <c r="L81" s="2560">
        <v>1942.2044301699998</v>
      </c>
      <c r="M81" s="2581">
        <f>'[11]DMB Liabilites'!AP40</f>
        <v>722.72811546999947</v>
      </c>
      <c r="N81" s="2356"/>
    </row>
    <row r="82" spans="1:14" ht="16.5" hidden="1">
      <c r="A82" s="1978"/>
      <c r="B82" s="2801" t="s">
        <v>167</v>
      </c>
      <c r="C82" s="2579">
        <v>19277.425662770002</v>
      </c>
      <c r="D82" s="2560">
        <v>7039.1237150400002</v>
      </c>
      <c r="E82" s="2560">
        <v>8784.7535697999992</v>
      </c>
      <c r="F82" s="2560">
        <v>509.31892568000001</v>
      </c>
      <c r="G82" s="2560">
        <v>0</v>
      </c>
      <c r="H82" s="2560">
        <v>0</v>
      </c>
      <c r="I82" s="2560">
        <v>0</v>
      </c>
      <c r="J82" s="2560">
        <v>0</v>
      </c>
      <c r="K82" s="2560">
        <v>0</v>
      </c>
      <c r="L82" s="2560">
        <v>1934.47929045</v>
      </c>
      <c r="M82" s="2581">
        <f>'[11]DMB Liabilites'!AP41</f>
        <v>1009.7501618000024</v>
      </c>
      <c r="N82" s="2356"/>
    </row>
    <row r="83" spans="1:14" ht="16.5" hidden="1">
      <c r="A83" s="1978"/>
      <c r="B83" s="2801" t="s">
        <v>168</v>
      </c>
      <c r="C83" s="2579">
        <v>18539.553219000001</v>
      </c>
      <c r="D83" s="2560">
        <v>6634.5070678699994</v>
      </c>
      <c r="E83" s="2560">
        <v>8420.4471072400011</v>
      </c>
      <c r="F83" s="2560">
        <v>434.63900774000001</v>
      </c>
      <c r="G83" s="2560">
        <v>0</v>
      </c>
      <c r="H83" s="2560">
        <v>0</v>
      </c>
      <c r="I83" s="2560">
        <v>0</v>
      </c>
      <c r="J83" s="2560">
        <v>0</v>
      </c>
      <c r="K83" s="2560">
        <v>0</v>
      </c>
      <c r="L83" s="2560">
        <v>1950.0240689499999</v>
      </c>
      <c r="M83" s="2581">
        <f>'[11]DMB Liabilites'!AP42</f>
        <v>1099.9359672000028</v>
      </c>
      <c r="N83" s="2356"/>
    </row>
    <row r="84" spans="1:14" ht="16.5" hidden="1">
      <c r="A84" s="1978"/>
      <c r="B84" s="2801" t="s">
        <v>169</v>
      </c>
      <c r="C84" s="2579">
        <v>19236.253066609999</v>
      </c>
      <c r="D84" s="2560">
        <v>6567.9712774399995</v>
      </c>
      <c r="E84" s="2560">
        <v>8687.8707374200003</v>
      </c>
      <c r="F84" s="2560">
        <v>613.41778374</v>
      </c>
      <c r="G84" s="2560">
        <v>0</v>
      </c>
      <c r="H84" s="2560">
        <v>0</v>
      </c>
      <c r="I84" s="2560">
        <v>0</v>
      </c>
      <c r="J84" s="2560">
        <v>0</v>
      </c>
      <c r="K84" s="2560">
        <v>0</v>
      </c>
      <c r="L84" s="2560">
        <v>1981.2643481999999</v>
      </c>
      <c r="M84" s="2581">
        <f>'[11]DMB Liabilites'!AP43</f>
        <v>1385.7289198100007</v>
      </c>
      <c r="N84" s="2356"/>
    </row>
    <row r="85" spans="1:14" ht="16.5" hidden="1">
      <c r="A85" s="1978"/>
      <c r="B85" s="2801" t="s">
        <v>170</v>
      </c>
      <c r="C85" s="2579">
        <v>19530.066850930001</v>
      </c>
      <c r="D85" s="2560">
        <v>7427.9681834700004</v>
      </c>
      <c r="E85" s="2560">
        <v>8390.9627161299995</v>
      </c>
      <c r="F85" s="2560">
        <v>595.25184623999996</v>
      </c>
      <c r="G85" s="2560">
        <v>0</v>
      </c>
      <c r="H85" s="2560">
        <v>0</v>
      </c>
      <c r="I85" s="2560">
        <v>0</v>
      </c>
      <c r="J85" s="2560">
        <v>0</v>
      </c>
      <c r="K85" s="2560">
        <v>0</v>
      </c>
      <c r="L85" s="2560">
        <v>2008.7879294899999</v>
      </c>
      <c r="M85" s="2581">
        <f>'[11]DMB Liabilites'!AP44</f>
        <v>1107.0961755999997</v>
      </c>
      <c r="N85" s="2356"/>
    </row>
    <row r="86" spans="1:14" ht="16.5" hidden="1">
      <c r="A86" s="1978"/>
      <c r="B86" s="2801" t="s">
        <v>171</v>
      </c>
      <c r="C86" s="2579">
        <v>22181.98694418</v>
      </c>
      <c r="D86" s="2560">
        <v>8626.9536240400012</v>
      </c>
      <c r="E86" s="2560">
        <v>10073.686840569999</v>
      </c>
      <c r="F86" s="2560">
        <v>560.92239874999996</v>
      </c>
      <c r="G86" s="2560">
        <v>0</v>
      </c>
      <c r="H86" s="2560">
        <v>0</v>
      </c>
      <c r="I86" s="2560">
        <v>0</v>
      </c>
      <c r="J86" s="2560">
        <v>0</v>
      </c>
      <c r="K86" s="2560">
        <v>0</v>
      </c>
      <c r="L86" s="2560">
        <v>2026.6436059000002</v>
      </c>
      <c r="M86" s="2581">
        <f>'[11]DMB Liabilites'!AP45</f>
        <v>893.78047492000042</v>
      </c>
      <c r="N86" s="2356"/>
    </row>
    <row r="87" spans="1:14" ht="16.5">
      <c r="A87" s="1978"/>
      <c r="B87" s="2813">
        <v>2005</v>
      </c>
      <c r="C87" s="2579">
        <v>21879.193439610004</v>
      </c>
      <c r="D87" s="2560">
        <v>7830.5934991600006</v>
      </c>
      <c r="E87" s="2560">
        <v>10131.499256000001</v>
      </c>
      <c r="F87" s="2560">
        <v>502.78412302000004</v>
      </c>
      <c r="G87" s="2560">
        <v>0</v>
      </c>
      <c r="H87" s="2560">
        <v>0</v>
      </c>
      <c r="I87" s="2560">
        <v>0</v>
      </c>
      <c r="J87" s="2560">
        <v>0</v>
      </c>
      <c r="K87" s="2560">
        <v>0</v>
      </c>
      <c r="L87" s="2560">
        <v>2029.3915399</v>
      </c>
      <c r="M87" s="2581">
        <f>'[11]DMB Liabilites'!AP46</f>
        <v>1384.9250215300017</v>
      </c>
      <c r="N87" s="2356"/>
    </row>
    <row r="88" spans="1:14" ht="16.5" hidden="1">
      <c r="A88" s="1978"/>
      <c r="B88" s="2813">
        <v>2006</v>
      </c>
      <c r="C88" s="2579"/>
      <c r="D88" s="2560"/>
      <c r="E88" s="2560"/>
      <c r="F88" s="2560"/>
      <c r="G88" s="2560">
        <v>0</v>
      </c>
      <c r="H88" s="2560"/>
      <c r="I88" s="2560"/>
      <c r="J88" s="2560"/>
      <c r="K88" s="2560"/>
      <c r="L88" s="2560"/>
      <c r="M88" s="2581"/>
      <c r="N88" s="2559"/>
    </row>
    <row r="89" spans="1:14" ht="16.5" hidden="1">
      <c r="A89" s="1978"/>
      <c r="B89" s="2801" t="s">
        <v>161</v>
      </c>
      <c r="C89" s="2579">
        <v>22619.68761497</v>
      </c>
      <c r="D89" s="2560">
        <v>7227.652104920001</v>
      </c>
      <c r="E89" s="2560">
        <v>11272.089496000001</v>
      </c>
      <c r="F89" s="2560">
        <v>598.46065995999993</v>
      </c>
      <c r="G89" s="2560">
        <v>0</v>
      </c>
      <c r="H89" s="2560">
        <v>0</v>
      </c>
      <c r="I89" s="2560">
        <v>0</v>
      </c>
      <c r="J89" s="2560">
        <v>0</v>
      </c>
      <c r="K89" s="2560">
        <v>0</v>
      </c>
      <c r="L89" s="2560">
        <v>1987.2166997500001</v>
      </c>
      <c r="M89" s="2581">
        <f>'[11]DMB Liabilites'!AP47</f>
        <v>1534.2686543399977</v>
      </c>
      <c r="N89" s="2356"/>
    </row>
    <row r="90" spans="1:14" ht="16.5" hidden="1">
      <c r="A90" s="1978"/>
      <c r="B90" s="2801" t="s">
        <v>162</v>
      </c>
      <c r="C90" s="2579">
        <v>22203.069981620003</v>
      </c>
      <c r="D90" s="2560">
        <v>7160.1675425199992</v>
      </c>
      <c r="E90" s="2560">
        <v>11387.989654100002</v>
      </c>
      <c r="F90" s="2560">
        <v>616.21207950000007</v>
      </c>
      <c r="G90" s="2560">
        <v>0</v>
      </c>
      <c r="H90" s="2560">
        <v>0</v>
      </c>
      <c r="I90" s="2560">
        <v>0</v>
      </c>
      <c r="J90" s="2560">
        <v>0</v>
      </c>
      <c r="K90" s="2560">
        <v>0</v>
      </c>
      <c r="L90" s="2560">
        <v>1995.5844170800001</v>
      </c>
      <c r="M90" s="2581">
        <f>'[11]DMB Liabilites'!AP48</f>
        <v>1043.1162884200021</v>
      </c>
      <c r="N90" s="2356"/>
    </row>
    <row r="91" spans="1:14" ht="16.5" hidden="1">
      <c r="A91" s="1978"/>
      <c r="B91" s="2801" t="s">
        <v>163</v>
      </c>
      <c r="C91" s="2579">
        <v>23267.223659120002</v>
      </c>
      <c r="D91" s="2560">
        <v>8134.8054471699998</v>
      </c>
      <c r="E91" s="2560">
        <v>11167.04505377</v>
      </c>
      <c r="F91" s="2560">
        <v>651.09765496</v>
      </c>
      <c r="G91" s="2560">
        <v>0</v>
      </c>
      <c r="H91" s="2560">
        <v>0</v>
      </c>
      <c r="I91" s="2560">
        <v>0</v>
      </c>
      <c r="J91" s="2560">
        <v>0</v>
      </c>
      <c r="K91" s="2560">
        <v>0</v>
      </c>
      <c r="L91" s="2560">
        <v>2009.1692579600001</v>
      </c>
      <c r="M91" s="2581">
        <f>'[11]DMB Liabilites'!AP49</f>
        <v>1305.1062452600054</v>
      </c>
      <c r="N91" s="2356"/>
    </row>
    <row r="92" spans="1:14" ht="16.5" hidden="1">
      <c r="A92" s="1978"/>
      <c r="B92" s="2801" t="s">
        <v>164</v>
      </c>
      <c r="C92" s="2579">
        <v>24961.181886079998</v>
      </c>
      <c r="D92" s="2560">
        <v>9520.5658579299998</v>
      </c>
      <c r="E92" s="2560">
        <v>12152.732979910001</v>
      </c>
      <c r="F92" s="2560">
        <v>669.76841110999999</v>
      </c>
      <c r="G92" s="2560">
        <v>0</v>
      </c>
      <c r="H92" s="2560">
        <v>0</v>
      </c>
      <c r="I92" s="2560">
        <v>0</v>
      </c>
      <c r="J92" s="2560">
        <v>0</v>
      </c>
      <c r="K92" s="2560">
        <v>0</v>
      </c>
      <c r="L92" s="2560">
        <v>2064.4594488900002</v>
      </c>
      <c r="M92" s="2581">
        <f>'[11]DMB Liabilites'!AP50</f>
        <v>553.6551882399981</v>
      </c>
      <c r="N92" s="2356"/>
    </row>
    <row r="93" spans="1:14" ht="16.5" hidden="1">
      <c r="A93" s="1978"/>
      <c r="B93" s="2801" t="s">
        <v>165</v>
      </c>
      <c r="C93" s="2579">
        <v>23385.60378713</v>
      </c>
      <c r="D93" s="2560">
        <v>7673.2778448200006</v>
      </c>
      <c r="E93" s="2560">
        <v>12061.228278199998</v>
      </c>
      <c r="F93" s="2560">
        <v>617.37997668000003</v>
      </c>
      <c r="G93" s="2560">
        <v>0</v>
      </c>
      <c r="H93" s="2560">
        <v>0</v>
      </c>
      <c r="I93" s="2560">
        <v>0</v>
      </c>
      <c r="J93" s="2560">
        <v>0</v>
      </c>
      <c r="K93" s="2560">
        <v>0</v>
      </c>
      <c r="L93" s="2560">
        <v>2092.4774381500001</v>
      </c>
      <c r="M93" s="2581">
        <f>'[11]DMB Liabilites'!AP51</f>
        <v>941.24024927999926</v>
      </c>
      <c r="N93" s="2356"/>
    </row>
    <row r="94" spans="1:14" ht="16.5" hidden="1">
      <c r="A94" s="1978"/>
      <c r="B94" s="2801" t="s">
        <v>166</v>
      </c>
      <c r="C94" s="2579">
        <v>23888.663232769999</v>
      </c>
      <c r="D94" s="2560">
        <v>8063.1424155100003</v>
      </c>
      <c r="E94" s="2560">
        <v>11853.76784095</v>
      </c>
      <c r="F94" s="2560">
        <v>676.84914002999994</v>
      </c>
      <c r="G94" s="2560">
        <v>0</v>
      </c>
      <c r="H94" s="2560">
        <v>0</v>
      </c>
      <c r="I94" s="2560">
        <v>0</v>
      </c>
      <c r="J94" s="2560">
        <v>0</v>
      </c>
      <c r="K94" s="2560">
        <v>0</v>
      </c>
      <c r="L94" s="2560">
        <v>2148.9018954600001</v>
      </c>
      <c r="M94" s="2581">
        <f>'[11]DMB Liabilites'!AP52</f>
        <v>1146.0019408199987</v>
      </c>
      <c r="N94" s="2356"/>
    </row>
    <row r="95" spans="1:14" ht="16.5" hidden="1">
      <c r="A95" s="1978"/>
      <c r="B95" s="2801" t="s">
        <v>167</v>
      </c>
      <c r="C95" s="2579">
        <v>23905.455165439998</v>
      </c>
      <c r="D95" s="2560">
        <v>8088.5704701299992</v>
      </c>
      <c r="E95" s="2560">
        <v>11737.338742209999</v>
      </c>
      <c r="F95" s="2560">
        <v>702.64109959999996</v>
      </c>
      <c r="G95" s="2560">
        <v>0</v>
      </c>
      <c r="H95" s="2560">
        <v>0</v>
      </c>
      <c r="I95" s="2560">
        <v>0</v>
      </c>
      <c r="J95" s="2560">
        <v>0</v>
      </c>
      <c r="K95" s="2560">
        <v>0</v>
      </c>
      <c r="L95" s="2560">
        <v>2158.2624885200003</v>
      </c>
      <c r="M95" s="2581">
        <f>'[11]DMB Liabilites'!AP53</f>
        <v>1218.6423649799981</v>
      </c>
      <c r="N95" s="2356"/>
    </row>
    <row r="96" spans="1:14" ht="16.5" hidden="1">
      <c r="A96" s="1978"/>
      <c r="B96" s="2801" t="s">
        <v>168</v>
      </c>
      <c r="C96" s="2579">
        <v>24015.019431929999</v>
      </c>
      <c r="D96" s="2560">
        <v>7899.9993508199996</v>
      </c>
      <c r="E96" s="2560">
        <v>11933.59944025</v>
      </c>
      <c r="F96" s="2560">
        <v>751.27766450000001</v>
      </c>
      <c r="G96" s="2560">
        <v>0</v>
      </c>
      <c r="H96" s="2560">
        <v>0</v>
      </c>
      <c r="I96" s="2560">
        <v>0</v>
      </c>
      <c r="J96" s="2560">
        <v>0</v>
      </c>
      <c r="K96" s="2560">
        <v>0</v>
      </c>
      <c r="L96" s="2560">
        <v>2171.7862451500005</v>
      </c>
      <c r="M96" s="2581">
        <f>'[11]DMB Liabilites'!AP54</f>
        <v>1258.3567312099985</v>
      </c>
      <c r="N96" s="2356"/>
    </row>
    <row r="97" spans="1:27" ht="16.5" hidden="1">
      <c r="A97" s="1978"/>
      <c r="B97" s="2801" t="s">
        <v>169</v>
      </c>
      <c r="C97" s="2579">
        <v>23995.359216739998</v>
      </c>
      <c r="D97" s="2560">
        <v>8045.1301397000007</v>
      </c>
      <c r="E97" s="2560">
        <v>12095.40401151</v>
      </c>
      <c r="F97" s="2560">
        <v>788.38867993000008</v>
      </c>
      <c r="G97" s="2560">
        <v>0</v>
      </c>
      <c r="H97" s="2560">
        <v>0</v>
      </c>
      <c r="I97" s="2560">
        <v>0</v>
      </c>
      <c r="J97" s="2560">
        <v>0</v>
      </c>
      <c r="K97" s="2560">
        <v>0</v>
      </c>
      <c r="L97" s="2560">
        <v>2217.2105935499999</v>
      </c>
      <c r="M97" s="2581">
        <f>'[11]DMB Liabilites'!AP55</f>
        <v>849.22579204999784</v>
      </c>
      <c r="N97" s="2356"/>
    </row>
    <row r="98" spans="1:27" ht="16.5" hidden="1">
      <c r="A98" s="1978"/>
      <c r="B98" s="2801" t="s">
        <v>170</v>
      </c>
      <c r="C98" s="2579">
        <v>25065.902085309997</v>
      </c>
      <c r="D98" s="2560">
        <v>8525.0844153200014</v>
      </c>
      <c r="E98" s="2560">
        <v>12038.380409489999</v>
      </c>
      <c r="F98" s="2560">
        <v>826.27469881999991</v>
      </c>
      <c r="G98" s="2560">
        <v>0</v>
      </c>
      <c r="H98" s="2560">
        <v>0</v>
      </c>
      <c r="I98" s="2560">
        <v>0</v>
      </c>
      <c r="J98" s="2560">
        <v>0</v>
      </c>
      <c r="K98" s="2560">
        <v>0</v>
      </c>
      <c r="L98" s="2560">
        <v>2205.89794889</v>
      </c>
      <c r="M98" s="2581">
        <f>'[11]DMB Liabilites'!AP56</f>
        <v>1470.264612789997</v>
      </c>
      <c r="N98" s="2356"/>
      <c r="V98" s="61"/>
      <c r="W98" s="61"/>
      <c r="X98" s="61"/>
      <c r="Y98" s="61"/>
      <c r="Z98" s="61"/>
      <c r="AA98" s="61"/>
    </row>
    <row r="99" spans="1:27" ht="16.5" hidden="1">
      <c r="A99" s="1978"/>
      <c r="B99" s="2801" t="s">
        <v>171</v>
      </c>
      <c r="C99" s="2579">
        <v>25865.221880739999</v>
      </c>
      <c r="D99" s="2560">
        <v>9349.8716720000011</v>
      </c>
      <c r="E99" s="2560">
        <v>11660.20989265</v>
      </c>
      <c r="F99" s="2560">
        <v>752.41933730999995</v>
      </c>
      <c r="G99" s="2560">
        <v>0</v>
      </c>
      <c r="H99" s="2560">
        <v>0</v>
      </c>
      <c r="I99" s="2560">
        <v>0</v>
      </c>
      <c r="J99" s="2560">
        <v>0</v>
      </c>
      <c r="K99" s="2560">
        <v>0</v>
      </c>
      <c r="L99" s="2560">
        <v>2207.2741246000005</v>
      </c>
      <c r="M99" s="2581">
        <f>'[11]DMB Liabilites'!AP57</f>
        <v>1895.4468541799979</v>
      </c>
      <c r="N99" s="2356"/>
      <c r="V99" s="61"/>
      <c r="W99" s="61"/>
      <c r="X99" s="61"/>
      <c r="Y99" s="61"/>
      <c r="Z99" s="61"/>
      <c r="AA99" s="61"/>
    </row>
    <row r="100" spans="1:27" ht="16.5">
      <c r="A100" s="1978"/>
      <c r="B100" s="2813">
        <v>2006</v>
      </c>
      <c r="C100" s="2579">
        <v>26484.015405330003</v>
      </c>
      <c r="D100" s="2560">
        <v>9790.9106986000006</v>
      </c>
      <c r="E100" s="2560">
        <v>11386.50836329</v>
      </c>
      <c r="F100" s="2560">
        <v>731.88219032999996</v>
      </c>
      <c r="G100" s="2560">
        <v>0</v>
      </c>
      <c r="H100" s="2560">
        <v>0</v>
      </c>
      <c r="I100" s="2560">
        <v>0</v>
      </c>
      <c r="J100" s="2560">
        <v>0</v>
      </c>
      <c r="K100" s="2560">
        <v>0</v>
      </c>
      <c r="L100" s="2560">
        <v>2272.6616495899998</v>
      </c>
      <c r="M100" s="2581">
        <f>'[11]DMB Liabilites'!AP58</f>
        <v>2302.0525035200008</v>
      </c>
      <c r="N100" s="2356"/>
      <c r="V100" s="61"/>
      <c r="W100" s="61"/>
      <c r="X100" s="61"/>
      <c r="Y100" s="61"/>
      <c r="Z100" s="61"/>
      <c r="AA100" s="61"/>
    </row>
    <row r="101" spans="1:27" ht="16.5" hidden="1">
      <c r="A101" s="1978"/>
      <c r="B101" s="2813">
        <v>2007</v>
      </c>
      <c r="C101" s="2579"/>
      <c r="D101" s="2560"/>
      <c r="E101" s="2560"/>
      <c r="F101" s="2560"/>
      <c r="G101" s="2560">
        <v>0</v>
      </c>
      <c r="H101" s="2560"/>
      <c r="I101" s="2560"/>
      <c r="J101" s="2560"/>
      <c r="K101" s="2560"/>
      <c r="L101" s="2560"/>
      <c r="M101" s="2581"/>
      <c r="N101" s="2559"/>
      <c r="V101" s="61"/>
      <c r="W101" s="61"/>
      <c r="X101" s="61"/>
      <c r="Y101" s="61"/>
      <c r="Z101" s="61"/>
      <c r="AA101" s="61"/>
    </row>
    <row r="102" spans="1:27" ht="16.5" hidden="1">
      <c r="A102" s="1978"/>
      <c r="B102" s="2801" t="s">
        <v>161</v>
      </c>
      <c r="C102" s="2579">
        <v>25973.989888099997</v>
      </c>
      <c r="D102" s="2560">
        <v>9163.0415867700012</v>
      </c>
      <c r="E102" s="2560">
        <v>11756.141374420002</v>
      </c>
      <c r="F102" s="2560">
        <v>1266.67875321</v>
      </c>
      <c r="G102" s="2560">
        <v>0</v>
      </c>
      <c r="H102" s="2560">
        <v>0</v>
      </c>
      <c r="I102" s="2560">
        <v>0</v>
      </c>
      <c r="J102" s="2560">
        <v>0</v>
      </c>
      <c r="K102" s="2560">
        <v>0</v>
      </c>
      <c r="L102" s="2560">
        <v>2285.3099845199999</v>
      </c>
      <c r="M102" s="2581">
        <f>'[11]DMB Liabilites'!AP59</f>
        <v>1502.8181891799941</v>
      </c>
      <c r="N102" s="2356"/>
      <c r="V102" s="61"/>
      <c r="W102" s="61"/>
      <c r="X102" s="61"/>
      <c r="Y102" s="61"/>
      <c r="Z102" s="61"/>
      <c r="AA102" s="61"/>
    </row>
    <row r="103" spans="1:27" ht="16.5" hidden="1">
      <c r="A103" s="1978"/>
      <c r="B103" s="2801" t="s">
        <v>162</v>
      </c>
      <c r="C103" s="2579">
        <v>25903.51083186</v>
      </c>
      <c r="D103" s="2560">
        <v>8631.2400707699999</v>
      </c>
      <c r="E103" s="2560">
        <v>11931.3653999</v>
      </c>
      <c r="F103" s="2560">
        <v>1182.4287792699999</v>
      </c>
      <c r="G103" s="2560">
        <v>0</v>
      </c>
      <c r="H103" s="2560">
        <v>0</v>
      </c>
      <c r="I103" s="2560">
        <v>0</v>
      </c>
      <c r="J103" s="2560">
        <v>0</v>
      </c>
      <c r="K103" s="2560">
        <v>0</v>
      </c>
      <c r="L103" s="2560">
        <v>2277.7553320599995</v>
      </c>
      <c r="M103" s="2581">
        <f>'[11]DMB Liabilites'!AP60</f>
        <v>1880.7212498599984</v>
      </c>
      <c r="N103" s="2356"/>
      <c r="V103" s="61"/>
      <c r="W103" s="61"/>
      <c r="X103" s="61"/>
      <c r="Y103" s="61"/>
      <c r="Z103" s="61"/>
      <c r="AA103" s="61"/>
    </row>
    <row r="104" spans="1:27" ht="16.5" hidden="1">
      <c r="A104" s="1978"/>
      <c r="B104" s="2801" t="s">
        <v>163</v>
      </c>
      <c r="C104" s="2579">
        <v>25590.552577620001</v>
      </c>
      <c r="D104" s="2560">
        <v>9490.9044790099997</v>
      </c>
      <c r="E104" s="2560">
        <v>11441.612394700001</v>
      </c>
      <c r="F104" s="2560">
        <v>1173.5365947499999</v>
      </c>
      <c r="G104" s="2560">
        <v>0</v>
      </c>
      <c r="H104" s="2560">
        <v>0</v>
      </c>
      <c r="I104" s="2560">
        <v>0</v>
      </c>
      <c r="J104" s="2560">
        <v>0</v>
      </c>
      <c r="K104" s="2560">
        <v>0</v>
      </c>
      <c r="L104" s="2560">
        <v>2269.8241853199997</v>
      </c>
      <c r="M104" s="2581">
        <f>'[11]DMB Liabilites'!AP61</f>
        <v>1214.6749238400007</v>
      </c>
      <c r="N104" s="2356"/>
      <c r="V104" s="61"/>
      <c r="W104" s="61"/>
      <c r="X104" s="61"/>
      <c r="Y104" s="61"/>
      <c r="Z104" s="61"/>
      <c r="AA104" s="61"/>
    </row>
    <row r="105" spans="1:27" ht="16.5" hidden="1">
      <c r="A105" s="1978"/>
      <c r="B105" s="2801" t="s">
        <v>164</v>
      </c>
      <c r="C105" s="2579">
        <v>26905.5072095</v>
      </c>
      <c r="D105" s="2560">
        <v>9694.728547570001</v>
      </c>
      <c r="E105" s="2560">
        <v>11292.336706470001</v>
      </c>
      <c r="F105" s="2560">
        <v>1226.6127071199999</v>
      </c>
      <c r="G105" s="2560">
        <v>0</v>
      </c>
      <c r="H105" s="2560">
        <v>0</v>
      </c>
      <c r="I105" s="2560">
        <v>0</v>
      </c>
      <c r="J105" s="2560">
        <v>0</v>
      </c>
      <c r="K105" s="2560">
        <v>0</v>
      </c>
      <c r="L105" s="2560">
        <v>2258.81736989</v>
      </c>
      <c r="M105" s="2581">
        <f>'[11]DMB Liabilites'!AP62</f>
        <v>2433.0118784499973</v>
      </c>
      <c r="N105" s="2356"/>
      <c r="V105" s="61"/>
      <c r="W105" s="61"/>
      <c r="X105" s="61"/>
      <c r="Y105" s="61"/>
      <c r="Z105" s="61"/>
      <c r="AA105" s="61"/>
    </row>
    <row r="106" spans="1:27" ht="16.5" hidden="1">
      <c r="A106" s="1978"/>
      <c r="B106" s="2801" t="s">
        <v>165</v>
      </c>
      <c r="C106" s="2579">
        <v>26162.839404409995</v>
      </c>
      <c r="D106" s="2560">
        <v>10660.01748785</v>
      </c>
      <c r="E106" s="2560">
        <v>10287.563763720002</v>
      </c>
      <c r="F106" s="2560">
        <v>1326.86171332</v>
      </c>
      <c r="G106" s="2560">
        <v>0</v>
      </c>
      <c r="H106" s="2560">
        <v>0</v>
      </c>
      <c r="I106" s="2560">
        <v>0</v>
      </c>
      <c r="J106" s="2560">
        <v>0</v>
      </c>
      <c r="K106" s="2560">
        <v>0</v>
      </c>
      <c r="L106" s="2560">
        <v>2265.0848164099998</v>
      </c>
      <c r="M106" s="2581">
        <f>'[11]DMB Liabilites'!AP63</f>
        <v>1623.3116231099957</v>
      </c>
      <c r="N106" s="2356"/>
      <c r="O106" s="61"/>
      <c r="P106" s="61"/>
      <c r="R106" s="61"/>
      <c r="S106" s="61"/>
      <c r="T106" s="61"/>
      <c r="U106" s="61"/>
      <c r="V106" s="61"/>
      <c r="W106" s="61"/>
      <c r="X106" s="61"/>
      <c r="Y106" s="61"/>
      <c r="Z106" s="61"/>
      <c r="AA106" s="61"/>
    </row>
    <row r="107" spans="1:27" ht="16.5" hidden="1">
      <c r="A107" s="1978"/>
      <c r="B107" s="2801" t="s">
        <v>147</v>
      </c>
      <c r="C107" s="2579">
        <v>26507.953744440005</v>
      </c>
      <c r="D107" s="2560">
        <v>10376.336332890001</v>
      </c>
      <c r="E107" s="2560">
        <v>10193.939941550001</v>
      </c>
      <c r="F107" s="2560">
        <v>1472.47500517</v>
      </c>
      <c r="G107" s="2560">
        <v>0</v>
      </c>
      <c r="H107" s="2560">
        <v>0</v>
      </c>
      <c r="I107" s="2560">
        <v>0</v>
      </c>
      <c r="J107" s="2560">
        <v>0</v>
      </c>
      <c r="K107" s="2560">
        <v>0</v>
      </c>
      <c r="L107" s="2560">
        <v>2344.7333095299996</v>
      </c>
      <c r="M107" s="2581">
        <f>'[11]DMB Liabilites'!AP64</f>
        <v>2120.4691553000048</v>
      </c>
      <c r="N107" s="2356"/>
      <c r="O107" s="61"/>
      <c r="P107" s="61"/>
      <c r="R107" s="61"/>
      <c r="S107" s="61"/>
      <c r="T107" s="61"/>
      <c r="U107" s="61"/>
      <c r="V107" s="61"/>
      <c r="W107" s="61"/>
      <c r="X107" s="61"/>
      <c r="Y107" s="61"/>
      <c r="Z107" s="61"/>
      <c r="AA107" s="61"/>
    </row>
    <row r="108" spans="1:27" ht="16.5" hidden="1">
      <c r="A108" s="1978"/>
      <c r="B108" s="2801" t="s">
        <v>184</v>
      </c>
      <c r="C108" s="2579">
        <v>26915.608401909991</v>
      </c>
      <c r="D108" s="2560">
        <v>10698.950980109999</v>
      </c>
      <c r="E108" s="2560">
        <v>10741.023748109999</v>
      </c>
      <c r="F108" s="2560">
        <v>1436.3546338599999</v>
      </c>
      <c r="G108" s="2560">
        <v>0</v>
      </c>
      <c r="H108" s="2560">
        <v>0</v>
      </c>
      <c r="I108" s="2560">
        <v>0</v>
      </c>
      <c r="J108" s="2560">
        <v>0</v>
      </c>
      <c r="K108" s="2560">
        <v>0</v>
      </c>
      <c r="L108" s="2560">
        <v>2366.6322877799994</v>
      </c>
      <c r="M108" s="2581">
        <f>'[11]DMB Liabilites'!AP65</f>
        <v>1672.6467520499973</v>
      </c>
      <c r="N108" s="2356"/>
      <c r="V108" s="61"/>
      <c r="W108" s="61"/>
      <c r="X108" s="61"/>
      <c r="Y108" s="61"/>
      <c r="Z108" s="61"/>
      <c r="AA108" s="61"/>
    </row>
    <row r="109" spans="1:27" ht="16.5" hidden="1">
      <c r="A109" s="1978"/>
      <c r="B109" s="2801" t="s">
        <v>168</v>
      </c>
      <c r="C109" s="2579">
        <v>27523.955975299999</v>
      </c>
      <c r="D109" s="2560">
        <v>11409.793382330001</v>
      </c>
      <c r="E109" s="2560">
        <v>10791.59634452</v>
      </c>
      <c r="F109" s="2560">
        <v>1049.48704696</v>
      </c>
      <c r="G109" s="2560">
        <v>0</v>
      </c>
      <c r="H109" s="2560">
        <v>0</v>
      </c>
      <c r="I109" s="2560">
        <v>0</v>
      </c>
      <c r="J109" s="2560">
        <v>0</v>
      </c>
      <c r="K109" s="2560">
        <v>0</v>
      </c>
      <c r="L109" s="2560">
        <v>2393.5753427799996</v>
      </c>
      <c r="M109" s="2581">
        <f>'[11]DMB Liabilites'!AP66</f>
        <v>1879.5038587099989</v>
      </c>
      <c r="N109" s="2356"/>
      <c r="V109" s="61"/>
      <c r="W109" s="61"/>
      <c r="X109" s="61"/>
      <c r="Y109" s="61"/>
      <c r="Z109" s="61"/>
      <c r="AA109" s="61"/>
    </row>
    <row r="110" spans="1:27" ht="16.5" hidden="1">
      <c r="A110" s="1978"/>
      <c r="B110" s="2801" t="s">
        <v>169</v>
      </c>
      <c r="C110" s="2579">
        <v>27339.943932009999</v>
      </c>
      <c r="D110" s="2560">
        <v>13359.551218099998</v>
      </c>
      <c r="E110" s="2560">
        <v>10131.498520309999</v>
      </c>
      <c r="F110" s="2560">
        <v>1013.50538786</v>
      </c>
      <c r="G110" s="2560">
        <v>0</v>
      </c>
      <c r="H110" s="2560">
        <v>0</v>
      </c>
      <c r="I110" s="2560">
        <v>0</v>
      </c>
      <c r="J110" s="2560">
        <v>0</v>
      </c>
      <c r="K110" s="2560">
        <v>0</v>
      </c>
      <c r="L110" s="2560">
        <v>2469.84570377</v>
      </c>
      <c r="M110" s="2581">
        <f>'[11]DMB Liabilites'!AP67</f>
        <v>365.5431019700045</v>
      </c>
      <c r="N110" s="2356"/>
      <c r="V110" s="61"/>
      <c r="W110" s="61"/>
      <c r="X110" s="61"/>
      <c r="Y110" s="61"/>
      <c r="Z110" s="61"/>
      <c r="AA110" s="61"/>
    </row>
    <row r="111" spans="1:27" ht="16.5" hidden="1">
      <c r="A111" s="1978"/>
      <c r="B111" s="2801" t="s">
        <v>170</v>
      </c>
      <c r="C111" s="2579">
        <v>28571.40707234</v>
      </c>
      <c r="D111" s="2560">
        <v>14624.762787290001</v>
      </c>
      <c r="E111" s="2560">
        <v>10181.305900360001</v>
      </c>
      <c r="F111" s="2560">
        <v>1067.3824823800001</v>
      </c>
      <c r="G111" s="2560">
        <v>0</v>
      </c>
      <c r="H111" s="2560">
        <v>0</v>
      </c>
      <c r="I111" s="2560">
        <v>0</v>
      </c>
      <c r="J111" s="2560">
        <v>0</v>
      </c>
      <c r="K111" s="2560">
        <v>0</v>
      </c>
      <c r="L111" s="2560">
        <v>2421.8071587899999</v>
      </c>
      <c r="M111" s="2581">
        <f>'[11]DMB Liabilites'!AP68</f>
        <v>276.14874351999606</v>
      </c>
      <c r="N111" s="2356"/>
      <c r="V111" s="61"/>
      <c r="W111" s="61"/>
      <c r="X111" s="61"/>
      <c r="Y111" s="61"/>
      <c r="Z111" s="61"/>
      <c r="AA111" s="61"/>
    </row>
    <row r="112" spans="1:27" ht="16.5" hidden="1">
      <c r="A112" s="1978"/>
      <c r="B112" s="2801" t="s">
        <v>171</v>
      </c>
      <c r="C112" s="2579">
        <v>29865.475069739998</v>
      </c>
      <c r="D112" s="2560">
        <v>15125.536934299998</v>
      </c>
      <c r="E112" s="2560">
        <v>10266.1933943</v>
      </c>
      <c r="F112" s="2560">
        <v>943.67330244000004</v>
      </c>
      <c r="G112" s="2560">
        <v>0</v>
      </c>
      <c r="H112" s="2560">
        <v>0</v>
      </c>
      <c r="I112" s="2560">
        <v>0</v>
      </c>
      <c r="J112" s="2560">
        <v>0</v>
      </c>
      <c r="K112" s="2560">
        <v>0</v>
      </c>
      <c r="L112" s="2560">
        <v>2508.1409495699995</v>
      </c>
      <c r="M112" s="2581">
        <f>'[11]DMB Liabilites'!AP69</f>
        <v>1021.9304891300017</v>
      </c>
      <c r="N112" s="2356"/>
      <c r="V112" s="61"/>
      <c r="W112" s="61"/>
      <c r="X112" s="61"/>
      <c r="Y112" s="61"/>
      <c r="Z112" s="61"/>
      <c r="AA112" s="61"/>
    </row>
    <row r="113" spans="1:27" ht="16.5">
      <c r="A113" s="1978"/>
      <c r="B113" s="2813">
        <v>2007</v>
      </c>
      <c r="C113" s="2579">
        <v>28620.990772839999</v>
      </c>
      <c r="D113" s="2560">
        <v>14245.800290030002</v>
      </c>
      <c r="E113" s="2560">
        <v>9243.7459042900009</v>
      </c>
      <c r="F113" s="2560">
        <v>951.37241472000005</v>
      </c>
      <c r="G113" s="2560">
        <v>0</v>
      </c>
      <c r="H113" s="2560">
        <v>0</v>
      </c>
      <c r="I113" s="2560">
        <v>0</v>
      </c>
      <c r="J113" s="2560">
        <v>0</v>
      </c>
      <c r="K113" s="2560">
        <v>0</v>
      </c>
      <c r="L113" s="2560">
        <v>2581.1254729599996</v>
      </c>
      <c r="M113" s="2581">
        <f>'[11]DMB Liabilites'!AP70</f>
        <v>1598.9466908399954</v>
      </c>
      <c r="N113" s="2356"/>
      <c r="V113" s="61"/>
      <c r="W113" s="61"/>
      <c r="X113" s="61"/>
      <c r="Y113" s="61"/>
      <c r="Z113" s="61"/>
      <c r="AA113" s="61"/>
    </row>
    <row r="114" spans="1:27" ht="16.5" hidden="1">
      <c r="A114" s="1978"/>
      <c r="B114" s="2813">
        <v>2008</v>
      </c>
      <c r="C114" s="2579"/>
      <c r="D114" s="2560"/>
      <c r="E114" s="2560"/>
      <c r="F114" s="2560"/>
      <c r="G114" s="2560"/>
      <c r="H114" s="2560"/>
      <c r="I114" s="2560"/>
      <c r="J114" s="2560"/>
      <c r="K114" s="2560"/>
      <c r="L114" s="2560"/>
      <c r="M114" s="2581"/>
      <c r="N114" s="2559"/>
      <c r="V114" s="61"/>
      <c r="W114" s="61"/>
      <c r="X114" s="61"/>
      <c r="Y114" s="61"/>
      <c r="Z114" s="61"/>
      <c r="AA114" s="61"/>
    </row>
    <row r="115" spans="1:27" ht="16.5" hidden="1">
      <c r="A115" s="1978"/>
      <c r="B115" s="2801" t="s">
        <v>161</v>
      </c>
      <c r="C115" s="2579">
        <v>26530.336841889999</v>
      </c>
      <c r="D115" s="2560">
        <v>11410.36980275</v>
      </c>
      <c r="E115" s="2560">
        <v>9689.9722213999994</v>
      </c>
      <c r="F115" s="2560">
        <v>936.68240992999995</v>
      </c>
      <c r="G115" s="2560">
        <v>0</v>
      </c>
      <c r="H115" s="2560">
        <v>0</v>
      </c>
      <c r="I115" s="2560">
        <v>0</v>
      </c>
      <c r="J115" s="2560">
        <v>0</v>
      </c>
      <c r="K115" s="2560">
        <v>0</v>
      </c>
      <c r="L115" s="2560">
        <v>2464.9489046499998</v>
      </c>
      <c r="M115" s="2581">
        <f>'[11]DMB Liabilites'!AP71</f>
        <v>2028.3635031600024</v>
      </c>
      <c r="N115" s="2356"/>
      <c r="V115" s="61"/>
      <c r="W115" s="61"/>
      <c r="X115" s="61"/>
      <c r="Y115" s="61"/>
      <c r="Z115" s="61"/>
      <c r="AA115" s="61"/>
    </row>
    <row r="116" spans="1:27" ht="16.5" hidden="1">
      <c r="A116" s="1978"/>
      <c r="B116" s="2801" t="s">
        <v>162</v>
      </c>
      <c r="C116" s="2579">
        <v>28777.604828380001</v>
      </c>
      <c r="D116" s="2560">
        <v>11955.53747268</v>
      </c>
      <c r="E116" s="2560">
        <v>10610.808942399999</v>
      </c>
      <c r="F116" s="2560">
        <v>1079.6082050800001</v>
      </c>
      <c r="G116" s="2560">
        <v>0</v>
      </c>
      <c r="H116" s="2560">
        <v>0</v>
      </c>
      <c r="I116" s="2560">
        <v>0</v>
      </c>
      <c r="J116" s="2560">
        <v>0</v>
      </c>
      <c r="K116" s="2560">
        <v>0</v>
      </c>
      <c r="L116" s="2560">
        <v>2587.6428757899994</v>
      </c>
      <c r="M116" s="2581">
        <f>'[11]DMB Liabilites'!AP72</f>
        <v>2544.0073324300029</v>
      </c>
      <c r="N116" s="2356"/>
      <c r="V116" s="61"/>
      <c r="W116" s="61"/>
      <c r="X116" s="61"/>
      <c r="Y116" s="61"/>
      <c r="Z116" s="61"/>
      <c r="AA116" s="61"/>
    </row>
    <row r="117" spans="1:27" ht="16.5" hidden="1">
      <c r="A117" s="1978"/>
      <c r="B117" s="2801" t="s">
        <v>163</v>
      </c>
      <c r="C117" s="2579">
        <v>28304.102519460004</v>
      </c>
      <c r="D117" s="2560">
        <v>12315.89359926</v>
      </c>
      <c r="E117" s="2560">
        <v>9940.7563549199986</v>
      </c>
      <c r="F117" s="2560">
        <v>1086.0052085099999</v>
      </c>
      <c r="G117" s="2560">
        <v>0</v>
      </c>
      <c r="H117" s="2560">
        <v>0</v>
      </c>
      <c r="I117" s="2560">
        <v>0</v>
      </c>
      <c r="J117" s="2560">
        <v>0</v>
      </c>
      <c r="K117" s="2560">
        <v>0</v>
      </c>
      <c r="L117" s="2560">
        <v>2615.7102264099999</v>
      </c>
      <c r="M117" s="2581">
        <f>'[11]DMB Liabilites'!AP73</f>
        <v>2345.7371303600048</v>
      </c>
      <c r="N117" s="2356"/>
      <c r="V117" s="61"/>
      <c r="W117" s="61"/>
      <c r="X117" s="61"/>
      <c r="Y117" s="61"/>
      <c r="Z117" s="61"/>
      <c r="AA117" s="61"/>
    </row>
    <row r="118" spans="1:27" ht="16.5" hidden="1">
      <c r="A118" s="1978"/>
      <c r="B118" s="2801" t="s">
        <v>164</v>
      </c>
      <c r="C118" s="2579">
        <v>28417.85387228</v>
      </c>
      <c r="D118" s="2560">
        <v>12678.786530270001</v>
      </c>
      <c r="E118" s="2560">
        <v>9657.0175627659901</v>
      </c>
      <c r="F118" s="2560">
        <v>1045.78121478</v>
      </c>
      <c r="G118" s="2560">
        <v>0</v>
      </c>
      <c r="H118" s="2560">
        <v>0</v>
      </c>
      <c r="I118" s="2560">
        <v>0</v>
      </c>
      <c r="J118" s="2560">
        <v>0</v>
      </c>
      <c r="K118" s="2560">
        <v>0</v>
      </c>
      <c r="L118" s="2560">
        <v>2621.2478415</v>
      </c>
      <c r="M118" s="2581">
        <f>'[11]DMB Liabilites'!AP74</f>
        <v>2415.0207229640073</v>
      </c>
      <c r="N118" s="2356"/>
      <c r="V118" s="61"/>
      <c r="W118" s="61"/>
      <c r="X118" s="61"/>
      <c r="Y118" s="61"/>
      <c r="Z118" s="61"/>
      <c r="AA118" s="61"/>
    </row>
    <row r="119" spans="1:27" ht="16.5" hidden="1">
      <c r="A119" s="1978"/>
      <c r="B119" s="2801" t="s">
        <v>165</v>
      </c>
      <c r="C119" s="2579">
        <v>27834.093403129995</v>
      </c>
      <c r="D119" s="2560">
        <v>12831.927913309999</v>
      </c>
      <c r="E119" s="2560">
        <v>9668.2065891599996</v>
      </c>
      <c r="F119" s="2560">
        <v>956.95345133000001</v>
      </c>
      <c r="G119" s="2560">
        <v>0</v>
      </c>
      <c r="H119" s="2560">
        <v>0</v>
      </c>
      <c r="I119" s="2560">
        <v>0</v>
      </c>
      <c r="J119" s="2560">
        <v>0</v>
      </c>
      <c r="K119" s="2560">
        <v>0</v>
      </c>
      <c r="L119" s="2560">
        <v>2621.9169376999998</v>
      </c>
      <c r="M119" s="2581">
        <f>'[11]DMB Liabilites'!AP75</f>
        <v>1755.0885116299978</v>
      </c>
      <c r="N119" s="2356"/>
      <c r="V119" s="61"/>
      <c r="W119" s="61"/>
      <c r="X119" s="61"/>
      <c r="Y119" s="61"/>
      <c r="Z119" s="61"/>
      <c r="AA119" s="61"/>
    </row>
    <row r="120" spans="1:27" ht="16.5" hidden="1">
      <c r="A120" s="1978"/>
      <c r="B120" s="2801" t="s">
        <v>166</v>
      </c>
      <c r="C120" s="2579">
        <v>27279.921563570002</v>
      </c>
      <c r="D120" s="2560">
        <v>10754.064096239999</v>
      </c>
      <c r="E120" s="2560">
        <v>10422.06049822</v>
      </c>
      <c r="F120" s="2560">
        <v>966.22335459999999</v>
      </c>
      <c r="G120" s="2560">
        <v>0</v>
      </c>
      <c r="H120" s="2560">
        <v>0</v>
      </c>
      <c r="I120" s="2560">
        <v>0</v>
      </c>
      <c r="J120" s="2560">
        <v>0</v>
      </c>
      <c r="K120" s="2560">
        <v>0</v>
      </c>
      <c r="L120" s="2560">
        <v>2672.0018587799996</v>
      </c>
      <c r="M120" s="2581">
        <f>'[11]DMB Liabilites'!AP76</f>
        <v>2465.5717557300013</v>
      </c>
      <c r="N120" s="2356"/>
      <c r="V120" s="61"/>
      <c r="W120" s="61"/>
      <c r="X120" s="61"/>
      <c r="Y120" s="61"/>
      <c r="Z120" s="61"/>
      <c r="AA120" s="61"/>
    </row>
    <row r="121" spans="1:27" ht="16.5" hidden="1">
      <c r="A121" s="1978"/>
      <c r="B121" s="2801" t="s">
        <v>167</v>
      </c>
      <c r="C121" s="2579">
        <v>29401.054026440004</v>
      </c>
      <c r="D121" s="2560">
        <v>12613.570590989999</v>
      </c>
      <c r="E121" s="2560">
        <v>11528.410559260001</v>
      </c>
      <c r="F121" s="2560">
        <v>1161.41859292</v>
      </c>
      <c r="G121" s="2560">
        <v>0</v>
      </c>
      <c r="H121" s="2560">
        <v>0</v>
      </c>
      <c r="I121" s="2560">
        <v>0</v>
      </c>
      <c r="J121" s="2560">
        <v>0</v>
      </c>
      <c r="K121" s="2560">
        <v>0</v>
      </c>
      <c r="L121" s="2560">
        <v>2762.9066904699998</v>
      </c>
      <c r="M121" s="2581">
        <f>'[11]DMB Liabilites'!AP77</f>
        <v>1334.7475928000022</v>
      </c>
      <c r="N121" s="2356"/>
      <c r="V121" s="61"/>
      <c r="W121" s="61"/>
      <c r="X121" s="61"/>
      <c r="Y121" s="61"/>
      <c r="Z121" s="61"/>
      <c r="AA121" s="61"/>
    </row>
    <row r="122" spans="1:27" ht="16.5" hidden="1">
      <c r="A122" s="1978"/>
      <c r="B122" s="2801" t="s">
        <v>168</v>
      </c>
      <c r="C122" s="2579">
        <v>29994.564697929996</v>
      </c>
      <c r="D122" s="2560">
        <v>12448.620892769999</v>
      </c>
      <c r="E122" s="2560">
        <v>11609.934702820001</v>
      </c>
      <c r="F122" s="2560">
        <v>1215.0092382299999</v>
      </c>
      <c r="G122" s="2560">
        <v>0</v>
      </c>
      <c r="H122" s="2560">
        <v>0</v>
      </c>
      <c r="I122" s="2560">
        <v>0</v>
      </c>
      <c r="J122" s="2560">
        <v>0</v>
      </c>
      <c r="K122" s="2560">
        <v>0</v>
      </c>
      <c r="L122" s="2560">
        <v>2801.5769632099996</v>
      </c>
      <c r="M122" s="2581">
        <f>'[11]DMB Liabilites'!AP78</f>
        <v>1919.422900900001</v>
      </c>
      <c r="N122" s="2356"/>
      <c r="V122" s="61"/>
      <c r="W122" s="61"/>
      <c r="X122" s="61"/>
      <c r="Y122" s="61"/>
      <c r="Z122" s="61"/>
      <c r="AA122" s="61"/>
    </row>
    <row r="123" spans="1:27" ht="16.5" hidden="1">
      <c r="A123" s="1978"/>
      <c r="B123" s="2801" t="s">
        <v>169</v>
      </c>
      <c r="C123" s="2579">
        <v>31602.102384779995</v>
      </c>
      <c r="D123" s="2560">
        <v>16891.499381509999</v>
      </c>
      <c r="E123" s="2560">
        <v>12123.284473199999</v>
      </c>
      <c r="F123" s="2560">
        <v>872.25434012000005</v>
      </c>
      <c r="G123" s="2560">
        <v>0</v>
      </c>
      <c r="H123" s="2560">
        <v>0</v>
      </c>
      <c r="I123" s="2560">
        <v>0</v>
      </c>
      <c r="J123" s="2560">
        <v>0</v>
      </c>
      <c r="K123" s="2560">
        <v>0</v>
      </c>
      <c r="L123" s="2560">
        <v>3038.0600130499997</v>
      </c>
      <c r="M123" s="2581">
        <f>'[11]DMB Liabilites'!AP79</f>
        <v>-1322.9958231000055</v>
      </c>
      <c r="N123" s="2356"/>
      <c r="V123" s="61"/>
      <c r="W123" s="61"/>
      <c r="X123" s="61"/>
      <c r="Y123" s="61"/>
      <c r="Z123" s="61"/>
      <c r="AA123" s="61"/>
    </row>
    <row r="124" spans="1:27" ht="16.5" hidden="1">
      <c r="A124" s="1978"/>
      <c r="B124" s="2801" t="s">
        <v>170</v>
      </c>
      <c r="C124" s="2579">
        <v>33000.510526600003</v>
      </c>
      <c r="D124" s="2560">
        <v>16405.160974440001</v>
      </c>
      <c r="E124" s="2560">
        <v>12336.42358248</v>
      </c>
      <c r="F124" s="2560">
        <v>794.06342701000005</v>
      </c>
      <c r="G124" s="2560">
        <v>0</v>
      </c>
      <c r="H124" s="2560">
        <v>0</v>
      </c>
      <c r="I124" s="2560">
        <v>0</v>
      </c>
      <c r="J124" s="2560">
        <v>0</v>
      </c>
      <c r="K124" s="2560">
        <v>0</v>
      </c>
      <c r="L124" s="2560">
        <v>3065.6543551299997</v>
      </c>
      <c r="M124" s="2581">
        <f>'[11]DMB Liabilites'!AP80</f>
        <v>399.20818754000356</v>
      </c>
      <c r="N124" s="2356"/>
      <c r="V124" s="61"/>
      <c r="W124" s="61"/>
      <c r="X124" s="61"/>
      <c r="Y124" s="61"/>
      <c r="Z124" s="61"/>
      <c r="AA124" s="61"/>
    </row>
    <row r="125" spans="1:27" ht="16.5" hidden="1">
      <c r="A125" s="1978"/>
      <c r="B125" s="2801" t="s">
        <v>171</v>
      </c>
      <c r="C125" s="2579">
        <v>34010.18417221</v>
      </c>
      <c r="D125" s="2560">
        <v>15346.908174149999</v>
      </c>
      <c r="E125" s="2560">
        <v>12554.86646028</v>
      </c>
      <c r="F125" s="2560">
        <v>1114.71924678</v>
      </c>
      <c r="G125" s="2560">
        <v>0</v>
      </c>
      <c r="H125" s="2560">
        <v>0</v>
      </c>
      <c r="I125" s="2560">
        <v>0</v>
      </c>
      <c r="J125" s="2560">
        <v>0</v>
      </c>
      <c r="K125" s="2560">
        <v>0</v>
      </c>
      <c r="L125" s="2560">
        <v>3005.6875117119998</v>
      </c>
      <c r="M125" s="2581">
        <f>'[11]DMB Liabilites'!AP81</f>
        <v>1988.0027792879991</v>
      </c>
      <c r="N125" s="2356"/>
      <c r="V125" s="61"/>
      <c r="W125" s="61"/>
      <c r="X125" s="61"/>
      <c r="Y125" s="61"/>
      <c r="Z125" s="61"/>
      <c r="AA125" s="61"/>
    </row>
    <row r="126" spans="1:27" ht="16.5">
      <c r="A126" s="1978"/>
      <c r="B126" s="2813">
        <v>2008</v>
      </c>
      <c r="C126" s="2579">
        <v>35349.434631199998</v>
      </c>
      <c r="D126" s="2560">
        <v>12394.294649840002</v>
      </c>
      <c r="E126" s="2560">
        <v>14081.43730077</v>
      </c>
      <c r="F126" s="2560">
        <v>1069.5397408599999</v>
      </c>
      <c r="G126" s="2560">
        <v>0</v>
      </c>
      <c r="H126" s="2560">
        <v>0</v>
      </c>
      <c r="I126" s="2560">
        <v>0</v>
      </c>
      <c r="J126" s="2560">
        <v>0</v>
      </c>
      <c r="K126" s="2560">
        <v>0</v>
      </c>
      <c r="L126" s="2560">
        <v>3326.3765141915001</v>
      </c>
      <c r="M126" s="2581">
        <f>'[11]DMB Liabilites'!AP82</f>
        <v>4477.7864255384993</v>
      </c>
      <c r="N126" s="2356"/>
      <c r="V126" s="61"/>
      <c r="W126" s="61"/>
      <c r="X126" s="61"/>
      <c r="Y126" s="61"/>
      <c r="Z126" s="61"/>
      <c r="AA126" s="61"/>
    </row>
    <row r="127" spans="1:27" ht="16.5" hidden="1">
      <c r="A127" s="1978"/>
      <c r="B127" s="2813">
        <v>2009</v>
      </c>
      <c r="C127" s="2579"/>
      <c r="D127" s="2560"/>
      <c r="E127" s="2560"/>
      <c r="F127" s="2560"/>
      <c r="G127" s="2560"/>
      <c r="H127" s="2560"/>
      <c r="I127" s="2560"/>
      <c r="J127" s="2560"/>
      <c r="K127" s="2560"/>
      <c r="L127" s="2560"/>
      <c r="M127" s="2581"/>
      <c r="N127" s="2559"/>
      <c r="V127" s="61"/>
      <c r="W127" s="61"/>
      <c r="X127" s="61"/>
      <c r="Y127" s="61"/>
      <c r="Z127" s="61"/>
      <c r="AA127" s="61"/>
    </row>
    <row r="128" spans="1:27" ht="16.5" hidden="1">
      <c r="A128" s="1978"/>
      <c r="B128" s="2801" t="s">
        <v>161</v>
      </c>
      <c r="C128" s="2579">
        <v>32590.686870100006</v>
      </c>
      <c r="D128" s="2560">
        <v>13164.47782731</v>
      </c>
      <c r="E128" s="2560">
        <v>13286.05104531</v>
      </c>
      <c r="F128" s="2560">
        <v>1139.8406303500001</v>
      </c>
      <c r="G128" s="2560">
        <v>0</v>
      </c>
      <c r="H128" s="2560">
        <v>0</v>
      </c>
      <c r="I128" s="2560">
        <v>0</v>
      </c>
      <c r="J128" s="2560">
        <v>0</v>
      </c>
      <c r="K128" s="2560">
        <v>0</v>
      </c>
      <c r="L128" s="2560">
        <v>3084.0019240639999</v>
      </c>
      <c r="M128" s="2581">
        <f>'[11]DMB Liabilites'!AP83</f>
        <v>1916.3154430660034</v>
      </c>
      <c r="N128" s="2356"/>
      <c r="V128" s="61"/>
      <c r="W128" s="61"/>
      <c r="X128" s="61"/>
      <c r="Y128" s="61"/>
      <c r="Z128" s="61"/>
      <c r="AA128" s="61"/>
    </row>
    <row r="129" spans="1:27" ht="16.5" hidden="1">
      <c r="A129" s="1978"/>
      <c r="B129" s="2801" t="s">
        <v>162</v>
      </c>
      <c r="C129" s="2579">
        <v>33264.935724040006</v>
      </c>
      <c r="D129" s="2560">
        <v>12955.106779559999</v>
      </c>
      <c r="E129" s="2560">
        <v>12871.051313390002</v>
      </c>
      <c r="F129" s="2560">
        <v>1182.1211499999999</v>
      </c>
      <c r="G129" s="2560">
        <v>0</v>
      </c>
      <c r="H129" s="2560">
        <v>0</v>
      </c>
      <c r="I129" s="2560">
        <v>0</v>
      </c>
      <c r="J129" s="2560">
        <v>0</v>
      </c>
      <c r="K129" s="2560">
        <v>0</v>
      </c>
      <c r="L129" s="2560">
        <v>3094.7030392000001</v>
      </c>
      <c r="M129" s="2581">
        <f>'[11]DMB Liabilites'!AP84</f>
        <v>3161.9534418900039</v>
      </c>
      <c r="N129" s="2356"/>
      <c r="V129" s="61"/>
      <c r="W129" s="61"/>
      <c r="X129" s="61"/>
      <c r="Y129" s="61"/>
      <c r="Z129" s="61"/>
      <c r="AA129" s="61"/>
    </row>
    <row r="130" spans="1:27" ht="16.5" hidden="1">
      <c r="A130" s="1978"/>
      <c r="B130" s="2801" t="s">
        <v>163</v>
      </c>
      <c r="C130" s="2579">
        <v>33572.761981290001</v>
      </c>
      <c r="D130" s="2560">
        <v>14133.4091405</v>
      </c>
      <c r="E130" s="2560">
        <v>12555.11621699</v>
      </c>
      <c r="F130" s="2560">
        <v>1145.4017001100001</v>
      </c>
      <c r="G130" s="2560">
        <v>0</v>
      </c>
      <c r="H130" s="2560">
        <v>0</v>
      </c>
      <c r="I130" s="2560">
        <v>0</v>
      </c>
      <c r="J130" s="2560">
        <v>0</v>
      </c>
      <c r="K130" s="2560">
        <v>0</v>
      </c>
      <c r="L130" s="2560">
        <v>2877.4927622399996</v>
      </c>
      <c r="M130" s="2581">
        <f>'[11]DMB Liabilites'!AP85</f>
        <v>2861.3421614500039</v>
      </c>
      <c r="N130" s="2356"/>
      <c r="V130" s="61"/>
      <c r="W130" s="61"/>
      <c r="X130" s="61"/>
      <c r="Y130" s="61"/>
      <c r="Z130" s="61"/>
      <c r="AA130" s="61"/>
    </row>
    <row r="131" spans="1:27" ht="16.5" hidden="1">
      <c r="A131" s="1978"/>
      <c r="B131" s="2801" t="s">
        <v>164</v>
      </c>
      <c r="C131" s="2579">
        <v>33604.969362659991</v>
      </c>
      <c r="D131" s="2560">
        <v>14392.020206630001</v>
      </c>
      <c r="E131" s="2560">
        <v>12361.65201229</v>
      </c>
      <c r="F131" s="2560">
        <v>1039.32561564</v>
      </c>
      <c r="G131" s="2560">
        <v>0</v>
      </c>
      <c r="H131" s="2560">
        <v>0</v>
      </c>
      <c r="I131" s="2560">
        <v>0</v>
      </c>
      <c r="J131" s="2560">
        <v>0</v>
      </c>
      <c r="K131" s="2560">
        <v>0</v>
      </c>
      <c r="L131" s="2560">
        <v>2899.0029818799999</v>
      </c>
      <c r="M131" s="2581">
        <f>'[11]DMB Liabilites'!AP86</f>
        <v>2912.9685462199959</v>
      </c>
      <c r="N131" s="2356"/>
      <c r="V131" s="61"/>
      <c r="W131" s="61"/>
      <c r="X131" s="61"/>
      <c r="Y131" s="61"/>
      <c r="Z131" s="61"/>
      <c r="AA131" s="61"/>
    </row>
    <row r="132" spans="1:27" ht="16.5" hidden="1">
      <c r="A132" s="1978"/>
      <c r="B132" s="2801" t="s">
        <v>165</v>
      </c>
      <c r="C132" s="2579">
        <v>33671.565713210002</v>
      </c>
      <c r="D132" s="2560">
        <v>14335.17338452</v>
      </c>
      <c r="E132" s="2560">
        <v>12635.635065440001</v>
      </c>
      <c r="F132" s="2560">
        <v>1086.4653143599999</v>
      </c>
      <c r="G132" s="2560">
        <v>0</v>
      </c>
      <c r="H132" s="2560">
        <v>0</v>
      </c>
      <c r="I132" s="2560">
        <v>0</v>
      </c>
      <c r="J132" s="2560">
        <v>0</v>
      </c>
      <c r="K132" s="2560">
        <v>0</v>
      </c>
      <c r="L132" s="2560">
        <v>3004.6508522499998</v>
      </c>
      <c r="M132" s="2581">
        <f>'[11]DMB Liabilites'!AP87</f>
        <v>2609.6410966399999</v>
      </c>
      <c r="N132" s="2356"/>
      <c r="V132" s="61"/>
      <c r="W132" s="61"/>
      <c r="X132" s="61"/>
      <c r="Y132" s="61"/>
      <c r="Z132" s="61"/>
      <c r="AA132" s="61"/>
    </row>
    <row r="133" spans="1:27" ht="16.5" hidden="1">
      <c r="A133" s="1978"/>
      <c r="B133" s="2801" t="s">
        <v>147</v>
      </c>
      <c r="C133" s="2579">
        <v>33365.637642560003</v>
      </c>
      <c r="D133" s="2560">
        <v>13833.228957539999</v>
      </c>
      <c r="E133" s="2560">
        <v>12628.845066510001</v>
      </c>
      <c r="F133" s="2560">
        <v>1110.9387204899999</v>
      </c>
      <c r="G133" s="2560">
        <v>0</v>
      </c>
      <c r="H133" s="2560">
        <v>0</v>
      </c>
      <c r="I133" s="2560">
        <v>0</v>
      </c>
      <c r="J133" s="2560">
        <v>0</v>
      </c>
      <c r="K133" s="2560">
        <v>0</v>
      </c>
      <c r="L133" s="2560">
        <v>3213.9876243800004</v>
      </c>
      <c r="M133" s="2581">
        <f>'[11]DMB Liabilites'!AP88</f>
        <v>2578.6372736399971</v>
      </c>
      <c r="N133" s="2356"/>
      <c r="V133" s="61"/>
      <c r="W133" s="61"/>
      <c r="X133" s="61"/>
      <c r="Y133" s="61"/>
      <c r="Z133" s="61"/>
      <c r="AA133" s="61"/>
    </row>
    <row r="134" spans="1:27" ht="16.5" hidden="1">
      <c r="A134" s="1978"/>
      <c r="B134" s="2801" t="s">
        <v>184</v>
      </c>
      <c r="C134" s="2579">
        <v>34557.892960730002</v>
      </c>
      <c r="D134" s="2560">
        <v>13809.70471507</v>
      </c>
      <c r="E134" s="2560">
        <v>13422.971779079999</v>
      </c>
      <c r="F134" s="2560">
        <v>1333.2774118499999</v>
      </c>
      <c r="G134" s="2560">
        <v>0</v>
      </c>
      <c r="H134" s="2560">
        <v>0</v>
      </c>
      <c r="I134" s="2560">
        <v>0</v>
      </c>
      <c r="J134" s="2560">
        <v>0</v>
      </c>
      <c r="K134" s="2560">
        <v>0</v>
      </c>
      <c r="L134" s="2560">
        <v>3303.9251683199996</v>
      </c>
      <c r="M134" s="2581">
        <f>'[11]DMB Liabilites'!AP89</f>
        <v>2688.0138864100045</v>
      </c>
      <c r="N134" s="2356"/>
      <c r="V134" s="61"/>
      <c r="W134" s="61"/>
      <c r="X134" s="61"/>
      <c r="Y134" s="61"/>
      <c r="Z134" s="61"/>
      <c r="AA134" s="61"/>
    </row>
    <row r="135" spans="1:27" ht="16.5" hidden="1">
      <c r="A135" s="1978"/>
      <c r="B135" s="2801" t="s">
        <v>168</v>
      </c>
      <c r="C135" s="2579">
        <v>37153.166892729998</v>
      </c>
      <c r="D135" s="2560">
        <v>16024.176217330001</v>
      </c>
      <c r="E135" s="2560">
        <v>13340.879207420003</v>
      </c>
      <c r="F135" s="2560">
        <v>1356.6712996599999</v>
      </c>
      <c r="G135" s="2560">
        <v>0</v>
      </c>
      <c r="H135" s="2560">
        <v>0</v>
      </c>
      <c r="I135" s="2560">
        <v>0</v>
      </c>
      <c r="J135" s="2560">
        <v>0</v>
      </c>
      <c r="K135" s="2560">
        <v>0</v>
      </c>
      <c r="L135" s="2560">
        <v>3346.9743453199999</v>
      </c>
      <c r="M135" s="2581">
        <f>'[11]DMB Liabilites'!AP90</f>
        <v>3084.4658229999914</v>
      </c>
      <c r="N135" s="2356"/>
      <c r="V135" s="61"/>
      <c r="W135" s="61"/>
      <c r="X135" s="61"/>
      <c r="Y135" s="61"/>
      <c r="Z135" s="61"/>
      <c r="AA135" s="61"/>
    </row>
    <row r="136" spans="1:27" ht="16.5" hidden="1">
      <c r="A136" s="1978"/>
      <c r="B136" s="2801" t="s">
        <v>169</v>
      </c>
      <c r="C136" s="2579">
        <v>37799.368012259998</v>
      </c>
      <c r="D136" s="2560">
        <v>14867.254521489996</v>
      </c>
      <c r="E136" s="2560">
        <v>16045.327862200002</v>
      </c>
      <c r="F136" s="2560">
        <v>1226.4797375799999</v>
      </c>
      <c r="G136" s="2560">
        <v>0</v>
      </c>
      <c r="H136" s="2560">
        <v>0</v>
      </c>
      <c r="I136" s="2560">
        <v>0</v>
      </c>
      <c r="J136" s="2560">
        <v>0</v>
      </c>
      <c r="K136" s="2560">
        <v>0</v>
      </c>
      <c r="L136" s="2560">
        <v>3392.04186347</v>
      </c>
      <c r="M136" s="2581">
        <f>'[11]DMB Liabilites'!AP91</f>
        <v>2268.2640275200029</v>
      </c>
      <c r="N136" s="2356"/>
      <c r="V136" s="61"/>
      <c r="W136" s="61"/>
      <c r="X136" s="61"/>
      <c r="Y136" s="61"/>
      <c r="Z136" s="61"/>
      <c r="AA136" s="61"/>
    </row>
    <row r="137" spans="1:27" ht="16.5" hidden="1">
      <c r="A137" s="1978"/>
      <c r="B137" s="2801" t="s">
        <v>170</v>
      </c>
      <c r="C137" s="2579">
        <v>40263.071891319996</v>
      </c>
      <c r="D137" s="2560">
        <v>15342.840378299996</v>
      </c>
      <c r="E137" s="2560">
        <v>18027.02692376</v>
      </c>
      <c r="F137" s="2560">
        <v>1248.5954398200001</v>
      </c>
      <c r="G137" s="2560">
        <v>0</v>
      </c>
      <c r="H137" s="2560">
        <v>0</v>
      </c>
      <c r="I137" s="2560">
        <v>0</v>
      </c>
      <c r="J137" s="2560">
        <v>0</v>
      </c>
      <c r="K137" s="2560">
        <v>0</v>
      </c>
      <c r="L137" s="2560">
        <v>3334.6761125100002</v>
      </c>
      <c r="M137" s="2581">
        <f>'[11]DMB Liabilites'!AP92</f>
        <v>2309.9330369300005</v>
      </c>
      <c r="N137" s="2356"/>
      <c r="V137" s="61"/>
      <c r="W137" s="61"/>
      <c r="X137" s="61"/>
      <c r="Y137" s="61"/>
      <c r="Z137" s="61"/>
      <c r="AA137" s="61"/>
    </row>
    <row r="138" spans="1:27" ht="16.5" hidden="1">
      <c r="A138" s="1978"/>
      <c r="B138" s="2801" t="s">
        <v>171</v>
      </c>
      <c r="C138" s="2579">
        <v>44522.12226181</v>
      </c>
      <c r="D138" s="2560">
        <v>15697.983187420003</v>
      </c>
      <c r="E138" s="2560">
        <v>21327.049001060004</v>
      </c>
      <c r="F138" s="2560">
        <v>1389.6127214799999</v>
      </c>
      <c r="G138" s="2560">
        <v>0</v>
      </c>
      <c r="H138" s="2560">
        <v>0</v>
      </c>
      <c r="I138" s="2560">
        <v>0</v>
      </c>
      <c r="J138" s="2560">
        <v>0</v>
      </c>
      <c r="K138" s="2560">
        <v>0</v>
      </c>
      <c r="L138" s="2560">
        <v>3551.6918411099996</v>
      </c>
      <c r="M138" s="2581">
        <f>'[11]DMB Liabilites'!AP93</f>
        <v>2555.7855107399955</v>
      </c>
      <c r="N138" s="2356"/>
      <c r="V138" s="61"/>
      <c r="W138" s="61"/>
      <c r="X138" s="61"/>
      <c r="Y138" s="61"/>
      <c r="Z138" s="61"/>
      <c r="AA138" s="61"/>
    </row>
    <row r="139" spans="1:27" ht="16.5">
      <c r="A139" s="1978"/>
      <c r="B139" s="2813">
        <v>2009</v>
      </c>
      <c r="C139" s="2579">
        <v>45506.819767929999</v>
      </c>
      <c r="D139" s="2560">
        <v>17642.661708859996</v>
      </c>
      <c r="E139" s="2560">
        <v>20262.370799139997</v>
      </c>
      <c r="F139" s="2560">
        <v>977.6095382200001</v>
      </c>
      <c r="G139" s="2560">
        <v>0</v>
      </c>
      <c r="H139" s="2560">
        <v>0</v>
      </c>
      <c r="I139" s="2560">
        <v>0</v>
      </c>
      <c r="J139" s="2560">
        <v>0</v>
      </c>
      <c r="K139" s="2560">
        <v>0</v>
      </c>
      <c r="L139" s="2560">
        <v>3783.3587985899999</v>
      </c>
      <c r="M139" s="2581">
        <f>'[11]DMB Liabilites'!AP94</f>
        <v>2840.8189231200085</v>
      </c>
      <c r="N139" s="2356"/>
      <c r="V139" s="61"/>
      <c r="W139" s="61"/>
      <c r="X139" s="61"/>
      <c r="Y139" s="61"/>
      <c r="Z139" s="61"/>
      <c r="AA139" s="61"/>
    </row>
    <row r="140" spans="1:27" ht="16.5" hidden="1">
      <c r="A140" s="1978"/>
      <c r="B140" s="2812">
        <v>2010</v>
      </c>
      <c r="C140" s="2579"/>
      <c r="D140" s="2560"/>
      <c r="E140" s="2560"/>
      <c r="F140" s="2560"/>
      <c r="G140" s="2560"/>
      <c r="H140" s="2560"/>
      <c r="I140" s="2560"/>
      <c r="J140" s="2560"/>
      <c r="K140" s="2560"/>
      <c r="L140" s="2560"/>
      <c r="M140" s="2581"/>
      <c r="N140" s="2559"/>
      <c r="V140" s="61"/>
      <c r="W140" s="61"/>
      <c r="X140" s="61"/>
      <c r="Y140" s="61"/>
      <c r="Z140" s="61"/>
      <c r="AA140" s="61"/>
    </row>
    <row r="141" spans="1:27" ht="16.5" hidden="1">
      <c r="A141" s="1978"/>
      <c r="B141" s="2403" t="s">
        <v>161</v>
      </c>
      <c r="C141" s="2574">
        <v>42748.28112765</v>
      </c>
      <c r="D141" s="2575">
        <v>15525.101570410001</v>
      </c>
      <c r="E141" s="2576">
        <v>19496.730750430001</v>
      </c>
      <c r="F141" s="2576">
        <v>1121.8231913</v>
      </c>
      <c r="G141" s="2576">
        <v>0</v>
      </c>
      <c r="H141" s="2576">
        <v>0</v>
      </c>
      <c r="I141" s="2576">
        <v>0</v>
      </c>
      <c r="J141" s="2577">
        <v>0</v>
      </c>
      <c r="K141" s="2681">
        <v>0</v>
      </c>
      <c r="L141" s="2681">
        <v>3764.1928701899988</v>
      </c>
      <c r="M141" s="2576">
        <f>'[11]DMB Liabilites'!AP95</f>
        <v>2840.4327453200021</v>
      </c>
      <c r="N141" s="2343"/>
      <c r="V141" s="61"/>
      <c r="W141" s="61"/>
      <c r="X141" s="61"/>
      <c r="Y141" s="61"/>
      <c r="Z141" s="61"/>
      <c r="AA141" s="61"/>
    </row>
    <row r="142" spans="1:27" ht="16.5" hidden="1">
      <c r="A142" s="1978"/>
      <c r="B142" s="2403" t="s">
        <v>162</v>
      </c>
      <c r="C142" s="2574">
        <v>45833.540660449988</v>
      </c>
      <c r="D142" s="2575">
        <v>18399.2755703</v>
      </c>
      <c r="E142" s="2576">
        <v>19748.820514649997</v>
      </c>
      <c r="F142" s="2576">
        <v>1209.1246767799998</v>
      </c>
      <c r="G142" s="2576">
        <v>0</v>
      </c>
      <c r="H142" s="2576">
        <v>0</v>
      </c>
      <c r="I142" s="2576">
        <v>0</v>
      </c>
      <c r="J142" s="2577">
        <v>0</v>
      </c>
      <c r="K142" s="2681">
        <v>0</v>
      </c>
      <c r="L142" s="2681">
        <v>3683.4728156699975</v>
      </c>
      <c r="M142" s="2576">
        <f>'[11]DMB Liabilites'!AP96</f>
        <v>2792.8470830499937</v>
      </c>
      <c r="N142" s="2343"/>
      <c r="V142" s="61"/>
      <c r="W142" s="61"/>
      <c r="X142" s="61"/>
      <c r="Y142" s="61"/>
      <c r="Z142" s="61"/>
      <c r="AA142" s="61"/>
    </row>
    <row r="143" spans="1:27" ht="16.5" hidden="1">
      <c r="A143" s="1978"/>
      <c r="B143" s="2403" t="s">
        <v>163</v>
      </c>
      <c r="C143" s="2574">
        <v>48480.461721000014</v>
      </c>
      <c r="D143" s="2575">
        <v>18671.663615969999</v>
      </c>
      <c r="E143" s="2576">
        <v>19376.093924290002</v>
      </c>
      <c r="F143" s="2576">
        <v>1235.32171165</v>
      </c>
      <c r="G143" s="2576">
        <v>0</v>
      </c>
      <c r="H143" s="2576">
        <v>0</v>
      </c>
      <c r="I143" s="2576">
        <v>0</v>
      </c>
      <c r="J143" s="2577">
        <v>0</v>
      </c>
      <c r="K143" s="2681">
        <v>1504.6393903800001</v>
      </c>
      <c r="L143" s="2681">
        <v>5120.8167067830009</v>
      </c>
      <c r="M143" s="2576">
        <f>'[11]DMB Liabilites'!AP97</f>
        <v>2571.9263719270093</v>
      </c>
      <c r="N143" s="2343"/>
      <c r="V143" s="61"/>
      <c r="W143" s="61"/>
      <c r="X143" s="61"/>
      <c r="Y143" s="61"/>
      <c r="Z143" s="61"/>
      <c r="AA143" s="61"/>
    </row>
    <row r="144" spans="1:27" ht="16.5" hidden="1">
      <c r="A144" s="1978"/>
      <c r="B144" s="2403" t="s">
        <v>164</v>
      </c>
      <c r="C144" s="2574">
        <v>46496.859965849995</v>
      </c>
      <c r="D144" s="2575">
        <v>17048.531954440001</v>
      </c>
      <c r="E144" s="2576">
        <v>19231.055243750001</v>
      </c>
      <c r="F144" s="2576">
        <v>1188.1513714800001</v>
      </c>
      <c r="G144" s="2576">
        <v>0</v>
      </c>
      <c r="H144" s="2576">
        <v>0</v>
      </c>
      <c r="I144" s="2576">
        <v>0</v>
      </c>
      <c r="J144" s="2577">
        <v>0</v>
      </c>
      <c r="K144" s="2681">
        <v>1504.6394597799999</v>
      </c>
      <c r="L144" s="2681">
        <v>5511.9671215429998</v>
      </c>
      <c r="M144" s="2576">
        <f>'[11]DMB Liabilites'!AP98</f>
        <v>2012.5148148569933</v>
      </c>
      <c r="N144" s="2343"/>
      <c r="V144" s="61"/>
      <c r="W144" s="61"/>
      <c r="X144" s="61"/>
      <c r="Y144" s="61"/>
      <c r="Z144" s="61"/>
      <c r="AA144" s="61"/>
    </row>
    <row r="145" spans="1:27" ht="16.5" hidden="1">
      <c r="A145" s="1978"/>
      <c r="B145" s="2403" t="s">
        <v>165</v>
      </c>
      <c r="C145" s="2574">
        <v>45422.321692624006</v>
      </c>
      <c r="D145" s="2575">
        <v>18123.90971536611</v>
      </c>
      <c r="E145" s="2576">
        <v>17335.356294843001</v>
      </c>
      <c r="F145" s="2576">
        <v>1445.19034809</v>
      </c>
      <c r="G145" s="2576">
        <v>0</v>
      </c>
      <c r="H145" s="2576">
        <v>0</v>
      </c>
      <c r="I145" s="2576">
        <v>0</v>
      </c>
      <c r="J145" s="2577">
        <v>0</v>
      </c>
      <c r="K145" s="2681">
        <v>1500.2478673300002</v>
      </c>
      <c r="L145" s="2681">
        <v>5464.8998463029993</v>
      </c>
      <c r="M145" s="2576">
        <f>'[11]DMB Liabilites'!AP99</f>
        <v>1552.7176206918957</v>
      </c>
      <c r="N145" s="2343"/>
      <c r="V145" s="61"/>
      <c r="W145" s="61"/>
      <c r="X145" s="61"/>
      <c r="Y145" s="61"/>
      <c r="Z145" s="61"/>
      <c r="AA145" s="61"/>
    </row>
    <row r="146" spans="1:27" ht="16.5" hidden="1">
      <c r="A146" s="1978"/>
      <c r="B146" s="2403" t="s">
        <v>166</v>
      </c>
      <c r="C146" s="2574">
        <v>45442.271131528003</v>
      </c>
      <c r="D146" s="2575">
        <v>17151.237849077999</v>
      </c>
      <c r="E146" s="2576">
        <v>17939.017310070001</v>
      </c>
      <c r="F146" s="2576">
        <v>1301.9373537500001</v>
      </c>
      <c r="G146" s="2576">
        <v>0</v>
      </c>
      <c r="H146" s="2576">
        <v>0</v>
      </c>
      <c r="I146" s="2576">
        <v>0</v>
      </c>
      <c r="J146" s="2577">
        <v>0</v>
      </c>
      <c r="K146" s="2681">
        <v>1495.2478673300002</v>
      </c>
      <c r="L146" s="2681">
        <v>5707.0209052819991</v>
      </c>
      <c r="M146" s="2576">
        <f>'[11]DMB Liabilites'!AP100</f>
        <v>1847.8098460180045</v>
      </c>
      <c r="N146" s="2343"/>
      <c r="V146" s="61"/>
      <c r="W146" s="61"/>
      <c r="X146" s="61"/>
      <c r="Y146" s="61"/>
      <c r="Z146" s="61"/>
      <c r="AA146" s="61"/>
    </row>
    <row r="147" spans="1:27" ht="16.5" hidden="1">
      <c r="A147" s="1978"/>
      <c r="B147" s="2403" t="s">
        <v>167</v>
      </c>
      <c r="C147" s="2574">
        <v>46672.750926860004</v>
      </c>
      <c r="D147" s="2575">
        <v>18996.962583019998</v>
      </c>
      <c r="E147" s="2576">
        <v>17440.445696930001</v>
      </c>
      <c r="F147" s="2576">
        <v>1191.6652751699999</v>
      </c>
      <c r="G147" s="2576">
        <v>0</v>
      </c>
      <c r="H147" s="2576">
        <v>0</v>
      </c>
      <c r="I147" s="2576">
        <v>0</v>
      </c>
      <c r="J147" s="2577">
        <v>0</v>
      </c>
      <c r="K147" s="2681">
        <v>1414.3187885200002</v>
      </c>
      <c r="L147" s="2681">
        <v>5948.0141716784174</v>
      </c>
      <c r="M147" s="2576">
        <f>'[11]DMB Liabilites'!AP101</f>
        <v>1681.3444115415768</v>
      </c>
      <c r="N147" s="2343"/>
      <c r="O147" s="1502"/>
      <c r="V147" s="61"/>
      <c r="W147" s="61"/>
      <c r="X147" s="61"/>
      <c r="Y147" s="61"/>
      <c r="Z147" s="61"/>
      <c r="AA147" s="61"/>
    </row>
    <row r="148" spans="1:27" ht="16.5" hidden="1">
      <c r="A148" s="1978"/>
      <c r="B148" s="2403" t="s">
        <v>168</v>
      </c>
      <c r="C148" s="2574">
        <v>53175.510063671027</v>
      </c>
      <c r="D148" s="2575">
        <v>24584.463433969999</v>
      </c>
      <c r="E148" s="2576">
        <v>18468.84021351</v>
      </c>
      <c r="F148" s="2576">
        <v>1192.7766557270002</v>
      </c>
      <c r="G148" s="2576">
        <v>0</v>
      </c>
      <c r="H148" s="2576">
        <v>0</v>
      </c>
      <c r="I148" s="2576">
        <v>0</v>
      </c>
      <c r="J148" s="2577">
        <v>0</v>
      </c>
      <c r="K148" s="2681">
        <v>1408.3744055200002</v>
      </c>
      <c r="L148" s="2681">
        <v>6002.83219681025</v>
      </c>
      <c r="M148" s="2576">
        <f>'[11]DMB Liabilites'!AP102</f>
        <v>1518.2231581337692</v>
      </c>
      <c r="N148" s="2343"/>
      <c r="V148" s="61"/>
      <c r="W148" s="61"/>
      <c r="X148" s="61"/>
      <c r="Y148" s="61"/>
      <c r="Z148" s="61"/>
      <c r="AA148" s="61"/>
    </row>
    <row r="149" spans="1:27" ht="16.5" hidden="1">
      <c r="A149" s="1978"/>
      <c r="B149" s="2403" t="s">
        <v>169</v>
      </c>
      <c r="C149" s="2574">
        <v>53432.996752489984</v>
      </c>
      <c r="D149" s="2575">
        <v>20373.02121549</v>
      </c>
      <c r="E149" s="2576">
        <v>23175.939709639999</v>
      </c>
      <c r="F149" s="2576">
        <v>1385.1229622599999</v>
      </c>
      <c r="G149" s="2576">
        <v>0</v>
      </c>
      <c r="H149" s="2576">
        <v>0</v>
      </c>
      <c r="I149" s="2576">
        <v>0</v>
      </c>
      <c r="J149" s="2577">
        <v>0</v>
      </c>
      <c r="K149" s="2681">
        <v>1408.4341612400001</v>
      </c>
      <c r="L149" s="2681">
        <v>6147.77799835122</v>
      </c>
      <c r="M149" s="2576">
        <f>'[11]DMB Liabilites'!AP103</f>
        <v>942.70070550875971</v>
      </c>
      <c r="N149" s="2343"/>
      <c r="V149" s="61"/>
      <c r="W149" s="61"/>
      <c r="X149" s="61"/>
      <c r="Y149" s="61"/>
      <c r="Z149" s="61"/>
      <c r="AA149" s="61"/>
    </row>
    <row r="150" spans="1:27" ht="16.5" hidden="1">
      <c r="A150" s="1978"/>
      <c r="B150" s="2403" t="s">
        <v>170</v>
      </c>
      <c r="C150" s="2574">
        <v>53728.921486566025</v>
      </c>
      <c r="D150" s="2575">
        <v>20757.005312410001</v>
      </c>
      <c r="E150" s="2576">
        <v>23887.57158706</v>
      </c>
      <c r="F150" s="2576">
        <v>1235.9531399799998</v>
      </c>
      <c r="G150" s="2576">
        <v>0</v>
      </c>
      <c r="H150" s="2576">
        <v>0</v>
      </c>
      <c r="I150" s="2576">
        <v>0</v>
      </c>
      <c r="J150" s="2577">
        <v>0</v>
      </c>
      <c r="K150" s="2681">
        <v>1428.0397511100002</v>
      </c>
      <c r="L150" s="2681">
        <v>6304.3582098811403</v>
      </c>
      <c r="M150" s="2576">
        <f>'[11]DMB Liabilites'!AP104</f>
        <v>115.99348612487665</v>
      </c>
      <c r="N150" s="2343"/>
      <c r="V150" s="61"/>
      <c r="W150" s="61"/>
      <c r="X150" s="61"/>
      <c r="Y150" s="61"/>
      <c r="Z150" s="61"/>
      <c r="AA150" s="61"/>
    </row>
    <row r="151" spans="1:27" ht="16.5" hidden="1">
      <c r="A151" s="1978"/>
      <c r="B151" s="2403" t="s">
        <v>171</v>
      </c>
      <c r="C151" s="2574">
        <v>59119.313774567003</v>
      </c>
      <c r="D151" s="2575">
        <v>22118.966290602501</v>
      </c>
      <c r="E151" s="2576">
        <v>25617.551356289998</v>
      </c>
      <c r="F151" s="2576">
        <v>1538.7792689800001</v>
      </c>
      <c r="G151" s="2576">
        <v>0</v>
      </c>
      <c r="H151" s="2576">
        <v>0</v>
      </c>
      <c r="I151" s="2576">
        <v>0</v>
      </c>
      <c r="J151" s="2577">
        <v>0</v>
      </c>
      <c r="K151" s="2681">
        <v>1422.94684695</v>
      </c>
      <c r="L151" s="2681">
        <v>6432.1080993687756</v>
      </c>
      <c r="M151" s="2576">
        <f>'[11]DMB Liabilites'!AP105</f>
        <v>1988.9619123757366</v>
      </c>
      <c r="N151" s="2343"/>
      <c r="V151" s="61"/>
      <c r="W151" s="61"/>
      <c r="X151" s="61"/>
      <c r="Y151" s="61"/>
      <c r="Z151" s="61"/>
      <c r="AA151" s="61"/>
    </row>
    <row r="152" spans="1:27" ht="16.5">
      <c r="A152" s="1978"/>
      <c r="B152" s="2812">
        <v>2010</v>
      </c>
      <c r="C152" s="2574">
        <v>58638.700832274961</v>
      </c>
      <c r="D152" s="2575">
        <v>23434.420698739999</v>
      </c>
      <c r="E152" s="2576">
        <v>20814.118012790001</v>
      </c>
      <c r="F152" s="2576">
        <v>1254.98606105</v>
      </c>
      <c r="G152" s="2576">
        <v>0</v>
      </c>
      <c r="H152" s="2576">
        <v>0</v>
      </c>
      <c r="I152" s="2576">
        <v>0</v>
      </c>
      <c r="J152" s="2577">
        <v>0</v>
      </c>
      <c r="K152" s="2681">
        <v>1417.9468476399998</v>
      </c>
      <c r="L152" s="2681">
        <v>6149.6339149799996</v>
      </c>
      <c r="M152" s="2576">
        <f>'[11]DMB Liabilites'!AP106</f>
        <v>5567.595297074964</v>
      </c>
      <c r="N152" s="2343"/>
      <c r="V152" s="61"/>
      <c r="W152" s="61"/>
      <c r="X152" s="61"/>
      <c r="Y152" s="61"/>
      <c r="Z152" s="61"/>
      <c r="AA152" s="61"/>
    </row>
    <row r="153" spans="1:27" ht="16.5" hidden="1">
      <c r="A153" s="1978"/>
      <c r="B153" s="2812">
        <v>2011</v>
      </c>
      <c r="C153" s="2679"/>
      <c r="D153" s="2680"/>
      <c r="E153" s="2680"/>
      <c r="F153" s="2680"/>
      <c r="G153" s="2680"/>
      <c r="H153" s="2680"/>
      <c r="I153" s="2680"/>
      <c r="J153" s="2680"/>
      <c r="K153" s="2680"/>
      <c r="L153" s="2680"/>
      <c r="M153" s="2681"/>
      <c r="N153" s="2559"/>
      <c r="V153" s="61"/>
      <c r="W153" s="61"/>
      <c r="X153" s="61"/>
      <c r="Y153" s="61"/>
      <c r="Z153" s="61"/>
      <c r="AA153" s="61"/>
    </row>
    <row r="154" spans="1:27" ht="16.5" hidden="1">
      <c r="A154" s="1978"/>
      <c r="B154" s="2403" t="s">
        <v>161</v>
      </c>
      <c r="C154" s="2574">
        <v>52103.484223709012</v>
      </c>
      <c r="D154" s="2575">
        <v>19904.946752160002</v>
      </c>
      <c r="E154" s="2576">
        <v>21453.534707559997</v>
      </c>
      <c r="F154" s="2576">
        <v>1307.0865044239999</v>
      </c>
      <c r="G154" s="2576">
        <v>0</v>
      </c>
      <c r="H154" s="2576">
        <v>0</v>
      </c>
      <c r="I154" s="2576">
        <v>0</v>
      </c>
      <c r="J154" s="2577">
        <v>0</v>
      </c>
      <c r="K154" s="2681">
        <v>1417.01776767</v>
      </c>
      <c r="L154" s="2681">
        <v>5983.8359215711998</v>
      </c>
      <c r="M154" s="2576">
        <f>'[11]DMB Liabilites'!AP107</f>
        <v>2037.0625703238184</v>
      </c>
      <c r="N154" s="2343"/>
      <c r="V154" s="61"/>
      <c r="W154" s="61"/>
      <c r="X154" s="61"/>
      <c r="Y154" s="61"/>
      <c r="Z154" s="61"/>
      <c r="AA154" s="61"/>
    </row>
    <row r="155" spans="1:27" ht="16.5" hidden="1">
      <c r="A155" s="1978"/>
      <c r="B155" s="2403" t="s">
        <v>162</v>
      </c>
      <c r="C155" s="2574">
        <v>53657.94332238401</v>
      </c>
      <c r="D155" s="2575">
        <v>21458.04384052</v>
      </c>
      <c r="E155" s="2576">
        <v>21387.839766179997</v>
      </c>
      <c r="F155" s="2576">
        <v>1326.2521755875</v>
      </c>
      <c r="G155" s="2576">
        <v>0</v>
      </c>
      <c r="H155" s="2576">
        <v>0</v>
      </c>
      <c r="I155" s="2576">
        <v>0</v>
      </c>
      <c r="J155" s="2577">
        <v>0</v>
      </c>
      <c r="K155" s="2681">
        <v>1411.0733850600002</v>
      </c>
      <c r="L155" s="2681">
        <v>6030.2011529412002</v>
      </c>
      <c r="M155" s="2576">
        <f>'[11]DMB Liabilites'!AP108</f>
        <v>2044.5330020953188</v>
      </c>
      <c r="N155" s="2343"/>
      <c r="V155" s="61"/>
      <c r="W155" s="61"/>
      <c r="X155" s="61"/>
      <c r="Y155" s="61"/>
      <c r="Z155" s="61"/>
      <c r="AA155" s="61"/>
    </row>
    <row r="156" spans="1:27" ht="16.5" hidden="1">
      <c r="A156" s="1978"/>
      <c r="B156" s="2403" t="s">
        <v>163</v>
      </c>
      <c r="C156" s="2574">
        <v>54135.228297418907</v>
      </c>
      <c r="D156" s="2575">
        <v>22089.20372632</v>
      </c>
      <c r="E156" s="2576">
        <v>19119.317400439999</v>
      </c>
      <c r="F156" s="2576">
        <v>3188.5693861140003</v>
      </c>
      <c r="G156" s="2576">
        <v>0</v>
      </c>
      <c r="H156" s="2576">
        <v>0</v>
      </c>
      <c r="I156" s="2576">
        <v>0</v>
      </c>
      <c r="J156" s="2577">
        <v>0</v>
      </c>
      <c r="K156" s="2681">
        <v>1511.0733865</v>
      </c>
      <c r="L156" s="2681">
        <v>6169.2613508363356</v>
      </c>
      <c r="M156" s="2576">
        <f>'[11]DMB Liabilites'!AP109</f>
        <v>2057.8030472085738</v>
      </c>
      <c r="N156" s="2343"/>
      <c r="V156" s="61"/>
      <c r="W156" s="61"/>
      <c r="X156" s="61"/>
      <c r="Y156" s="61"/>
      <c r="Z156" s="61"/>
      <c r="AA156" s="61"/>
    </row>
    <row r="157" spans="1:27" ht="16.5" hidden="1">
      <c r="A157" s="1978"/>
      <c r="B157" s="2403" t="s">
        <v>164</v>
      </c>
      <c r="C157" s="2574">
        <v>54471.102114584995</v>
      </c>
      <c r="D157" s="2575">
        <v>22123.109714176</v>
      </c>
      <c r="E157" s="2576">
        <v>18861.201014260001</v>
      </c>
      <c r="F157" s="2576">
        <v>2522.3369407600003</v>
      </c>
      <c r="G157" s="2576">
        <v>0</v>
      </c>
      <c r="H157" s="2576">
        <v>0</v>
      </c>
      <c r="I157" s="2576">
        <v>0</v>
      </c>
      <c r="J157" s="2577">
        <v>0</v>
      </c>
      <c r="K157" s="2681">
        <v>1411.3175961300001</v>
      </c>
      <c r="L157" s="2681">
        <v>6409.8115534030258</v>
      </c>
      <c r="M157" s="2576">
        <f>'[11]DMB Liabilites'!AP110</f>
        <v>3143.3252958559751</v>
      </c>
      <c r="N157" s="2343"/>
      <c r="V157" s="61"/>
      <c r="W157" s="61"/>
      <c r="X157" s="61"/>
      <c r="Y157" s="61"/>
      <c r="Z157" s="61"/>
      <c r="AA157" s="61"/>
    </row>
    <row r="158" spans="1:27" ht="16.5" hidden="1">
      <c r="A158" s="1978"/>
      <c r="B158" s="2403" t="s">
        <v>165</v>
      </c>
      <c r="C158" s="2574">
        <v>53528.215083505085</v>
      </c>
      <c r="D158" s="2575">
        <v>22751.035924400003</v>
      </c>
      <c r="E158" s="2576">
        <v>18324.25775837</v>
      </c>
      <c r="F158" s="2576">
        <v>3118.1099652956</v>
      </c>
      <c r="G158" s="2576">
        <v>0</v>
      </c>
      <c r="H158" s="2576">
        <v>0</v>
      </c>
      <c r="I158" s="2576">
        <v>0</v>
      </c>
      <c r="J158" s="2577">
        <v>0</v>
      </c>
      <c r="K158" s="2681">
        <v>1547.7286621100002</v>
      </c>
      <c r="L158" s="2681">
        <v>6563.1848467688014</v>
      </c>
      <c r="M158" s="2576">
        <f>'[11]DMB Liabilites'!$AP$111</f>
        <v>1223.8979265606758</v>
      </c>
      <c r="N158" s="2343"/>
      <c r="V158" s="61"/>
      <c r="W158" s="61"/>
      <c r="X158" s="61"/>
      <c r="Y158" s="61"/>
      <c r="Z158" s="61"/>
      <c r="AA158" s="61"/>
    </row>
    <row r="159" spans="1:27" ht="16.5" hidden="1">
      <c r="A159" s="1978"/>
      <c r="B159" s="2403" t="s">
        <v>166</v>
      </c>
      <c r="C159" s="2574">
        <v>54058.611377659996</v>
      </c>
      <c r="D159" s="2575">
        <v>23376.599488966</v>
      </c>
      <c r="E159" s="2576">
        <v>17410.897493209999</v>
      </c>
      <c r="F159" s="2576">
        <v>2958.6191151300004</v>
      </c>
      <c r="G159" s="2576">
        <v>0</v>
      </c>
      <c r="H159" s="2576">
        <v>0</v>
      </c>
      <c r="I159" s="2576">
        <v>0</v>
      </c>
      <c r="J159" s="2577">
        <v>0</v>
      </c>
      <c r="K159" s="2681">
        <v>1547.8925093600001</v>
      </c>
      <c r="L159" s="2681">
        <v>6382.29180416707</v>
      </c>
      <c r="M159" s="2576">
        <f>'[11]DMB Liabilites'!AP112</f>
        <v>2382.3109668269244</v>
      </c>
      <c r="N159" s="2343"/>
      <c r="V159" s="61"/>
      <c r="W159" s="61"/>
      <c r="X159" s="61"/>
      <c r="Y159" s="61"/>
      <c r="Z159" s="61"/>
      <c r="AA159" s="61"/>
    </row>
    <row r="160" spans="1:27" ht="18" hidden="1" customHeight="1">
      <c r="A160" s="1978"/>
      <c r="B160" s="2403" t="s">
        <v>167</v>
      </c>
      <c r="C160" s="2574">
        <v>55830.939916056988</v>
      </c>
      <c r="D160" s="2575">
        <v>22200.264899032001</v>
      </c>
      <c r="E160" s="2576">
        <v>18134.724393413999</v>
      </c>
      <c r="F160" s="2576">
        <v>3247.5339774799995</v>
      </c>
      <c r="G160" s="2576">
        <v>0</v>
      </c>
      <c r="H160" s="2576">
        <v>0</v>
      </c>
      <c r="I160" s="2576">
        <v>0</v>
      </c>
      <c r="J160" s="2577">
        <v>0</v>
      </c>
      <c r="K160" s="2681">
        <v>1470.4651129900001</v>
      </c>
      <c r="L160" s="2681">
        <v>6665.9830324978284</v>
      </c>
      <c r="M160" s="2576">
        <f>'[11]DMB Liabilites'!AP113</f>
        <v>4111.9685006431537</v>
      </c>
      <c r="N160" s="2343"/>
      <c r="V160" s="61"/>
      <c r="W160" s="61"/>
      <c r="X160" s="61"/>
      <c r="Y160" s="61"/>
      <c r="Z160" s="61"/>
      <c r="AA160" s="61"/>
    </row>
    <row r="161" spans="1:27" ht="18" hidden="1" customHeight="1">
      <c r="A161" s="1978"/>
      <c r="B161" s="2403" t="s">
        <v>168</v>
      </c>
      <c r="C161" s="2574">
        <v>55187.234267092004</v>
      </c>
      <c r="D161" s="2575">
        <v>23907.07746253</v>
      </c>
      <c r="E161" s="2576">
        <v>17584.140397084</v>
      </c>
      <c r="F161" s="2576">
        <v>2711.6518927399998</v>
      </c>
      <c r="G161" s="2576">
        <v>0</v>
      </c>
      <c r="H161" s="2576">
        <v>0</v>
      </c>
      <c r="I161" s="2576">
        <v>0</v>
      </c>
      <c r="J161" s="2577">
        <v>0</v>
      </c>
      <c r="K161" s="2681">
        <v>1390.6109914000001</v>
      </c>
      <c r="L161" s="2681">
        <v>6877.6772035443364</v>
      </c>
      <c r="M161" s="2576">
        <f>'[11]DMB Liabilites'!AP114</f>
        <v>2716.0763197936685</v>
      </c>
      <c r="N161" s="2343"/>
      <c r="V161" s="61"/>
      <c r="W161" s="61"/>
      <c r="X161" s="61"/>
      <c r="Y161" s="61"/>
      <c r="Z161" s="61"/>
      <c r="AA161" s="61"/>
    </row>
    <row r="162" spans="1:27" ht="18" hidden="1" customHeight="1">
      <c r="A162" s="1978"/>
      <c r="B162" s="2403" t="s">
        <v>169</v>
      </c>
      <c r="C162" s="2574">
        <v>57914.625693490008</v>
      </c>
      <c r="D162" s="2575">
        <v>25690.166871725996</v>
      </c>
      <c r="E162" s="2576">
        <v>19310.873329549999</v>
      </c>
      <c r="F162" s="2576">
        <v>1677.4818838399999</v>
      </c>
      <c r="G162" s="2576">
        <v>0</v>
      </c>
      <c r="H162" s="2576">
        <v>0</v>
      </c>
      <c r="I162" s="2576">
        <v>0</v>
      </c>
      <c r="J162" s="2577">
        <v>0</v>
      </c>
      <c r="K162" s="2681">
        <v>1390.6109918499999</v>
      </c>
      <c r="L162" s="2681">
        <v>7027.4343147520694</v>
      </c>
      <c r="M162" s="2576">
        <f>'[11]DMB Liabilites'!AP115</f>
        <v>2818.05830177194</v>
      </c>
      <c r="N162" s="2343"/>
      <c r="V162" s="61"/>
      <c r="W162" s="61"/>
      <c r="X162" s="61"/>
      <c r="Y162" s="61"/>
      <c r="Z162" s="61"/>
      <c r="AA162" s="61"/>
    </row>
    <row r="163" spans="1:27" ht="18" hidden="1" customHeight="1">
      <c r="A163" s="1978"/>
      <c r="B163" s="2403" t="s">
        <v>170</v>
      </c>
      <c r="C163" s="2574">
        <v>59772.49175518797</v>
      </c>
      <c r="D163" s="2575">
        <v>25474.509932016004</v>
      </c>
      <c r="E163" s="2576">
        <v>20695.042676249996</v>
      </c>
      <c r="F163" s="2576">
        <v>1721.0370482479998</v>
      </c>
      <c r="G163" s="2576">
        <v>0</v>
      </c>
      <c r="H163" s="2576">
        <v>0</v>
      </c>
      <c r="I163" s="2576">
        <v>0</v>
      </c>
      <c r="J163" s="2577">
        <v>0</v>
      </c>
      <c r="K163" s="2681">
        <v>1390.61099229</v>
      </c>
      <c r="L163" s="2681">
        <v>7508.37590920413</v>
      </c>
      <c r="M163" s="2576">
        <f>'[11]DMB Liabilites'!AP116</f>
        <v>2982.9151971798419</v>
      </c>
      <c r="N163" s="2343"/>
    </row>
    <row r="164" spans="1:27" ht="18" hidden="1" customHeight="1">
      <c r="A164" s="1978"/>
      <c r="B164" s="2403" t="s">
        <v>171</v>
      </c>
      <c r="C164" s="2574">
        <v>63691.175970111006</v>
      </c>
      <c r="D164" s="2575">
        <v>28232.467882434001</v>
      </c>
      <c r="E164" s="2576">
        <v>21947.725130566003</v>
      </c>
      <c r="F164" s="2576">
        <v>1467.2907252220002</v>
      </c>
      <c r="G164" s="2576">
        <v>0</v>
      </c>
      <c r="H164" s="2576">
        <v>0</v>
      </c>
      <c r="I164" s="2576">
        <v>0</v>
      </c>
      <c r="J164" s="2577">
        <v>0</v>
      </c>
      <c r="K164" s="2681">
        <v>1385.51801146</v>
      </c>
      <c r="L164" s="2681">
        <v>7465.2071486016102</v>
      </c>
      <c r="M164" s="2576">
        <f>'[11]DMB Liabilites'!AP117</f>
        <v>3192.9670718273919</v>
      </c>
      <c r="N164" s="2343"/>
    </row>
    <row r="165" spans="1:27" ht="18" customHeight="1">
      <c r="A165" s="1978"/>
      <c r="B165" s="2812">
        <v>2011</v>
      </c>
      <c r="C165" s="2574">
        <v>59808.850885978994</v>
      </c>
      <c r="D165" s="2575">
        <v>26289.026129533999</v>
      </c>
      <c r="E165" s="2576">
        <v>18468.533405960003</v>
      </c>
      <c r="F165" s="2576">
        <v>1560.48889162</v>
      </c>
      <c r="G165" s="2576">
        <v>0</v>
      </c>
      <c r="H165" s="2576">
        <v>0</v>
      </c>
      <c r="I165" s="2576">
        <v>0</v>
      </c>
      <c r="J165" s="2577">
        <v>0</v>
      </c>
      <c r="K165" s="2681">
        <v>1330.51801146</v>
      </c>
      <c r="L165" s="2681">
        <v>9451.185077307</v>
      </c>
      <c r="M165" s="2576">
        <f>'[11]DMB Liabilites'!AP118</f>
        <v>2709.0993700979961</v>
      </c>
      <c r="N165" s="2343"/>
    </row>
    <row r="166" spans="1:27" ht="18" hidden="1" customHeight="1">
      <c r="A166" s="1978"/>
      <c r="B166" s="2812">
        <v>2012</v>
      </c>
      <c r="C166" s="2682"/>
      <c r="D166" s="2683"/>
      <c r="E166" s="2683"/>
      <c r="F166" s="2683"/>
      <c r="G166" s="2683"/>
      <c r="H166" s="2683"/>
      <c r="I166" s="2683"/>
      <c r="J166" s="2683"/>
      <c r="K166" s="2683"/>
      <c r="L166" s="2683"/>
      <c r="M166" s="2684"/>
      <c r="N166" s="1662"/>
    </row>
    <row r="167" spans="1:27" ht="18" hidden="1" customHeight="1">
      <c r="A167" s="1978"/>
      <c r="B167" s="2403" t="s">
        <v>161</v>
      </c>
      <c r="C167" s="2574">
        <v>61522.117119506962</v>
      </c>
      <c r="D167" s="2575">
        <v>26800.116026425007</v>
      </c>
      <c r="E167" s="2576">
        <v>20064.872251810004</v>
      </c>
      <c r="F167" s="2576">
        <v>1610.24542477</v>
      </c>
      <c r="G167" s="2576">
        <v>0</v>
      </c>
      <c r="H167" s="2576">
        <v>0</v>
      </c>
      <c r="I167" s="2576">
        <v>0</v>
      </c>
      <c r="J167" s="2577">
        <v>0</v>
      </c>
      <c r="K167" s="2681">
        <v>1329.5889320599999</v>
      </c>
      <c r="L167" s="2681">
        <v>9317.5943351104761</v>
      </c>
      <c r="M167" s="2576">
        <f>'[11]DMB Liabilites'!AP119</f>
        <v>2399.7001493314747</v>
      </c>
      <c r="N167" s="2343"/>
    </row>
    <row r="168" spans="1:27" ht="18" hidden="1" customHeight="1">
      <c r="A168" s="1978"/>
      <c r="B168" s="2403" t="s">
        <v>162</v>
      </c>
      <c r="C168" s="2574">
        <v>64281.401980755007</v>
      </c>
      <c r="D168" s="2575">
        <v>24898.386643974998</v>
      </c>
      <c r="E168" s="2576">
        <v>20582.858732110002</v>
      </c>
      <c r="F168" s="2576">
        <v>1522.0253059899999</v>
      </c>
      <c r="G168" s="2576">
        <v>0</v>
      </c>
      <c r="H168" s="2576">
        <v>0</v>
      </c>
      <c r="I168" s="2576">
        <v>0</v>
      </c>
      <c r="J168" s="2577">
        <v>0</v>
      </c>
      <c r="K168" s="2681">
        <v>1323.6445490599999</v>
      </c>
      <c r="L168" s="2681">
        <v>9128.438908271406</v>
      </c>
      <c r="M168" s="2576">
        <f>'[11]DMB Liabilites'!AP120</f>
        <v>6826.047841348598</v>
      </c>
      <c r="N168" s="2343"/>
    </row>
    <row r="169" spans="1:27" ht="18" hidden="1" customHeight="1">
      <c r="A169" s="1978"/>
      <c r="B169" s="2403" t="s">
        <v>163</v>
      </c>
      <c r="C169" s="2574">
        <v>61443.761340429002</v>
      </c>
      <c r="D169" s="2575">
        <v>26671.765806755004</v>
      </c>
      <c r="E169" s="2576">
        <v>18301.660102299997</v>
      </c>
      <c r="F169" s="2576">
        <v>1573.2724468850001</v>
      </c>
      <c r="G169" s="2576">
        <v>0</v>
      </c>
      <c r="H169" s="2576">
        <v>0</v>
      </c>
      <c r="I169" s="2576">
        <v>0</v>
      </c>
      <c r="J169" s="2577">
        <v>0</v>
      </c>
      <c r="K169" s="2681">
        <v>1603.9269450899999</v>
      </c>
      <c r="L169" s="2681">
        <v>9172.1968552352791</v>
      </c>
      <c r="M169" s="2576">
        <f>'[11]DMB Liabilites'!AP121</f>
        <v>4120.9391841637189</v>
      </c>
      <c r="N169" s="2343"/>
    </row>
    <row r="170" spans="1:27" ht="18" hidden="1" customHeight="1">
      <c r="A170" s="1978"/>
      <c r="B170" s="2403" t="s">
        <v>164</v>
      </c>
      <c r="C170" s="2574">
        <v>58756.017497337001</v>
      </c>
      <c r="D170" s="2575">
        <v>22934.220291521</v>
      </c>
      <c r="E170" s="2576">
        <v>18693.325155900002</v>
      </c>
      <c r="F170" s="2576">
        <v>1575.14282473</v>
      </c>
      <c r="G170" s="2576">
        <v>0</v>
      </c>
      <c r="H170" s="2576">
        <v>0</v>
      </c>
      <c r="I170" s="2576">
        <v>0</v>
      </c>
      <c r="J170" s="2577">
        <v>0</v>
      </c>
      <c r="K170" s="2681">
        <v>1531.9218168</v>
      </c>
      <c r="L170" s="2681">
        <v>9662.7434265240008</v>
      </c>
      <c r="M170" s="2576">
        <f>'[11]DMB Liabilites'!AP122</f>
        <v>4358.6639818620024</v>
      </c>
      <c r="N170" s="2343"/>
    </row>
    <row r="171" spans="1:27" ht="18" hidden="1" customHeight="1">
      <c r="A171" s="1978"/>
      <c r="B171" s="2403" t="s">
        <v>165</v>
      </c>
      <c r="C171" s="2574">
        <v>62477.208411601088</v>
      </c>
      <c r="D171" s="2575">
        <v>27803.399298910997</v>
      </c>
      <c r="E171" s="2576">
        <v>16760.55638274</v>
      </c>
      <c r="F171" s="2576">
        <v>1649.3736944999998</v>
      </c>
      <c r="G171" s="2576">
        <v>0</v>
      </c>
      <c r="H171" s="2576">
        <v>0</v>
      </c>
      <c r="I171" s="2576">
        <v>0</v>
      </c>
      <c r="J171" s="2577">
        <v>0</v>
      </c>
      <c r="K171" s="2681">
        <v>1871.4366133100002</v>
      </c>
      <c r="L171" s="2681">
        <v>10055.9358019888</v>
      </c>
      <c r="M171" s="2576">
        <f>'[11]DMB Liabilites'!AP123</f>
        <v>4336.5066201512891</v>
      </c>
      <c r="N171" s="2343"/>
    </row>
    <row r="172" spans="1:27" ht="18" hidden="1" customHeight="1">
      <c r="A172" s="1978"/>
      <c r="B172" s="2403" t="s">
        <v>166</v>
      </c>
      <c r="C172" s="2574">
        <v>59623.513608048008</v>
      </c>
      <c r="D172" s="2575">
        <v>25569.510901821006</v>
      </c>
      <c r="E172" s="2576">
        <v>16641.84003653</v>
      </c>
      <c r="F172" s="2576">
        <v>1520.85737679</v>
      </c>
      <c r="G172" s="2576">
        <v>0</v>
      </c>
      <c r="H172" s="2576">
        <v>0</v>
      </c>
      <c r="I172" s="2576">
        <v>0</v>
      </c>
      <c r="J172" s="2577">
        <v>0</v>
      </c>
      <c r="K172" s="2681">
        <v>1263.55164448</v>
      </c>
      <c r="L172" s="2681">
        <v>10263.022446257617</v>
      </c>
      <c r="M172" s="2576">
        <f>'[11]DMB Liabilites'!AP124</f>
        <v>4364.7312021693797</v>
      </c>
      <c r="N172" s="2343"/>
    </row>
    <row r="173" spans="1:27" ht="18" hidden="1" customHeight="1">
      <c r="A173" s="1978"/>
      <c r="B173" s="2403" t="s">
        <v>167</v>
      </c>
      <c r="C173" s="2574">
        <v>59843.507634419933</v>
      </c>
      <c r="D173" s="2575">
        <v>24962.793684853001</v>
      </c>
      <c r="E173" s="2576">
        <v>17351.996876380003</v>
      </c>
      <c r="F173" s="2576">
        <v>1378.3001024299997</v>
      </c>
      <c r="G173" s="2576">
        <v>0</v>
      </c>
      <c r="H173" s="2576">
        <v>0</v>
      </c>
      <c r="I173" s="2576">
        <v>0</v>
      </c>
      <c r="J173" s="2577">
        <v>0</v>
      </c>
      <c r="K173" s="2681">
        <v>1262.62256508</v>
      </c>
      <c r="L173" s="2681">
        <v>9836.247552315057</v>
      </c>
      <c r="M173" s="2576">
        <f>'[11]DMB Liabilites'!AP125</f>
        <v>5051.5468533618696</v>
      </c>
      <c r="N173" s="2343"/>
    </row>
    <row r="174" spans="1:27" ht="18" hidden="1" customHeight="1">
      <c r="A174" s="1978"/>
      <c r="B174" s="2403" t="s">
        <v>168</v>
      </c>
      <c r="C174" s="2574">
        <v>61911.814417613023</v>
      </c>
      <c r="D174" s="2575">
        <v>26926.224640752007</v>
      </c>
      <c r="E174" s="2576">
        <v>18462.72681014</v>
      </c>
      <c r="F174" s="2576">
        <v>1236.7621982100002</v>
      </c>
      <c r="G174" s="2576">
        <v>0</v>
      </c>
      <c r="H174" s="2576">
        <v>0</v>
      </c>
      <c r="I174" s="2576">
        <v>0</v>
      </c>
      <c r="J174" s="2577">
        <v>0</v>
      </c>
      <c r="K174" s="2681">
        <v>1256.6781820799999</v>
      </c>
      <c r="L174" s="2681">
        <v>10115.025740775845</v>
      </c>
      <c r="M174" s="2576">
        <f>'[11]DMB Liabilites'!AP126</f>
        <v>3914.3968456551593</v>
      </c>
      <c r="N174" s="2343"/>
    </row>
    <row r="175" spans="1:27" ht="18" hidden="1" customHeight="1">
      <c r="A175" s="1978"/>
      <c r="B175" s="2403" t="s">
        <v>169</v>
      </c>
      <c r="C175" s="2574">
        <v>63502.736961900046</v>
      </c>
      <c r="D175" s="2575">
        <v>26637.726081938999</v>
      </c>
      <c r="E175" s="2576">
        <v>20026.079141390001</v>
      </c>
      <c r="F175" s="2576">
        <v>1373.6856475499999</v>
      </c>
      <c r="G175" s="2576">
        <v>0</v>
      </c>
      <c r="H175" s="2576">
        <v>0</v>
      </c>
      <c r="I175" s="2576">
        <v>0</v>
      </c>
      <c r="J175" s="2577">
        <v>0</v>
      </c>
      <c r="K175" s="2681">
        <v>1256.6781820799999</v>
      </c>
      <c r="L175" s="2681">
        <v>10335.176251576517</v>
      </c>
      <c r="M175" s="2576">
        <f>'[11]DMB Liabilites'!AP127</f>
        <v>3873.3916573645256</v>
      </c>
      <c r="N175" s="2343"/>
    </row>
    <row r="176" spans="1:27" ht="18" hidden="1" customHeight="1">
      <c r="A176" s="1978"/>
      <c r="B176" s="2403" t="s">
        <v>170</v>
      </c>
      <c r="C176" s="2574">
        <v>64918.339321600019</v>
      </c>
      <c r="D176" s="2575">
        <v>26455.926872997003</v>
      </c>
      <c r="E176" s="2576">
        <v>21794.379566240001</v>
      </c>
      <c r="F176" s="2576">
        <v>1359.0274814100001</v>
      </c>
      <c r="G176" s="2576">
        <v>0</v>
      </c>
      <c r="H176" s="2576">
        <v>0</v>
      </c>
      <c r="I176" s="2576">
        <v>0</v>
      </c>
      <c r="J176" s="2577">
        <v>0</v>
      </c>
      <c r="K176" s="2681">
        <v>1256.6781820799999</v>
      </c>
      <c r="L176" s="2681">
        <v>10409.798260867918</v>
      </c>
      <c r="M176" s="2576">
        <f>'[11]DMB Liabilites'!AP128</f>
        <v>3642.528958005103</v>
      </c>
      <c r="N176" s="2343"/>
    </row>
    <row r="177" spans="1:14" ht="18" hidden="1" customHeight="1">
      <c r="A177" s="1978"/>
      <c r="B177" s="2403" t="s">
        <v>171</v>
      </c>
      <c r="C177" s="2574">
        <v>67557.124788986039</v>
      </c>
      <c r="D177" s="2575">
        <v>27553.885857327004</v>
      </c>
      <c r="E177" s="2576">
        <v>23370.220051899996</v>
      </c>
      <c r="F177" s="2576">
        <v>1293.9769039</v>
      </c>
      <c r="G177" s="2576">
        <v>0</v>
      </c>
      <c r="H177" s="2576">
        <v>0</v>
      </c>
      <c r="I177" s="2576">
        <v>0</v>
      </c>
      <c r="J177" s="2577">
        <v>0</v>
      </c>
      <c r="K177" s="2681">
        <v>1333.67765046</v>
      </c>
      <c r="L177" s="2681">
        <v>10434.069177417357</v>
      </c>
      <c r="M177" s="2576">
        <f>'[11]DMB Liabilites'!AP129</f>
        <v>3571.2951479816838</v>
      </c>
      <c r="N177" s="2343"/>
    </row>
    <row r="178" spans="1:14" ht="18" customHeight="1">
      <c r="A178" s="1978"/>
      <c r="B178" s="2812">
        <v>2012</v>
      </c>
      <c r="C178" s="2574">
        <v>68535.123715401525</v>
      </c>
      <c r="D178" s="2575">
        <v>28125.622232925001</v>
      </c>
      <c r="E178" s="2576">
        <v>21644.020981179998</v>
      </c>
      <c r="F178" s="2576">
        <v>1349.19170536</v>
      </c>
      <c r="G178" s="2576">
        <v>0</v>
      </c>
      <c r="H178" s="2576">
        <v>0</v>
      </c>
      <c r="I178" s="2576">
        <v>0</v>
      </c>
      <c r="J178" s="2577">
        <v>0</v>
      </c>
      <c r="K178" s="2681">
        <v>1278.67765046</v>
      </c>
      <c r="L178" s="2681">
        <v>12480.245908113286</v>
      </c>
      <c r="M178" s="2576">
        <f>'[11]DMB Liabilites'!AP130</f>
        <v>3657.3652373632431</v>
      </c>
      <c r="N178" s="2343"/>
    </row>
    <row r="179" spans="1:14" ht="18" customHeight="1">
      <c r="A179" s="1978"/>
      <c r="B179" s="2812">
        <v>2013</v>
      </c>
      <c r="C179" s="2685"/>
      <c r="D179" s="2680"/>
      <c r="E179" s="2680"/>
      <c r="F179" s="2680"/>
      <c r="G179" s="2680"/>
      <c r="H179" s="2680"/>
      <c r="I179" s="2680"/>
      <c r="J179" s="2680"/>
      <c r="K179" s="2680"/>
      <c r="L179" s="2680"/>
      <c r="M179" s="2681"/>
      <c r="N179" s="2143"/>
    </row>
    <row r="180" spans="1:14" ht="18" customHeight="1">
      <c r="A180" s="1978"/>
      <c r="B180" s="2403" t="s">
        <v>161</v>
      </c>
      <c r="C180" s="2574">
        <v>66763.399968886035</v>
      </c>
      <c r="D180" s="2575">
        <v>24401.611625022997</v>
      </c>
      <c r="E180" s="2576">
        <v>22099.028567900001</v>
      </c>
      <c r="F180" s="2576">
        <v>1462.3810697899999</v>
      </c>
      <c r="G180" s="2576">
        <v>0</v>
      </c>
      <c r="H180" s="2576">
        <v>0</v>
      </c>
      <c r="I180" s="2576">
        <v>0</v>
      </c>
      <c r="J180" s="2577">
        <v>0</v>
      </c>
      <c r="K180" s="2681">
        <v>1277.7485710599999</v>
      </c>
      <c r="L180" s="2681">
        <v>12651.248258481</v>
      </c>
      <c r="M180" s="2576">
        <f>'[11]DMB Liabilites'!AP131</f>
        <v>4871.3818766320401</v>
      </c>
      <c r="N180" s="2343"/>
    </row>
    <row r="181" spans="1:14" ht="18" customHeight="1">
      <c r="A181" s="1978"/>
      <c r="B181" s="2403" t="s">
        <v>162</v>
      </c>
      <c r="C181" s="2574">
        <v>65679.483227895937</v>
      </c>
      <c r="D181" s="2575">
        <v>23401.883553589993</v>
      </c>
      <c r="E181" s="2576">
        <v>22023.407715590001</v>
      </c>
      <c r="F181" s="2576">
        <v>1408.6621088700001</v>
      </c>
      <c r="G181" s="2576">
        <v>0</v>
      </c>
      <c r="H181" s="2576">
        <v>0</v>
      </c>
      <c r="I181" s="2576">
        <v>0</v>
      </c>
      <c r="J181" s="2577">
        <v>0</v>
      </c>
      <c r="K181" s="2681">
        <v>1271.8041880599999</v>
      </c>
      <c r="L181" s="2681">
        <v>12454.770069288199</v>
      </c>
      <c r="M181" s="2576">
        <f>'[11]DMB Liabilites'!AP132</f>
        <v>5118.9555924977467</v>
      </c>
      <c r="N181" s="2343"/>
    </row>
    <row r="182" spans="1:14" ht="18" customHeight="1">
      <c r="A182" s="1978"/>
      <c r="B182" s="2810" t="s">
        <v>163</v>
      </c>
      <c r="C182" s="2574">
        <v>69624.208570025963</v>
      </c>
      <c r="D182" s="2575">
        <v>27715.636309231009</v>
      </c>
      <c r="E182" s="2576">
        <v>21177.379486350004</v>
      </c>
      <c r="F182" s="2576">
        <v>1502.9584093800001</v>
      </c>
      <c r="G182" s="2576">
        <v>0</v>
      </c>
      <c r="H182" s="2576">
        <v>0</v>
      </c>
      <c r="I182" s="2576">
        <v>0</v>
      </c>
      <c r="J182" s="2577">
        <v>0</v>
      </c>
      <c r="K182" s="2681">
        <v>1271.8041880599999</v>
      </c>
      <c r="L182" s="2681">
        <v>12441.434285124296</v>
      </c>
      <c r="M182" s="2576">
        <f>'[11]DMB Liabilites'!AP133</f>
        <v>5514.9958918806515</v>
      </c>
      <c r="N182" s="2343"/>
    </row>
    <row r="183" spans="1:14" ht="18" customHeight="1">
      <c r="A183" s="1978"/>
      <c r="B183" s="2810" t="s">
        <v>164</v>
      </c>
      <c r="C183" s="2574">
        <v>63607.135240915981</v>
      </c>
      <c r="D183" s="2575">
        <v>24968.041619354004</v>
      </c>
      <c r="E183" s="2576">
        <v>19438.103939570003</v>
      </c>
      <c r="F183" s="2576">
        <v>1573.2963928400002</v>
      </c>
      <c r="G183" s="2576">
        <v>0</v>
      </c>
      <c r="H183" s="2576">
        <v>0</v>
      </c>
      <c r="I183" s="2576">
        <v>0</v>
      </c>
      <c r="J183" s="2576">
        <v>0</v>
      </c>
      <c r="K183" s="2576">
        <v>1271.8041880599999</v>
      </c>
      <c r="L183" s="2576">
        <v>12678.823711144199</v>
      </c>
      <c r="M183" s="2576">
        <f>'[11]DMB Liabilites'!AP134</f>
        <v>3677.0653899477766</v>
      </c>
      <c r="N183" s="2343"/>
    </row>
    <row r="184" spans="1:14" ht="18" customHeight="1">
      <c r="A184" s="1978"/>
      <c r="B184" s="2810" t="s">
        <v>165</v>
      </c>
      <c r="C184" s="2574">
        <v>65709.746219966939</v>
      </c>
      <c r="D184" s="2575">
        <v>26438.771198372997</v>
      </c>
      <c r="E184" s="2576">
        <v>19153.112275029998</v>
      </c>
      <c r="F184" s="2576">
        <v>1528.10512776</v>
      </c>
      <c r="G184" s="2576">
        <v>0</v>
      </c>
      <c r="H184" s="2576">
        <v>0</v>
      </c>
      <c r="I184" s="2576">
        <v>0</v>
      </c>
      <c r="J184" s="2576">
        <v>0</v>
      </c>
      <c r="K184" s="2576">
        <v>1430.48128348</v>
      </c>
      <c r="L184" s="2576">
        <v>12389.528208284841</v>
      </c>
      <c r="M184" s="2576">
        <f>'[11]DMB Liabilites'!AP135</f>
        <v>4769.7481270390999</v>
      </c>
      <c r="N184" s="1978"/>
    </row>
    <row r="185" spans="1:14" ht="18" customHeight="1">
      <c r="A185" s="1978"/>
      <c r="B185" s="2810" t="s">
        <v>166</v>
      </c>
      <c r="C185" s="2574">
        <v>71596.543359111005</v>
      </c>
      <c r="D185" s="2575">
        <v>32112.883031464997</v>
      </c>
      <c r="E185" s="2576">
        <v>20373.63290058</v>
      </c>
      <c r="F185" s="2576">
        <v>1283.4875295899999</v>
      </c>
      <c r="G185" s="2576">
        <v>0</v>
      </c>
      <c r="H185" s="2576">
        <v>0</v>
      </c>
      <c r="I185" s="2576">
        <v>0</v>
      </c>
      <c r="J185" s="2576">
        <v>0</v>
      </c>
      <c r="K185" s="2576">
        <v>1374.5522040799999</v>
      </c>
      <c r="L185" s="2576">
        <v>13011.138163448501</v>
      </c>
      <c r="M185" s="2576">
        <f>'[11]DMB Liabilites'!AP136</f>
        <v>3440.8495299475035</v>
      </c>
      <c r="N185" s="1978"/>
    </row>
    <row r="186" spans="1:14" ht="18" customHeight="1">
      <c r="A186" s="1978"/>
      <c r="B186" s="2810" t="s">
        <v>167</v>
      </c>
      <c r="C186" s="2574">
        <v>66838.799695461959</v>
      </c>
      <c r="D186" s="2575">
        <v>27344.280128466999</v>
      </c>
      <c r="E186" s="2576">
        <v>21189.52499089</v>
      </c>
      <c r="F186" s="2576">
        <v>1129.25425212</v>
      </c>
      <c r="G186" s="2576">
        <v>0</v>
      </c>
      <c r="H186" s="2576">
        <v>0</v>
      </c>
      <c r="I186" s="2576">
        <v>0</v>
      </c>
      <c r="J186" s="2576">
        <v>0</v>
      </c>
      <c r="K186" s="2576">
        <v>1374.5522040799999</v>
      </c>
      <c r="L186" s="2576">
        <v>12833.767884379124</v>
      </c>
      <c r="M186" s="2576">
        <f>'[11]DMB Liabilites'!AP137</f>
        <v>2967.4202355258385</v>
      </c>
      <c r="N186" s="1978"/>
    </row>
    <row r="187" spans="1:14" ht="18" customHeight="1">
      <c r="A187" s="1978"/>
      <c r="B187" s="2819" t="s">
        <v>168</v>
      </c>
      <c r="C187" s="2882">
        <v>68216.73231937598</v>
      </c>
      <c r="D187" s="2775">
        <v>27611.830300766989</v>
      </c>
      <c r="E187" s="2776">
        <v>21301.610152419998</v>
      </c>
      <c r="F187" s="2776">
        <v>1294.1570297399999</v>
      </c>
      <c r="G187" s="2776">
        <v>0</v>
      </c>
      <c r="H187" s="2776">
        <v>0</v>
      </c>
      <c r="I187" s="2776">
        <v>0</v>
      </c>
      <c r="J187" s="2776">
        <v>0</v>
      </c>
      <c r="K187" s="2776">
        <v>1368.6078210799999</v>
      </c>
      <c r="L187" s="2776">
        <v>12884.782379471701</v>
      </c>
      <c r="M187" s="2776">
        <f>'[11]DMB Liabilites'!AP138</f>
        <v>3755.7446358972957</v>
      </c>
      <c r="N187" s="1978"/>
    </row>
    <row r="188" spans="1:14" ht="18" customHeight="1">
      <c r="A188" s="1978"/>
      <c r="B188" s="2819" t="s">
        <v>169</v>
      </c>
      <c r="C188" s="2882">
        <v>72446.473083056015</v>
      </c>
      <c r="D188" s="2775">
        <v>29359.723361244014</v>
      </c>
      <c r="E188" s="2776">
        <v>22034.057628639999</v>
      </c>
      <c r="F188" s="2776">
        <v>1282.38212927</v>
      </c>
      <c r="G188" s="2776">
        <v>0</v>
      </c>
      <c r="H188" s="2776">
        <v>0</v>
      </c>
      <c r="I188" s="2776">
        <v>0</v>
      </c>
      <c r="J188" s="2776">
        <v>0</v>
      </c>
      <c r="K188" s="2776">
        <v>1368.6078210799999</v>
      </c>
      <c r="L188" s="2776">
        <v>12780.482857623823</v>
      </c>
      <c r="M188" s="2776">
        <f>'[11]DMB Liabilites'!AP139</f>
        <v>5621.2192851981818</v>
      </c>
      <c r="N188" s="1978"/>
    </row>
    <row r="189" spans="1:14" ht="18" customHeight="1">
      <c r="A189" s="1978"/>
      <c r="B189" s="2819" t="s">
        <v>170</v>
      </c>
      <c r="C189" s="2882">
        <v>72291.550010256004</v>
      </c>
      <c r="D189" s="2775">
        <v>31371.724923879996</v>
      </c>
      <c r="E189" s="2776">
        <v>22277.960572940003</v>
      </c>
      <c r="F189" s="2776">
        <v>1269.8290515100002</v>
      </c>
      <c r="G189" s="2776">
        <v>0</v>
      </c>
      <c r="H189" s="2776">
        <v>0</v>
      </c>
      <c r="I189" s="2776">
        <v>0</v>
      </c>
      <c r="J189" s="2776">
        <v>0</v>
      </c>
      <c r="K189" s="2776">
        <v>1368.6078210799999</v>
      </c>
      <c r="L189" s="2776">
        <v>12856.727229333101</v>
      </c>
      <c r="M189" s="2776">
        <f>'[11]DMB Liabilites'!AP140</f>
        <v>3146.7004115129093</v>
      </c>
      <c r="N189" s="1978"/>
    </row>
    <row r="190" spans="1:14" ht="18" customHeight="1">
      <c r="A190" s="1978"/>
      <c r="B190" s="2819" t="s">
        <v>171</v>
      </c>
      <c r="C190" s="2882">
        <v>74250.44906737002</v>
      </c>
      <c r="D190" s="2775">
        <v>27592.144066760997</v>
      </c>
      <c r="E190" s="2776">
        <v>25484.017930599999</v>
      </c>
      <c r="F190" s="2776">
        <v>1377.38820571</v>
      </c>
      <c r="G190" s="2776">
        <v>0</v>
      </c>
      <c r="H190" s="2776">
        <v>0</v>
      </c>
      <c r="I190" s="2776">
        <v>0</v>
      </c>
      <c r="J190" s="2776">
        <v>0</v>
      </c>
      <c r="K190" s="2776">
        <v>1362.81360526</v>
      </c>
      <c r="L190" s="2776">
        <v>13195.171684603101</v>
      </c>
      <c r="M190" s="2776">
        <f>'[11]DMB Liabilites'!AP141</f>
        <v>5238.9135744359228</v>
      </c>
      <c r="N190" s="1978"/>
    </row>
    <row r="191" spans="1:14" ht="18" customHeight="1">
      <c r="A191" s="1978"/>
      <c r="B191" s="2819" t="s">
        <v>148</v>
      </c>
      <c r="C191" s="2882">
        <v>72598.510151449955</v>
      </c>
      <c r="D191" s="2775">
        <v>28671.714554240003</v>
      </c>
      <c r="E191" s="2776">
        <v>22797.536941529997</v>
      </c>
      <c r="F191" s="2776">
        <v>1334.3994235499999</v>
      </c>
      <c r="G191" s="2776">
        <v>0</v>
      </c>
      <c r="H191" s="2776">
        <v>0</v>
      </c>
      <c r="I191" s="2776">
        <v>0</v>
      </c>
      <c r="J191" s="2776">
        <v>0</v>
      </c>
      <c r="K191" s="2776">
        <v>1308.5149169400001</v>
      </c>
      <c r="L191" s="2776">
        <v>13428.680856401952</v>
      </c>
      <c r="M191" s="2776">
        <f>'[11]DMB Liabilites'!AP142</f>
        <v>5057.6634587879962</v>
      </c>
      <c r="N191" s="1978"/>
    </row>
    <row r="192" spans="1:14" ht="18" customHeight="1">
      <c r="A192" s="1978"/>
      <c r="B192" s="2927">
        <v>2014</v>
      </c>
      <c r="C192" s="2828"/>
      <c r="D192" s="2829"/>
      <c r="E192" s="2829"/>
      <c r="F192" s="2829"/>
      <c r="G192" s="2829"/>
      <c r="H192" s="2829"/>
      <c r="I192" s="2829"/>
      <c r="J192" s="2829"/>
      <c r="K192" s="2829"/>
      <c r="L192" s="2829"/>
      <c r="M192" s="2829"/>
      <c r="N192" s="1978"/>
    </row>
    <row r="193" spans="1:14" ht="18" customHeight="1">
      <c r="A193" s="1978"/>
      <c r="B193" s="2819" t="s">
        <v>161</v>
      </c>
      <c r="C193" s="2882">
        <v>75798.056133249993</v>
      </c>
      <c r="D193" s="2775">
        <v>30856.096157162003</v>
      </c>
      <c r="E193" s="2776">
        <v>22546.864124239997</v>
      </c>
      <c r="F193" s="2776">
        <v>1493.6653763100003</v>
      </c>
      <c r="G193" s="2776">
        <v>0</v>
      </c>
      <c r="H193" s="2776">
        <v>0</v>
      </c>
      <c r="I193" s="2776">
        <v>0</v>
      </c>
      <c r="J193" s="2776">
        <v>0</v>
      </c>
      <c r="K193" s="2776">
        <v>1307.5858375400001</v>
      </c>
      <c r="L193" s="2776">
        <v>13157.408985082007</v>
      </c>
      <c r="M193" s="2776">
        <f>'[11]DMB Liabilites'!AP143</f>
        <v>6436.435652915985</v>
      </c>
      <c r="N193" s="1978"/>
    </row>
    <row r="194" spans="1:14" ht="18" customHeight="1">
      <c r="A194" s="1978"/>
      <c r="B194" s="2819" t="s">
        <v>162</v>
      </c>
      <c r="C194" s="2882">
        <v>76914.141310690015</v>
      </c>
      <c r="D194" s="2775">
        <v>29981.956738178997</v>
      </c>
      <c r="E194" s="2776">
        <v>23409.570297147999</v>
      </c>
      <c r="F194" s="2776">
        <v>2523.7111543300002</v>
      </c>
      <c r="G194" s="2776">
        <v>0</v>
      </c>
      <c r="H194" s="2776">
        <v>0</v>
      </c>
      <c r="I194" s="2776">
        <v>0</v>
      </c>
      <c r="J194" s="2776">
        <v>0</v>
      </c>
      <c r="K194" s="2776">
        <v>1301.64145454</v>
      </c>
      <c r="L194" s="2776">
        <v>13465.056700760724</v>
      </c>
      <c r="M194" s="2776">
        <f>'[11]DMB Liabilites'!AP144</f>
        <v>6232.2049657323078</v>
      </c>
      <c r="N194" s="1978"/>
    </row>
    <row r="195" spans="1:14" ht="18" customHeight="1">
      <c r="A195" s="1978"/>
      <c r="B195" s="2819" t="s">
        <v>163</v>
      </c>
      <c r="C195" s="2882">
        <v>74783.740878959987</v>
      </c>
      <c r="D195" s="2775">
        <v>28928.519270493001</v>
      </c>
      <c r="E195" s="2776">
        <v>22104.633041908</v>
      </c>
      <c r="F195" s="2776">
        <v>2596.4721115100001</v>
      </c>
      <c r="G195" s="2776">
        <v>0</v>
      </c>
      <c r="H195" s="2776">
        <v>0</v>
      </c>
      <c r="I195" s="2776">
        <v>0</v>
      </c>
      <c r="J195" s="2776">
        <v>0</v>
      </c>
      <c r="K195" s="2776">
        <v>1193.5125100299999</v>
      </c>
      <c r="L195" s="2776">
        <v>13335.018545265801</v>
      </c>
      <c r="M195" s="2776">
        <f>'[11]DMB Liabilites'!AP145</f>
        <v>6625.5853997531958</v>
      </c>
      <c r="N195" s="1978"/>
    </row>
    <row r="196" spans="1:14" ht="18" customHeight="1">
      <c r="A196" s="1978"/>
      <c r="B196" s="2819" t="s">
        <v>164</v>
      </c>
      <c r="C196" s="2882">
        <v>75580.029611100996</v>
      </c>
      <c r="D196" s="2775">
        <v>29287.155874975004</v>
      </c>
      <c r="E196" s="2776">
        <v>22701.701636588001</v>
      </c>
      <c r="F196" s="2776">
        <v>2109.0847873900002</v>
      </c>
      <c r="G196" s="2776">
        <v>0</v>
      </c>
      <c r="H196" s="2776">
        <v>0</v>
      </c>
      <c r="I196" s="2776">
        <v>0</v>
      </c>
      <c r="J196" s="2776">
        <v>0</v>
      </c>
      <c r="K196" s="2776">
        <v>1623.5125100299999</v>
      </c>
      <c r="L196" s="2776">
        <v>14704.505747014358</v>
      </c>
      <c r="M196" s="2776">
        <f>'[11]DMB Liabilites'!AP146</f>
        <v>5154.0690551036387</v>
      </c>
      <c r="N196" s="1978"/>
    </row>
    <row r="197" spans="1:14" ht="18" customHeight="1">
      <c r="A197" s="1978"/>
      <c r="B197" s="2819" t="s">
        <v>165</v>
      </c>
      <c r="C197" s="2882">
        <v>79124.766428899966</v>
      </c>
      <c r="D197" s="2775">
        <v>33471.770225321008</v>
      </c>
      <c r="E197" s="2776">
        <v>22045.091301050001</v>
      </c>
      <c r="F197" s="2776">
        <v>2018.0086162100001</v>
      </c>
      <c r="G197" s="2776">
        <v>0</v>
      </c>
      <c r="H197" s="2776">
        <v>0</v>
      </c>
      <c r="I197" s="2776">
        <v>0</v>
      </c>
      <c r="J197" s="2776">
        <v>0</v>
      </c>
      <c r="K197" s="2776">
        <v>1622.8111988600001</v>
      </c>
      <c r="L197" s="2776">
        <v>14630.690330311691</v>
      </c>
      <c r="M197" s="2776">
        <f>'[11]DMB Liabilites'!AP147</f>
        <v>5336.3947571472672</v>
      </c>
      <c r="N197" s="1978"/>
    </row>
    <row r="198" spans="1:14" ht="18" customHeight="1">
      <c r="A198" s="1978"/>
      <c r="B198" s="2819" t="s">
        <v>166</v>
      </c>
      <c r="C198" s="2882">
        <v>80539.435196933991</v>
      </c>
      <c r="D198" s="2775">
        <v>33997.264464502994</v>
      </c>
      <c r="E198" s="2776">
        <v>21952.332523329998</v>
      </c>
      <c r="F198" s="2776">
        <v>1733.62646154</v>
      </c>
      <c r="G198" s="2776">
        <v>0</v>
      </c>
      <c r="H198" s="2776">
        <v>0</v>
      </c>
      <c r="I198" s="2776">
        <v>0</v>
      </c>
      <c r="J198" s="2776">
        <v>0</v>
      </c>
      <c r="K198" s="2776">
        <v>1136.88211946</v>
      </c>
      <c r="L198" s="2776">
        <v>15117.200902738508</v>
      </c>
      <c r="M198" s="2776">
        <f>'[11]DMB Liabilites'!AP148</f>
        <v>6602.1287253624905</v>
      </c>
      <c r="N198" s="1978"/>
    </row>
    <row r="199" spans="1:14" ht="18" customHeight="1">
      <c r="A199" s="1978"/>
      <c r="B199" s="2819" t="s">
        <v>167</v>
      </c>
      <c r="C199" s="2882">
        <v>82088.840986488445</v>
      </c>
      <c r="D199" s="2775">
        <v>35288.622166383</v>
      </c>
      <c r="E199" s="2776">
        <v>22188.371880148003</v>
      </c>
      <c r="F199" s="2776">
        <v>1769.00483199</v>
      </c>
      <c r="G199" s="2776">
        <v>0</v>
      </c>
      <c r="H199" s="2776">
        <v>0</v>
      </c>
      <c r="I199" s="2776">
        <v>0</v>
      </c>
      <c r="J199" s="2776">
        <v>0</v>
      </c>
      <c r="K199" s="2776">
        <v>1136.88211946</v>
      </c>
      <c r="L199" s="2776">
        <v>15176.782009074843</v>
      </c>
      <c r="M199" s="2776">
        <f>'[11]DMB Liabilites'!AP149</f>
        <v>6529.1779794325994</v>
      </c>
      <c r="N199" s="1978"/>
    </row>
    <row r="200" spans="1:14" ht="16.5">
      <c r="A200" s="1978"/>
      <c r="B200" s="2819" t="s">
        <v>168</v>
      </c>
      <c r="C200" s="2882">
        <v>82677.527946896007</v>
      </c>
      <c r="D200" s="2775">
        <v>34828.241207073006</v>
      </c>
      <c r="E200" s="2776">
        <v>24457.317555977999</v>
      </c>
      <c r="F200" s="2776">
        <v>1240.5707315099999</v>
      </c>
      <c r="G200" s="2776">
        <v>0</v>
      </c>
      <c r="H200" s="2776">
        <v>0</v>
      </c>
      <c r="I200" s="2776">
        <v>0</v>
      </c>
      <c r="J200" s="2776">
        <v>0</v>
      </c>
      <c r="K200" s="2776">
        <v>1130.93773646</v>
      </c>
      <c r="L200" s="2776">
        <v>15450.3354325213</v>
      </c>
      <c r="M200" s="2776">
        <f>'[11]DMB Liabilites'!AP150</f>
        <v>5570.1252833537001</v>
      </c>
      <c r="N200" s="1978"/>
    </row>
    <row r="201" spans="1:14" ht="16.5">
      <c r="A201" s="1978"/>
      <c r="B201" s="2819" t="s">
        <v>169</v>
      </c>
      <c r="C201" s="2882">
        <v>86662.721315853501</v>
      </c>
      <c r="D201" s="2775">
        <v>36360.860484227007</v>
      </c>
      <c r="E201" s="2776">
        <v>24551.222933607998</v>
      </c>
      <c r="F201" s="2776">
        <v>1597.4671329600001</v>
      </c>
      <c r="G201" s="2776">
        <v>0</v>
      </c>
      <c r="H201" s="2776">
        <v>0</v>
      </c>
      <c r="I201" s="2776">
        <v>0</v>
      </c>
      <c r="J201" s="2776">
        <v>0</v>
      </c>
      <c r="K201" s="2776">
        <v>1122.8087919500001</v>
      </c>
      <c r="L201" s="2776">
        <v>15598.113246737092</v>
      </c>
      <c r="M201" s="2776">
        <f>'[11]DMB Liabilites'!AP151</f>
        <v>7432.2487263713992</v>
      </c>
      <c r="N201" s="1978"/>
    </row>
    <row r="202" spans="1:14" ht="16.5">
      <c r="A202" s="1978"/>
      <c r="B202" s="2819" t="s">
        <v>170</v>
      </c>
      <c r="C202" s="2882">
        <v>88271.36093516901</v>
      </c>
      <c r="D202" s="2775">
        <v>37464.33167300099</v>
      </c>
      <c r="E202" s="2776">
        <v>26484.621820210003</v>
      </c>
      <c r="F202" s="2776">
        <v>848.94415488000004</v>
      </c>
      <c r="G202" s="2776">
        <v>0</v>
      </c>
      <c r="H202" s="2776">
        <v>0</v>
      </c>
      <c r="I202" s="2776">
        <v>0</v>
      </c>
      <c r="J202" s="2776">
        <v>0</v>
      </c>
      <c r="K202" s="2776">
        <v>1122.808792</v>
      </c>
      <c r="L202" s="2776">
        <v>15913.71798260486</v>
      </c>
      <c r="M202" s="2776">
        <f>'[11]DMB Liabilites'!AP152</f>
        <v>6436.9365124731557</v>
      </c>
      <c r="N202" s="1978"/>
    </row>
    <row r="203" spans="1:14" ht="16.5">
      <c r="A203" s="1978"/>
      <c r="B203" s="2819" t="s">
        <v>171</v>
      </c>
      <c r="C203" s="2882">
        <v>91177.682529429978</v>
      </c>
      <c r="D203" s="2775">
        <v>39938.605480268998</v>
      </c>
      <c r="E203" s="2776">
        <v>26916.735957518002</v>
      </c>
      <c r="F203" s="2776">
        <v>817.71037980999995</v>
      </c>
      <c r="G203" s="2776">
        <v>0</v>
      </c>
      <c r="H203" s="2776">
        <v>0</v>
      </c>
      <c r="I203" s="2776">
        <v>0</v>
      </c>
      <c r="J203" s="2776">
        <v>0</v>
      </c>
      <c r="K203" s="2776">
        <v>1122.1074807800001</v>
      </c>
      <c r="L203" s="2776">
        <v>16253.38131279626</v>
      </c>
      <c r="M203" s="2776">
        <f>'[11]DMB Liabilites'!AP153</f>
        <v>6129.1419182567188</v>
      </c>
      <c r="N203" s="1978"/>
    </row>
    <row r="204" spans="1:14" ht="16.5">
      <c r="A204" s="1978"/>
      <c r="B204" s="2819" t="s">
        <v>148</v>
      </c>
      <c r="C204" s="2882">
        <v>91003.42716352304</v>
      </c>
      <c r="D204" s="2775">
        <v>37624.610657302983</v>
      </c>
      <c r="E204" s="2776">
        <v>28845.302633847998</v>
      </c>
      <c r="F204" s="2776">
        <v>1224.6029642199999</v>
      </c>
      <c r="G204" s="2776">
        <v>0</v>
      </c>
      <c r="H204" s="2776">
        <v>0</v>
      </c>
      <c r="I204" s="2776">
        <v>0</v>
      </c>
      <c r="J204" s="2776">
        <v>0</v>
      </c>
      <c r="K204" s="2776">
        <v>1067.1074807800001</v>
      </c>
      <c r="L204" s="2776">
        <v>16133.621221943815</v>
      </c>
      <c r="M204" s="2776">
        <f>'[11]DMB Liabilites'!AP154</f>
        <v>6108.1822054282384</v>
      </c>
      <c r="N204" s="1978"/>
    </row>
    <row r="205" spans="1:14" ht="16.5">
      <c r="A205" s="1978"/>
      <c r="B205" s="2927">
        <v>2015</v>
      </c>
      <c r="C205" s="2882"/>
      <c r="D205" s="2775"/>
      <c r="E205" s="2776"/>
      <c r="F205" s="2776"/>
      <c r="G205" s="2776"/>
      <c r="H205" s="2776"/>
      <c r="I205" s="2776"/>
      <c r="J205" s="2776"/>
      <c r="K205" s="2776"/>
      <c r="L205" s="2776"/>
      <c r="M205" s="2776"/>
      <c r="N205" s="1978"/>
    </row>
    <row r="206" spans="1:14" ht="16.5">
      <c r="A206" s="1978"/>
      <c r="B206" s="2819" t="s">
        <v>161</v>
      </c>
      <c r="C206" s="2882">
        <v>90009.959782189995</v>
      </c>
      <c r="D206" s="2775">
        <v>40584.850461214992</v>
      </c>
      <c r="E206" s="2776">
        <v>28125.320067397999</v>
      </c>
      <c r="F206" s="2776">
        <v>1200.7546451700002</v>
      </c>
      <c r="G206" s="2776">
        <v>0</v>
      </c>
      <c r="H206" s="2776">
        <v>0</v>
      </c>
      <c r="I206" s="2776">
        <v>0</v>
      </c>
      <c r="J206" s="2776">
        <v>0</v>
      </c>
      <c r="K206" s="2776">
        <v>1067.1074807800001</v>
      </c>
      <c r="L206" s="2776">
        <v>16719.138024154778</v>
      </c>
      <c r="M206" s="2776">
        <f>'[11]DMB Liabilites'!AP155</f>
        <v>2312.789103472227</v>
      </c>
      <c r="N206" s="1978"/>
    </row>
    <row r="207" spans="1:14" ht="16.5">
      <c r="A207" s="1978"/>
      <c r="B207" s="2819" t="s">
        <v>162</v>
      </c>
      <c r="C207" s="2882">
        <v>90153.534173309992</v>
      </c>
      <c r="D207" s="2775">
        <v>37170.924623917002</v>
      </c>
      <c r="E207" s="2776">
        <v>27684.681110858</v>
      </c>
      <c r="F207" s="2776">
        <v>1151.2690838687997</v>
      </c>
      <c r="G207" s="2776">
        <v>0</v>
      </c>
      <c r="H207" s="2776">
        <v>0</v>
      </c>
      <c r="I207" s="2776">
        <v>0</v>
      </c>
      <c r="J207" s="2776">
        <v>0</v>
      </c>
      <c r="K207" s="2776">
        <v>1061.16309778</v>
      </c>
      <c r="L207" s="2776">
        <v>16604.549055157684</v>
      </c>
      <c r="M207" s="2776">
        <f>'[11]DMB Liabilites'!AP156</f>
        <v>6480.9472017285152</v>
      </c>
      <c r="N207" s="1978"/>
    </row>
    <row r="208" spans="1:14" ht="16.5">
      <c r="A208" s="1978"/>
      <c r="B208" s="2819" t="s">
        <v>163</v>
      </c>
      <c r="C208" s="2882">
        <v>86342.425151489995</v>
      </c>
      <c r="D208" s="2775">
        <v>34301.376885598991</v>
      </c>
      <c r="E208" s="2776">
        <v>26351.393583308003</v>
      </c>
      <c r="F208" s="2776">
        <v>1216.3553823299999</v>
      </c>
      <c r="G208" s="2776">
        <v>0</v>
      </c>
      <c r="H208" s="2776">
        <v>0</v>
      </c>
      <c r="I208" s="2776">
        <v>0</v>
      </c>
      <c r="J208" s="2776">
        <v>0</v>
      </c>
      <c r="K208" s="2776">
        <v>948.19287004</v>
      </c>
      <c r="L208" s="2776">
        <v>16076.82547953585</v>
      </c>
      <c r="M208" s="2776">
        <f>'[11]DMB Liabilites'!AP157</f>
        <v>7448.2809506771446</v>
      </c>
      <c r="N208" s="1978"/>
    </row>
    <row r="209" spans="1:16" ht="16.5">
      <c r="A209" s="1978"/>
      <c r="B209" s="2819" t="s">
        <v>164</v>
      </c>
      <c r="C209" s="2882">
        <v>86607.898904059999</v>
      </c>
      <c r="D209" s="2775">
        <v>35742.63221115699</v>
      </c>
      <c r="E209" s="2776">
        <v>26563.715812968003</v>
      </c>
      <c r="F209" s="2776">
        <v>1163.3608618500002</v>
      </c>
      <c r="G209" s="2776">
        <v>0</v>
      </c>
      <c r="H209" s="2776">
        <v>0</v>
      </c>
      <c r="I209" s="2776">
        <v>0</v>
      </c>
      <c r="J209" s="2776">
        <v>0</v>
      </c>
      <c r="K209" s="2776">
        <v>948.19287004</v>
      </c>
      <c r="L209" s="2776">
        <v>16013.58370106477</v>
      </c>
      <c r="M209" s="2776">
        <f>'[11]DMB Liabilites'!AP158</f>
        <v>6176.4134469802375</v>
      </c>
      <c r="N209" s="1978"/>
    </row>
    <row r="210" spans="1:16" ht="16.5">
      <c r="A210" s="1978"/>
      <c r="B210" s="2819" t="s">
        <v>165</v>
      </c>
      <c r="C210" s="2882">
        <v>88961.161452810004</v>
      </c>
      <c r="D210" s="2775">
        <v>36956.507179216336</v>
      </c>
      <c r="E210" s="2776">
        <v>27333.381386437999</v>
      </c>
      <c r="F210" s="2776">
        <v>1222.0341437799998</v>
      </c>
      <c r="G210" s="2776">
        <v>0</v>
      </c>
      <c r="H210" s="2776">
        <v>0</v>
      </c>
      <c r="I210" s="2776">
        <v>0</v>
      </c>
      <c r="J210" s="2776">
        <v>0</v>
      </c>
      <c r="K210" s="2776">
        <v>947.49155886999984</v>
      </c>
      <c r="L210" s="2776">
        <v>16175.439262460817</v>
      </c>
      <c r="M210" s="2776">
        <f>'[11]DMB Liabilites'!AP159</f>
        <v>6326.3079220448562</v>
      </c>
      <c r="N210" s="1978"/>
    </row>
    <row r="211" spans="1:16" ht="16.5">
      <c r="A211" s="1978"/>
      <c r="B211" s="2819" t="s">
        <v>166</v>
      </c>
      <c r="C211" s="2882">
        <v>86691.970108305963</v>
      </c>
      <c r="D211" s="2775">
        <v>35729.443793525017</v>
      </c>
      <c r="E211" s="2776">
        <v>25446.512144717999</v>
      </c>
      <c r="F211" s="2776">
        <v>1222.2755753800002</v>
      </c>
      <c r="G211" s="2776">
        <v>0</v>
      </c>
      <c r="H211" s="2776">
        <v>0</v>
      </c>
      <c r="I211" s="2776">
        <v>0</v>
      </c>
      <c r="J211" s="2776">
        <v>0</v>
      </c>
      <c r="K211" s="2776">
        <v>896.4037626999999</v>
      </c>
      <c r="L211" s="2776">
        <v>16713.711254653666</v>
      </c>
      <c r="M211" s="2776">
        <f>'[11]DMB Liabilites'!AP160</f>
        <v>6683.6235773292865</v>
      </c>
      <c r="N211" s="1978"/>
    </row>
    <row r="212" spans="1:16" ht="16.5">
      <c r="A212" s="1978"/>
      <c r="B212" s="2819" t="s">
        <v>167</v>
      </c>
      <c r="C212" s="2882">
        <v>84467.482366326949</v>
      </c>
      <c r="D212" s="2775">
        <v>34091.327657729002</v>
      </c>
      <c r="E212" s="2776">
        <v>26721.440953467994</v>
      </c>
      <c r="F212" s="2776">
        <v>1190.78792131</v>
      </c>
      <c r="G212" s="2776">
        <v>0</v>
      </c>
      <c r="H212" s="2776">
        <v>0</v>
      </c>
      <c r="I212" s="2776">
        <v>0</v>
      </c>
      <c r="J212" s="2776">
        <v>0</v>
      </c>
      <c r="K212" s="2776">
        <v>895.47468329999992</v>
      </c>
      <c r="L212" s="2776">
        <v>16631.197773643828</v>
      </c>
      <c r="M212" s="2776">
        <f>'[11]DMB Liabilites'!AP161</f>
        <v>4937.2533768761205</v>
      </c>
      <c r="N212" s="1978"/>
    </row>
    <row r="213" spans="1:16" ht="16.5">
      <c r="A213" s="1978"/>
      <c r="B213" s="2819" t="s">
        <v>168</v>
      </c>
      <c r="C213" s="2882">
        <v>86940.29271431017</v>
      </c>
      <c r="D213" s="2775">
        <v>35000.020294059002</v>
      </c>
      <c r="E213" s="2776">
        <v>26620.127122427995</v>
      </c>
      <c r="F213" s="2776">
        <v>1425.13765638</v>
      </c>
      <c r="G213" s="2776">
        <v>0</v>
      </c>
      <c r="H213" s="2776">
        <v>0</v>
      </c>
      <c r="I213" s="2776">
        <v>0</v>
      </c>
      <c r="J213" s="2776">
        <v>0</v>
      </c>
      <c r="K213" s="2776">
        <v>889.53030029999991</v>
      </c>
      <c r="L213" s="2776">
        <v>16864.781106738206</v>
      </c>
      <c r="M213" s="2776">
        <f>'[11]DMB Liabilites'!AP162</f>
        <v>6140.6962344049534</v>
      </c>
      <c r="N213" s="1978"/>
    </row>
    <row r="214" spans="1:16" ht="16.5">
      <c r="A214" s="1978"/>
      <c r="B214" s="2819" t="s">
        <v>169</v>
      </c>
      <c r="C214" s="2882">
        <v>87997.780143996206</v>
      </c>
      <c r="D214" s="2775">
        <v>35208.826114579002</v>
      </c>
      <c r="E214" s="2776">
        <v>27347.326890208002</v>
      </c>
      <c r="F214" s="2776">
        <v>1559.4991406699999</v>
      </c>
      <c r="G214" s="2776">
        <v>0</v>
      </c>
      <c r="H214" s="2776">
        <v>0</v>
      </c>
      <c r="I214" s="2776">
        <v>0</v>
      </c>
      <c r="J214" s="2776">
        <v>0</v>
      </c>
      <c r="K214" s="2776">
        <v>880.49831094000001</v>
      </c>
      <c r="L214" s="2776">
        <v>16947.865776831663</v>
      </c>
      <c r="M214" s="2776">
        <f>'[11]DMB Liabilites'!AP163</f>
        <v>6053.763910767535</v>
      </c>
      <c r="N214" s="1978"/>
    </row>
    <row r="215" spans="1:16" ht="16.5">
      <c r="A215" s="1978"/>
      <c r="B215" s="2819" t="s">
        <v>170</v>
      </c>
      <c r="C215" s="2882">
        <v>92870.504987221502</v>
      </c>
      <c r="D215" s="2775">
        <v>38325.683964791999</v>
      </c>
      <c r="E215" s="2776">
        <v>30100.417810048002</v>
      </c>
      <c r="F215" s="2776">
        <v>1251.23848458</v>
      </c>
      <c r="G215" s="2776">
        <v>0</v>
      </c>
      <c r="H215" s="2776">
        <v>0</v>
      </c>
      <c r="I215" s="2776">
        <v>0</v>
      </c>
      <c r="J215" s="2776">
        <v>0</v>
      </c>
      <c r="K215" s="2776">
        <v>880.49831094000001</v>
      </c>
      <c r="L215" s="2776">
        <v>17135.820231777885</v>
      </c>
      <c r="M215" s="2776">
        <v>5176.8461850836175</v>
      </c>
      <c r="N215" s="1978"/>
      <c r="P215" s="63"/>
    </row>
    <row r="216" spans="1:16" ht="16.5">
      <c r="A216" s="1978"/>
      <c r="B216" s="4179" t="s">
        <v>171</v>
      </c>
      <c r="C216" s="4180">
        <v>95179.503267487264</v>
      </c>
      <c r="D216" s="4177">
        <v>39230.317624035015</v>
      </c>
      <c r="E216" s="4178">
        <v>30497.389782447994</v>
      </c>
      <c r="F216" s="4178">
        <v>1327.63869542</v>
      </c>
      <c r="G216" s="4178">
        <v>0</v>
      </c>
      <c r="H216" s="4178">
        <v>0</v>
      </c>
      <c r="I216" s="4178">
        <v>0</v>
      </c>
      <c r="J216" s="4178">
        <v>0</v>
      </c>
      <c r="K216" s="4178">
        <v>879.79699976999996</v>
      </c>
      <c r="L216" s="4178">
        <v>17330.531018750757</v>
      </c>
      <c r="M216" s="4178">
        <v>5913.8291470635013</v>
      </c>
      <c r="N216" s="1978"/>
    </row>
    <row r="217" spans="1:16" ht="16.5">
      <c r="A217" s="1978"/>
      <c r="B217" s="4294" t="s">
        <v>148</v>
      </c>
      <c r="C217" s="4295">
        <v>93589.893689224002</v>
      </c>
      <c r="D217" s="4296">
        <v>37841.646822810013</v>
      </c>
      <c r="E217" s="4297">
        <v>30456.388030658003</v>
      </c>
      <c r="F217" s="4297">
        <v>1263.4116315000003</v>
      </c>
      <c r="G217" s="4297">
        <v>0</v>
      </c>
      <c r="H217" s="4297">
        <v>0</v>
      </c>
      <c r="I217" s="4297">
        <v>0</v>
      </c>
      <c r="J217" s="4297">
        <v>0</v>
      </c>
      <c r="K217" s="4297">
        <v>824.79699976999996</v>
      </c>
      <c r="L217" s="4297">
        <v>18669.31893269065</v>
      </c>
      <c r="M217" s="4178">
        <v>4534.3312717953522</v>
      </c>
      <c r="N217" s="1978"/>
    </row>
    <row r="218" spans="1:16" ht="16.5">
      <c r="A218" s="1978"/>
      <c r="B218" s="4293">
        <v>2016</v>
      </c>
      <c r="C218" s="4180"/>
      <c r="D218" s="4177"/>
      <c r="E218" s="4178"/>
      <c r="F218" s="4178"/>
      <c r="G218" s="4178"/>
      <c r="H218" s="4178"/>
      <c r="I218" s="4178"/>
      <c r="J218" s="4178"/>
      <c r="K218" s="4178"/>
      <c r="L218" s="4178"/>
      <c r="M218" s="4178"/>
      <c r="N218" s="1978"/>
    </row>
    <row r="219" spans="1:16" ht="16.5">
      <c r="A219" s="1978"/>
      <c r="B219" s="4179" t="s">
        <v>161</v>
      </c>
      <c r="C219" s="4180">
        <v>94468.150895959945</v>
      </c>
      <c r="D219" s="4177">
        <v>37605.795887993983</v>
      </c>
      <c r="E219" s="4178">
        <v>30879.194546150004</v>
      </c>
      <c r="F219" s="4178">
        <v>1374.8692017100002</v>
      </c>
      <c r="G219" s="4178">
        <v>0</v>
      </c>
      <c r="H219" s="4178">
        <v>0</v>
      </c>
      <c r="I219" s="4178">
        <v>0</v>
      </c>
      <c r="J219" s="4178">
        <v>0</v>
      </c>
      <c r="K219" s="4178">
        <v>817.92353739999999</v>
      </c>
      <c r="L219" s="4178">
        <v>17984.675730353854</v>
      </c>
      <c r="M219" s="4178">
        <v>5805.69199235212</v>
      </c>
      <c r="N219" s="1978"/>
    </row>
    <row r="220" spans="1:16" ht="16.5">
      <c r="A220" s="1978"/>
      <c r="B220" s="4289" t="s">
        <v>162</v>
      </c>
      <c r="C220" s="4290">
        <v>97324.729132839988</v>
      </c>
      <c r="D220" s="4291">
        <v>38504.200747191004</v>
      </c>
      <c r="E220" s="4292">
        <v>31844.856639758</v>
      </c>
      <c r="F220" s="4292">
        <v>611.87413275000006</v>
      </c>
      <c r="G220" s="4292">
        <v>0</v>
      </c>
      <c r="H220" s="4292">
        <v>0</v>
      </c>
      <c r="I220" s="4292">
        <v>0</v>
      </c>
      <c r="J220" s="4292">
        <v>0</v>
      </c>
      <c r="K220" s="4292">
        <v>823.8679204</v>
      </c>
      <c r="L220" s="4292">
        <v>17816.079479104486</v>
      </c>
      <c r="M220" s="4292">
        <v>7723.8502136364841</v>
      </c>
      <c r="N220" s="1978"/>
    </row>
    <row r="221" spans="1:16">
      <c r="A221" s="1978"/>
      <c r="B221" s="1978"/>
      <c r="C221" s="1940"/>
      <c r="D221" s="1978"/>
      <c r="E221" s="1978"/>
      <c r="F221" s="1978"/>
      <c r="G221" s="1978"/>
      <c r="H221" s="1978"/>
      <c r="I221" s="1978"/>
      <c r="J221" s="1978"/>
      <c r="K221" s="1978"/>
      <c r="L221" s="1978"/>
      <c r="M221" s="1978"/>
      <c r="N221" s="1978"/>
    </row>
    <row r="222" spans="1:16">
      <c r="A222" s="1978"/>
      <c r="B222" s="1978"/>
      <c r="C222" s="1940"/>
      <c r="D222" s="1978"/>
      <c r="E222" s="1978"/>
      <c r="F222" s="1978"/>
      <c r="G222" s="1978"/>
      <c r="H222" s="1978"/>
      <c r="I222" s="1978"/>
      <c r="J222" s="1978"/>
      <c r="K222" s="1978"/>
      <c r="L222" s="1978"/>
      <c r="M222" s="1978"/>
      <c r="N222" s="1978"/>
    </row>
  </sheetData>
  <mergeCells count="14">
    <mergeCell ref="B1:M1"/>
    <mergeCell ref="F5:F9"/>
    <mergeCell ref="G6:G9"/>
    <mergeCell ref="H6:H9"/>
    <mergeCell ref="I6:I9"/>
    <mergeCell ref="B3:B9"/>
    <mergeCell ref="C5:C9"/>
    <mergeCell ref="D5:D9"/>
    <mergeCell ref="E5:E9"/>
    <mergeCell ref="J5:J9"/>
    <mergeCell ref="K5:K9"/>
    <mergeCell ref="L5:L9"/>
    <mergeCell ref="M5:M9"/>
    <mergeCell ref="G5:I5"/>
  </mergeCells>
  <phoneticPr fontId="0" type="noConversion"/>
  <pageMargins left="0.75" right="0.75" top="1" bottom="1" header="0.5" footer="0.5"/>
  <pageSetup scale="63" orientation="portrait" r:id="rId1"/>
  <headerFooter alignWithMargins="0"/>
</worksheet>
</file>

<file path=xl/worksheets/sheet29.xml><?xml version="1.0" encoding="utf-8"?>
<worksheet xmlns="http://schemas.openxmlformats.org/spreadsheetml/2006/main" xmlns:r="http://schemas.openxmlformats.org/officeDocument/2006/relationships">
  <dimension ref="A1:W236"/>
  <sheetViews>
    <sheetView zoomScale="70" zoomScaleNormal="70" zoomScaleSheetLayoutView="80" workbookViewId="0">
      <pane ySplit="10" topLeftCell="A218" activePane="bottomLeft" state="frozen"/>
      <selection activeCell="K31" sqref="K31"/>
      <selection pane="bottomLeft" activeCell="N219" sqref="N219"/>
    </sheetView>
  </sheetViews>
  <sheetFormatPr defaultColWidth="11" defaultRowHeight="16.5"/>
  <cols>
    <col min="1" max="1" width="11" style="2006"/>
    <col min="2" max="2" width="9.85546875" style="2006" customWidth="1"/>
    <col min="3" max="3" width="12.5703125" style="3509" customWidth="1"/>
    <col min="4" max="4" width="13.140625" style="2220" customWidth="1"/>
    <col min="5" max="5" width="10.5703125" style="2220" customWidth="1"/>
    <col min="6" max="6" width="11.140625" style="2220" customWidth="1"/>
    <col min="7" max="7" width="10.7109375" style="2220" customWidth="1"/>
    <col min="8" max="8" width="11.140625" style="2220" bestFit="1" customWidth="1"/>
    <col min="9" max="9" width="10" style="2220" customWidth="1"/>
    <col min="10" max="10" width="11" style="2220" customWidth="1"/>
    <col min="11" max="11" width="12" style="2220" customWidth="1"/>
    <col min="12" max="12" width="12.28515625" style="2220" customWidth="1"/>
    <col min="13" max="13" width="19.5703125" style="2006" bestFit="1" customWidth="1"/>
    <col min="14" max="255" width="11" style="2006"/>
    <col min="256" max="256" width="9.85546875" style="2006" customWidth="1"/>
    <col min="257" max="257" width="12.5703125" style="2006" customWidth="1"/>
    <col min="258" max="258" width="13.140625" style="2006" customWidth="1"/>
    <col min="259" max="259" width="10.5703125" style="2006" customWidth="1"/>
    <col min="260" max="260" width="11.140625" style="2006" customWidth="1"/>
    <col min="261" max="261" width="10.7109375" style="2006" customWidth="1"/>
    <col min="262" max="262" width="11.140625" style="2006" bestFit="1" customWidth="1"/>
    <col min="263" max="263" width="13" style="2006" customWidth="1"/>
    <col min="264" max="265" width="0" style="2006" hidden="1" customWidth="1"/>
    <col min="266" max="266" width="12.7109375" style="2006" customWidth="1"/>
    <col min="267" max="268" width="0" style="2006" hidden="1" customWidth="1"/>
    <col min="269" max="269" width="19.5703125" style="2006" bestFit="1" customWidth="1"/>
    <col min="270" max="511" width="11" style="2006"/>
    <col min="512" max="512" width="9.85546875" style="2006" customWidth="1"/>
    <col min="513" max="513" width="12.5703125" style="2006" customWidth="1"/>
    <col min="514" max="514" width="13.140625" style="2006" customWidth="1"/>
    <col min="515" max="515" width="10.5703125" style="2006" customWidth="1"/>
    <col min="516" max="516" width="11.140625" style="2006" customWidth="1"/>
    <col min="517" max="517" width="10.7109375" style="2006" customWidth="1"/>
    <col min="518" max="518" width="11.140625" style="2006" bestFit="1" customWidth="1"/>
    <col min="519" max="519" width="13" style="2006" customWidth="1"/>
    <col min="520" max="521" width="0" style="2006" hidden="1" customWidth="1"/>
    <col min="522" max="522" width="12.7109375" style="2006" customWidth="1"/>
    <col min="523" max="524" width="0" style="2006" hidden="1" customWidth="1"/>
    <col min="525" max="525" width="19.5703125" style="2006" bestFit="1" customWidth="1"/>
    <col min="526" max="767" width="11" style="2006"/>
    <col min="768" max="768" width="9.85546875" style="2006" customWidth="1"/>
    <col min="769" max="769" width="12.5703125" style="2006" customWidth="1"/>
    <col min="770" max="770" width="13.140625" style="2006" customWidth="1"/>
    <col min="771" max="771" width="10.5703125" style="2006" customWidth="1"/>
    <col min="772" max="772" width="11.140625" style="2006" customWidth="1"/>
    <col min="773" max="773" width="10.7109375" style="2006" customWidth="1"/>
    <col min="774" max="774" width="11.140625" style="2006" bestFit="1" customWidth="1"/>
    <col min="775" max="775" width="13" style="2006" customWidth="1"/>
    <col min="776" max="777" width="0" style="2006" hidden="1" customWidth="1"/>
    <col min="778" max="778" width="12.7109375" style="2006" customWidth="1"/>
    <col min="779" max="780" width="0" style="2006" hidden="1" customWidth="1"/>
    <col min="781" max="781" width="19.5703125" style="2006" bestFit="1" customWidth="1"/>
    <col min="782" max="1023" width="11" style="2006"/>
    <col min="1024" max="1024" width="9.85546875" style="2006" customWidth="1"/>
    <col min="1025" max="1025" width="12.5703125" style="2006" customWidth="1"/>
    <col min="1026" max="1026" width="13.140625" style="2006" customWidth="1"/>
    <col min="1027" max="1027" width="10.5703125" style="2006" customWidth="1"/>
    <col min="1028" max="1028" width="11.140625" style="2006" customWidth="1"/>
    <col min="1029" max="1029" width="10.7109375" style="2006" customWidth="1"/>
    <col min="1030" max="1030" width="11.140625" style="2006" bestFit="1" customWidth="1"/>
    <col min="1031" max="1031" width="13" style="2006" customWidth="1"/>
    <col min="1032" max="1033" width="0" style="2006" hidden="1" customWidth="1"/>
    <col min="1034" max="1034" width="12.7109375" style="2006" customWidth="1"/>
    <col min="1035" max="1036" width="0" style="2006" hidden="1" customWidth="1"/>
    <col min="1037" max="1037" width="19.5703125" style="2006" bestFit="1" customWidth="1"/>
    <col min="1038" max="1279" width="11" style="2006"/>
    <col min="1280" max="1280" width="9.85546875" style="2006" customWidth="1"/>
    <col min="1281" max="1281" width="12.5703125" style="2006" customWidth="1"/>
    <col min="1282" max="1282" width="13.140625" style="2006" customWidth="1"/>
    <col min="1283" max="1283" width="10.5703125" style="2006" customWidth="1"/>
    <col min="1284" max="1284" width="11.140625" style="2006" customWidth="1"/>
    <col min="1285" max="1285" width="10.7109375" style="2006" customWidth="1"/>
    <col min="1286" max="1286" width="11.140625" style="2006" bestFit="1" customWidth="1"/>
    <col min="1287" max="1287" width="13" style="2006" customWidth="1"/>
    <col min="1288" max="1289" width="0" style="2006" hidden="1" customWidth="1"/>
    <col min="1290" max="1290" width="12.7109375" style="2006" customWidth="1"/>
    <col min="1291" max="1292" width="0" style="2006" hidden="1" customWidth="1"/>
    <col min="1293" max="1293" width="19.5703125" style="2006" bestFit="1" customWidth="1"/>
    <col min="1294" max="1535" width="11" style="2006"/>
    <col min="1536" max="1536" width="9.85546875" style="2006" customWidth="1"/>
    <col min="1537" max="1537" width="12.5703125" style="2006" customWidth="1"/>
    <col min="1538" max="1538" width="13.140625" style="2006" customWidth="1"/>
    <col min="1539" max="1539" width="10.5703125" style="2006" customWidth="1"/>
    <col min="1540" max="1540" width="11.140625" style="2006" customWidth="1"/>
    <col min="1541" max="1541" width="10.7109375" style="2006" customWidth="1"/>
    <col min="1542" max="1542" width="11.140625" style="2006" bestFit="1" customWidth="1"/>
    <col min="1543" max="1543" width="13" style="2006" customWidth="1"/>
    <col min="1544" max="1545" width="0" style="2006" hidden="1" customWidth="1"/>
    <col min="1546" max="1546" width="12.7109375" style="2006" customWidth="1"/>
    <col min="1547" max="1548" width="0" style="2006" hidden="1" customWidth="1"/>
    <col min="1549" max="1549" width="19.5703125" style="2006" bestFit="1" customWidth="1"/>
    <col min="1550" max="1791" width="11" style="2006"/>
    <col min="1792" max="1792" width="9.85546875" style="2006" customWidth="1"/>
    <col min="1793" max="1793" width="12.5703125" style="2006" customWidth="1"/>
    <col min="1794" max="1794" width="13.140625" style="2006" customWidth="1"/>
    <col min="1795" max="1795" width="10.5703125" style="2006" customWidth="1"/>
    <col min="1796" max="1796" width="11.140625" style="2006" customWidth="1"/>
    <col min="1797" max="1797" width="10.7109375" style="2006" customWidth="1"/>
    <col min="1798" max="1798" width="11.140625" style="2006" bestFit="1" customWidth="1"/>
    <col min="1799" max="1799" width="13" style="2006" customWidth="1"/>
    <col min="1800" max="1801" width="0" style="2006" hidden="1" customWidth="1"/>
    <col min="1802" max="1802" width="12.7109375" style="2006" customWidth="1"/>
    <col min="1803" max="1804" width="0" style="2006" hidden="1" customWidth="1"/>
    <col min="1805" max="1805" width="19.5703125" style="2006" bestFit="1" customWidth="1"/>
    <col min="1806" max="2047" width="11" style="2006"/>
    <col min="2048" max="2048" width="9.85546875" style="2006" customWidth="1"/>
    <col min="2049" max="2049" width="12.5703125" style="2006" customWidth="1"/>
    <col min="2050" max="2050" width="13.140625" style="2006" customWidth="1"/>
    <col min="2051" max="2051" width="10.5703125" style="2006" customWidth="1"/>
    <col min="2052" max="2052" width="11.140625" style="2006" customWidth="1"/>
    <col min="2053" max="2053" width="10.7109375" style="2006" customWidth="1"/>
    <col min="2054" max="2054" width="11.140625" style="2006" bestFit="1" customWidth="1"/>
    <col min="2055" max="2055" width="13" style="2006" customWidth="1"/>
    <col min="2056" max="2057" width="0" style="2006" hidden="1" customWidth="1"/>
    <col min="2058" max="2058" width="12.7109375" style="2006" customWidth="1"/>
    <col min="2059" max="2060" width="0" style="2006" hidden="1" customWidth="1"/>
    <col min="2061" max="2061" width="19.5703125" style="2006" bestFit="1" customWidth="1"/>
    <col min="2062" max="2303" width="11" style="2006"/>
    <col min="2304" max="2304" width="9.85546875" style="2006" customWidth="1"/>
    <col min="2305" max="2305" width="12.5703125" style="2006" customWidth="1"/>
    <col min="2306" max="2306" width="13.140625" style="2006" customWidth="1"/>
    <col min="2307" max="2307" width="10.5703125" style="2006" customWidth="1"/>
    <col min="2308" max="2308" width="11.140625" style="2006" customWidth="1"/>
    <col min="2309" max="2309" width="10.7109375" style="2006" customWidth="1"/>
    <col min="2310" max="2310" width="11.140625" style="2006" bestFit="1" customWidth="1"/>
    <col min="2311" max="2311" width="13" style="2006" customWidth="1"/>
    <col min="2312" max="2313" width="0" style="2006" hidden="1" customWidth="1"/>
    <col min="2314" max="2314" width="12.7109375" style="2006" customWidth="1"/>
    <col min="2315" max="2316" width="0" style="2006" hidden="1" customWidth="1"/>
    <col min="2317" max="2317" width="19.5703125" style="2006" bestFit="1" customWidth="1"/>
    <col min="2318" max="2559" width="11" style="2006"/>
    <col min="2560" max="2560" width="9.85546875" style="2006" customWidth="1"/>
    <col min="2561" max="2561" width="12.5703125" style="2006" customWidth="1"/>
    <col min="2562" max="2562" width="13.140625" style="2006" customWidth="1"/>
    <col min="2563" max="2563" width="10.5703125" style="2006" customWidth="1"/>
    <col min="2564" max="2564" width="11.140625" style="2006" customWidth="1"/>
    <col min="2565" max="2565" width="10.7109375" style="2006" customWidth="1"/>
    <col min="2566" max="2566" width="11.140625" style="2006" bestFit="1" customWidth="1"/>
    <col min="2567" max="2567" width="13" style="2006" customWidth="1"/>
    <col min="2568" max="2569" width="0" style="2006" hidden="1" customWidth="1"/>
    <col min="2570" max="2570" width="12.7109375" style="2006" customWidth="1"/>
    <col min="2571" max="2572" width="0" style="2006" hidden="1" customWidth="1"/>
    <col min="2573" max="2573" width="19.5703125" style="2006" bestFit="1" customWidth="1"/>
    <col min="2574" max="2815" width="11" style="2006"/>
    <col min="2816" max="2816" width="9.85546875" style="2006" customWidth="1"/>
    <col min="2817" max="2817" width="12.5703125" style="2006" customWidth="1"/>
    <col min="2818" max="2818" width="13.140625" style="2006" customWidth="1"/>
    <col min="2819" max="2819" width="10.5703125" style="2006" customWidth="1"/>
    <col min="2820" max="2820" width="11.140625" style="2006" customWidth="1"/>
    <col min="2821" max="2821" width="10.7109375" style="2006" customWidth="1"/>
    <col min="2822" max="2822" width="11.140625" style="2006" bestFit="1" customWidth="1"/>
    <col min="2823" max="2823" width="13" style="2006" customWidth="1"/>
    <col min="2824" max="2825" width="0" style="2006" hidden="1" customWidth="1"/>
    <col min="2826" max="2826" width="12.7109375" style="2006" customWidth="1"/>
    <col min="2827" max="2828" width="0" style="2006" hidden="1" customWidth="1"/>
    <col min="2829" max="2829" width="19.5703125" style="2006" bestFit="1" customWidth="1"/>
    <col min="2830" max="3071" width="11" style="2006"/>
    <col min="3072" max="3072" width="9.85546875" style="2006" customWidth="1"/>
    <col min="3073" max="3073" width="12.5703125" style="2006" customWidth="1"/>
    <col min="3074" max="3074" width="13.140625" style="2006" customWidth="1"/>
    <col min="3075" max="3075" width="10.5703125" style="2006" customWidth="1"/>
    <col min="3076" max="3076" width="11.140625" style="2006" customWidth="1"/>
    <col min="3077" max="3077" width="10.7109375" style="2006" customWidth="1"/>
    <col min="3078" max="3078" width="11.140625" style="2006" bestFit="1" customWidth="1"/>
    <col min="3079" max="3079" width="13" style="2006" customWidth="1"/>
    <col min="3080" max="3081" width="0" style="2006" hidden="1" customWidth="1"/>
    <col min="3082" max="3082" width="12.7109375" style="2006" customWidth="1"/>
    <col min="3083" max="3084" width="0" style="2006" hidden="1" customWidth="1"/>
    <col min="3085" max="3085" width="19.5703125" style="2006" bestFit="1" customWidth="1"/>
    <col min="3086" max="3327" width="11" style="2006"/>
    <col min="3328" max="3328" width="9.85546875" style="2006" customWidth="1"/>
    <col min="3329" max="3329" width="12.5703125" style="2006" customWidth="1"/>
    <col min="3330" max="3330" width="13.140625" style="2006" customWidth="1"/>
    <col min="3331" max="3331" width="10.5703125" style="2006" customWidth="1"/>
    <col min="3332" max="3332" width="11.140625" style="2006" customWidth="1"/>
    <col min="3333" max="3333" width="10.7109375" style="2006" customWidth="1"/>
    <col min="3334" max="3334" width="11.140625" style="2006" bestFit="1" customWidth="1"/>
    <col min="3335" max="3335" width="13" style="2006" customWidth="1"/>
    <col min="3336" max="3337" width="0" style="2006" hidden="1" customWidth="1"/>
    <col min="3338" max="3338" width="12.7109375" style="2006" customWidth="1"/>
    <col min="3339" max="3340" width="0" style="2006" hidden="1" customWidth="1"/>
    <col min="3341" max="3341" width="19.5703125" style="2006" bestFit="1" customWidth="1"/>
    <col min="3342" max="3583" width="11" style="2006"/>
    <col min="3584" max="3584" width="9.85546875" style="2006" customWidth="1"/>
    <col min="3585" max="3585" width="12.5703125" style="2006" customWidth="1"/>
    <col min="3586" max="3586" width="13.140625" style="2006" customWidth="1"/>
    <col min="3587" max="3587" width="10.5703125" style="2006" customWidth="1"/>
    <col min="3588" max="3588" width="11.140625" style="2006" customWidth="1"/>
    <col min="3589" max="3589" width="10.7109375" style="2006" customWidth="1"/>
    <col min="3590" max="3590" width="11.140625" style="2006" bestFit="1" customWidth="1"/>
    <col min="3591" max="3591" width="13" style="2006" customWidth="1"/>
    <col min="3592" max="3593" width="0" style="2006" hidden="1" customWidth="1"/>
    <col min="3594" max="3594" width="12.7109375" style="2006" customWidth="1"/>
    <col min="3595" max="3596" width="0" style="2006" hidden="1" customWidth="1"/>
    <col min="3597" max="3597" width="19.5703125" style="2006" bestFit="1" customWidth="1"/>
    <col min="3598" max="3839" width="11" style="2006"/>
    <col min="3840" max="3840" width="9.85546875" style="2006" customWidth="1"/>
    <col min="3841" max="3841" width="12.5703125" style="2006" customWidth="1"/>
    <col min="3842" max="3842" width="13.140625" style="2006" customWidth="1"/>
    <col min="3843" max="3843" width="10.5703125" style="2006" customWidth="1"/>
    <col min="3844" max="3844" width="11.140625" style="2006" customWidth="1"/>
    <col min="3845" max="3845" width="10.7109375" style="2006" customWidth="1"/>
    <col min="3846" max="3846" width="11.140625" style="2006" bestFit="1" customWidth="1"/>
    <col min="3847" max="3847" width="13" style="2006" customWidth="1"/>
    <col min="3848" max="3849" width="0" style="2006" hidden="1" customWidth="1"/>
    <col min="3850" max="3850" width="12.7109375" style="2006" customWidth="1"/>
    <col min="3851" max="3852" width="0" style="2006" hidden="1" customWidth="1"/>
    <col min="3853" max="3853" width="19.5703125" style="2006" bestFit="1" customWidth="1"/>
    <col min="3854" max="4095" width="11" style="2006"/>
    <col min="4096" max="4096" width="9.85546875" style="2006" customWidth="1"/>
    <col min="4097" max="4097" width="12.5703125" style="2006" customWidth="1"/>
    <col min="4098" max="4098" width="13.140625" style="2006" customWidth="1"/>
    <col min="4099" max="4099" width="10.5703125" style="2006" customWidth="1"/>
    <col min="4100" max="4100" width="11.140625" style="2006" customWidth="1"/>
    <col min="4101" max="4101" width="10.7109375" style="2006" customWidth="1"/>
    <col min="4102" max="4102" width="11.140625" style="2006" bestFit="1" customWidth="1"/>
    <col min="4103" max="4103" width="13" style="2006" customWidth="1"/>
    <col min="4104" max="4105" width="0" style="2006" hidden="1" customWidth="1"/>
    <col min="4106" max="4106" width="12.7109375" style="2006" customWidth="1"/>
    <col min="4107" max="4108" width="0" style="2006" hidden="1" customWidth="1"/>
    <col min="4109" max="4109" width="19.5703125" style="2006" bestFit="1" customWidth="1"/>
    <col min="4110" max="4351" width="11" style="2006"/>
    <col min="4352" max="4352" width="9.85546875" style="2006" customWidth="1"/>
    <col min="4353" max="4353" width="12.5703125" style="2006" customWidth="1"/>
    <col min="4354" max="4354" width="13.140625" style="2006" customWidth="1"/>
    <col min="4355" max="4355" width="10.5703125" style="2006" customWidth="1"/>
    <col min="4356" max="4356" width="11.140625" style="2006" customWidth="1"/>
    <col min="4357" max="4357" width="10.7109375" style="2006" customWidth="1"/>
    <col min="4358" max="4358" width="11.140625" style="2006" bestFit="1" customWidth="1"/>
    <col min="4359" max="4359" width="13" style="2006" customWidth="1"/>
    <col min="4360" max="4361" width="0" style="2006" hidden="1" customWidth="1"/>
    <col min="4362" max="4362" width="12.7109375" style="2006" customWidth="1"/>
    <col min="4363" max="4364" width="0" style="2006" hidden="1" customWidth="1"/>
    <col min="4365" max="4365" width="19.5703125" style="2006" bestFit="1" customWidth="1"/>
    <col min="4366" max="4607" width="11" style="2006"/>
    <col min="4608" max="4608" width="9.85546875" style="2006" customWidth="1"/>
    <col min="4609" max="4609" width="12.5703125" style="2006" customWidth="1"/>
    <col min="4610" max="4610" width="13.140625" style="2006" customWidth="1"/>
    <col min="4611" max="4611" width="10.5703125" style="2006" customWidth="1"/>
    <col min="4612" max="4612" width="11.140625" style="2006" customWidth="1"/>
    <col min="4613" max="4613" width="10.7109375" style="2006" customWidth="1"/>
    <col min="4614" max="4614" width="11.140625" style="2006" bestFit="1" customWidth="1"/>
    <col min="4615" max="4615" width="13" style="2006" customWidth="1"/>
    <col min="4616" max="4617" width="0" style="2006" hidden="1" customWidth="1"/>
    <col min="4618" max="4618" width="12.7109375" style="2006" customWidth="1"/>
    <col min="4619" max="4620" width="0" style="2006" hidden="1" customWidth="1"/>
    <col min="4621" max="4621" width="19.5703125" style="2006" bestFit="1" customWidth="1"/>
    <col min="4622" max="4863" width="11" style="2006"/>
    <col min="4864" max="4864" width="9.85546875" style="2006" customWidth="1"/>
    <col min="4865" max="4865" width="12.5703125" style="2006" customWidth="1"/>
    <col min="4866" max="4866" width="13.140625" style="2006" customWidth="1"/>
    <col min="4867" max="4867" width="10.5703125" style="2006" customWidth="1"/>
    <col min="4868" max="4868" width="11.140625" style="2006" customWidth="1"/>
    <col min="4869" max="4869" width="10.7109375" style="2006" customWidth="1"/>
    <col min="4870" max="4870" width="11.140625" style="2006" bestFit="1" customWidth="1"/>
    <col min="4871" max="4871" width="13" style="2006" customWidth="1"/>
    <col min="4872" max="4873" width="0" style="2006" hidden="1" customWidth="1"/>
    <col min="4874" max="4874" width="12.7109375" style="2006" customWidth="1"/>
    <col min="4875" max="4876" width="0" style="2006" hidden="1" customWidth="1"/>
    <col min="4877" max="4877" width="19.5703125" style="2006" bestFit="1" customWidth="1"/>
    <col min="4878" max="5119" width="11" style="2006"/>
    <col min="5120" max="5120" width="9.85546875" style="2006" customWidth="1"/>
    <col min="5121" max="5121" width="12.5703125" style="2006" customWidth="1"/>
    <col min="5122" max="5122" width="13.140625" style="2006" customWidth="1"/>
    <col min="5123" max="5123" width="10.5703125" style="2006" customWidth="1"/>
    <col min="5124" max="5124" width="11.140625" style="2006" customWidth="1"/>
    <col min="5125" max="5125" width="10.7109375" style="2006" customWidth="1"/>
    <col min="5126" max="5126" width="11.140625" style="2006" bestFit="1" customWidth="1"/>
    <col min="5127" max="5127" width="13" style="2006" customWidth="1"/>
    <col min="5128" max="5129" width="0" style="2006" hidden="1" customWidth="1"/>
    <col min="5130" max="5130" width="12.7109375" style="2006" customWidth="1"/>
    <col min="5131" max="5132" width="0" style="2006" hidden="1" customWidth="1"/>
    <col min="5133" max="5133" width="19.5703125" style="2006" bestFit="1" customWidth="1"/>
    <col min="5134" max="5375" width="11" style="2006"/>
    <col min="5376" max="5376" width="9.85546875" style="2006" customWidth="1"/>
    <col min="5377" max="5377" width="12.5703125" style="2006" customWidth="1"/>
    <col min="5378" max="5378" width="13.140625" style="2006" customWidth="1"/>
    <col min="5379" max="5379" width="10.5703125" style="2006" customWidth="1"/>
    <col min="5380" max="5380" width="11.140625" style="2006" customWidth="1"/>
    <col min="5381" max="5381" width="10.7109375" style="2006" customWidth="1"/>
    <col min="5382" max="5382" width="11.140625" style="2006" bestFit="1" customWidth="1"/>
    <col min="5383" max="5383" width="13" style="2006" customWidth="1"/>
    <col min="5384" max="5385" width="0" style="2006" hidden="1" customWidth="1"/>
    <col min="5386" max="5386" width="12.7109375" style="2006" customWidth="1"/>
    <col min="5387" max="5388" width="0" style="2006" hidden="1" customWidth="1"/>
    <col min="5389" max="5389" width="19.5703125" style="2006" bestFit="1" customWidth="1"/>
    <col min="5390" max="5631" width="11" style="2006"/>
    <col min="5632" max="5632" width="9.85546875" style="2006" customWidth="1"/>
    <col min="5633" max="5633" width="12.5703125" style="2006" customWidth="1"/>
    <col min="5634" max="5634" width="13.140625" style="2006" customWidth="1"/>
    <col min="5635" max="5635" width="10.5703125" style="2006" customWidth="1"/>
    <col min="5636" max="5636" width="11.140625" style="2006" customWidth="1"/>
    <col min="5637" max="5637" width="10.7109375" style="2006" customWidth="1"/>
    <col min="5638" max="5638" width="11.140625" style="2006" bestFit="1" customWidth="1"/>
    <col min="5639" max="5639" width="13" style="2006" customWidth="1"/>
    <col min="5640" max="5641" width="0" style="2006" hidden="1" customWidth="1"/>
    <col min="5642" max="5642" width="12.7109375" style="2006" customWidth="1"/>
    <col min="5643" max="5644" width="0" style="2006" hidden="1" customWidth="1"/>
    <col min="5645" max="5645" width="19.5703125" style="2006" bestFit="1" customWidth="1"/>
    <col min="5646" max="5887" width="11" style="2006"/>
    <col min="5888" max="5888" width="9.85546875" style="2006" customWidth="1"/>
    <col min="5889" max="5889" width="12.5703125" style="2006" customWidth="1"/>
    <col min="5890" max="5890" width="13.140625" style="2006" customWidth="1"/>
    <col min="5891" max="5891" width="10.5703125" style="2006" customWidth="1"/>
    <col min="5892" max="5892" width="11.140625" style="2006" customWidth="1"/>
    <col min="5893" max="5893" width="10.7109375" style="2006" customWidth="1"/>
    <col min="5894" max="5894" width="11.140625" style="2006" bestFit="1" customWidth="1"/>
    <col min="5895" max="5895" width="13" style="2006" customWidth="1"/>
    <col min="5896" max="5897" width="0" style="2006" hidden="1" customWidth="1"/>
    <col min="5898" max="5898" width="12.7109375" style="2006" customWidth="1"/>
    <col min="5899" max="5900" width="0" style="2006" hidden="1" customWidth="1"/>
    <col min="5901" max="5901" width="19.5703125" style="2006" bestFit="1" customWidth="1"/>
    <col min="5902" max="6143" width="11" style="2006"/>
    <col min="6144" max="6144" width="9.85546875" style="2006" customWidth="1"/>
    <col min="6145" max="6145" width="12.5703125" style="2006" customWidth="1"/>
    <col min="6146" max="6146" width="13.140625" style="2006" customWidth="1"/>
    <col min="6147" max="6147" width="10.5703125" style="2006" customWidth="1"/>
    <col min="6148" max="6148" width="11.140625" style="2006" customWidth="1"/>
    <col min="6149" max="6149" width="10.7109375" style="2006" customWidth="1"/>
    <col min="6150" max="6150" width="11.140625" style="2006" bestFit="1" customWidth="1"/>
    <col min="6151" max="6151" width="13" style="2006" customWidth="1"/>
    <col min="6152" max="6153" width="0" style="2006" hidden="1" customWidth="1"/>
    <col min="6154" max="6154" width="12.7109375" style="2006" customWidth="1"/>
    <col min="6155" max="6156" width="0" style="2006" hidden="1" customWidth="1"/>
    <col min="6157" max="6157" width="19.5703125" style="2006" bestFit="1" customWidth="1"/>
    <col min="6158" max="6399" width="11" style="2006"/>
    <col min="6400" max="6400" width="9.85546875" style="2006" customWidth="1"/>
    <col min="6401" max="6401" width="12.5703125" style="2006" customWidth="1"/>
    <col min="6402" max="6402" width="13.140625" style="2006" customWidth="1"/>
    <col min="6403" max="6403" width="10.5703125" style="2006" customWidth="1"/>
    <col min="6404" max="6404" width="11.140625" style="2006" customWidth="1"/>
    <col min="6405" max="6405" width="10.7109375" style="2006" customWidth="1"/>
    <col min="6406" max="6406" width="11.140625" style="2006" bestFit="1" customWidth="1"/>
    <col min="6407" max="6407" width="13" style="2006" customWidth="1"/>
    <col min="6408" max="6409" width="0" style="2006" hidden="1" customWidth="1"/>
    <col min="6410" max="6410" width="12.7109375" style="2006" customWidth="1"/>
    <col min="6411" max="6412" width="0" style="2006" hidden="1" customWidth="1"/>
    <col min="6413" max="6413" width="19.5703125" style="2006" bestFit="1" customWidth="1"/>
    <col min="6414" max="6655" width="11" style="2006"/>
    <col min="6656" max="6656" width="9.85546875" style="2006" customWidth="1"/>
    <col min="6657" max="6657" width="12.5703125" style="2006" customWidth="1"/>
    <col min="6658" max="6658" width="13.140625" style="2006" customWidth="1"/>
    <col min="6659" max="6659" width="10.5703125" style="2006" customWidth="1"/>
    <col min="6660" max="6660" width="11.140625" style="2006" customWidth="1"/>
    <col min="6661" max="6661" width="10.7109375" style="2006" customWidth="1"/>
    <col min="6662" max="6662" width="11.140625" style="2006" bestFit="1" customWidth="1"/>
    <col min="6663" max="6663" width="13" style="2006" customWidth="1"/>
    <col min="6664" max="6665" width="0" style="2006" hidden="1" customWidth="1"/>
    <col min="6666" max="6666" width="12.7109375" style="2006" customWidth="1"/>
    <col min="6667" max="6668" width="0" style="2006" hidden="1" customWidth="1"/>
    <col min="6669" max="6669" width="19.5703125" style="2006" bestFit="1" customWidth="1"/>
    <col min="6670" max="6911" width="11" style="2006"/>
    <col min="6912" max="6912" width="9.85546875" style="2006" customWidth="1"/>
    <col min="6913" max="6913" width="12.5703125" style="2006" customWidth="1"/>
    <col min="6914" max="6914" width="13.140625" style="2006" customWidth="1"/>
    <col min="6915" max="6915" width="10.5703125" style="2006" customWidth="1"/>
    <col min="6916" max="6916" width="11.140625" style="2006" customWidth="1"/>
    <col min="6917" max="6917" width="10.7109375" style="2006" customWidth="1"/>
    <col min="6918" max="6918" width="11.140625" style="2006" bestFit="1" customWidth="1"/>
    <col min="6919" max="6919" width="13" style="2006" customWidth="1"/>
    <col min="6920" max="6921" width="0" style="2006" hidden="1" customWidth="1"/>
    <col min="6922" max="6922" width="12.7109375" style="2006" customWidth="1"/>
    <col min="6923" max="6924" width="0" style="2006" hidden="1" customWidth="1"/>
    <col min="6925" max="6925" width="19.5703125" style="2006" bestFit="1" customWidth="1"/>
    <col min="6926" max="7167" width="11" style="2006"/>
    <col min="7168" max="7168" width="9.85546875" style="2006" customWidth="1"/>
    <col min="7169" max="7169" width="12.5703125" style="2006" customWidth="1"/>
    <col min="7170" max="7170" width="13.140625" style="2006" customWidth="1"/>
    <col min="7171" max="7171" width="10.5703125" style="2006" customWidth="1"/>
    <col min="7172" max="7172" width="11.140625" style="2006" customWidth="1"/>
    <col min="7173" max="7173" width="10.7109375" style="2006" customWidth="1"/>
    <col min="7174" max="7174" width="11.140625" style="2006" bestFit="1" customWidth="1"/>
    <col min="7175" max="7175" width="13" style="2006" customWidth="1"/>
    <col min="7176" max="7177" width="0" style="2006" hidden="1" customWidth="1"/>
    <col min="7178" max="7178" width="12.7109375" style="2006" customWidth="1"/>
    <col min="7179" max="7180" width="0" style="2006" hidden="1" customWidth="1"/>
    <col min="7181" max="7181" width="19.5703125" style="2006" bestFit="1" customWidth="1"/>
    <col min="7182" max="7423" width="11" style="2006"/>
    <col min="7424" max="7424" width="9.85546875" style="2006" customWidth="1"/>
    <col min="7425" max="7425" width="12.5703125" style="2006" customWidth="1"/>
    <col min="7426" max="7426" width="13.140625" style="2006" customWidth="1"/>
    <col min="7427" max="7427" width="10.5703125" style="2006" customWidth="1"/>
    <col min="7428" max="7428" width="11.140625" style="2006" customWidth="1"/>
    <col min="7429" max="7429" width="10.7109375" style="2006" customWidth="1"/>
    <col min="7430" max="7430" width="11.140625" style="2006" bestFit="1" customWidth="1"/>
    <col min="7431" max="7431" width="13" style="2006" customWidth="1"/>
    <col min="7432" max="7433" width="0" style="2006" hidden="1" customWidth="1"/>
    <col min="7434" max="7434" width="12.7109375" style="2006" customWidth="1"/>
    <col min="7435" max="7436" width="0" style="2006" hidden="1" customWidth="1"/>
    <col min="7437" max="7437" width="19.5703125" style="2006" bestFit="1" customWidth="1"/>
    <col min="7438" max="7679" width="11" style="2006"/>
    <col min="7680" max="7680" width="9.85546875" style="2006" customWidth="1"/>
    <col min="7681" max="7681" width="12.5703125" style="2006" customWidth="1"/>
    <col min="7682" max="7682" width="13.140625" style="2006" customWidth="1"/>
    <col min="7683" max="7683" width="10.5703125" style="2006" customWidth="1"/>
    <col min="7684" max="7684" width="11.140625" style="2006" customWidth="1"/>
    <col min="7685" max="7685" width="10.7109375" style="2006" customWidth="1"/>
    <col min="7686" max="7686" width="11.140625" style="2006" bestFit="1" customWidth="1"/>
    <col min="7687" max="7687" width="13" style="2006" customWidth="1"/>
    <col min="7688" max="7689" width="0" style="2006" hidden="1" customWidth="1"/>
    <col min="7690" max="7690" width="12.7109375" style="2006" customWidth="1"/>
    <col min="7691" max="7692" width="0" style="2006" hidden="1" customWidth="1"/>
    <col min="7693" max="7693" width="19.5703125" style="2006" bestFit="1" customWidth="1"/>
    <col min="7694" max="7935" width="11" style="2006"/>
    <col min="7936" max="7936" width="9.85546875" style="2006" customWidth="1"/>
    <col min="7937" max="7937" width="12.5703125" style="2006" customWidth="1"/>
    <col min="7938" max="7938" width="13.140625" style="2006" customWidth="1"/>
    <col min="7939" max="7939" width="10.5703125" style="2006" customWidth="1"/>
    <col min="7940" max="7940" width="11.140625" style="2006" customWidth="1"/>
    <col min="7941" max="7941" width="10.7109375" style="2006" customWidth="1"/>
    <col min="7942" max="7942" width="11.140625" style="2006" bestFit="1" customWidth="1"/>
    <col min="7943" max="7943" width="13" style="2006" customWidth="1"/>
    <col min="7944" max="7945" width="0" style="2006" hidden="1" customWidth="1"/>
    <col min="7946" max="7946" width="12.7109375" style="2006" customWidth="1"/>
    <col min="7947" max="7948" width="0" style="2006" hidden="1" customWidth="1"/>
    <col min="7949" max="7949" width="19.5703125" style="2006" bestFit="1" customWidth="1"/>
    <col min="7950" max="8191" width="11" style="2006"/>
    <col min="8192" max="8192" width="9.85546875" style="2006" customWidth="1"/>
    <col min="8193" max="8193" width="12.5703125" style="2006" customWidth="1"/>
    <col min="8194" max="8194" width="13.140625" style="2006" customWidth="1"/>
    <col min="8195" max="8195" width="10.5703125" style="2006" customWidth="1"/>
    <col min="8196" max="8196" width="11.140625" style="2006" customWidth="1"/>
    <col min="8197" max="8197" width="10.7109375" style="2006" customWidth="1"/>
    <col min="8198" max="8198" width="11.140625" style="2006" bestFit="1" customWidth="1"/>
    <col min="8199" max="8199" width="13" style="2006" customWidth="1"/>
    <col min="8200" max="8201" width="0" style="2006" hidden="1" customWidth="1"/>
    <col min="8202" max="8202" width="12.7109375" style="2006" customWidth="1"/>
    <col min="8203" max="8204" width="0" style="2006" hidden="1" customWidth="1"/>
    <col min="8205" max="8205" width="19.5703125" style="2006" bestFit="1" customWidth="1"/>
    <col min="8206" max="8447" width="11" style="2006"/>
    <col min="8448" max="8448" width="9.85546875" style="2006" customWidth="1"/>
    <col min="8449" max="8449" width="12.5703125" style="2006" customWidth="1"/>
    <col min="8450" max="8450" width="13.140625" style="2006" customWidth="1"/>
    <col min="8451" max="8451" width="10.5703125" style="2006" customWidth="1"/>
    <col min="8452" max="8452" width="11.140625" style="2006" customWidth="1"/>
    <col min="8453" max="8453" width="10.7109375" style="2006" customWidth="1"/>
    <col min="8454" max="8454" width="11.140625" style="2006" bestFit="1" customWidth="1"/>
    <col min="8455" max="8455" width="13" style="2006" customWidth="1"/>
    <col min="8456" max="8457" width="0" style="2006" hidden="1" customWidth="1"/>
    <col min="8458" max="8458" width="12.7109375" style="2006" customWidth="1"/>
    <col min="8459" max="8460" width="0" style="2006" hidden="1" customWidth="1"/>
    <col min="8461" max="8461" width="19.5703125" style="2006" bestFit="1" customWidth="1"/>
    <col min="8462" max="8703" width="11" style="2006"/>
    <col min="8704" max="8704" width="9.85546875" style="2006" customWidth="1"/>
    <col min="8705" max="8705" width="12.5703125" style="2006" customWidth="1"/>
    <col min="8706" max="8706" width="13.140625" style="2006" customWidth="1"/>
    <col min="8707" max="8707" width="10.5703125" style="2006" customWidth="1"/>
    <col min="8708" max="8708" width="11.140625" style="2006" customWidth="1"/>
    <col min="8709" max="8709" width="10.7109375" style="2006" customWidth="1"/>
    <col min="8710" max="8710" width="11.140625" style="2006" bestFit="1" customWidth="1"/>
    <col min="8711" max="8711" width="13" style="2006" customWidth="1"/>
    <col min="8712" max="8713" width="0" style="2006" hidden="1" customWidth="1"/>
    <col min="8714" max="8714" width="12.7109375" style="2006" customWidth="1"/>
    <col min="8715" max="8716" width="0" style="2006" hidden="1" customWidth="1"/>
    <col min="8717" max="8717" width="19.5703125" style="2006" bestFit="1" customWidth="1"/>
    <col min="8718" max="8959" width="11" style="2006"/>
    <col min="8960" max="8960" width="9.85546875" style="2006" customWidth="1"/>
    <col min="8961" max="8961" width="12.5703125" style="2006" customWidth="1"/>
    <col min="8962" max="8962" width="13.140625" style="2006" customWidth="1"/>
    <col min="8963" max="8963" width="10.5703125" style="2006" customWidth="1"/>
    <col min="8964" max="8964" width="11.140625" style="2006" customWidth="1"/>
    <col min="8965" max="8965" width="10.7109375" style="2006" customWidth="1"/>
    <col min="8966" max="8966" width="11.140625" style="2006" bestFit="1" customWidth="1"/>
    <col min="8967" max="8967" width="13" style="2006" customWidth="1"/>
    <col min="8968" max="8969" width="0" style="2006" hidden="1" customWidth="1"/>
    <col min="8970" max="8970" width="12.7109375" style="2006" customWidth="1"/>
    <col min="8971" max="8972" width="0" style="2006" hidden="1" customWidth="1"/>
    <col min="8973" max="8973" width="19.5703125" style="2006" bestFit="1" customWidth="1"/>
    <col min="8974" max="9215" width="11" style="2006"/>
    <col min="9216" max="9216" width="9.85546875" style="2006" customWidth="1"/>
    <col min="9217" max="9217" width="12.5703125" style="2006" customWidth="1"/>
    <col min="9218" max="9218" width="13.140625" style="2006" customWidth="1"/>
    <col min="9219" max="9219" width="10.5703125" style="2006" customWidth="1"/>
    <col min="9220" max="9220" width="11.140625" style="2006" customWidth="1"/>
    <col min="9221" max="9221" width="10.7109375" style="2006" customWidth="1"/>
    <col min="9222" max="9222" width="11.140625" style="2006" bestFit="1" customWidth="1"/>
    <col min="9223" max="9223" width="13" style="2006" customWidth="1"/>
    <col min="9224" max="9225" width="0" style="2006" hidden="1" customWidth="1"/>
    <col min="9226" max="9226" width="12.7109375" style="2006" customWidth="1"/>
    <col min="9227" max="9228" width="0" style="2006" hidden="1" customWidth="1"/>
    <col min="9229" max="9229" width="19.5703125" style="2006" bestFit="1" customWidth="1"/>
    <col min="9230" max="9471" width="11" style="2006"/>
    <col min="9472" max="9472" width="9.85546875" style="2006" customWidth="1"/>
    <col min="9473" max="9473" width="12.5703125" style="2006" customWidth="1"/>
    <col min="9474" max="9474" width="13.140625" style="2006" customWidth="1"/>
    <col min="9475" max="9475" width="10.5703125" style="2006" customWidth="1"/>
    <col min="9476" max="9476" width="11.140625" style="2006" customWidth="1"/>
    <col min="9477" max="9477" width="10.7109375" style="2006" customWidth="1"/>
    <col min="9478" max="9478" width="11.140625" style="2006" bestFit="1" customWidth="1"/>
    <col min="9479" max="9479" width="13" style="2006" customWidth="1"/>
    <col min="9480" max="9481" width="0" style="2006" hidden="1" customWidth="1"/>
    <col min="9482" max="9482" width="12.7109375" style="2006" customWidth="1"/>
    <col min="9483" max="9484" width="0" style="2006" hidden="1" customWidth="1"/>
    <col min="9485" max="9485" width="19.5703125" style="2006" bestFit="1" customWidth="1"/>
    <col min="9486" max="9727" width="11" style="2006"/>
    <col min="9728" max="9728" width="9.85546875" style="2006" customWidth="1"/>
    <col min="9729" max="9729" width="12.5703125" style="2006" customWidth="1"/>
    <col min="9730" max="9730" width="13.140625" style="2006" customWidth="1"/>
    <col min="9731" max="9731" width="10.5703125" style="2006" customWidth="1"/>
    <col min="9732" max="9732" width="11.140625" style="2006" customWidth="1"/>
    <col min="9733" max="9733" width="10.7109375" style="2006" customWidth="1"/>
    <col min="9734" max="9734" width="11.140625" style="2006" bestFit="1" customWidth="1"/>
    <col min="9735" max="9735" width="13" style="2006" customWidth="1"/>
    <col min="9736" max="9737" width="0" style="2006" hidden="1" customWidth="1"/>
    <col min="9738" max="9738" width="12.7109375" style="2006" customWidth="1"/>
    <col min="9739" max="9740" width="0" style="2006" hidden="1" customWidth="1"/>
    <col min="9741" max="9741" width="19.5703125" style="2006" bestFit="1" customWidth="1"/>
    <col min="9742" max="9983" width="11" style="2006"/>
    <col min="9984" max="9984" width="9.85546875" style="2006" customWidth="1"/>
    <col min="9985" max="9985" width="12.5703125" style="2006" customWidth="1"/>
    <col min="9986" max="9986" width="13.140625" style="2006" customWidth="1"/>
    <col min="9987" max="9987" width="10.5703125" style="2006" customWidth="1"/>
    <col min="9988" max="9988" width="11.140625" style="2006" customWidth="1"/>
    <col min="9989" max="9989" width="10.7109375" style="2006" customWidth="1"/>
    <col min="9990" max="9990" width="11.140625" style="2006" bestFit="1" customWidth="1"/>
    <col min="9991" max="9991" width="13" style="2006" customWidth="1"/>
    <col min="9992" max="9993" width="0" style="2006" hidden="1" customWidth="1"/>
    <col min="9994" max="9994" width="12.7109375" style="2006" customWidth="1"/>
    <col min="9995" max="9996" width="0" style="2006" hidden="1" customWidth="1"/>
    <col min="9997" max="9997" width="19.5703125" style="2006" bestFit="1" customWidth="1"/>
    <col min="9998" max="10239" width="11" style="2006"/>
    <col min="10240" max="10240" width="9.85546875" style="2006" customWidth="1"/>
    <col min="10241" max="10241" width="12.5703125" style="2006" customWidth="1"/>
    <col min="10242" max="10242" width="13.140625" style="2006" customWidth="1"/>
    <col min="10243" max="10243" width="10.5703125" style="2006" customWidth="1"/>
    <col min="10244" max="10244" width="11.140625" style="2006" customWidth="1"/>
    <col min="10245" max="10245" width="10.7109375" style="2006" customWidth="1"/>
    <col min="10246" max="10246" width="11.140625" style="2006" bestFit="1" customWidth="1"/>
    <col min="10247" max="10247" width="13" style="2006" customWidth="1"/>
    <col min="10248" max="10249" width="0" style="2006" hidden="1" customWidth="1"/>
    <col min="10250" max="10250" width="12.7109375" style="2006" customWidth="1"/>
    <col min="10251" max="10252" width="0" style="2006" hidden="1" customWidth="1"/>
    <col min="10253" max="10253" width="19.5703125" style="2006" bestFit="1" customWidth="1"/>
    <col min="10254" max="10495" width="11" style="2006"/>
    <col min="10496" max="10496" width="9.85546875" style="2006" customWidth="1"/>
    <col min="10497" max="10497" width="12.5703125" style="2006" customWidth="1"/>
    <col min="10498" max="10498" width="13.140625" style="2006" customWidth="1"/>
    <col min="10499" max="10499" width="10.5703125" style="2006" customWidth="1"/>
    <col min="10500" max="10500" width="11.140625" style="2006" customWidth="1"/>
    <col min="10501" max="10501" width="10.7109375" style="2006" customWidth="1"/>
    <col min="10502" max="10502" width="11.140625" style="2006" bestFit="1" customWidth="1"/>
    <col min="10503" max="10503" width="13" style="2006" customWidth="1"/>
    <col min="10504" max="10505" width="0" style="2006" hidden="1" customWidth="1"/>
    <col min="10506" max="10506" width="12.7109375" style="2006" customWidth="1"/>
    <col min="10507" max="10508" width="0" style="2006" hidden="1" customWidth="1"/>
    <col min="10509" max="10509" width="19.5703125" style="2006" bestFit="1" customWidth="1"/>
    <col min="10510" max="10751" width="11" style="2006"/>
    <col min="10752" max="10752" width="9.85546875" style="2006" customWidth="1"/>
    <col min="10753" max="10753" width="12.5703125" style="2006" customWidth="1"/>
    <col min="10754" max="10754" width="13.140625" style="2006" customWidth="1"/>
    <col min="10755" max="10755" width="10.5703125" style="2006" customWidth="1"/>
    <col min="10756" max="10756" width="11.140625" style="2006" customWidth="1"/>
    <col min="10757" max="10757" width="10.7109375" style="2006" customWidth="1"/>
    <col min="10758" max="10758" width="11.140625" style="2006" bestFit="1" customWidth="1"/>
    <col min="10759" max="10759" width="13" style="2006" customWidth="1"/>
    <col min="10760" max="10761" width="0" style="2006" hidden="1" customWidth="1"/>
    <col min="10762" max="10762" width="12.7109375" style="2006" customWidth="1"/>
    <col min="10763" max="10764" width="0" style="2006" hidden="1" customWidth="1"/>
    <col min="10765" max="10765" width="19.5703125" style="2006" bestFit="1" customWidth="1"/>
    <col min="10766" max="11007" width="11" style="2006"/>
    <col min="11008" max="11008" width="9.85546875" style="2006" customWidth="1"/>
    <col min="11009" max="11009" width="12.5703125" style="2006" customWidth="1"/>
    <col min="11010" max="11010" width="13.140625" style="2006" customWidth="1"/>
    <col min="11011" max="11011" width="10.5703125" style="2006" customWidth="1"/>
    <col min="11012" max="11012" width="11.140625" style="2006" customWidth="1"/>
    <col min="11013" max="11013" width="10.7109375" style="2006" customWidth="1"/>
    <col min="11014" max="11014" width="11.140625" style="2006" bestFit="1" customWidth="1"/>
    <col min="11015" max="11015" width="13" style="2006" customWidth="1"/>
    <col min="11016" max="11017" width="0" style="2006" hidden="1" customWidth="1"/>
    <col min="11018" max="11018" width="12.7109375" style="2006" customWidth="1"/>
    <col min="11019" max="11020" width="0" style="2006" hidden="1" customWidth="1"/>
    <col min="11021" max="11021" width="19.5703125" style="2006" bestFit="1" customWidth="1"/>
    <col min="11022" max="11263" width="11" style="2006"/>
    <col min="11264" max="11264" width="9.85546875" style="2006" customWidth="1"/>
    <col min="11265" max="11265" width="12.5703125" style="2006" customWidth="1"/>
    <col min="11266" max="11266" width="13.140625" style="2006" customWidth="1"/>
    <col min="11267" max="11267" width="10.5703125" style="2006" customWidth="1"/>
    <col min="11268" max="11268" width="11.140625" style="2006" customWidth="1"/>
    <col min="11269" max="11269" width="10.7109375" style="2006" customWidth="1"/>
    <col min="11270" max="11270" width="11.140625" style="2006" bestFit="1" customWidth="1"/>
    <col min="11271" max="11271" width="13" style="2006" customWidth="1"/>
    <col min="11272" max="11273" width="0" style="2006" hidden="1" customWidth="1"/>
    <col min="11274" max="11274" width="12.7109375" style="2006" customWidth="1"/>
    <col min="11275" max="11276" width="0" style="2006" hidden="1" customWidth="1"/>
    <col min="11277" max="11277" width="19.5703125" style="2006" bestFit="1" customWidth="1"/>
    <col min="11278" max="11519" width="11" style="2006"/>
    <col min="11520" max="11520" width="9.85546875" style="2006" customWidth="1"/>
    <col min="11521" max="11521" width="12.5703125" style="2006" customWidth="1"/>
    <col min="11522" max="11522" width="13.140625" style="2006" customWidth="1"/>
    <col min="11523" max="11523" width="10.5703125" style="2006" customWidth="1"/>
    <col min="11524" max="11524" width="11.140625" style="2006" customWidth="1"/>
    <col min="11525" max="11525" width="10.7109375" style="2006" customWidth="1"/>
    <col min="11526" max="11526" width="11.140625" style="2006" bestFit="1" customWidth="1"/>
    <col min="11527" max="11527" width="13" style="2006" customWidth="1"/>
    <col min="11528" max="11529" width="0" style="2006" hidden="1" customWidth="1"/>
    <col min="11530" max="11530" width="12.7109375" style="2006" customWidth="1"/>
    <col min="11531" max="11532" width="0" style="2006" hidden="1" customWidth="1"/>
    <col min="11533" max="11533" width="19.5703125" style="2006" bestFit="1" customWidth="1"/>
    <col min="11534" max="11775" width="11" style="2006"/>
    <col min="11776" max="11776" width="9.85546875" style="2006" customWidth="1"/>
    <col min="11777" max="11777" width="12.5703125" style="2006" customWidth="1"/>
    <col min="11778" max="11778" width="13.140625" style="2006" customWidth="1"/>
    <col min="11779" max="11779" width="10.5703125" style="2006" customWidth="1"/>
    <col min="11780" max="11780" width="11.140625" style="2006" customWidth="1"/>
    <col min="11781" max="11781" width="10.7109375" style="2006" customWidth="1"/>
    <col min="11782" max="11782" width="11.140625" style="2006" bestFit="1" customWidth="1"/>
    <col min="11783" max="11783" width="13" style="2006" customWidth="1"/>
    <col min="11784" max="11785" width="0" style="2006" hidden="1" customWidth="1"/>
    <col min="11786" max="11786" width="12.7109375" style="2006" customWidth="1"/>
    <col min="11787" max="11788" width="0" style="2006" hidden="1" customWidth="1"/>
    <col min="11789" max="11789" width="19.5703125" style="2006" bestFit="1" customWidth="1"/>
    <col min="11790" max="12031" width="11" style="2006"/>
    <col min="12032" max="12032" width="9.85546875" style="2006" customWidth="1"/>
    <col min="12033" max="12033" width="12.5703125" style="2006" customWidth="1"/>
    <col min="12034" max="12034" width="13.140625" style="2006" customWidth="1"/>
    <col min="12035" max="12035" width="10.5703125" style="2006" customWidth="1"/>
    <col min="12036" max="12036" width="11.140625" style="2006" customWidth="1"/>
    <col min="12037" max="12037" width="10.7109375" style="2006" customWidth="1"/>
    <col min="12038" max="12038" width="11.140625" style="2006" bestFit="1" customWidth="1"/>
    <col min="12039" max="12039" width="13" style="2006" customWidth="1"/>
    <col min="12040" max="12041" width="0" style="2006" hidden="1" customWidth="1"/>
    <col min="12042" max="12042" width="12.7109375" style="2006" customWidth="1"/>
    <col min="12043" max="12044" width="0" style="2006" hidden="1" customWidth="1"/>
    <col min="12045" max="12045" width="19.5703125" style="2006" bestFit="1" customWidth="1"/>
    <col min="12046" max="12287" width="11" style="2006"/>
    <col min="12288" max="12288" width="9.85546875" style="2006" customWidth="1"/>
    <col min="12289" max="12289" width="12.5703125" style="2006" customWidth="1"/>
    <col min="12290" max="12290" width="13.140625" style="2006" customWidth="1"/>
    <col min="12291" max="12291" width="10.5703125" style="2006" customWidth="1"/>
    <col min="12292" max="12292" width="11.140625" style="2006" customWidth="1"/>
    <col min="12293" max="12293" width="10.7109375" style="2006" customWidth="1"/>
    <col min="12294" max="12294" width="11.140625" style="2006" bestFit="1" customWidth="1"/>
    <col min="12295" max="12295" width="13" style="2006" customWidth="1"/>
    <col min="12296" max="12297" width="0" style="2006" hidden="1" customWidth="1"/>
    <col min="12298" max="12298" width="12.7109375" style="2006" customWidth="1"/>
    <col min="12299" max="12300" width="0" style="2006" hidden="1" customWidth="1"/>
    <col min="12301" max="12301" width="19.5703125" style="2006" bestFit="1" customWidth="1"/>
    <col min="12302" max="12543" width="11" style="2006"/>
    <col min="12544" max="12544" width="9.85546875" style="2006" customWidth="1"/>
    <col min="12545" max="12545" width="12.5703125" style="2006" customWidth="1"/>
    <col min="12546" max="12546" width="13.140625" style="2006" customWidth="1"/>
    <col min="12547" max="12547" width="10.5703125" style="2006" customWidth="1"/>
    <col min="12548" max="12548" width="11.140625" style="2006" customWidth="1"/>
    <col min="12549" max="12549" width="10.7109375" style="2006" customWidth="1"/>
    <col min="12550" max="12550" width="11.140625" style="2006" bestFit="1" customWidth="1"/>
    <col min="12551" max="12551" width="13" style="2006" customWidth="1"/>
    <col min="12552" max="12553" width="0" style="2006" hidden="1" customWidth="1"/>
    <col min="12554" max="12554" width="12.7109375" style="2006" customWidth="1"/>
    <col min="12555" max="12556" width="0" style="2006" hidden="1" customWidth="1"/>
    <col min="12557" max="12557" width="19.5703125" style="2006" bestFit="1" customWidth="1"/>
    <col min="12558" max="12799" width="11" style="2006"/>
    <col min="12800" max="12800" width="9.85546875" style="2006" customWidth="1"/>
    <col min="12801" max="12801" width="12.5703125" style="2006" customWidth="1"/>
    <col min="12802" max="12802" width="13.140625" style="2006" customWidth="1"/>
    <col min="12803" max="12803" width="10.5703125" style="2006" customWidth="1"/>
    <col min="12804" max="12804" width="11.140625" style="2006" customWidth="1"/>
    <col min="12805" max="12805" width="10.7109375" style="2006" customWidth="1"/>
    <col min="12806" max="12806" width="11.140625" style="2006" bestFit="1" customWidth="1"/>
    <col min="12807" max="12807" width="13" style="2006" customWidth="1"/>
    <col min="12808" max="12809" width="0" style="2006" hidden="1" customWidth="1"/>
    <col min="12810" max="12810" width="12.7109375" style="2006" customWidth="1"/>
    <col min="12811" max="12812" width="0" style="2006" hidden="1" customWidth="1"/>
    <col min="12813" max="12813" width="19.5703125" style="2006" bestFit="1" customWidth="1"/>
    <col min="12814" max="13055" width="11" style="2006"/>
    <col min="13056" max="13056" width="9.85546875" style="2006" customWidth="1"/>
    <col min="13057" max="13057" width="12.5703125" style="2006" customWidth="1"/>
    <col min="13058" max="13058" width="13.140625" style="2006" customWidth="1"/>
    <col min="13059" max="13059" width="10.5703125" style="2006" customWidth="1"/>
    <col min="13060" max="13060" width="11.140625" style="2006" customWidth="1"/>
    <col min="13061" max="13061" width="10.7109375" style="2006" customWidth="1"/>
    <col min="13062" max="13062" width="11.140625" style="2006" bestFit="1" customWidth="1"/>
    <col min="13063" max="13063" width="13" style="2006" customWidth="1"/>
    <col min="13064" max="13065" width="0" style="2006" hidden="1" customWidth="1"/>
    <col min="13066" max="13066" width="12.7109375" style="2006" customWidth="1"/>
    <col min="13067" max="13068" width="0" style="2006" hidden="1" customWidth="1"/>
    <col min="13069" max="13069" width="19.5703125" style="2006" bestFit="1" customWidth="1"/>
    <col min="13070" max="13311" width="11" style="2006"/>
    <col min="13312" max="13312" width="9.85546875" style="2006" customWidth="1"/>
    <col min="13313" max="13313" width="12.5703125" style="2006" customWidth="1"/>
    <col min="13314" max="13314" width="13.140625" style="2006" customWidth="1"/>
    <col min="13315" max="13315" width="10.5703125" style="2006" customWidth="1"/>
    <col min="13316" max="13316" width="11.140625" style="2006" customWidth="1"/>
    <col min="13317" max="13317" width="10.7109375" style="2006" customWidth="1"/>
    <col min="13318" max="13318" width="11.140625" style="2006" bestFit="1" customWidth="1"/>
    <col min="13319" max="13319" width="13" style="2006" customWidth="1"/>
    <col min="13320" max="13321" width="0" style="2006" hidden="1" customWidth="1"/>
    <col min="13322" max="13322" width="12.7109375" style="2006" customWidth="1"/>
    <col min="13323" max="13324" width="0" style="2006" hidden="1" customWidth="1"/>
    <col min="13325" max="13325" width="19.5703125" style="2006" bestFit="1" customWidth="1"/>
    <col min="13326" max="13567" width="11" style="2006"/>
    <col min="13568" max="13568" width="9.85546875" style="2006" customWidth="1"/>
    <col min="13569" max="13569" width="12.5703125" style="2006" customWidth="1"/>
    <col min="13570" max="13570" width="13.140625" style="2006" customWidth="1"/>
    <col min="13571" max="13571" width="10.5703125" style="2006" customWidth="1"/>
    <col min="13572" max="13572" width="11.140625" style="2006" customWidth="1"/>
    <col min="13573" max="13573" width="10.7109375" style="2006" customWidth="1"/>
    <col min="13574" max="13574" width="11.140625" style="2006" bestFit="1" customWidth="1"/>
    <col min="13575" max="13575" width="13" style="2006" customWidth="1"/>
    <col min="13576" max="13577" width="0" style="2006" hidden="1" customWidth="1"/>
    <col min="13578" max="13578" width="12.7109375" style="2006" customWidth="1"/>
    <col min="13579" max="13580" width="0" style="2006" hidden="1" customWidth="1"/>
    <col min="13581" max="13581" width="19.5703125" style="2006" bestFit="1" customWidth="1"/>
    <col min="13582" max="13823" width="11" style="2006"/>
    <col min="13824" max="13824" width="9.85546875" style="2006" customWidth="1"/>
    <col min="13825" max="13825" width="12.5703125" style="2006" customWidth="1"/>
    <col min="13826" max="13826" width="13.140625" style="2006" customWidth="1"/>
    <col min="13827" max="13827" width="10.5703125" style="2006" customWidth="1"/>
    <col min="13828" max="13828" width="11.140625" style="2006" customWidth="1"/>
    <col min="13829" max="13829" width="10.7109375" style="2006" customWidth="1"/>
    <col min="13830" max="13830" width="11.140625" style="2006" bestFit="1" customWidth="1"/>
    <col min="13831" max="13831" width="13" style="2006" customWidth="1"/>
    <col min="13832" max="13833" width="0" style="2006" hidden="1" customWidth="1"/>
    <col min="13834" max="13834" width="12.7109375" style="2006" customWidth="1"/>
    <col min="13835" max="13836" width="0" style="2006" hidden="1" customWidth="1"/>
    <col min="13837" max="13837" width="19.5703125" style="2006" bestFit="1" customWidth="1"/>
    <col min="13838" max="14079" width="11" style="2006"/>
    <col min="14080" max="14080" width="9.85546875" style="2006" customWidth="1"/>
    <col min="14081" max="14081" width="12.5703125" style="2006" customWidth="1"/>
    <col min="14082" max="14082" width="13.140625" style="2006" customWidth="1"/>
    <col min="14083" max="14083" width="10.5703125" style="2006" customWidth="1"/>
    <col min="14084" max="14084" width="11.140625" style="2006" customWidth="1"/>
    <col min="14085" max="14085" width="10.7109375" style="2006" customWidth="1"/>
    <col min="14086" max="14086" width="11.140625" style="2006" bestFit="1" customWidth="1"/>
    <col min="14087" max="14087" width="13" style="2006" customWidth="1"/>
    <col min="14088" max="14089" width="0" style="2006" hidden="1" customWidth="1"/>
    <col min="14090" max="14090" width="12.7109375" style="2006" customWidth="1"/>
    <col min="14091" max="14092" width="0" style="2006" hidden="1" customWidth="1"/>
    <col min="14093" max="14093" width="19.5703125" style="2006" bestFit="1" customWidth="1"/>
    <col min="14094" max="14335" width="11" style="2006"/>
    <col min="14336" max="14336" width="9.85546875" style="2006" customWidth="1"/>
    <col min="14337" max="14337" width="12.5703125" style="2006" customWidth="1"/>
    <col min="14338" max="14338" width="13.140625" style="2006" customWidth="1"/>
    <col min="14339" max="14339" width="10.5703125" style="2006" customWidth="1"/>
    <col min="14340" max="14340" width="11.140625" style="2006" customWidth="1"/>
    <col min="14341" max="14341" width="10.7109375" style="2006" customWidth="1"/>
    <col min="14342" max="14342" width="11.140625" style="2006" bestFit="1" customWidth="1"/>
    <col min="14343" max="14343" width="13" style="2006" customWidth="1"/>
    <col min="14344" max="14345" width="0" style="2006" hidden="1" customWidth="1"/>
    <col min="14346" max="14346" width="12.7109375" style="2006" customWidth="1"/>
    <col min="14347" max="14348" width="0" style="2006" hidden="1" customWidth="1"/>
    <col min="14349" max="14349" width="19.5703125" style="2006" bestFit="1" customWidth="1"/>
    <col min="14350" max="14591" width="11" style="2006"/>
    <col min="14592" max="14592" width="9.85546875" style="2006" customWidth="1"/>
    <col min="14593" max="14593" width="12.5703125" style="2006" customWidth="1"/>
    <col min="14594" max="14594" width="13.140625" style="2006" customWidth="1"/>
    <col min="14595" max="14595" width="10.5703125" style="2006" customWidth="1"/>
    <col min="14596" max="14596" width="11.140625" style="2006" customWidth="1"/>
    <col min="14597" max="14597" width="10.7109375" style="2006" customWidth="1"/>
    <col min="14598" max="14598" width="11.140625" style="2006" bestFit="1" customWidth="1"/>
    <col min="14599" max="14599" width="13" style="2006" customWidth="1"/>
    <col min="14600" max="14601" width="0" style="2006" hidden="1" customWidth="1"/>
    <col min="14602" max="14602" width="12.7109375" style="2006" customWidth="1"/>
    <col min="14603" max="14604" width="0" style="2006" hidden="1" customWidth="1"/>
    <col min="14605" max="14605" width="19.5703125" style="2006" bestFit="1" customWidth="1"/>
    <col min="14606" max="14847" width="11" style="2006"/>
    <col min="14848" max="14848" width="9.85546875" style="2006" customWidth="1"/>
    <col min="14849" max="14849" width="12.5703125" style="2006" customWidth="1"/>
    <col min="14850" max="14850" width="13.140625" style="2006" customWidth="1"/>
    <col min="14851" max="14851" width="10.5703125" style="2006" customWidth="1"/>
    <col min="14852" max="14852" width="11.140625" style="2006" customWidth="1"/>
    <col min="14853" max="14853" width="10.7109375" style="2006" customWidth="1"/>
    <col min="14854" max="14854" width="11.140625" style="2006" bestFit="1" customWidth="1"/>
    <col min="14855" max="14855" width="13" style="2006" customWidth="1"/>
    <col min="14856" max="14857" width="0" style="2006" hidden="1" customWidth="1"/>
    <col min="14858" max="14858" width="12.7109375" style="2006" customWidth="1"/>
    <col min="14859" max="14860" width="0" style="2006" hidden="1" customWidth="1"/>
    <col min="14861" max="14861" width="19.5703125" style="2006" bestFit="1" customWidth="1"/>
    <col min="14862" max="15103" width="11" style="2006"/>
    <col min="15104" max="15104" width="9.85546875" style="2006" customWidth="1"/>
    <col min="15105" max="15105" width="12.5703125" style="2006" customWidth="1"/>
    <col min="15106" max="15106" width="13.140625" style="2006" customWidth="1"/>
    <col min="15107" max="15107" width="10.5703125" style="2006" customWidth="1"/>
    <col min="15108" max="15108" width="11.140625" style="2006" customWidth="1"/>
    <col min="15109" max="15109" width="10.7109375" style="2006" customWidth="1"/>
    <col min="15110" max="15110" width="11.140625" style="2006" bestFit="1" customWidth="1"/>
    <col min="15111" max="15111" width="13" style="2006" customWidth="1"/>
    <col min="15112" max="15113" width="0" style="2006" hidden="1" customWidth="1"/>
    <col min="15114" max="15114" width="12.7109375" style="2006" customWidth="1"/>
    <col min="15115" max="15116" width="0" style="2006" hidden="1" customWidth="1"/>
    <col min="15117" max="15117" width="19.5703125" style="2006" bestFit="1" customWidth="1"/>
    <col min="15118" max="15359" width="11" style="2006"/>
    <col min="15360" max="15360" width="9.85546875" style="2006" customWidth="1"/>
    <col min="15361" max="15361" width="12.5703125" style="2006" customWidth="1"/>
    <col min="15362" max="15362" width="13.140625" style="2006" customWidth="1"/>
    <col min="15363" max="15363" width="10.5703125" style="2006" customWidth="1"/>
    <col min="15364" max="15364" width="11.140625" style="2006" customWidth="1"/>
    <col min="15365" max="15365" width="10.7109375" style="2006" customWidth="1"/>
    <col min="15366" max="15366" width="11.140625" style="2006" bestFit="1" customWidth="1"/>
    <col min="15367" max="15367" width="13" style="2006" customWidth="1"/>
    <col min="15368" max="15369" width="0" style="2006" hidden="1" customWidth="1"/>
    <col min="15370" max="15370" width="12.7109375" style="2006" customWidth="1"/>
    <col min="15371" max="15372" width="0" style="2006" hidden="1" customWidth="1"/>
    <col min="15373" max="15373" width="19.5703125" style="2006" bestFit="1" customWidth="1"/>
    <col min="15374" max="15615" width="11" style="2006"/>
    <col min="15616" max="15616" width="9.85546875" style="2006" customWidth="1"/>
    <col min="15617" max="15617" width="12.5703125" style="2006" customWidth="1"/>
    <col min="15618" max="15618" width="13.140625" style="2006" customWidth="1"/>
    <col min="15619" max="15619" width="10.5703125" style="2006" customWidth="1"/>
    <col min="15620" max="15620" width="11.140625" style="2006" customWidth="1"/>
    <col min="15621" max="15621" width="10.7109375" style="2006" customWidth="1"/>
    <col min="15622" max="15622" width="11.140625" style="2006" bestFit="1" customWidth="1"/>
    <col min="15623" max="15623" width="13" style="2006" customWidth="1"/>
    <col min="15624" max="15625" width="0" style="2006" hidden="1" customWidth="1"/>
    <col min="15626" max="15626" width="12.7109375" style="2006" customWidth="1"/>
    <col min="15627" max="15628" width="0" style="2006" hidden="1" customWidth="1"/>
    <col min="15629" max="15629" width="19.5703125" style="2006" bestFit="1" customWidth="1"/>
    <col min="15630" max="15871" width="11" style="2006"/>
    <col min="15872" max="15872" width="9.85546875" style="2006" customWidth="1"/>
    <col min="15873" max="15873" width="12.5703125" style="2006" customWidth="1"/>
    <col min="15874" max="15874" width="13.140625" style="2006" customWidth="1"/>
    <col min="15875" max="15875" width="10.5703125" style="2006" customWidth="1"/>
    <col min="15876" max="15876" width="11.140625" style="2006" customWidth="1"/>
    <col min="15877" max="15877" width="10.7109375" style="2006" customWidth="1"/>
    <col min="15878" max="15878" width="11.140625" style="2006" bestFit="1" customWidth="1"/>
    <col min="15879" max="15879" width="13" style="2006" customWidth="1"/>
    <col min="15880" max="15881" width="0" style="2006" hidden="1" customWidth="1"/>
    <col min="15882" max="15882" width="12.7109375" style="2006" customWidth="1"/>
    <col min="15883" max="15884" width="0" style="2006" hidden="1" customWidth="1"/>
    <col min="15885" max="15885" width="19.5703125" style="2006" bestFit="1" customWidth="1"/>
    <col min="15886" max="16127" width="11" style="2006"/>
    <col min="16128" max="16128" width="9.85546875" style="2006" customWidth="1"/>
    <col min="16129" max="16129" width="12.5703125" style="2006" customWidth="1"/>
    <col min="16130" max="16130" width="13.140625" style="2006" customWidth="1"/>
    <col min="16131" max="16131" width="10.5703125" style="2006" customWidth="1"/>
    <col min="16132" max="16132" width="11.140625" style="2006" customWidth="1"/>
    <col min="16133" max="16133" width="10.7109375" style="2006" customWidth="1"/>
    <col min="16134" max="16134" width="11.140625" style="2006" bestFit="1" customWidth="1"/>
    <col min="16135" max="16135" width="13" style="2006" customWidth="1"/>
    <col min="16136" max="16137" width="0" style="2006" hidden="1" customWidth="1"/>
    <col min="16138" max="16138" width="12.7109375" style="2006" customWidth="1"/>
    <col min="16139" max="16140" width="0" style="2006" hidden="1" customWidth="1"/>
    <col min="16141" max="16141" width="19.5703125" style="2006" bestFit="1" customWidth="1"/>
    <col min="16142" max="16384" width="11" style="2006"/>
  </cols>
  <sheetData>
    <row r="1" spans="1:19" s="3993" customFormat="1" ht="18" customHeight="1">
      <c r="A1" s="2005"/>
      <c r="B1" s="4609" t="s">
        <v>2020</v>
      </c>
      <c r="C1" s="4609"/>
      <c r="D1" s="4609"/>
      <c r="E1" s="4609"/>
      <c r="F1" s="4609"/>
      <c r="G1" s="4609"/>
      <c r="H1" s="4609"/>
      <c r="I1" s="4609"/>
      <c r="J1" s="4609"/>
      <c r="K1" s="4609"/>
      <c r="L1" s="4609"/>
      <c r="M1" s="2007"/>
      <c r="N1" s="3992"/>
    </row>
    <row r="2" spans="1:19" s="3993" customFormat="1" ht="18" customHeight="1">
      <c r="A2" s="2005"/>
      <c r="B2" s="3148" t="s">
        <v>1757</v>
      </c>
      <c r="C2" s="3510"/>
      <c r="D2" s="3147"/>
      <c r="E2" s="3147"/>
      <c r="F2" s="2221"/>
      <c r="G2" s="2221"/>
      <c r="H2" s="2221"/>
      <c r="I2" s="2221"/>
      <c r="J2" s="2221"/>
      <c r="K2" s="2221"/>
      <c r="L2" s="2215"/>
      <c r="M2" s="2005"/>
    </row>
    <row r="3" spans="1:19" s="3993" customFormat="1" ht="12" customHeight="1">
      <c r="A3" s="2005"/>
      <c r="B3" s="2508"/>
      <c r="C3" s="3506"/>
      <c r="D3" s="2222"/>
      <c r="E3" s="2222"/>
      <c r="F3" s="2222"/>
      <c r="G3" s="2222"/>
      <c r="H3" s="2222"/>
      <c r="I3" s="2222"/>
      <c r="J3" s="2222"/>
      <c r="K3" s="2222"/>
      <c r="L3" s="2224"/>
      <c r="M3" s="2005"/>
    </row>
    <row r="4" spans="1:19" s="3993" customFormat="1" ht="18" customHeight="1">
      <c r="A4" s="2005"/>
      <c r="B4" s="2509"/>
      <c r="C4" s="2510" t="s">
        <v>172</v>
      </c>
      <c r="D4" s="2398"/>
      <c r="E4" s="2398"/>
      <c r="F4" s="2398"/>
      <c r="G4" s="2398"/>
      <c r="H4" s="2398"/>
      <c r="I4" s="2398"/>
      <c r="J4" s="2398"/>
      <c r="K4" s="2398"/>
      <c r="L4" s="2225"/>
      <c r="M4" s="2005"/>
    </row>
    <row r="5" spans="1:19" s="3993" customFormat="1" ht="12" customHeight="1">
      <c r="A5" s="2005"/>
      <c r="B5" s="2509"/>
      <c r="C5" s="2009"/>
      <c r="D5" s="2009"/>
      <c r="E5" s="2010"/>
      <c r="F5" s="2011"/>
      <c r="G5" s="2011"/>
      <c r="H5" s="2009"/>
      <c r="I5" s="2009" t="s">
        <v>142</v>
      </c>
      <c r="J5" s="2163"/>
      <c r="K5" s="2074"/>
      <c r="L5" s="2164"/>
      <c r="M5" s="2005"/>
    </row>
    <row r="6" spans="1:19" s="3993" customFormat="1" ht="18" customHeight="1">
      <c r="A6" s="2005"/>
      <c r="B6" s="2509" t="s">
        <v>142</v>
      </c>
      <c r="C6" s="2009"/>
      <c r="D6" s="2009"/>
      <c r="E6" s="4610" t="s">
        <v>421</v>
      </c>
      <c r="F6" s="4611"/>
      <c r="G6" s="4612"/>
      <c r="H6" s="2009"/>
      <c r="I6" s="2009"/>
      <c r="J6" s="2163"/>
      <c r="K6" s="2223"/>
      <c r="L6" s="2164"/>
      <c r="M6" s="2005"/>
    </row>
    <row r="7" spans="1:19" s="3993" customFormat="1" ht="18" customHeight="1">
      <c r="A7" s="2005"/>
      <c r="B7" s="2509"/>
      <c r="C7" s="2509"/>
      <c r="D7" s="2509"/>
      <c r="E7" s="2509"/>
      <c r="F7" s="2509"/>
      <c r="G7" s="2509"/>
      <c r="H7" s="2509"/>
      <c r="I7" s="2509" t="s">
        <v>428</v>
      </c>
      <c r="J7" s="4613" t="s">
        <v>1611</v>
      </c>
      <c r="K7" s="4615" t="s">
        <v>1610</v>
      </c>
      <c r="L7" s="2511"/>
      <c r="M7" s="2005"/>
      <c r="S7" s="3992"/>
    </row>
    <row r="8" spans="1:19" s="3993" customFormat="1" ht="18" customHeight="1">
      <c r="A8" s="2005"/>
      <c r="B8" s="2509"/>
      <c r="C8" s="2509"/>
      <c r="D8" s="2509"/>
      <c r="E8" s="2509"/>
      <c r="F8" s="2509"/>
      <c r="G8" s="2512"/>
      <c r="H8" s="2513" t="s">
        <v>428</v>
      </c>
      <c r="I8" s="2509" t="s">
        <v>174</v>
      </c>
      <c r="J8" s="4613"/>
      <c r="K8" s="4615"/>
      <c r="L8" s="2514" t="s">
        <v>428</v>
      </c>
      <c r="M8" s="2005"/>
    </row>
    <row r="9" spans="1:19" s="3993" customFormat="1" ht="18" customHeight="1">
      <c r="A9" s="2005"/>
      <c r="B9" s="2509" t="s">
        <v>175</v>
      </c>
      <c r="C9" s="2509"/>
      <c r="D9" s="2515"/>
      <c r="E9" s="2509"/>
      <c r="F9" s="2509"/>
      <c r="G9" s="2512"/>
      <c r="H9" s="2513" t="s">
        <v>174</v>
      </c>
      <c r="I9" s="2509" t="s">
        <v>177</v>
      </c>
      <c r="J9" s="4613"/>
      <c r="K9" s="4615"/>
      <c r="L9" s="2514" t="s">
        <v>174</v>
      </c>
      <c r="M9" s="2005"/>
    </row>
    <row r="10" spans="1:19" s="3993" customFormat="1" ht="18" customHeight="1">
      <c r="A10" s="2005"/>
      <c r="B10" s="2510" t="s">
        <v>140</v>
      </c>
      <c r="C10" s="2510" t="s">
        <v>152</v>
      </c>
      <c r="D10" s="2510" t="s">
        <v>429</v>
      </c>
      <c r="E10" s="2510" t="s">
        <v>152</v>
      </c>
      <c r="F10" s="2510" t="s">
        <v>141</v>
      </c>
      <c r="G10" s="2510" t="s">
        <v>431</v>
      </c>
      <c r="H10" s="2510" t="s">
        <v>177</v>
      </c>
      <c r="I10" s="2510" t="s">
        <v>181</v>
      </c>
      <c r="J10" s="4614"/>
      <c r="K10" s="4616"/>
      <c r="L10" s="2516" t="s">
        <v>935</v>
      </c>
      <c r="M10" s="2005"/>
      <c r="Q10" s="3994"/>
    </row>
    <row r="11" spans="1:19" s="3993" customFormat="1" hidden="1">
      <c r="A11" s="2005"/>
      <c r="B11" s="2523">
        <v>2000</v>
      </c>
      <c r="C11" s="2551"/>
      <c r="D11" s="2419"/>
      <c r="E11" s="2419"/>
      <c r="F11" s="2419"/>
      <c r="G11" s="2419"/>
      <c r="H11" s="2419"/>
      <c r="I11" s="2419"/>
      <c r="J11" s="2419"/>
      <c r="K11" s="2519"/>
      <c r="L11" s="2423"/>
      <c r="M11" s="2556"/>
    </row>
    <row r="12" spans="1:19" s="3993" customFormat="1" hidden="1">
      <c r="A12" s="2005"/>
      <c r="B12" s="2423" t="s">
        <v>161</v>
      </c>
      <c r="C12" s="2551">
        <v>7366.1500000000005</v>
      </c>
      <c r="D12" s="2518">
        <v>3058.77</v>
      </c>
      <c r="E12" s="2518">
        <v>3206.6800000000003</v>
      </c>
      <c r="F12" s="2518">
        <v>2640.05</v>
      </c>
      <c r="G12" s="2518">
        <v>566.63</v>
      </c>
      <c r="H12" s="2520">
        <v>50</v>
      </c>
      <c r="I12" s="2520">
        <v>372.21</v>
      </c>
      <c r="J12" s="2518">
        <v>144.72999999999999</v>
      </c>
      <c r="K12" s="2519">
        <v>533.76</v>
      </c>
      <c r="L12" s="2423"/>
      <c r="M12" s="2556"/>
    </row>
    <row r="13" spans="1:19" s="3993" customFormat="1" hidden="1">
      <c r="A13" s="2005"/>
      <c r="B13" s="2423" t="s">
        <v>162</v>
      </c>
      <c r="C13" s="2551">
        <v>6829.9800000000005</v>
      </c>
      <c r="D13" s="2518">
        <v>2982.32</v>
      </c>
      <c r="E13" s="2518">
        <v>2769.5099999999998</v>
      </c>
      <c r="F13" s="2518">
        <v>2213.39</v>
      </c>
      <c r="G13" s="2518">
        <v>556.12</v>
      </c>
      <c r="H13" s="2520">
        <v>50</v>
      </c>
      <c r="I13" s="2520">
        <v>372.14</v>
      </c>
      <c r="J13" s="2518">
        <v>139.80000000000001</v>
      </c>
      <c r="K13" s="2519">
        <v>516.21</v>
      </c>
      <c r="L13" s="2423"/>
      <c r="M13" s="2556"/>
    </row>
    <row r="14" spans="1:19" s="3993" customFormat="1" hidden="1">
      <c r="A14" s="2005"/>
      <c r="B14" s="2423" t="s">
        <v>163</v>
      </c>
      <c r="C14" s="2551">
        <v>6815.1499999999987</v>
      </c>
      <c r="D14" s="2518">
        <v>3141.7</v>
      </c>
      <c r="E14" s="2518">
        <v>2579.08</v>
      </c>
      <c r="F14" s="2518">
        <v>2036.53</v>
      </c>
      <c r="G14" s="2518">
        <v>542.54999999999995</v>
      </c>
      <c r="H14" s="2418">
        <v>50</v>
      </c>
      <c r="I14" s="2520">
        <v>372.24</v>
      </c>
      <c r="J14" s="2518">
        <v>138.22999999999999</v>
      </c>
      <c r="K14" s="2519">
        <v>533.9</v>
      </c>
      <c r="L14" s="2423"/>
      <c r="M14" s="2556"/>
    </row>
    <row r="15" spans="1:19" s="3993" customFormat="1" hidden="1">
      <c r="A15" s="2005"/>
      <c r="B15" s="2423" t="s">
        <v>164</v>
      </c>
      <c r="C15" s="2551">
        <v>6989.6100000000006</v>
      </c>
      <c r="D15" s="2518">
        <v>3021.67</v>
      </c>
      <c r="E15" s="2518">
        <v>2904.33</v>
      </c>
      <c r="F15" s="2518">
        <v>2350.0500000000002</v>
      </c>
      <c r="G15" s="2518">
        <v>554.28</v>
      </c>
      <c r="H15" s="2418">
        <v>50</v>
      </c>
      <c r="I15" s="2520">
        <v>373.02</v>
      </c>
      <c r="J15" s="2518">
        <v>135.63999999999999</v>
      </c>
      <c r="K15" s="2519">
        <v>504.95</v>
      </c>
      <c r="L15" s="2423"/>
      <c r="M15" s="2556"/>
    </row>
    <row r="16" spans="1:19" s="3993" customFormat="1" hidden="1">
      <c r="A16" s="2005"/>
      <c r="B16" s="2423" t="s">
        <v>165</v>
      </c>
      <c r="C16" s="2551">
        <v>6838.6399999999994</v>
      </c>
      <c r="D16" s="2518">
        <v>3367.84</v>
      </c>
      <c r="E16" s="2518">
        <v>2413</v>
      </c>
      <c r="F16" s="2518">
        <v>1860.97</v>
      </c>
      <c r="G16" s="2518">
        <v>552.03</v>
      </c>
      <c r="H16" s="2418">
        <v>50</v>
      </c>
      <c r="I16" s="2520">
        <v>373.53</v>
      </c>
      <c r="J16" s="2518">
        <v>131.99</v>
      </c>
      <c r="K16" s="2519">
        <v>502.28</v>
      </c>
      <c r="L16" s="2423"/>
      <c r="M16" s="2556"/>
    </row>
    <row r="17" spans="1:13" s="3993" customFormat="1" hidden="1">
      <c r="A17" s="2005"/>
      <c r="B17" s="2423" t="s">
        <v>166</v>
      </c>
      <c r="C17" s="2551">
        <v>7329.78</v>
      </c>
      <c r="D17" s="2419">
        <v>3943.1</v>
      </c>
      <c r="E17" s="2419">
        <v>2328.94</v>
      </c>
      <c r="F17" s="2419">
        <v>1819.54</v>
      </c>
      <c r="G17" s="2419">
        <v>509.4</v>
      </c>
      <c r="H17" s="2418">
        <v>50</v>
      </c>
      <c r="I17" s="2418">
        <v>353.61</v>
      </c>
      <c r="J17" s="2419">
        <v>141.13999999999999</v>
      </c>
      <c r="K17" s="2519">
        <v>512.99</v>
      </c>
      <c r="L17" s="2423"/>
      <c r="M17" s="2556"/>
    </row>
    <row r="18" spans="1:13" s="3993" customFormat="1" hidden="1">
      <c r="A18" s="2005"/>
      <c r="B18" s="2522" t="s">
        <v>167</v>
      </c>
      <c r="C18" s="2551">
        <v>7326.66</v>
      </c>
      <c r="D18" s="2419">
        <v>3699.17</v>
      </c>
      <c r="E18" s="2518">
        <v>2577.2399999999998</v>
      </c>
      <c r="F18" s="2419">
        <v>2101.9699999999998</v>
      </c>
      <c r="G18" s="2419">
        <v>475.27</v>
      </c>
      <c r="H18" s="2419">
        <v>50</v>
      </c>
      <c r="I18" s="2419">
        <v>353.49</v>
      </c>
      <c r="J18" s="2419">
        <v>131.63</v>
      </c>
      <c r="K18" s="2519">
        <v>515.13</v>
      </c>
      <c r="L18" s="2423"/>
      <c r="M18" s="2556"/>
    </row>
    <row r="19" spans="1:13" s="3993" customFormat="1" hidden="1">
      <c r="A19" s="2005"/>
      <c r="B19" s="2522" t="s">
        <v>168</v>
      </c>
      <c r="C19" s="2551">
        <v>7380.4599999999991</v>
      </c>
      <c r="D19" s="2419">
        <v>4064.12</v>
      </c>
      <c r="E19" s="2518">
        <v>2280.38</v>
      </c>
      <c r="F19" s="2419">
        <v>1854.02</v>
      </c>
      <c r="G19" s="2419">
        <v>426.36</v>
      </c>
      <c r="H19" s="2419">
        <v>50</v>
      </c>
      <c r="I19" s="2419">
        <v>353.08</v>
      </c>
      <c r="J19" s="2419">
        <v>124.61</v>
      </c>
      <c r="K19" s="2519">
        <v>508.27</v>
      </c>
      <c r="L19" s="2423"/>
      <c r="M19" s="2556"/>
    </row>
    <row r="20" spans="1:13" s="3993" customFormat="1" hidden="1">
      <c r="A20" s="2005"/>
      <c r="B20" s="2522" t="s">
        <v>183</v>
      </c>
      <c r="C20" s="2551">
        <v>7716.9</v>
      </c>
      <c r="D20" s="2518">
        <v>4068.41</v>
      </c>
      <c r="E20" s="2518">
        <v>2573.62</v>
      </c>
      <c r="F20" s="2518">
        <v>2076</v>
      </c>
      <c r="G20" s="2518">
        <v>497.62</v>
      </c>
      <c r="H20" s="2518">
        <v>50</v>
      </c>
      <c r="I20" s="2518">
        <v>353.57</v>
      </c>
      <c r="J20" s="2518">
        <v>128.52000000000001</v>
      </c>
      <c r="K20" s="2519">
        <v>542.78</v>
      </c>
      <c r="L20" s="2423"/>
      <c r="M20" s="2556"/>
    </row>
    <row r="21" spans="1:13" s="3993" customFormat="1" hidden="1">
      <c r="A21" s="2005"/>
      <c r="B21" s="2522" t="s">
        <v>170</v>
      </c>
      <c r="C21" s="2551">
        <v>7664.12</v>
      </c>
      <c r="D21" s="2518">
        <v>4045.81</v>
      </c>
      <c r="E21" s="2518">
        <v>2524.69</v>
      </c>
      <c r="F21" s="2518">
        <v>2058.5700000000002</v>
      </c>
      <c r="G21" s="2518">
        <v>466.12</v>
      </c>
      <c r="H21" s="2518">
        <v>50</v>
      </c>
      <c r="I21" s="2518">
        <v>353.41</v>
      </c>
      <c r="J21" s="2518">
        <v>121.39</v>
      </c>
      <c r="K21" s="2519">
        <v>568.82000000000005</v>
      </c>
      <c r="L21" s="2423"/>
      <c r="M21" s="2556"/>
    </row>
    <row r="22" spans="1:13" s="3993" customFormat="1" hidden="1">
      <c r="A22" s="2005"/>
      <c r="B22" s="2522" t="s">
        <v>171</v>
      </c>
      <c r="C22" s="2551">
        <v>7543.4099999999989</v>
      </c>
      <c r="D22" s="2518">
        <v>3993.49</v>
      </c>
      <c r="E22" s="2518">
        <v>2383.33</v>
      </c>
      <c r="F22" s="2518">
        <v>1988.49</v>
      </c>
      <c r="G22" s="2518">
        <v>394.84</v>
      </c>
      <c r="H22" s="2518">
        <v>50</v>
      </c>
      <c r="I22" s="2518">
        <v>352.12</v>
      </c>
      <c r="J22" s="2518">
        <v>121.98</v>
      </c>
      <c r="K22" s="2519">
        <v>642.49</v>
      </c>
      <c r="L22" s="2423"/>
      <c r="M22" s="2556"/>
    </row>
    <row r="23" spans="1:13" s="3992" customFormat="1" hidden="1">
      <c r="A23" s="2007"/>
      <c r="B23" s="2523">
        <v>2000</v>
      </c>
      <c r="C23" s="2551">
        <v>7813.4800000000005</v>
      </c>
      <c r="D23" s="2419">
        <v>4133.95</v>
      </c>
      <c r="E23" s="2419">
        <v>2495.17</v>
      </c>
      <c r="F23" s="2419">
        <v>2070.54</v>
      </c>
      <c r="G23" s="2419">
        <v>424.63</v>
      </c>
      <c r="H23" s="2419">
        <v>50</v>
      </c>
      <c r="I23" s="2419">
        <v>332.64</v>
      </c>
      <c r="J23" s="2419">
        <v>121.72</v>
      </c>
      <c r="K23" s="2519">
        <v>680</v>
      </c>
      <c r="L23" s="2423"/>
      <c r="M23" s="2556"/>
    </row>
    <row r="24" spans="1:13" s="3993" customFormat="1" hidden="1">
      <c r="A24" s="2005"/>
      <c r="B24" s="2523">
        <v>2001</v>
      </c>
      <c r="C24" s="2551"/>
      <c r="D24" s="2423"/>
      <c r="E24" s="2419"/>
      <c r="F24" s="2423"/>
      <c r="G24" s="2423"/>
      <c r="H24" s="2423"/>
      <c r="I24" s="2423"/>
      <c r="J24" s="2423"/>
      <c r="K24" s="2524"/>
      <c r="L24" s="2423"/>
      <c r="M24" s="2556"/>
    </row>
    <row r="25" spans="1:13" s="3993" customFormat="1" hidden="1">
      <c r="A25" s="2005"/>
      <c r="B25" s="2423" t="s">
        <v>161</v>
      </c>
      <c r="C25" s="2551">
        <v>7237.54</v>
      </c>
      <c r="D25" s="2419">
        <v>3269.99</v>
      </c>
      <c r="E25" s="2419">
        <v>2622.87</v>
      </c>
      <c r="F25" s="2419">
        <v>2130.73</v>
      </c>
      <c r="G25" s="2419">
        <v>492.14</v>
      </c>
      <c r="H25" s="2419">
        <v>50</v>
      </c>
      <c r="I25" s="2419">
        <v>333.33</v>
      </c>
      <c r="J25" s="2419">
        <v>113.17</v>
      </c>
      <c r="K25" s="2519">
        <v>848.18</v>
      </c>
      <c r="L25" s="2423"/>
      <c r="M25" s="2556"/>
    </row>
    <row r="26" spans="1:13" s="3993" customFormat="1" hidden="1">
      <c r="A26" s="2005"/>
      <c r="B26" s="2423" t="s">
        <v>162</v>
      </c>
      <c r="C26" s="2551">
        <v>7129.2800000000007</v>
      </c>
      <c r="D26" s="2419">
        <v>3212.1</v>
      </c>
      <c r="E26" s="2419">
        <v>2534.08</v>
      </c>
      <c r="F26" s="2419">
        <v>2080.94</v>
      </c>
      <c r="G26" s="2419">
        <v>453.14</v>
      </c>
      <c r="H26" s="2419">
        <v>50</v>
      </c>
      <c r="I26" s="2419">
        <v>333.35</v>
      </c>
      <c r="J26" s="2419">
        <v>112.34</v>
      </c>
      <c r="K26" s="2519">
        <v>887.41</v>
      </c>
      <c r="L26" s="2423"/>
      <c r="M26" s="2556"/>
    </row>
    <row r="27" spans="1:13" s="3993" customFormat="1" hidden="1">
      <c r="A27" s="2005"/>
      <c r="B27" s="2423" t="s">
        <v>163</v>
      </c>
      <c r="C27" s="2551">
        <v>7105.6</v>
      </c>
      <c r="D27" s="2419">
        <v>3046.09</v>
      </c>
      <c r="E27" s="2419">
        <v>2636.5699999999997</v>
      </c>
      <c r="F27" s="2419">
        <v>2443.9899999999998</v>
      </c>
      <c r="G27" s="2419">
        <v>192.58</v>
      </c>
      <c r="H27" s="2419">
        <v>50</v>
      </c>
      <c r="I27" s="2419">
        <v>333.34</v>
      </c>
      <c r="J27" s="2419">
        <v>120.06</v>
      </c>
      <c r="K27" s="2519">
        <v>919.54</v>
      </c>
      <c r="L27" s="2423"/>
      <c r="M27" s="2556"/>
    </row>
    <row r="28" spans="1:13" s="3993" customFormat="1" hidden="1">
      <c r="A28" s="2005"/>
      <c r="B28" s="2423" t="s">
        <v>164</v>
      </c>
      <c r="C28" s="2551">
        <v>8437.7999999999993</v>
      </c>
      <c r="D28" s="2419">
        <v>4118.87</v>
      </c>
      <c r="E28" s="2419">
        <v>2923.11</v>
      </c>
      <c r="F28" s="2419">
        <v>2155.0700000000002</v>
      </c>
      <c r="G28" s="2419">
        <v>768.04</v>
      </c>
      <c r="H28" s="2419">
        <v>50</v>
      </c>
      <c r="I28" s="2419">
        <v>332.73</v>
      </c>
      <c r="J28" s="2419">
        <v>109.53</v>
      </c>
      <c r="K28" s="2519">
        <v>903.56</v>
      </c>
      <c r="L28" s="2423"/>
      <c r="M28" s="2556"/>
    </row>
    <row r="29" spans="1:13" s="3993" customFormat="1" hidden="1">
      <c r="A29" s="2005"/>
      <c r="B29" s="2423" t="s">
        <v>165</v>
      </c>
      <c r="C29" s="2551">
        <v>7932.13</v>
      </c>
      <c r="D29" s="2419">
        <v>3363.41</v>
      </c>
      <c r="E29" s="2419">
        <v>2831.74</v>
      </c>
      <c r="F29" s="2419">
        <v>2078.6</v>
      </c>
      <c r="G29" s="2419">
        <v>753.14</v>
      </c>
      <c r="H29" s="2419">
        <v>344.85</v>
      </c>
      <c r="I29" s="2419">
        <v>332.72</v>
      </c>
      <c r="J29" s="2419">
        <v>113.04</v>
      </c>
      <c r="K29" s="2519">
        <v>946.37</v>
      </c>
      <c r="L29" s="2423"/>
      <c r="M29" s="2556"/>
    </row>
    <row r="30" spans="1:13" s="3993" customFormat="1" hidden="1">
      <c r="A30" s="2005"/>
      <c r="B30" s="2423" t="s">
        <v>166</v>
      </c>
      <c r="C30" s="2551">
        <v>8379.15</v>
      </c>
      <c r="D30" s="2419">
        <v>3390.65</v>
      </c>
      <c r="E30" s="2419">
        <v>2916.2</v>
      </c>
      <c r="F30" s="2419">
        <v>2149.69</v>
      </c>
      <c r="G30" s="2419">
        <v>766.51</v>
      </c>
      <c r="H30" s="2419">
        <v>677.67</v>
      </c>
      <c r="I30" s="2419">
        <v>332.73</v>
      </c>
      <c r="J30" s="2419">
        <v>113.39</v>
      </c>
      <c r="K30" s="2519">
        <v>948.51</v>
      </c>
      <c r="L30" s="2423"/>
      <c r="M30" s="2556"/>
    </row>
    <row r="31" spans="1:13" s="3993" customFormat="1" hidden="1">
      <c r="A31" s="2005"/>
      <c r="B31" s="2422" t="s">
        <v>167</v>
      </c>
      <c r="C31" s="2551">
        <v>8825.09</v>
      </c>
      <c r="D31" s="2518">
        <v>3522.08</v>
      </c>
      <c r="E31" s="2518">
        <v>2836.19</v>
      </c>
      <c r="F31" s="2518">
        <v>2022.02</v>
      </c>
      <c r="G31" s="2518">
        <v>814.17</v>
      </c>
      <c r="H31" s="2518">
        <v>1099.6199999999999</v>
      </c>
      <c r="I31" s="2518">
        <v>312.49</v>
      </c>
      <c r="J31" s="2518">
        <v>105.04</v>
      </c>
      <c r="K31" s="2519">
        <v>949.67</v>
      </c>
      <c r="L31" s="2423"/>
      <c r="M31" s="2556"/>
    </row>
    <row r="32" spans="1:13" s="3993" customFormat="1" hidden="1">
      <c r="A32" s="2005"/>
      <c r="B32" s="2422" t="s">
        <v>168</v>
      </c>
      <c r="C32" s="2551">
        <v>8381.3000000000011</v>
      </c>
      <c r="D32" s="2518">
        <v>3644.3</v>
      </c>
      <c r="E32" s="2518">
        <v>2660.91</v>
      </c>
      <c r="F32" s="2518">
        <v>2022.78</v>
      </c>
      <c r="G32" s="2518">
        <v>638.13</v>
      </c>
      <c r="H32" s="2518">
        <v>655.49</v>
      </c>
      <c r="I32" s="2518">
        <v>309.73</v>
      </c>
      <c r="J32" s="2518">
        <v>113.42</v>
      </c>
      <c r="K32" s="2519">
        <v>997.45</v>
      </c>
      <c r="L32" s="2423"/>
      <c r="M32" s="2556"/>
    </row>
    <row r="33" spans="1:13" s="3992" customFormat="1" hidden="1">
      <c r="A33" s="2007"/>
      <c r="B33" s="2423" t="s">
        <v>169</v>
      </c>
      <c r="C33" s="2417">
        <v>8542.6899999999987</v>
      </c>
      <c r="D33" s="2419">
        <v>3952.81</v>
      </c>
      <c r="E33" s="2419">
        <v>2634.41</v>
      </c>
      <c r="F33" s="2419">
        <v>2009.6</v>
      </c>
      <c r="G33" s="2419">
        <v>624.80999999999995</v>
      </c>
      <c r="H33" s="2419">
        <v>489.36</v>
      </c>
      <c r="I33" s="2419">
        <v>316.95999999999998</v>
      </c>
      <c r="J33" s="2419">
        <v>115.87</v>
      </c>
      <c r="K33" s="2519">
        <v>1033.28</v>
      </c>
      <c r="L33" s="2423"/>
      <c r="M33" s="2556"/>
    </row>
    <row r="34" spans="1:13" s="3993" customFormat="1" hidden="1">
      <c r="A34" s="2005"/>
      <c r="B34" s="2423" t="s">
        <v>170</v>
      </c>
      <c r="C34" s="2417">
        <v>8662.7199999999993</v>
      </c>
      <c r="D34" s="2419">
        <v>4138.9399999999996</v>
      </c>
      <c r="E34" s="2419">
        <v>2815.46</v>
      </c>
      <c r="F34" s="2419">
        <v>2092.5</v>
      </c>
      <c r="G34" s="2419">
        <v>722.96</v>
      </c>
      <c r="H34" s="2419">
        <v>250</v>
      </c>
      <c r="I34" s="2419">
        <v>310.92</v>
      </c>
      <c r="J34" s="2419">
        <v>110.31</v>
      </c>
      <c r="K34" s="2519">
        <v>1037.0899999999999</v>
      </c>
      <c r="L34" s="2423"/>
      <c r="M34" s="2556"/>
    </row>
    <row r="35" spans="1:13" s="3993" customFormat="1" hidden="1">
      <c r="A35" s="2005"/>
      <c r="B35" s="2423" t="s">
        <v>171</v>
      </c>
      <c r="C35" s="2417">
        <v>8597</v>
      </c>
      <c r="D35" s="2419">
        <v>4096.1899999999996</v>
      </c>
      <c r="E35" s="2419">
        <v>2763.61</v>
      </c>
      <c r="F35" s="2419">
        <v>2042.73</v>
      </c>
      <c r="G35" s="2419">
        <v>720.88</v>
      </c>
      <c r="H35" s="2419">
        <v>250</v>
      </c>
      <c r="I35" s="2419">
        <v>311.08999999999997</v>
      </c>
      <c r="J35" s="2419">
        <v>104.45</v>
      </c>
      <c r="K35" s="2519">
        <v>1071.6600000000001</v>
      </c>
      <c r="L35" s="2423"/>
      <c r="M35" s="2556"/>
    </row>
    <row r="36" spans="1:13" s="3993" customFormat="1" hidden="1">
      <c r="A36" s="2005"/>
      <c r="B36" s="2523">
        <v>2001</v>
      </c>
      <c r="C36" s="2417">
        <v>9137.68</v>
      </c>
      <c r="D36" s="2419">
        <v>4342.53</v>
      </c>
      <c r="E36" s="2419">
        <v>3026.96</v>
      </c>
      <c r="F36" s="2419">
        <v>2074.65</v>
      </c>
      <c r="G36" s="2419">
        <v>952.31</v>
      </c>
      <c r="H36" s="2419">
        <v>250</v>
      </c>
      <c r="I36" s="2419">
        <v>315.18</v>
      </c>
      <c r="J36" s="2419">
        <v>110.04</v>
      </c>
      <c r="K36" s="2519">
        <v>1092.97</v>
      </c>
      <c r="L36" s="2423"/>
      <c r="M36" s="2556"/>
    </row>
    <row r="37" spans="1:13" s="3993" customFormat="1" hidden="1">
      <c r="A37" s="2005"/>
      <c r="B37" s="2523">
        <v>2002</v>
      </c>
      <c r="C37" s="2417"/>
      <c r="D37" s="2419"/>
      <c r="E37" s="2419"/>
      <c r="F37" s="2419"/>
      <c r="G37" s="2419"/>
      <c r="H37" s="2419"/>
      <c r="I37" s="2419"/>
      <c r="J37" s="2419"/>
      <c r="K37" s="2525"/>
      <c r="L37" s="2423"/>
      <c r="M37" s="2556"/>
    </row>
    <row r="38" spans="1:13" s="3993" customFormat="1" hidden="1">
      <c r="A38" s="2005"/>
      <c r="B38" s="2423" t="s">
        <v>161</v>
      </c>
      <c r="C38" s="2417">
        <v>9487.06</v>
      </c>
      <c r="D38" s="2419">
        <v>4811.3999999999996</v>
      </c>
      <c r="E38" s="2419">
        <v>3061.2200000000003</v>
      </c>
      <c r="F38" s="2419">
        <v>2049.9</v>
      </c>
      <c r="G38" s="2419">
        <v>1011.32</v>
      </c>
      <c r="H38" s="2419">
        <v>250</v>
      </c>
      <c r="I38" s="2419">
        <v>379.39</v>
      </c>
      <c r="J38" s="2419">
        <v>104.74</v>
      </c>
      <c r="K38" s="2519">
        <v>880.31</v>
      </c>
      <c r="L38" s="2423"/>
      <c r="M38" s="2556"/>
    </row>
    <row r="39" spans="1:13" s="3993" customFormat="1" hidden="1">
      <c r="A39" s="2005"/>
      <c r="B39" s="2423" t="s">
        <v>162</v>
      </c>
      <c r="C39" s="2417">
        <v>9386.6999999999989</v>
      </c>
      <c r="D39" s="2419">
        <v>4494.4399999999996</v>
      </c>
      <c r="E39" s="2419">
        <v>3255.7200000000003</v>
      </c>
      <c r="F39" s="2419">
        <v>2268.0700000000002</v>
      </c>
      <c r="G39" s="2419">
        <v>987.65</v>
      </c>
      <c r="H39" s="2419">
        <v>250</v>
      </c>
      <c r="I39" s="2419">
        <v>291.89</v>
      </c>
      <c r="J39" s="2419">
        <v>63.59</v>
      </c>
      <c r="K39" s="2519">
        <v>1031.06</v>
      </c>
      <c r="L39" s="2423"/>
      <c r="M39" s="2556"/>
    </row>
    <row r="40" spans="1:13" s="3993" customFormat="1" hidden="1">
      <c r="A40" s="2005"/>
      <c r="B40" s="2423" t="s">
        <v>163</v>
      </c>
      <c r="C40" s="2417">
        <v>9939.4599999999991</v>
      </c>
      <c r="D40" s="2419">
        <v>5034.88</v>
      </c>
      <c r="E40" s="2419">
        <v>3067.46</v>
      </c>
      <c r="F40" s="2419">
        <v>2129.0700000000002</v>
      </c>
      <c r="G40" s="2419">
        <v>938.39</v>
      </c>
      <c r="H40" s="2419">
        <v>366.16</v>
      </c>
      <c r="I40" s="2419">
        <v>297.31</v>
      </c>
      <c r="J40" s="2419">
        <v>129.26</v>
      </c>
      <c r="K40" s="2519">
        <v>1044.3900000000001</v>
      </c>
      <c r="L40" s="2423"/>
      <c r="M40" s="2556"/>
    </row>
    <row r="41" spans="1:13" s="3993" customFormat="1" hidden="1">
      <c r="A41" s="2005"/>
      <c r="B41" s="2423" t="s">
        <v>164</v>
      </c>
      <c r="C41" s="2417">
        <v>9534.31</v>
      </c>
      <c r="D41" s="2419">
        <v>4951.55</v>
      </c>
      <c r="E41" s="2419">
        <v>2879.8500000000004</v>
      </c>
      <c r="F41" s="2419">
        <v>1963.88</v>
      </c>
      <c r="G41" s="2419">
        <v>915.97</v>
      </c>
      <c r="H41" s="2419">
        <v>250</v>
      </c>
      <c r="I41" s="2419">
        <v>291.55</v>
      </c>
      <c r="J41" s="2419">
        <v>108.89</v>
      </c>
      <c r="K41" s="2519">
        <v>1052.47</v>
      </c>
      <c r="L41" s="2423"/>
      <c r="M41" s="2556"/>
    </row>
    <row r="42" spans="1:13" s="3993" customFormat="1" hidden="1">
      <c r="A42" s="2005"/>
      <c r="B42" s="2423" t="s">
        <v>165</v>
      </c>
      <c r="C42" s="2417">
        <v>9453.9500000000007</v>
      </c>
      <c r="D42" s="2419">
        <v>4686.26</v>
      </c>
      <c r="E42" s="2419">
        <v>2920.95</v>
      </c>
      <c r="F42" s="2419">
        <v>1974.98</v>
      </c>
      <c r="G42" s="2419">
        <v>945.97</v>
      </c>
      <c r="H42" s="2419">
        <v>375.3</v>
      </c>
      <c r="I42" s="2419">
        <v>292.02</v>
      </c>
      <c r="J42" s="2419">
        <v>63.7</v>
      </c>
      <c r="K42" s="2519">
        <v>1115.72</v>
      </c>
      <c r="L42" s="2423"/>
      <c r="M42" s="2556"/>
    </row>
    <row r="43" spans="1:13" s="3993" customFormat="1" hidden="1">
      <c r="A43" s="2005"/>
      <c r="B43" s="2423" t="s">
        <v>166</v>
      </c>
      <c r="C43" s="2417">
        <v>9284</v>
      </c>
      <c r="D43" s="2419">
        <v>4582.59</v>
      </c>
      <c r="E43" s="2419">
        <v>2884.61</v>
      </c>
      <c r="F43" s="2419">
        <v>1980.92</v>
      </c>
      <c r="G43" s="2419">
        <v>903.69</v>
      </c>
      <c r="H43" s="2419">
        <v>266.88</v>
      </c>
      <c r="I43" s="2419">
        <v>292.33999999999997</v>
      </c>
      <c r="J43" s="2419">
        <v>114.5</v>
      </c>
      <c r="K43" s="2519">
        <v>1143.08</v>
      </c>
      <c r="L43" s="2423"/>
      <c r="M43" s="2556"/>
    </row>
    <row r="44" spans="1:13" s="3993" customFormat="1" hidden="1">
      <c r="A44" s="2005"/>
      <c r="B44" s="2423" t="s">
        <v>167</v>
      </c>
      <c r="C44" s="2417">
        <v>9560.8100000000013</v>
      </c>
      <c r="D44" s="2419">
        <v>4729.34</v>
      </c>
      <c r="E44" s="2419">
        <v>2958.84</v>
      </c>
      <c r="F44" s="2419">
        <v>1960.63</v>
      </c>
      <c r="G44" s="2419">
        <v>998.21</v>
      </c>
      <c r="H44" s="2419">
        <v>374.32</v>
      </c>
      <c r="I44" s="2419">
        <v>272.08</v>
      </c>
      <c r="J44" s="2419">
        <v>95.77</v>
      </c>
      <c r="K44" s="2519">
        <v>1130.46</v>
      </c>
      <c r="L44" s="2423"/>
      <c r="M44" s="2556"/>
    </row>
    <row r="45" spans="1:13" s="3993" customFormat="1" hidden="1">
      <c r="A45" s="2005"/>
      <c r="B45" s="2423" t="s">
        <v>168</v>
      </c>
      <c r="C45" s="2417">
        <v>9917.18</v>
      </c>
      <c r="D45" s="2419">
        <v>4909.5</v>
      </c>
      <c r="E45" s="2419">
        <v>3013.63</v>
      </c>
      <c r="F45" s="2419">
        <v>2021.33</v>
      </c>
      <c r="G45" s="2419">
        <v>992.3</v>
      </c>
      <c r="H45" s="2419">
        <v>467.77</v>
      </c>
      <c r="I45" s="2419">
        <v>272.3</v>
      </c>
      <c r="J45" s="2419">
        <v>113.36</v>
      </c>
      <c r="K45" s="2519">
        <v>1140.6199999999999</v>
      </c>
      <c r="L45" s="2423"/>
      <c r="M45" s="2556"/>
    </row>
    <row r="46" spans="1:13" s="3993" customFormat="1" hidden="1">
      <c r="A46" s="2005"/>
      <c r="B46" s="2423" t="s">
        <v>169</v>
      </c>
      <c r="C46" s="2417">
        <v>9149.2899999999991</v>
      </c>
      <c r="D46" s="2419">
        <v>4172.82</v>
      </c>
      <c r="E46" s="2419">
        <v>2961.61</v>
      </c>
      <c r="F46" s="2419">
        <v>1948.44</v>
      </c>
      <c r="G46" s="2419">
        <v>1013.17</v>
      </c>
      <c r="H46" s="2419">
        <v>425.24</v>
      </c>
      <c r="I46" s="2419">
        <v>277.74</v>
      </c>
      <c r="J46" s="2419">
        <v>112.66</v>
      </c>
      <c r="K46" s="2519">
        <v>1199.22</v>
      </c>
      <c r="L46" s="2423"/>
      <c r="M46" s="2556"/>
    </row>
    <row r="47" spans="1:13" s="3993" customFormat="1" hidden="1">
      <c r="A47" s="2005"/>
      <c r="B47" s="2423" t="s">
        <v>170</v>
      </c>
      <c r="C47" s="2417">
        <v>9657.8000000000011</v>
      </c>
      <c r="D47" s="2419">
        <v>4374.93</v>
      </c>
      <c r="E47" s="2419">
        <v>3105.53</v>
      </c>
      <c r="F47" s="2419">
        <v>2206.09</v>
      </c>
      <c r="G47" s="2419">
        <v>899.44</v>
      </c>
      <c r="H47" s="2419">
        <v>567.49</v>
      </c>
      <c r="I47" s="2419">
        <v>360.95</v>
      </c>
      <c r="J47" s="2419">
        <v>102.73</v>
      </c>
      <c r="K47" s="2519">
        <v>1146.17</v>
      </c>
      <c r="L47" s="2423"/>
      <c r="M47" s="2556"/>
    </row>
    <row r="48" spans="1:13" s="3993" customFormat="1" hidden="1">
      <c r="A48" s="2005"/>
      <c r="B48" s="2423" t="s">
        <v>171</v>
      </c>
      <c r="C48" s="2417">
        <v>9301.94</v>
      </c>
      <c r="D48" s="2419">
        <v>4611.41</v>
      </c>
      <c r="E48" s="2419">
        <v>2618.71</v>
      </c>
      <c r="F48" s="2419">
        <v>1740.39</v>
      </c>
      <c r="G48" s="2419">
        <v>878.32</v>
      </c>
      <c r="H48" s="2419">
        <v>425.71</v>
      </c>
      <c r="I48" s="2419">
        <v>271.92</v>
      </c>
      <c r="J48" s="2419">
        <v>109.21</v>
      </c>
      <c r="K48" s="2519">
        <v>1264.98</v>
      </c>
      <c r="L48" s="2423"/>
      <c r="M48" s="2556"/>
    </row>
    <row r="49" spans="1:13" s="3993" customFormat="1" hidden="1">
      <c r="A49" s="2005"/>
      <c r="B49" s="2523">
        <v>2002</v>
      </c>
      <c r="C49" s="2417">
        <v>11300.529999999999</v>
      </c>
      <c r="D49" s="2419">
        <v>4555.58</v>
      </c>
      <c r="E49" s="2419">
        <v>4189.79</v>
      </c>
      <c r="F49" s="2419">
        <v>3002.63</v>
      </c>
      <c r="G49" s="2419">
        <v>1187.1600000000001</v>
      </c>
      <c r="H49" s="2419">
        <v>853.76</v>
      </c>
      <c r="I49" s="2419">
        <v>251.97</v>
      </c>
      <c r="J49" s="2419">
        <v>110.19</v>
      </c>
      <c r="K49" s="2519">
        <v>1339.24</v>
      </c>
      <c r="L49" s="2423"/>
      <c r="M49" s="2556"/>
    </row>
    <row r="50" spans="1:13" s="3993" customFormat="1" hidden="1">
      <c r="A50" s="2005"/>
      <c r="B50" s="2517">
        <v>2003</v>
      </c>
      <c r="C50" s="2552"/>
      <c r="D50" s="2526"/>
      <c r="E50" s="2526"/>
      <c r="F50" s="2526"/>
      <c r="G50" s="2526"/>
      <c r="H50" s="2526"/>
      <c r="I50" s="2526"/>
      <c r="J50" s="2526"/>
      <c r="K50" s="2527"/>
      <c r="L50" s="2526"/>
      <c r="M50" s="2556"/>
    </row>
    <row r="51" spans="1:13" s="3993" customFormat="1" hidden="1">
      <c r="A51" s="2005"/>
      <c r="B51" s="2423" t="s">
        <v>161</v>
      </c>
      <c r="C51" s="2417">
        <v>10785.1714651</v>
      </c>
      <c r="D51" s="2419">
        <v>4553.0520254900002</v>
      </c>
      <c r="E51" s="2419">
        <v>3478.7646026500001</v>
      </c>
      <c r="F51" s="2419">
        <v>2321.0561498100001</v>
      </c>
      <c r="G51" s="2419">
        <v>1157.7084528400001</v>
      </c>
      <c r="H51" s="2419">
        <v>790.98800000000006</v>
      </c>
      <c r="I51" s="2419">
        <v>409.99700000000001</v>
      </c>
      <c r="J51" s="2419">
        <v>134.49231044999999</v>
      </c>
      <c r="K51" s="2519">
        <v>1186.3285265099998</v>
      </c>
      <c r="L51" s="2418">
        <v>231.54900000000001</v>
      </c>
      <c r="M51" s="2556"/>
    </row>
    <row r="52" spans="1:13" s="3993" customFormat="1" hidden="1">
      <c r="A52" s="2005"/>
      <c r="B52" s="2423" t="s">
        <v>162</v>
      </c>
      <c r="C52" s="2417">
        <v>10504.652823120001</v>
      </c>
      <c r="D52" s="2419">
        <v>4554.7551188500001</v>
      </c>
      <c r="E52" s="2419">
        <v>3003.8673807799996</v>
      </c>
      <c r="F52" s="2419">
        <v>1852.6017082999999</v>
      </c>
      <c r="G52" s="2419">
        <v>1151.2656724799999</v>
      </c>
      <c r="H52" s="2419">
        <v>967.60400000000004</v>
      </c>
      <c r="I52" s="2419">
        <v>410.14699999999999</v>
      </c>
      <c r="J52" s="2419">
        <v>135.64631044999999</v>
      </c>
      <c r="K52" s="2519">
        <v>1201.0840130399999</v>
      </c>
      <c r="L52" s="2418">
        <v>231.54900000000001</v>
      </c>
      <c r="M52" s="2556"/>
    </row>
    <row r="53" spans="1:13" s="3993" customFormat="1" hidden="1">
      <c r="A53" s="2005"/>
      <c r="B53" s="2423" t="s">
        <v>163</v>
      </c>
      <c r="C53" s="2417">
        <v>11037.147159189999</v>
      </c>
      <c r="D53" s="2419">
        <v>4604.7663743800003</v>
      </c>
      <c r="E53" s="2419">
        <v>3210.4015566600001</v>
      </c>
      <c r="F53" s="2419">
        <v>1958.88712186</v>
      </c>
      <c r="G53" s="2419">
        <v>1251.5144347999999</v>
      </c>
      <c r="H53" s="2419">
        <v>1215.559</v>
      </c>
      <c r="I53" s="2419">
        <v>410.11199999999997</v>
      </c>
      <c r="J53" s="2419">
        <v>146.35231045</v>
      </c>
      <c r="K53" s="2519">
        <v>1214.0299177000002</v>
      </c>
      <c r="L53" s="2418">
        <v>235.92599999999999</v>
      </c>
      <c r="M53" s="2556"/>
    </row>
    <row r="54" spans="1:13" s="3993" customFormat="1" hidden="1">
      <c r="A54" s="2005"/>
      <c r="B54" s="2423" t="s">
        <v>164</v>
      </c>
      <c r="C54" s="2417">
        <v>12394.650212530001</v>
      </c>
      <c r="D54" s="2419">
        <v>5641.0572571700004</v>
      </c>
      <c r="E54" s="2419">
        <v>3928.0828449099999</v>
      </c>
      <c r="F54" s="2419">
        <v>1847.9923081900001</v>
      </c>
      <c r="G54" s="2419">
        <v>2080.0905367199998</v>
      </c>
      <c r="H54" s="2419">
        <v>821.51700000000005</v>
      </c>
      <c r="I54" s="2419">
        <v>410.06</v>
      </c>
      <c r="J54" s="2419">
        <v>140.36031044999999</v>
      </c>
      <c r="K54" s="2519">
        <v>1212.0237999999999</v>
      </c>
      <c r="L54" s="2418">
        <v>241.54900000000001</v>
      </c>
      <c r="M54" s="2556"/>
    </row>
    <row r="55" spans="1:13" s="3993" customFormat="1" hidden="1">
      <c r="A55" s="2005"/>
      <c r="B55" s="2423" t="s">
        <v>165</v>
      </c>
      <c r="C55" s="2417">
        <v>12444.770759010002</v>
      </c>
      <c r="D55" s="2419">
        <v>5570.8490071400001</v>
      </c>
      <c r="E55" s="2419">
        <v>3710.58898529</v>
      </c>
      <c r="F55" s="2419">
        <v>1795.12990711</v>
      </c>
      <c r="G55" s="2419">
        <v>1915.4590781799998</v>
      </c>
      <c r="H55" s="2419">
        <v>1114.5640000000001</v>
      </c>
      <c r="I55" s="2419">
        <v>410.06799999999998</v>
      </c>
      <c r="J55" s="2419">
        <v>140.98231045</v>
      </c>
      <c r="K55" s="2519">
        <v>1266.1694561300003</v>
      </c>
      <c r="L55" s="2418">
        <v>231.54900000000001</v>
      </c>
      <c r="M55" s="2556"/>
    </row>
    <row r="56" spans="1:13" s="3993" customFormat="1" hidden="1">
      <c r="A56" s="2005"/>
      <c r="B56" s="2423" t="s">
        <v>166</v>
      </c>
      <c r="C56" s="2417">
        <v>12313.684539769998</v>
      </c>
      <c r="D56" s="2419">
        <v>5253.6262198099994</v>
      </c>
      <c r="E56" s="2419">
        <v>3612.9253108399998</v>
      </c>
      <c r="F56" s="2419">
        <v>1755.78056487</v>
      </c>
      <c r="G56" s="2419">
        <v>1857.14474597</v>
      </c>
      <c r="H56" s="2419">
        <v>1338.037</v>
      </c>
      <c r="I56" s="2419">
        <v>415.17080299999998</v>
      </c>
      <c r="J56" s="2419">
        <v>153.71531045</v>
      </c>
      <c r="K56" s="2519">
        <v>1304.2018956700001</v>
      </c>
      <c r="L56" s="2418">
        <v>236.00800000000001</v>
      </c>
      <c r="M56" s="2556"/>
    </row>
    <row r="57" spans="1:13" s="3993" customFormat="1" hidden="1">
      <c r="A57" s="2005"/>
      <c r="B57" s="2423" t="s">
        <v>1173</v>
      </c>
      <c r="C57" s="2417">
        <v>12674.261102820001</v>
      </c>
      <c r="D57" s="2419">
        <v>5565.5092300599999</v>
      </c>
      <c r="E57" s="2419">
        <v>3617.8424437499998</v>
      </c>
      <c r="F57" s="2419">
        <v>1849.5645008199999</v>
      </c>
      <c r="G57" s="2419">
        <v>1768.2779429299999</v>
      </c>
      <c r="H57" s="2419">
        <v>1411.42</v>
      </c>
      <c r="I57" s="2419">
        <v>403.66999999999996</v>
      </c>
      <c r="J57" s="2419">
        <v>175.73731045</v>
      </c>
      <c r="K57" s="2519">
        <v>1305.7911185600001</v>
      </c>
      <c r="L57" s="2418">
        <v>194.291</v>
      </c>
      <c r="M57" s="2556"/>
    </row>
    <row r="58" spans="1:13" s="3993" customFormat="1" hidden="1">
      <c r="A58" s="2005"/>
      <c r="B58" s="2423" t="s">
        <v>168</v>
      </c>
      <c r="C58" s="2417">
        <v>12934.546498219999</v>
      </c>
      <c r="D58" s="2419">
        <v>5729.30130783</v>
      </c>
      <c r="E58" s="2419">
        <v>3519.0817669899998</v>
      </c>
      <c r="F58" s="2419">
        <v>1793.2474408099999</v>
      </c>
      <c r="G58" s="2419">
        <v>1725.8343261800001</v>
      </c>
      <c r="H58" s="2419">
        <v>1597.6289999999999</v>
      </c>
      <c r="I58" s="2419">
        <v>407.09100000000001</v>
      </c>
      <c r="J58" s="2419">
        <v>139.81631045</v>
      </c>
      <c r="K58" s="2519">
        <v>1347.3361129500001</v>
      </c>
      <c r="L58" s="2418">
        <v>194.291</v>
      </c>
      <c r="M58" s="2556"/>
    </row>
    <row r="59" spans="1:13" s="3993" customFormat="1" hidden="1">
      <c r="A59" s="2005"/>
      <c r="B59" s="2423" t="s">
        <v>169</v>
      </c>
      <c r="C59" s="2417">
        <v>12776.278160570004</v>
      </c>
      <c r="D59" s="2419">
        <v>5643.0082732400006</v>
      </c>
      <c r="E59" s="2419">
        <v>4040.34770759</v>
      </c>
      <c r="F59" s="2419">
        <v>2328.0354279200001</v>
      </c>
      <c r="G59" s="2419">
        <v>1712.31227967</v>
      </c>
      <c r="H59" s="2419">
        <v>1129.7619999999999</v>
      </c>
      <c r="I59" s="2419">
        <v>228.07499999999999</v>
      </c>
      <c r="J59" s="2419">
        <v>128.92131045000002</v>
      </c>
      <c r="K59" s="2519">
        <v>1408.1158692900001</v>
      </c>
      <c r="L59" s="2418">
        <v>198.048</v>
      </c>
      <c r="M59" s="2556"/>
    </row>
    <row r="60" spans="1:13" s="3993" customFormat="1" hidden="1">
      <c r="A60" s="2005"/>
      <c r="B60" s="2423" t="s">
        <v>170</v>
      </c>
      <c r="C60" s="2417">
        <v>12365.24303639</v>
      </c>
      <c r="D60" s="2419">
        <v>4824.4223837899999</v>
      </c>
      <c r="E60" s="2419">
        <v>3558.00963761</v>
      </c>
      <c r="F60" s="2419">
        <v>1847.1335036200001</v>
      </c>
      <c r="G60" s="2419">
        <v>1710.8761339900002</v>
      </c>
      <c r="H60" s="2419">
        <v>1647.6769999999999</v>
      </c>
      <c r="I60" s="2419">
        <v>609.60899999999992</v>
      </c>
      <c r="J60" s="2419">
        <v>124.04031045000001</v>
      </c>
      <c r="K60" s="2519">
        <v>1407.1937045400002</v>
      </c>
      <c r="L60" s="2418">
        <v>194.291</v>
      </c>
      <c r="M60" s="2556"/>
    </row>
    <row r="61" spans="1:13" s="3993" customFormat="1" hidden="1">
      <c r="A61" s="2005"/>
      <c r="B61" s="2423" t="s">
        <v>171</v>
      </c>
      <c r="C61" s="2417">
        <v>12338.829625069999</v>
      </c>
      <c r="D61" s="2419">
        <v>4926.2869360899995</v>
      </c>
      <c r="E61" s="2419">
        <v>4122.5347249200004</v>
      </c>
      <c r="F61" s="2419">
        <v>2283.5026789600001</v>
      </c>
      <c r="G61" s="2419">
        <v>1839.03204596</v>
      </c>
      <c r="H61" s="2419">
        <v>812.63</v>
      </c>
      <c r="I61" s="2419">
        <v>609.76299999999992</v>
      </c>
      <c r="J61" s="2419">
        <v>132.74531045000001</v>
      </c>
      <c r="K61" s="2519">
        <v>1540.5786536100002</v>
      </c>
      <c r="L61" s="2418">
        <v>194.291</v>
      </c>
      <c r="M61" s="2556"/>
    </row>
    <row r="62" spans="1:13" s="3993" customFormat="1" ht="18" customHeight="1">
      <c r="A62" s="2005"/>
      <c r="B62" s="2517">
        <v>2003</v>
      </c>
      <c r="C62" s="2417">
        <v>11602.333038579998</v>
      </c>
      <c r="D62" s="2419">
        <v>4900.6661839900007</v>
      </c>
      <c r="E62" s="2419">
        <v>3937.8817226900001</v>
      </c>
      <c r="F62" s="2419">
        <v>1978.82598035</v>
      </c>
      <c r="G62" s="2419">
        <v>1959.0557423400001</v>
      </c>
      <c r="H62" s="2419">
        <v>250</v>
      </c>
      <c r="I62" s="2419">
        <v>631.54344231000005</v>
      </c>
      <c r="J62" s="2419">
        <v>153.26257212000002</v>
      </c>
      <c r="K62" s="2519">
        <v>1530.9314874699996</v>
      </c>
      <c r="L62" s="2418">
        <v>198.04763</v>
      </c>
      <c r="M62" s="2556"/>
    </row>
    <row r="63" spans="1:13" s="3993" customFormat="1" hidden="1">
      <c r="A63" s="2005"/>
      <c r="B63" s="2523">
        <v>2004</v>
      </c>
      <c r="C63" s="2417"/>
      <c r="D63" s="2419"/>
      <c r="E63" s="2419"/>
      <c r="F63" s="2419"/>
      <c r="G63" s="2419"/>
      <c r="H63" s="2419"/>
      <c r="I63" s="2419"/>
      <c r="J63" s="2419"/>
      <c r="K63" s="2519"/>
      <c r="L63" s="2418"/>
      <c r="M63" s="2556"/>
    </row>
    <row r="64" spans="1:13" s="3993" customFormat="1" hidden="1">
      <c r="A64" s="2005"/>
      <c r="B64" s="2423" t="s">
        <v>161</v>
      </c>
      <c r="C64" s="2417">
        <v>12505.362983789999</v>
      </c>
      <c r="D64" s="2419">
        <v>5783.1452144499999</v>
      </c>
      <c r="E64" s="2419">
        <v>4003.47389944</v>
      </c>
      <c r="F64" s="2419">
        <v>1872.9813770000001</v>
      </c>
      <c r="G64" s="2419">
        <v>2130.4925224399999</v>
      </c>
      <c r="H64" s="2419">
        <v>250</v>
      </c>
      <c r="I64" s="2419">
        <v>639.66799999999989</v>
      </c>
      <c r="J64" s="2419">
        <v>98.959310450000004</v>
      </c>
      <c r="K64" s="2519">
        <v>1573.0835594500002</v>
      </c>
      <c r="L64" s="2418">
        <v>157.03299999999999</v>
      </c>
      <c r="M64" s="2556"/>
    </row>
    <row r="65" spans="1:16" s="3993" customFormat="1" hidden="1">
      <c r="A65" s="2005"/>
      <c r="B65" s="2423" t="s">
        <v>162</v>
      </c>
      <c r="C65" s="2417">
        <v>11622.040896029999</v>
      </c>
      <c r="D65" s="2419">
        <v>4841.9188857700001</v>
      </c>
      <c r="E65" s="2419">
        <v>4023.3161595499996</v>
      </c>
      <c r="F65" s="2419">
        <v>1902.14531487</v>
      </c>
      <c r="G65" s="2419">
        <v>2121.1708446799998</v>
      </c>
      <c r="H65" s="2419">
        <v>250</v>
      </c>
      <c r="I65" s="2419">
        <v>639.81299999999999</v>
      </c>
      <c r="J65" s="2419">
        <v>116.75231045</v>
      </c>
      <c r="K65" s="2519">
        <v>1593.2075402599999</v>
      </c>
      <c r="L65" s="2418">
        <v>157.03299999999999</v>
      </c>
      <c r="M65" s="2556"/>
    </row>
    <row r="66" spans="1:16" s="3993" customFormat="1" hidden="1">
      <c r="A66" s="2005"/>
      <c r="B66" s="2423" t="s">
        <v>163</v>
      </c>
      <c r="C66" s="2417">
        <v>11867.937316239999</v>
      </c>
      <c r="D66" s="2419">
        <v>4719.26691304</v>
      </c>
      <c r="E66" s="2419">
        <v>4274.7205467499998</v>
      </c>
      <c r="F66" s="2419">
        <v>2004.27301182</v>
      </c>
      <c r="G66" s="2419">
        <v>2270.4475349300001</v>
      </c>
      <c r="H66" s="2419">
        <v>250</v>
      </c>
      <c r="I66" s="2419">
        <v>670.33055917999991</v>
      </c>
      <c r="J66" s="2419">
        <v>103.43417591000001</v>
      </c>
      <c r="K66" s="2519">
        <v>1690.08193336</v>
      </c>
      <c r="L66" s="2418">
        <v>160.10318799999999</v>
      </c>
      <c r="M66" s="2556"/>
    </row>
    <row r="67" spans="1:16" s="3993" customFormat="1" hidden="1">
      <c r="A67" s="2005"/>
      <c r="B67" s="2423" t="s">
        <v>164</v>
      </c>
      <c r="C67" s="2417">
        <v>13007.531387210001</v>
      </c>
      <c r="D67" s="2419">
        <v>6378.05727991</v>
      </c>
      <c r="E67" s="2419">
        <v>3776.98081275</v>
      </c>
      <c r="F67" s="2419">
        <v>1955.97800295</v>
      </c>
      <c r="G67" s="2419">
        <v>1821.0028098</v>
      </c>
      <c r="H67" s="2419">
        <v>250</v>
      </c>
      <c r="I67" s="2419">
        <v>666.46100000000001</v>
      </c>
      <c r="J67" s="2419">
        <v>128.38331045000001</v>
      </c>
      <c r="K67" s="2519">
        <v>1650.6159840999999</v>
      </c>
      <c r="L67" s="2418">
        <v>157.03299999999999</v>
      </c>
      <c r="M67" s="2556"/>
    </row>
    <row r="68" spans="1:16" s="3993" customFormat="1" hidden="1">
      <c r="A68" s="2005"/>
      <c r="B68" s="2423" t="s">
        <v>165</v>
      </c>
      <c r="C68" s="2417">
        <v>12342.375882159999</v>
      </c>
      <c r="D68" s="2419">
        <v>5699.6748939000008</v>
      </c>
      <c r="E68" s="2419">
        <v>3739.1331076699998</v>
      </c>
      <c r="F68" s="2419">
        <v>2027.5421103900001</v>
      </c>
      <c r="G68" s="2419">
        <v>1711.59099728</v>
      </c>
      <c r="H68" s="2419">
        <v>250</v>
      </c>
      <c r="I68" s="2419">
        <v>666.61799999999994</v>
      </c>
      <c r="J68" s="2419">
        <v>134.75931044999999</v>
      </c>
      <c r="K68" s="2519">
        <v>1695.15657014</v>
      </c>
      <c r="L68" s="2418">
        <v>157.03399999999999</v>
      </c>
      <c r="M68" s="2556"/>
    </row>
    <row r="69" spans="1:16" s="3993" customFormat="1" hidden="1">
      <c r="A69" s="2005"/>
      <c r="B69" s="2423" t="s">
        <v>166</v>
      </c>
      <c r="C69" s="2417">
        <v>11498.00546226</v>
      </c>
      <c r="D69" s="2419">
        <v>5070.4628528100002</v>
      </c>
      <c r="E69" s="2419">
        <v>3429.9972131899999</v>
      </c>
      <c r="F69" s="2419">
        <v>2001.4108778499999</v>
      </c>
      <c r="G69" s="2419">
        <v>1428.58633534</v>
      </c>
      <c r="H69" s="2419">
        <v>250</v>
      </c>
      <c r="I69" s="2419">
        <v>675.92801441999995</v>
      </c>
      <c r="J69" s="2419">
        <v>193.06809642000002</v>
      </c>
      <c r="K69" s="2519">
        <v>1718.5519684200001</v>
      </c>
      <c r="L69" s="2418">
        <v>159.99731700000001</v>
      </c>
      <c r="M69" s="2556"/>
    </row>
    <row r="70" spans="1:16" s="3993" customFormat="1" hidden="1">
      <c r="A70" s="2005"/>
      <c r="B70" s="2423" t="s">
        <v>167</v>
      </c>
      <c r="C70" s="2417">
        <v>11033.709384950002</v>
      </c>
      <c r="D70" s="2419">
        <v>4665.2391530200002</v>
      </c>
      <c r="E70" s="2419">
        <v>3336.5204259100001</v>
      </c>
      <c r="F70" s="2419">
        <v>1994.9515086599999</v>
      </c>
      <c r="G70" s="2419">
        <v>1341.5689172499999</v>
      </c>
      <c r="H70" s="2419">
        <v>310.452</v>
      </c>
      <c r="I70" s="2419">
        <v>665.82299999999998</v>
      </c>
      <c r="J70" s="2419">
        <v>158.48131045000002</v>
      </c>
      <c r="K70" s="2519">
        <v>1777.41849557</v>
      </c>
      <c r="L70" s="2418">
        <v>119.77500000000001</v>
      </c>
      <c r="M70" s="2556"/>
    </row>
    <row r="71" spans="1:16" s="3993" customFormat="1" hidden="1">
      <c r="A71" s="2005"/>
      <c r="B71" s="2423" t="s">
        <v>168</v>
      </c>
      <c r="C71" s="2417">
        <v>10938.3764391</v>
      </c>
      <c r="D71" s="2419">
        <v>4385.3417504700001</v>
      </c>
      <c r="E71" s="2419">
        <v>3142.3226885200002</v>
      </c>
      <c r="F71" s="2419">
        <v>1781.5729653600001</v>
      </c>
      <c r="G71" s="2419">
        <v>1360.74972316</v>
      </c>
      <c r="H71" s="2419">
        <v>591.83699999999999</v>
      </c>
      <c r="I71" s="2419">
        <v>665.89199999999994</v>
      </c>
      <c r="J71" s="2419">
        <v>177.49231044999999</v>
      </c>
      <c r="K71" s="2519">
        <v>1855.7156896600004</v>
      </c>
      <c r="L71" s="2418">
        <v>119.77500000000001</v>
      </c>
      <c r="M71" s="2556"/>
    </row>
    <row r="72" spans="1:16" s="3993" customFormat="1" hidden="1">
      <c r="A72" s="2005"/>
      <c r="B72" s="2423" t="s">
        <v>169</v>
      </c>
      <c r="C72" s="2417">
        <v>10205.263275180001</v>
      </c>
      <c r="D72" s="2419">
        <v>4127.6308541600001</v>
      </c>
      <c r="E72" s="2419">
        <v>2908.4053902999999</v>
      </c>
      <c r="F72" s="2419">
        <v>1699.7054477899999</v>
      </c>
      <c r="G72" s="2419">
        <v>1208.69994251</v>
      </c>
      <c r="H72" s="2419">
        <v>250</v>
      </c>
      <c r="I72" s="2419">
        <v>680.09608364999997</v>
      </c>
      <c r="J72" s="2419">
        <v>163.15316175999999</v>
      </c>
      <c r="K72" s="2519">
        <v>1953.9472223100001</v>
      </c>
      <c r="L72" s="2418">
        <v>122.030563</v>
      </c>
      <c r="M72" s="2556"/>
    </row>
    <row r="73" spans="1:16" s="3993" customFormat="1" hidden="1">
      <c r="A73" s="2005"/>
      <c r="B73" s="2423" t="s">
        <v>170</v>
      </c>
      <c r="C73" s="2417">
        <v>11878.201458229998</v>
      </c>
      <c r="D73" s="2419">
        <v>5070.5045096800004</v>
      </c>
      <c r="E73" s="2419">
        <v>3242.13078812</v>
      </c>
      <c r="F73" s="2419">
        <v>2119.4017577100003</v>
      </c>
      <c r="G73" s="2419">
        <v>1122.72903041</v>
      </c>
      <c r="H73" s="2419">
        <v>610</v>
      </c>
      <c r="I73" s="2419">
        <v>744.91200000000003</v>
      </c>
      <c r="J73" s="2419">
        <v>147.46531045</v>
      </c>
      <c r="K73" s="2519">
        <v>1943.4138499799999</v>
      </c>
      <c r="L73" s="2418">
        <v>119.77500000000001</v>
      </c>
      <c r="M73" s="2556"/>
    </row>
    <row r="74" spans="1:16" s="3993" customFormat="1" hidden="1">
      <c r="A74" s="2005"/>
      <c r="B74" s="2423" t="s">
        <v>171</v>
      </c>
      <c r="C74" s="2417">
        <v>14234.105437010001</v>
      </c>
      <c r="D74" s="2419">
        <v>6130.5310962800004</v>
      </c>
      <c r="E74" s="2419">
        <v>4036.8875525799999</v>
      </c>
      <c r="F74" s="2419">
        <v>2826.09665675</v>
      </c>
      <c r="G74" s="2419">
        <v>1210.79089583</v>
      </c>
      <c r="H74" s="2419">
        <v>1124.4580000000001</v>
      </c>
      <c r="I74" s="2419">
        <v>745.06900000000007</v>
      </c>
      <c r="J74" s="2419">
        <v>138.48931045</v>
      </c>
      <c r="K74" s="2519">
        <v>1938.8954777000001</v>
      </c>
      <c r="L74" s="2418">
        <v>119.77500000000001</v>
      </c>
      <c r="M74" s="2556"/>
    </row>
    <row r="75" spans="1:16" s="3993" customFormat="1" ht="18" customHeight="1">
      <c r="A75" s="2005"/>
      <c r="B75" s="2523">
        <v>2004</v>
      </c>
      <c r="C75" s="2417">
        <v>13013.2122869</v>
      </c>
      <c r="D75" s="2419">
        <v>5386.1592649699996</v>
      </c>
      <c r="E75" s="2419">
        <v>3552.9216555400003</v>
      </c>
      <c r="F75" s="2419">
        <v>2196.5482865900003</v>
      </c>
      <c r="G75" s="2419">
        <v>1356.37336895</v>
      </c>
      <c r="H75" s="2419">
        <v>1129.380181</v>
      </c>
      <c r="I75" s="2419">
        <v>718.09735678000004</v>
      </c>
      <c r="J75" s="2419">
        <v>128.17495294000003</v>
      </c>
      <c r="K75" s="2519">
        <v>1995.97093017</v>
      </c>
      <c r="L75" s="2418">
        <v>102.50794550000001</v>
      </c>
      <c r="M75" s="2556"/>
      <c r="O75" s="3992"/>
      <c r="P75" s="3992"/>
    </row>
    <row r="76" spans="1:16" s="3993" customFormat="1" ht="18" hidden="1" customHeight="1">
      <c r="A76" s="2005"/>
      <c r="B76" s="2523">
        <v>2005</v>
      </c>
      <c r="C76" s="2417"/>
      <c r="D76" s="2418"/>
      <c r="E76" s="2419"/>
      <c r="F76" s="2418"/>
      <c r="G76" s="2418"/>
      <c r="H76" s="2418"/>
      <c r="I76" s="2418"/>
      <c r="J76" s="2418"/>
      <c r="K76" s="2421"/>
      <c r="L76" s="2418"/>
      <c r="M76" s="2556"/>
      <c r="O76" s="3992"/>
      <c r="P76" s="3992"/>
    </row>
    <row r="77" spans="1:16" s="3993" customFormat="1" hidden="1">
      <c r="A77" s="2005"/>
      <c r="B77" s="2423" t="s">
        <v>161</v>
      </c>
      <c r="C77" s="2417">
        <v>12757.36387474</v>
      </c>
      <c r="D77" s="2418">
        <v>4893.4453444999999</v>
      </c>
      <c r="E77" s="2419">
        <v>3744.2436480800006</v>
      </c>
      <c r="F77" s="2418">
        <v>2503.8895648800003</v>
      </c>
      <c r="G77" s="2418">
        <v>1240.3540832000001</v>
      </c>
      <c r="H77" s="2418">
        <v>1124.4580000000001</v>
      </c>
      <c r="I77" s="2418">
        <v>718.077</v>
      </c>
      <c r="J77" s="2418">
        <v>192.18231044999999</v>
      </c>
      <c r="K77" s="2421">
        <v>1982.4495717100001</v>
      </c>
      <c r="L77" s="2418">
        <v>102.508</v>
      </c>
      <c r="M77" s="2556"/>
      <c r="O77" s="3992"/>
      <c r="P77" s="3992"/>
    </row>
    <row r="78" spans="1:16" s="3993" customFormat="1" hidden="1">
      <c r="A78" s="2005"/>
      <c r="B78" s="2423" t="s">
        <v>162</v>
      </c>
      <c r="C78" s="2417">
        <v>12439.8016467</v>
      </c>
      <c r="D78" s="2418">
        <v>4925.9423383599997</v>
      </c>
      <c r="E78" s="2419">
        <v>3408.6854959699999</v>
      </c>
      <c r="F78" s="2418">
        <v>2308.0048440099999</v>
      </c>
      <c r="G78" s="2418">
        <v>1100.68065196</v>
      </c>
      <c r="H78" s="2418">
        <v>1124.4580000000001</v>
      </c>
      <c r="I78" s="2418">
        <v>718.08800000000008</v>
      </c>
      <c r="J78" s="2418">
        <v>158.45631044999999</v>
      </c>
      <c r="K78" s="2421">
        <v>2001.66350192</v>
      </c>
      <c r="L78" s="2418">
        <v>102.508</v>
      </c>
      <c r="M78" s="2556"/>
      <c r="O78" s="3992"/>
      <c r="P78" s="3992"/>
    </row>
    <row r="79" spans="1:16" s="3993" customFormat="1" hidden="1">
      <c r="A79" s="2005"/>
      <c r="B79" s="2423" t="s">
        <v>163</v>
      </c>
      <c r="C79" s="2417">
        <v>13290.28508439</v>
      </c>
      <c r="D79" s="2418">
        <v>5376.5747225899995</v>
      </c>
      <c r="E79" s="2419">
        <v>3748.3972509300002</v>
      </c>
      <c r="F79" s="2418">
        <v>2640.06576434</v>
      </c>
      <c r="G79" s="2418">
        <v>1108.3314865899999</v>
      </c>
      <c r="H79" s="2418">
        <v>1134.2540349999999</v>
      </c>
      <c r="I79" s="2418">
        <v>722.43632466000008</v>
      </c>
      <c r="J79" s="2418">
        <v>130.72173597</v>
      </c>
      <c r="K79" s="2421">
        <v>2048.4195487400002</v>
      </c>
      <c r="L79" s="2418">
        <v>129.48146650000001</v>
      </c>
      <c r="M79" s="2556"/>
      <c r="O79" s="3992"/>
      <c r="P79" s="3992"/>
    </row>
    <row r="80" spans="1:16" s="3993" customFormat="1" hidden="1">
      <c r="A80" s="2005"/>
      <c r="B80" s="2423" t="s">
        <v>164</v>
      </c>
      <c r="C80" s="2417">
        <v>11561.659770610002</v>
      </c>
      <c r="D80" s="2418">
        <v>4644.7083268600009</v>
      </c>
      <c r="E80" s="2419">
        <v>2732.2300853699999</v>
      </c>
      <c r="F80" s="2418">
        <v>1687.0053831299999</v>
      </c>
      <c r="G80" s="2418">
        <v>1045.2247022400002</v>
      </c>
      <c r="H80" s="2418">
        <v>1124.4580000000001</v>
      </c>
      <c r="I80" s="2418">
        <v>699.65499999999997</v>
      </c>
      <c r="J80" s="2418">
        <v>117.30231045000001</v>
      </c>
      <c r="K80" s="2421">
        <v>2115.7980479299999</v>
      </c>
      <c r="L80" s="2418">
        <v>127.508</v>
      </c>
      <c r="M80" s="2556"/>
      <c r="O80" s="3992"/>
      <c r="P80" s="3992"/>
    </row>
    <row r="81" spans="1:16" s="3993" customFormat="1" hidden="1">
      <c r="A81" s="2005"/>
      <c r="B81" s="2423" t="s">
        <v>165</v>
      </c>
      <c r="C81" s="2417">
        <v>12628.338465860003</v>
      </c>
      <c r="D81" s="2418">
        <v>5389.2935042800009</v>
      </c>
      <c r="E81" s="2419">
        <v>2989.3567070199997</v>
      </c>
      <c r="F81" s="2418">
        <v>1991.78846527</v>
      </c>
      <c r="G81" s="2418">
        <v>997.56824174999997</v>
      </c>
      <c r="H81" s="2418">
        <v>1124.4580000000001</v>
      </c>
      <c r="I81" s="2418">
        <v>719.70300000000009</v>
      </c>
      <c r="J81" s="2418">
        <v>138.27531045000001</v>
      </c>
      <c r="K81" s="2421">
        <v>2119.7439441100005</v>
      </c>
      <c r="L81" s="2418">
        <v>147.50800000000001</v>
      </c>
      <c r="M81" s="2556"/>
      <c r="O81" s="3992"/>
      <c r="P81" s="3992"/>
    </row>
    <row r="82" spans="1:16" s="3993" customFormat="1" hidden="1">
      <c r="A82" s="2005"/>
      <c r="B82" s="2423" t="s">
        <v>166</v>
      </c>
      <c r="C82" s="2417">
        <v>11901.684355969999</v>
      </c>
      <c r="D82" s="2418">
        <v>5562.7216489800003</v>
      </c>
      <c r="E82" s="2419">
        <v>2008.86737728</v>
      </c>
      <c r="F82" s="2418">
        <v>1087.2802064299999</v>
      </c>
      <c r="G82" s="2418">
        <v>921.58717085000012</v>
      </c>
      <c r="H82" s="2418">
        <v>1132.63358322</v>
      </c>
      <c r="I82" s="2418">
        <v>692.61928383999998</v>
      </c>
      <c r="J82" s="2418">
        <v>131.93293738</v>
      </c>
      <c r="K82" s="2421">
        <v>2189.8180277699998</v>
      </c>
      <c r="L82" s="2418">
        <v>183.0914975</v>
      </c>
      <c r="M82" s="2556"/>
      <c r="O82" s="3992"/>
      <c r="P82" s="3992"/>
    </row>
    <row r="83" spans="1:16" s="3993" customFormat="1" ht="15.75" hidden="1" customHeight="1">
      <c r="A83" s="2005"/>
      <c r="B83" s="2422" t="s">
        <v>167</v>
      </c>
      <c r="C83" s="2417">
        <v>12709.798774500001</v>
      </c>
      <c r="D83" s="2418">
        <v>7019.1648182500003</v>
      </c>
      <c r="E83" s="2419">
        <v>2034.13847003</v>
      </c>
      <c r="F83" s="2418">
        <v>1161.00422994</v>
      </c>
      <c r="G83" s="2418">
        <v>873.13424008999993</v>
      </c>
      <c r="H83" s="2418">
        <v>464.43899999999996</v>
      </c>
      <c r="I83" s="2418">
        <v>692.58400000000006</v>
      </c>
      <c r="J83" s="2418">
        <v>155.81431044999999</v>
      </c>
      <c r="K83" s="2421">
        <v>2160.5671757700002</v>
      </c>
      <c r="L83" s="2418">
        <v>183.09100000000001</v>
      </c>
      <c r="M83" s="2556"/>
      <c r="O83" s="3992"/>
      <c r="P83" s="3992"/>
    </row>
    <row r="84" spans="1:16" s="3993" customFormat="1" hidden="1">
      <c r="A84" s="2005"/>
      <c r="B84" s="2422" t="s">
        <v>168</v>
      </c>
      <c r="C84" s="2417">
        <v>11875.456671870003</v>
      </c>
      <c r="D84" s="2418">
        <v>5943.2726070799999</v>
      </c>
      <c r="E84" s="2419">
        <v>2344.3332708600001</v>
      </c>
      <c r="F84" s="2418">
        <v>1555.00619624</v>
      </c>
      <c r="G84" s="2418">
        <v>789.32707462000008</v>
      </c>
      <c r="H84" s="2418">
        <v>250</v>
      </c>
      <c r="I84" s="2418">
        <v>692.75300000000004</v>
      </c>
      <c r="J84" s="2418">
        <v>158.60531044999999</v>
      </c>
      <c r="K84" s="2421">
        <v>2293.4444834799997</v>
      </c>
      <c r="L84" s="2418">
        <v>193.048</v>
      </c>
      <c r="M84" s="2556"/>
      <c r="O84" s="3992"/>
      <c r="P84" s="3992"/>
    </row>
    <row r="85" spans="1:16" s="3993" customFormat="1" ht="15.75" hidden="1" customHeight="1">
      <c r="A85" s="2005"/>
      <c r="B85" s="2422" t="s">
        <v>169</v>
      </c>
      <c r="C85" s="2417">
        <v>12357.719650589999</v>
      </c>
      <c r="D85" s="2418">
        <v>6027.1592988599996</v>
      </c>
      <c r="E85" s="2419">
        <v>2661.0731104500001</v>
      </c>
      <c r="F85" s="2418">
        <v>1511.9891593299999</v>
      </c>
      <c r="G85" s="2418">
        <v>1149.0839511199999</v>
      </c>
      <c r="H85" s="2418">
        <v>250</v>
      </c>
      <c r="I85" s="2418">
        <v>696.50453474000005</v>
      </c>
      <c r="J85" s="2418">
        <v>144.58904526999999</v>
      </c>
      <c r="K85" s="2421">
        <v>2381.7731767699997</v>
      </c>
      <c r="L85" s="2418">
        <v>196.6204845</v>
      </c>
      <c r="M85" s="2556"/>
      <c r="O85" s="3992"/>
      <c r="P85" s="3992"/>
    </row>
    <row r="86" spans="1:16" s="3993" customFormat="1" hidden="1">
      <c r="A86" s="2005"/>
      <c r="B86" s="2422" t="s">
        <v>170</v>
      </c>
      <c r="C86" s="2417">
        <v>12228.608196560001</v>
      </c>
      <c r="D86" s="2418">
        <v>5327.5464359900006</v>
      </c>
      <c r="E86" s="2419">
        <v>3186.8636207700001</v>
      </c>
      <c r="F86" s="2418">
        <v>2099.41990592</v>
      </c>
      <c r="G86" s="2418">
        <v>1087.4437148499999</v>
      </c>
      <c r="H86" s="2418">
        <v>250</v>
      </c>
      <c r="I86" s="2418">
        <v>693.97900000000004</v>
      </c>
      <c r="J86" s="2418">
        <v>190.43131045000001</v>
      </c>
      <c r="K86" s="2421">
        <v>2379.7398293500005</v>
      </c>
      <c r="L86" s="2418">
        <v>200.048</v>
      </c>
      <c r="M86" s="2556"/>
      <c r="O86" s="3992"/>
      <c r="P86" s="3992"/>
    </row>
    <row r="87" spans="1:16" s="3993" customFormat="1" hidden="1">
      <c r="A87" s="2005"/>
      <c r="B87" s="2422" t="s">
        <v>171</v>
      </c>
      <c r="C87" s="2417">
        <v>14517.054916480001</v>
      </c>
      <c r="D87" s="2418">
        <v>7162.6356397299996</v>
      </c>
      <c r="E87" s="2419">
        <v>3576.09380087</v>
      </c>
      <c r="F87" s="2418">
        <v>2494.3055074899999</v>
      </c>
      <c r="G87" s="2418">
        <v>1081.7882933800001</v>
      </c>
      <c r="H87" s="2418">
        <v>250</v>
      </c>
      <c r="I87" s="2418">
        <v>694.14400000000001</v>
      </c>
      <c r="J87" s="2418">
        <v>173.78631045000003</v>
      </c>
      <c r="K87" s="2421">
        <v>2460.3471654300001</v>
      </c>
      <c r="L87" s="2418">
        <v>200.048</v>
      </c>
      <c r="M87" s="2556"/>
      <c r="O87" s="3992"/>
      <c r="P87" s="3992"/>
    </row>
    <row r="88" spans="1:16" s="3993" customFormat="1">
      <c r="A88" s="2005"/>
      <c r="B88" s="2523">
        <v>2005</v>
      </c>
      <c r="C88" s="2417">
        <v>14404.538304690002</v>
      </c>
      <c r="D88" s="2418">
        <v>7565.8649224999999</v>
      </c>
      <c r="E88" s="2419">
        <v>3009.8206403000004</v>
      </c>
      <c r="F88" s="2418">
        <v>1869.77962882</v>
      </c>
      <c r="G88" s="2418">
        <v>1140.0410114800002</v>
      </c>
      <c r="H88" s="2418">
        <v>250</v>
      </c>
      <c r="I88" s="2418">
        <v>652.17582532000006</v>
      </c>
      <c r="J88" s="2418">
        <v>101.76960015</v>
      </c>
      <c r="K88" s="2421">
        <v>2642.5493579200001</v>
      </c>
      <c r="L88" s="2418">
        <v>182.3579585</v>
      </c>
      <c r="M88" s="2556"/>
      <c r="O88" s="3992"/>
      <c r="P88" s="3992"/>
    </row>
    <row r="89" spans="1:16" s="3993" customFormat="1" hidden="1">
      <c r="A89" s="2005"/>
      <c r="B89" s="2550">
        <v>2006</v>
      </c>
      <c r="C89" s="2417"/>
      <c r="D89" s="2418"/>
      <c r="E89" s="2419"/>
      <c r="F89" s="2418"/>
      <c r="G89" s="2418"/>
      <c r="H89" s="2418"/>
      <c r="I89" s="2418"/>
      <c r="J89" s="2418"/>
      <c r="K89" s="2421"/>
      <c r="L89" s="2418"/>
      <c r="M89" s="2556"/>
      <c r="O89" s="3992"/>
      <c r="P89" s="3992"/>
    </row>
    <row r="90" spans="1:16" s="3993" customFormat="1" hidden="1">
      <c r="A90" s="2005"/>
      <c r="B90" s="2422" t="s">
        <v>161</v>
      </c>
      <c r="C90" s="2417">
        <v>15131.993817989998</v>
      </c>
      <c r="D90" s="2418">
        <v>7744.0088827099999</v>
      </c>
      <c r="E90" s="2419">
        <v>3369.0049027</v>
      </c>
      <c r="F90" s="2418">
        <v>1821.5978502999999</v>
      </c>
      <c r="G90" s="2418">
        <v>1547.4070524000001</v>
      </c>
      <c r="H90" s="2418">
        <v>250</v>
      </c>
      <c r="I90" s="2418">
        <v>651.93200000000002</v>
      </c>
      <c r="J90" s="2418">
        <v>271.15431045000003</v>
      </c>
      <c r="K90" s="2421">
        <v>2622.3957221299997</v>
      </c>
      <c r="L90" s="2418">
        <v>223.49799999999999</v>
      </c>
      <c r="M90" s="2556"/>
      <c r="O90" s="3992"/>
      <c r="P90" s="3992"/>
    </row>
    <row r="91" spans="1:16" s="3993" customFormat="1" hidden="1">
      <c r="A91" s="2005"/>
      <c r="B91" s="2422" t="s">
        <v>162</v>
      </c>
      <c r="C91" s="2417">
        <v>14636.507212480003</v>
      </c>
      <c r="D91" s="2418">
        <v>7717.2445982600011</v>
      </c>
      <c r="E91" s="2419">
        <v>2799.1997567500002</v>
      </c>
      <c r="F91" s="2418">
        <v>1378.8428375600001</v>
      </c>
      <c r="G91" s="2418">
        <v>1420.3569191900001</v>
      </c>
      <c r="H91" s="2418">
        <v>50</v>
      </c>
      <c r="I91" s="2418">
        <v>651.93200000000002</v>
      </c>
      <c r="J91" s="2418">
        <v>281.41931045000001</v>
      </c>
      <c r="K91" s="2421">
        <v>2613.2135470200001</v>
      </c>
      <c r="L91" s="2418">
        <v>523.49800000000005</v>
      </c>
      <c r="M91" s="2556"/>
      <c r="O91" s="3992"/>
      <c r="P91" s="3992"/>
    </row>
    <row r="92" spans="1:16" s="3993" customFormat="1" hidden="1">
      <c r="A92" s="2005"/>
      <c r="B92" s="2422" t="s">
        <v>163</v>
      </c>
      <c r="C92" s="2417">
        <v>15527.334001230001</v>
      </c>
      <c r="D92" s="2418">
        <v>7715.1756785899997</v>
      </c>
      <c r="E92" s="2419">
        <v>3609.5619022600004</v>
      </c>
      <c r="F92" s="2418">
        <v>2159.3043982500003</v>
      </c>
      <c r="G92" s="2418">
        <v>1450.25750401</v>
      </c>
      <c r="H92" s="2418">
        <v>50</v>
      </c>
      <c r="I92" s="2418">
        <v>652.8407953200001</v>
      </c>
      <c r="J92" s="2418">
        <v>119.30550310000001</v>
      </c>
      <c r="K92" s="2421">
        <v>2850.2963264600003</v>
      </c>
      <c r="L92" s="2418">
        <v>530.1537955</v>
      </c>
      <c r="M92" s="2556"/>
      <c r="O92" s="3992"/>
      <c r="P92" s="3992"/>
    </row>
    <row r="93" spans="1:16" s="3993" customFormat="1" hidden="1">
      <c r="A93" s="2005"/>
      <c r="B93" s="2422" t="s">
        <v>164</v>
      </c>
      <c r="C93" s="2417">
        <v>17043.60033139</v>
      </c>
      <c r="D93" s="2418">
        <v>8506.6269969799996</v>
      </c>
      <c r="E93" s="2419">
        <v>4059.1048516000001</v>
      </c>
      <c r="F93" s="2418">
        <v>2717.11605009</v>
      </c>
      <c r="G93" s="2418">
        <v>1341.98880151</v>
      </c>
      <c r="H93" s="2418">
        <v>250</v>
      </c>
      <c r="I93" s="2418">
        <v>607.00300000000004</v>
      </c>
      <c r="J93" s="2418">
        <v>326.10531044999999</v>
      </c>
      <c r="K93" s="2421">
        <v>3071.2621723600005</v>
      </c>
      <c r="L93" s="2418">
        <v>223.49799999999999</v>
      </c>
      <c r="M93" s="2556"/>
      <c r="O93" s="3992"/>
      <c r="P93" s="3992"/>
    </row>
    <row r="94" spans="1:16" s="3993" customFormat="1" hidden="1">
      <c r="A94" s="2005"/>
      <c r="B94" s="2422" t="s">
        <v>165</v>
      </c>
      <c r="C94" s="2417">
        <v>15399.073364669999</v>
      </c>
      <c r="D94" s="2418">
        <v>8690.4267436799983</v>
      </c>
      <c r="E94" s="2419">
        <v>2409.1007411199998</v>
      </c>
      <c r="F94" s="2418">
        <v>1021.0442373</v>
      </c>
      <c r="G94" s="2418">
        <v>1388.05650382</v>
      </c>
      <c r="H94" s="2418">
        <v>50</v>
      </c>
      <c r="I94" s="2418">
        <v>652.69099999999992</v>
      </c>
      <c r="J94" s="2418">
        <v>344.70331045</v>
      </c>
      <c r="K94" s="2421">
        <v>2728.6535694200002</v>
      </c>
      <c r="L94" s="2418">
        <v>523.49800000000005</v>
      </c>
      <c r="M94" s="2556"/>
      <c r="O94" s="3992"/>
      <c r="P94" s="3992"/>
    </row>
    <row r="95" spans="1:16" s="3993" customFormat="1" hidden="1">
      <c r="A95" s="2005"/>
      <c r="B95" s="2422" t="s">
        <v>166</v>
      </c>
      <c r="C95" s="2417">
        <v>15666.83168112</v>
      </c>
      <c r="D95" s="2418">
        <v>9046.2718148700005</v>
      </c>
      <c r="E95" s="2419">
        <v>2328.86455897</v>
      </c>
      <c r="F95" s="2418">
        <v>955.01795219000007</v>
      </c>
      <c r="G95" s="2418">
        <v>1373.84660678</v>
      </c>
      <c r="H95" s="2418">
        <v>50</v>
      </c>
      <c r="I95" s="2418">
        <v>631.32261632000007</v>
      </c>
      <c r="J95" s="2418">
        <v>112.91818916000001</v>
      </c>
      <c r="K95" s="2421">
        <v>2991.7765263000001</v>
      </c>
      <c r="L95" s="2418">
        <v>505.6779755</v>
      </c>
      <c r="M95" s="2556"/>
      <c r="O95" s="3992"/>
      <c r="P95" s="3992"/>
    </row>
    <row r="96" spans="1:16" s="3993" customFormat="1" hidden="1">
      <c r="A96" s="2005"/>
      <c r="B96" s="2423" t="s">
        <v>167</v>
      </c>
      <c r="C96" s="2417">
        <v>15670.045970539999</v>
      </c>
      <c r="D96" s="2418">
        <v>8874.4653859800001</v>
      </c>
      <c r="E96" s="2419">
        <v>1999.1320992000001</v>
      </c>
      <c r="F96" s="2418">
        <v>820.20238209000001</v>
      </c>
      <c r="G96" s="2418">
        <v>1178.9297171100002</v>
      </c>
      <c r="H96" s="2418">
        <v>505.39100000000002</v>
      </c>
      <c r="I96" s="2418">
        <v>625.0150000000001</v>
      </c>
      <c r="J96" s="2418">
        <v>355.08331045</v>
      </c>
      <c r="K96" s="2421">
        <v>2809.01717491</v>
      </c>
      <c r="L96" s="2418">
        <v>501.94200000000001</v>
      </c>
      <c r="M96" s="2556"/>
      <c r="O96" s="3992"/>
      <c r="P96" s="3992"/>
    </row>
    <row r="97" spans="1:23" s="3993" customFormat="1" hidden="1">
      <c r="A97" s="2005"/>
      <c r="B97" s="2423" t="s">
        <v>168</v>
      </c>
      <c r="C97" s="2417">
        <v>15564.72577778</v>
      </c>
      <c r="D97" s="2418">
        <v>8604.2706852699994</v>
      </c>
      <c r="E97" s="2419">
        <v>2076.6571189300003</v>
      </c>
      <c r="F97" s="2418">
        <v>914.25858829000003</v>
      </c>
      <c r="G97" s="2418">
        <v>1162.39853064</v>
      </c>
      <c r="H97" s="2418">
        <v>513.13900000000001</v>
      </c>
      <c r="I97" s="2418">
        <v>625.005</v>
      </c>
      <c r="J97" s="2418">
        <v>340.44631045000006</v>
      </c>
      <c r="K97" s="2421">
        <v>2903.2656631300001</v>
      </c>
      <c r="L97" s="2418">
        <v>501.94200000000001</v>
      </c>
      <c r="M97" s="2556"/>
      <c r="O97" s="3992"/>
      <c r="P97" s="3992"/>
    </row>
    <row r="98" spans="1:23" s="3993" customFormat="1" ht="15.75" hidden="1" customHeight="1">
      <c r="A98" s="2005"/>
      <c r="B98" s="2423" t="s">
        <v>169</v>
      </c>
      <c r="C98" s="2417">
        <v>15439.150632069999</v>
      </c>
      <c r="D98" s="2418">
        <v>8532.4892708400002</v>
      </c>
      <c r="E98" s="2419">
        <v>2086.3770951799997</v>
      </c>
      <c r="F98" s="2418">
        <v>995.76244851000001</v>
      </c>
      <c r="G98" s="2418">
        <v>1090.61464667</v>
      </c>
      <c r="H98" s="2418">
        <v>271.15100000000001</v>
      </c>
      <c r="I98" s="2418">
        <v>627.18401800000004</v>
      </c>
      <c r="J98" s="2418">
        <v>236.29532912000002</v>
      </c>
      <c r="K98" s="2421">
        <v>3483.7119189300001</v>
      </c>
      <c r="L98" s="2418">
        <v>201.94200000000001</v>
      </c>
      <c r="M98" s="2556"/>
      <c r="O98" s="3992"/>
      <c r="P98" s="3992"/>
    </row>
    <row r="99" spans="1:23" s="3993" customFormat="1" hidden="1">
      <c r="A99" s="2005"/>
      <c r="B99" s="2423" t="s">
        <v>170</v>
      </c>
      <c r="C99" s="2417">
        <v>15621.128095739998</v>
      </c>
      <c r="D99" s="2418">
        <v>8171.3034847299996</v>
      </c>
      <c r="E99" s="2419">
        <v>2781.1133825299999</v>
      </c>
      <c r="F99" s="2418">
        <v>1557.5787191699999</v>
      </c>
      <c r="G99" s="2418">
        <v>1223.53466336</v>
      </c>
      <c r="H99" s="2418">
        <v>50</v>
      </c>
      <c r="I99" s="2418">
        <v>625.67200000000003</v>
      </c>
      <c r="J99" s="2418">
        <v>336.80031044999998</v>
      </c>
      <c r="K99" s="2421">
        <v>3454.2969180299997</v>
      </c>
      <c r="L99" s="2418">
        <v>201.94200000000001</v>
      </c>
      <c r="M99" s="2556"/>
      <c r="O99" s="3992"/>
      <c r="P99" s="3992"/>
      <c r="U99" s="3995"/>
    </row>
    <row r="100" spans="1:23" s="3993" customFormat="1" hidden="1">
      <c r="A100" s="2005"/>
      <c r="B100" s="2423" t="s">
        <v>171</v>
      </c>
      <c r="C100" s="2417">
        <v>16343.392542240003</v>
      </c>
      <c r="D100" s="2418">
        <v>7719.1470254500009</v>
      </c>
      <c r="E100" s="2419">
        <v>3889.5599083000006</v>
      </c>
      <c r="F100" s="2418">
        <v>2721.6314702000004</v>
      </c>
      <c r="G100" s="2418">
        <v>1167.9284381</v>
      </c>
      <c r="H100" s="2418">
        <v>50</v>
      </c>
      <c r="I100" s="2418">
        <v>625.67200000000003</v>
      </c>
      <c r="J100" s="2418">
        <v>348.26331045000001</v>
      </c>
      <c r="K100" s="2421">
        <v>3192.5496978700003</v>
      </c>
      <c r="L100" s="2418">
        <v>518.20060017000003</v>
      </c>
      <c r="M100" s="2556"/>
      <c r="O100" s="3992"/>
      <c r="P100" s="3992"/>
    </row>
    <row r="101" spans="1:23" s="3993" customFormat="1" ht="18" customHeight="1">
      <c r="A101" s="2005"/>
      <c r="B101" s="2550">
        <v>2006</v>
      </c>
      <c r="C101" s="2417">
        <v>16930.929380460002</v>
      </c>
      <c r="D101" s="2418">
        <v>7647.5201392099998</v>
      </c>
      <c r="E101" s="2419">
        <v>4320.0496558300001</v>
      </c>
      <c r="F101" s="2418">
        <v>3136.3343735000003</v>
      </c>
      <c r="G101" s="2418">
        <v>1183.71528233</v>
      </c>
      <c r="H101" s="2418">
        <v>50</v>
      </c>
      <c r="I101" s="2418">
        <v>633.54417669000009</v>
      </c>
      <c r="J101" s="2418">
        <v>135.25842990000001</v>
      </c>
      <c r="K101" s="2421">
        <v>3660.3931183300001</v>
      </c>
      <c r="L101" s="2418">
        <v>484.1638605</v>
      </c>
      <c r="M101" s="2556"/>
      <c r="O101" s="3992"/>
      <c r="P101" s="3992"/>
    </row>
    <row r="102" spans="1:23" s="3993" customFormat="1" hidden="1">
      <c r="A102" s="2005"/>
      <c r="B102" s="2528">
        <v>2007</v>
      </c>
      <c r="C102" s="2417"/>
      <c r="D102" s="2418"/>
      <c r="E102" s="2419"/>
      <c r="F102" s="2418"/>
      <c r="G102" s="2418"/>
      <c r="H102" s="2418"/>
      <c r="I102" s="2418"/>
      <c r="J102" s="2418"/>
      <c r="K102" s="2421"/>
      <c r="L102" s="2418"/>
      <c r="M102" s="2556"/>
      <c r="O102" s="3992"/>
      <c r="P102" s="3992"/>
      <c r="W102" s="3995"/>
    </row>
    <row r="103" spans="1:23" s="3993" customFormat="1" hidden="1">
      <c r="A103" s="2005"/>
      <c r="B103" s="2085" t="s">
        <v>161</v>
      </c>
      <c r="C103" s="2417">
        <v>16374.365567269999</v>
      </c>
      <c r="D103" s="2418">
        <v>8830.2887260899988</v>
      </c>
      <c r="E103" s="2419">
        <v>2586.64327409</v>
      </c>
      <c r="F103" s="2418">
        <v>1102.53333172</v>
      </c>
      <c r="G103" s="2418">
        <v>1484.10994237</v>
      </c>
      <c r="H103" s="2418">
        <v>50</v>
      </c>
      <c r="I103" s="2418">
        <v>597.87994690000005</v>
      </c>
      <c r="J103" s="2418">
        <v>400.29151533999999</v>
      </c>
      <c r="K103" s="2421">
        <v>3428.8791048499997</v>
      </c>
      <c r="L103" s="2418">
        <v>480.38299999999998</v>
      </c>
      <c r="M103" s="2556"/>
      <c r="O103" s="3992"/>
      <c r="P103" s="3992"/>
    </row>
    <row r="104" spans="1:23" s="3993" customFormat="1" hidden="1">
      <c r="A104" s="2005"/>
      <c r="B104" s="2422" t="s">
        <v>162</v>
      </c>
      <c r="C104" s="2417">
        <v>16070.936857759998</v>
      </c>
      <c r="D104" s="2418">
        <v>8594.3027295299999</v>
      </c>
      <c r="E104" s="2419">
        <v>2479.36698419</v>
      </c>
      <c r="F104" s="2418">
        <v>945.40767826000001</v>
      </c>
      <c r="G104" s="2418">
        <v>1533.95930593</v>
      </c>
      <c r="H104" s="2418">
        <v>50</v>
      </c>
      <c r="I104" s="2418">
        <v>597.88</v>
      </c>
      <c r="J104" s="2418">
        <v>394.93031045000004</v>
      </c>
      <c r="K104" s="2421">
        <v>3474.07383359</v>
      </c>
      <c r="L104" s="2418">
        <v>480.38299999999998</v>
      </c>
      <c r="M104" s="2556"/>
      <c r="O104" s="3992"/>
      <c r="P104" s="3992"/>
    </row>
    <row r="105" spans="1:23" s="3993" customFormat="1" hidden="1">
      <c r="A105" s="2005"/>
      <c r="B105" s="2422" t="s">
        <v>163</v>
      </c>
      <c r="C105" s="2417">
        <v>15555.26076668</v>
      </c>
      <c r="D105" s="2418">
        <v>8210.0955464899998</v>
      </c>
      <c r="E105" s="2419">
        <v>2271.8355570899998</v>
      </c>
      <c r="F105" s="2418">
        <v>634.66730964999999</v>
      </c>
      <c r="G105" s="2418">
        <v>1637.16824744</v>
      </c>
      <c r="H105" s="2418">
        <v>50</v>
      </c>
      <c r="I105" s="2418">
        <v>624.28210624000008</v>
      </c>
      <c r="J105" s="2418">
        <v>163.55378665000001</v>
      </c>
      <c r="K105" s="2421">
        <v>3748.0869227099993</v>
      </c>
      <c r="L105" s="2418">
        <v>487.40684750000003</v>
      </c>
      <c r="M105" s="2556"/>
      <c r="O105" s="3992"/>
      <c r="P105" s="3992"/>
    </row>
    <row r="106" spans="1:23" s="3993" customFormat="1" hidden="1">
      <c r="A106" s="2005"/>
      <c r="B106" s="2422" t="s">
        <v>164</v>
      </c>
      <c r="C106" s="2417">
        <v>17071.696832500002</v>
      </c>
      <c r="D106" s="2418">
        <v>9586.5133784499994</v>
      </c>
      <c r="E106" s="2419">
        <v>2166.30118679</v>
      </c>
      <c r="F106" s="2418">
        <v>419.15399087999998</v>
      </c>
      <c r="G106" s="2418">
        <v>1747.1471959099999</v>
      </c>
      <c r="H106" s="2418">
        <v>50</v>
      </c>
      <c r="I106" s="2418">
        <v>598.40100000000007</v>
      </c>
      <c r="J106" s="2418">
        <v>445.64831045</v>
      </c>
      <c r="K106" s="2421">
        <v>3544.44995681</v>
      </c>
      <c r="L106" s="2418">
        <v>680.38300000000004</v>
      </c>
      <c r="M106" s="2556"/>
      <c r="O106" s="3992"/>
      <c r="P106" s="3992"/>
    </row>
    <row r="107" spans="1:23" s="3993" customFormat="1" hidden="1">
      <c r="A107" s="2005"/>
      <c r="B107" s="2422" t="s">
        <v>165</v>
      </c>
      <c r="C107" s="2417">
        <v>16356.502570439998</v>
      </c>
      <c r="D107" s="2418">
        <v>8630.2125298299979</v>
      </c>
      <c r="E107" s="2419">
        <v>2353.9600013199997</v>
      </c>
      <c r="F107" s="2418">
        <v>472.12405211999999</v>
      </c>
      <c r="G107" s="2418">
        <v>1881.8359492</v>
      </c>
      <c r="H107" s="2418">
        <v>50</v>
      </c>
      <c r="I107" s="2418">
        <v>598.40100000000007</v>
      </c>
      <c r="J107" s="2418">
        <v>357.05831045000002</v>
      </c>
      <c r="K107" s="2421">
        <v>3686.4877288399998</v>
      </c>
      <c r="L107" s="2418">
        <v>680.38300000000004</v>
      </c>
      <c r="M107" s="2556"/>
      <c r="O107" s="3992"/>
      <c r="P107" s="3992"/>
      <c r="T107" s="3995"/>
      <c r="U107" s="3995"/>
    </row>
    <row r="108" spans="1:23" s="3993" customFormat="1" hidden="1">
      <c r="A108" s="2005"/>
      <c r="B108" s="2422" t="s">
        <v>166</v>
      </c>
      <c r="C108" s="2417">
        <v>16870.865862860002</v>
      </c>
      <c r="D108" s="2418">
        <v>9030.4289292000012</v>
      </c>
      <c r="E108" s="2419">
        <v>2344.8302630500002</v>
      </c>
      <c r="F108" s="2418">
        <v>407.88853340999998</v>
      </c>
      <c r="G108" s="2418">
        <v>1936.9417296400002</v>
      </c>
      <c r="H108" s="2418">
        <v>50</v>
      </c>
      <c r="I108" s="2418">
        <v>616.97500097</v>
      </c>
      <c r="J108" s="2418">
        <v>219.93376496000002</v>
      </c>
      <c r="K108" s="2421">
        <v>3944.15965818</v>
      </c>
      <c r="L108" s="2418">
        <v>664.53824650000001</v>
      </c>
      <c r="M108" s="2556"/>
      <c r="O108" s="3992"/>
      <c r="P108" s="3992"/>
    </row>
    <row r="109" spans="1:23" s="3993" customFormat="1" hidden="1">
      <c r="A109" s="2005"/>
      <c r="B109" s="2423" t="s">
        <v>167</v>
      </c>
      <c r="C109" s="2417">
        <v>17194.807082079999</v>
      </c>
      <c r="D109" s="2418">
        <v>9292.0417293899991</v>
      </c>
      <c r="E109" s="2419">
        <v>2313.5126147300002</v>
      </c>
      <c r="F109" s="2418">
        <v>369.54976956000002</v>
      </c>
      <c r="G109" s="2418">
        <v>1943.96284517</v>
      </c>
      <c r="H109" s="2418">
        <v>50</v>
      </c>
      <c r="I109" s="2418">
        <v>570.48099999999999</v>
      </c>
      <c r="J109" s="2418">
        <v>484.42131044999996</v>
      </c>
      <c r="K109" s="2421">
        <v>3825.6004275099999</v>
      </c>
      <c r="L109" s="2418">
        <v>658.75</v>
      </c>
      <c r="M109" s="2556"/>
      <c r="O109" s="3992"/>
      <c r="P109" s="3992"/>
    </row>
    <row r="110" spans="1:23" s="3993" customFormat="1" hidden="1">
      <c r="A110" s="2005"/>
      <c r="B110" s="2423" t="s">
        <v>168</v>
      </c>
      <c r="C110" s="2417">
        <v>17609.348792969999</v>
      </c>
      <c r="D110" s="2418">
        <v>8839.4339337899983</v>
      </c>
      <c r="E110" s="2419">
        <v>3110.6232922999998</v>
      </c>
      <c r="F110" s="2418">
        <v>1396.8468427599998</v>
      </c>
      <c r="G110" s="2418">
        <v>1713.7764495400002</v>
      </c>
      <c r="H110" s="2418">
        <v>50</v>
      </c>
      <c r="I110" s="2418">
        <v>550.48099999999999</v>
      </c>
      <c r="J110" s="2418">
        <v>465.67231045</v>
      </c>
      <c r="K110" s="2421">
        <v>3934.3882564300002</v>
      </c>
      <c r="L110" s="2418">
        <v>658.75</v>
      </c>
      <c r="M110" s="2556"/>
      <c r="O110" s="3992"/>
      <c r="P110" s="3992"/>
    </row>
    <row r="111" spans="1:23" s="3993" customFormat="1" hidden="1">
      <c r="A111" s="2005"/>
      <c r="B111" s="2423" t="s">
        <v>169</v>
      </c>
      <c r="C111" s="2417">
        <v>17544.664076779998</v>
      </c>
      <c r="D111" s="2418">
        <v>9016.5884505499998</v>
      </c>
      <c r="E111" s="2419">
        <v>2856.2170266600001</v>
      </c>
      <c r="F111" s="2418">
        <v>1278.353161</v>
      </c>
      <c r="G111" s="2418">
        <v>1577.8638656600001</v>
      </c>
      <c r="H111" s="2418">
        <v>50</v>
      </c>
      <c r="I111" s="2418">
        <v>595.25318012000002</v>
      </c>
      <c r="J111" s="2418">
        <v>233.58659573</v>
      </c>
      <c r="K111" s="2421">
        <v>4278.7412417200003</v>
      </c>
      <c r="L111" s="2418">
        <v>514.27758199999994</v>
      </c>
      <c r="M111" s="2556"/>
      <c r="O111" s="3992"/>
      <c r="P111" s="3992"/>
    </row>
    <row r="112" spans="1:23" s="3993" customFormat="1" hidden="1">
      <c r="A112" s="2005"/>
      <c r="B112" s="2423" t="s">
        <v>170</v>
      </c>
      <c r="C112" s="2417">
        <v>18470.29805234</v>
      </c>
      <c r="D112" s="2418">
        <v>9874.4675804500002</v>
      </c>
      <c r="E112" s="2419">
        <v>2908.6172089900001</v>
      </c>
      <c r="F112" s="2418">
        <v>1431.51562747</v>
      </c>
      <c r="G112" s="2418">
        <v>1477.1015815199999</v>
      </c>
      <c r="H112" s="2418">
        <v>50</v>
      </c>
      <c r="I112" s="2418">
        <v>550.88611500000002</v>
      </c>
      <c r="J112" s="2418">
        <v>101.50589575000001</v>
      </c>
      <c r="K112" s="2421">
        <v>4476.82125215</v>
      </c>
      <c r="L112" s="2418">
        <v>508</v>
      </c>
      <c r="M112" s="2556"/>
      <c r="O112" s="3992"/>
      <c r="P112" s="3992"/>
      <c r="S112" s="3995"/>
    </row>
    <row r="113" spans="1:16" s="3993" customFormat="1" hidden="1">
      <c r="A113" s="2005"/>
      <c r="B113" s="2423" t="s">
        <v>171</v>
      </c>
      <c r="C113" s="2417">
        <v>19631.509715759999</v>
      </c>
      <c r="D113" s="2418">
        <v>11172.979342029999</v>
      </c>
      <c r="E113" s="2419">
        <v>2722.3610350399999</v>
      </c>
      <c r="F113" s="2418">
        <v>1173.67202122</v>
      </c>
      <c r="G113" s="2418">
        <v>1548.6890138199999</v>
      </c>
      <c r="H113" s="2418">
        <v>50</v>
      </c>
      <c r="I113" s="2418">
        <v>571.24099999999999</v>
      </c>
      <c r="J113" s="2418">
        <v>414.21931044999997</v>
      </c>
      <c r="K113" s="2421">
        <v>4186.40795824</v>
      </c>
      <c r="L113" s="2418">
        <v>514.30106999999998</v>
      </c>
      <c r="M113" s="2556"/>
      <c r="O113" s="3992"/>
      <c r="P113" s="3992"/>
    </row>
    <row r="114" spans="1:16" s="3993" customFormat="1" ht="18" customHeight="1">
      <c r="A114" s="2005"/>
      <c r="B114" s="2528">
        <v>2007</v>
      </c>
      <c r="C114" s="2417">
        <v>18431.21765934</v>
      </c>
      <c r="D114" s="2418">
        <v>10139.197938200001</v>
      </c>
      <c r="E114" s="2419">
        <v>2437.71765383</v>
      </c>
      <c r="F114" s="2418">
        <v>1205.5910214099999</v>
      </c>
      <c r="G114" s="2418">
        <v>1232.1266324200001</v>
      </c>
      <c r="H114" s="2418">
        <v>50</v>
      </c>
      <c r="I114" s="2418">
        <v>580.29669004000004</v>
      </c>
      <c r="J114" s="2418">
        <v>375.81622674000005</v>
      </c>
      <c r="K114" s="2421">
        <v>4333.8880805299996</v>
      </c>
      <c r="L114" s="2418">
        <v>514.30106999999998</v>
      </c>
      <c r="M114" s="2556"/>
      <c r="O114" s="3992"/>
      <c r="P114" s="3992"/>
    </row>
    <row r="115" spans="1:16" s="3993" customFormat="1" ht="18" hidden="1" customHeight="1">
      <c r="A115" s="2005"/>
      <c r="B115" s="2523">
        <v>2008</v>
      </c>
      <c r="C115" s="2417"/>
      <c r="D115" s="2418"/>
      <c r="E115" s="2419"/>
      <c r="F115" s="2418"/>
      <c r="G115" s="2418"/>
      <c r="H115" s="2418"/>
      <c r="I115" s="2418"/>
      <c r="J115" s="2418"/>
      <c r="K115" s="2421"/>
      <c r="L115" s="2418"/>
      <c r="M115" s="2556"/>
      <c r="O115" s="3992"/>
      <c r="P115" s="3992"/>
    </row>
    <row r="116" spans="1:16" s="3993" customFormat="1" ht="18" hidden="1" customHeight="1">
      <c r="A116" s="2005"/>
      <c r="B116" s="2423" t="s">
        <v>214</v>
      </c>
      <c r="C116" s="2417">
        <v>15973.660126949999</v>
      </c>
      <c r="D116" s="2418">
        <v>8164.9072147799998</v>
      </c>
      <c r="E116" s="2419">
        <v>1973.4639306899999</v>
      </c>
      <c r="F116" s="2418">
        <v>800.99543410999991</v>
      </c>
      <c r="G116" s="2418">
        <v>1172.46849658</v>
      </c>
      <c r="H116" s="2418">
        <v>50</v>
      </c>
      <c r="I116" s="2418">
        <v>542.84593290000009</v>
      </c>
      <c r="J116" s="2418">
        <v>334.93117945</v>
      </c>
      <c r="K116" s="2421">
        <v>4399.5118691300004</v>
      </c>
      <c r="L116" s="2418">
        <v>508</v>
      </c>
      <c r="M116" s="2556"/>
      <c r="O116" s="3992"/>
      <c r="P116" s="3992"/>
    </row>
    <row r="117" spans="1:16" s="3993" customFormat="1" ht="18" hidden="1" customHeight="1">
      <c r="A117" s="2005"/>
      <c r="B117" s="2423" t="s">
        <v>162</v>
      </c>
      <c r="C117" s="2417">
        <v>18077.497348140001</v>
      </c>
      <c r="D117" s="2418">
        <v>9109.9254610000007</v>
      </c>
      <c r="E117" s="2419">
        <v>2855.01476817</v>
      </c>
      <c r="F117" s="2418">
        <v>1560.2978123599999</v>
      </c>
      <c r="G117" s="2418">
        <v>1294.7169558100002</v>
      </c>
      <c r="H117" s="2418">
        <v>50</v>
      </c>
      <c r="I117" s="2418">
        <v>542.84593200000006</v>
      </c>
      <c r="J117" s="2418">
        <v>351.50925345000002</v>
      </c>
      <c r="K117" s="2421">
        <v>4660.2019335200002</v>
      </c>
      <c r="L117" s="2418">
        <v>508</v>
      </c>
      <c r="M117" s="2556"/>
      <c r="O117" s="3992"/>
      <c r="P117" s="3992"/>
    </row>
    <row r="118" spans="1:16" s="3993" customFormat="1" ht="18" hidden="1" customHeight="1">
      <c r="A118" s="2005"/>
      <c r="B118" s="2529" t="s">
        <v>163</v>
      </c>
      <c r="C118" s="2553">
        <v>17587.528551120002</v>
      </c>
      <c r="D118" s="2418">
        <v>9891.6617015400006</v>
      </c>
      <c r="E118" s="2419">
        <v>1355.6805023100001</v>
      </c>
      <c r="F118" s="2418">
        <v>679.09879780000006</v>
      </c>
      <c r="G118" s="2418">
        <v>676.58170451000001</v>
      </c>
      <c r="H118" s="2418">
        <v>50</v>
      </c>
      <c r="I118" s="2418">
        <v>571.59919169</v>
      </c>
      <c r="J118" s="2418">
        <v>277.55674727999997</v>
      </c>
      <c r="K118" s="2421">
        <v>4728.3787124700002</v>
      </c>
      <c r="L118" s="2418">
        <v>712.65169582999999</v>
      </c>
      <c r="M118" s="2556"/>
      <c r="O118" s="3992"/>
      <c r="P118" s="3992"/>
    </row>
    <row r="119" spans="1:16" s="3993" customFormat="1" ht="18" hidden="1" customHeight="1">
      <c r="A119" s="2005"/>
      <c r="B119" s="2529" t="s">
        <v>164</v>
      </c>
      <c r="C119" s="2551">
        <v>17187.12764852</v>
      </c>
      <c r="D119" s="2418">
        <v>9545.08807978</v>
      </c>
      <c r="E119" s="2518">
        <v>1176.9937558300001</v>
      </c>
      <c r="F119" s="2418">
        <v>508.77079544999998</v>
      </c>
      <c r="G119" s="2418">
        <v>668.22296038000013</v>
      </c>
      <c r="H119" s="2418">
        <v>50</v>
      </c>
      <c r="I119" s="2418">
        <v>543.13499999999999</v>
      </c>
      <c r="J119" s="2418">
        <v>406.74031045000004</v>
      </c>
      <c r="K119" s="2421">
        <v>4957.1705024599996</v>
      </c>
      <c r="L119" s="2418">
        <v>508</v>
      </c>
      <c r="M119" s="2556"/>
      <c r="O119" s="3992"/>
      <c r="P119" s="3992"/>
    </row>
    <row r="120" spans="1:16" s="3993" customFormat="1" ht="18" hidden="1" customHeight="1">
      <c r="A120" s="2005"/>
      <c r="B120" s="2529" t="s">
        <v>165</v>
      </c>
      <c r="C120" s="2551">
        <v>16670.25152292</v>
      </c>
      <c r="D120" s="2418">
        <v>9052.0320239199991</v>
      </c>
      <c r="E120" s="2518">
        <v>1113.0822007699999</v>
      </c>
      <c r="F120" s="2418">
        <v>605.44126803000006</v>
      </c>
      <c r="G120" s="2418">
        <v>507.64093273999993</v>
      </c>
      <c r="H120" s="2418">
        <v>50</v>
      </c>
      <c r="I120" s="2418">
        <v>543.13499999999999</v>
      </c>
      <c r="J120" s="2418">
        <v>353.68431045</v>
      </c>
      <c r="K120" s="2421">
        <v>5050.3179877800003</v>
      </c>
      <c r="L120" s="2418">
        <v>508</v>
      </c>
      <c r="M120" s="2556"/>
      <c r="O120" s="3992"/>
      <c r="P120" s="3992"/>
    </row>
    <row r="121" spans="1:16" s="3993" customFormat="1" ht="18" hidden="1" customHeight="1">
      <c r="A121" s="2005"/>
      <c r="B121" s="2529" t="s">
        <v>166</v>
      </c>
      <c r="C121" s="2551">
        <v>15337.51249619</v>
      </c>
      <c r="D121" s="2418">
        <v>7625.1132475799996</v>
      </c>
      <c r="E121" s="2518">
        <v>965.96605424999996</v>
      </c>
      <c r="F121" s="2418">
        <v>476.75435512000001</v>
      </c>
      <c r="G121" s="2418">
        <v>489.21169912999994</v>
      </c>
      <c r="H121" s="2418">
        <v>50</v>
      </c>
      <c r="I121" s="2418">
        <v>571.12788636000005</v>
      </c>
      <c r="J121" s="2418">
        <v>70.699779450000008</v>
      </c>
      <c r="K121" s="2421">
        <v>5540.3896815500002</v>
      </c>
      <c r="L121" s="2418">
        <v>514.21584699999994</v>
      </c>
      <c r="M121" s="2556"/>
      <c r="O121" s="3992"/>
      <c r="P121" s="3992"/>
    </row>
    <row r="122" spans="1:16" s="3993" customFormat="1" ht="18" hidden="1" customHeight="1">
      <c r="A122" s="2005"/>
      <c r="B122" s="2529" t="s">
        <v>167</v>
      </c>
      <c r="C122" s="2551">
        <v>16966.060453710001</v>
      </c>
      <c r="D122" s="2418">
        <v>8727.1030287899994</v>
      </c>
      <c r="E122" s="2518">
        <v>998.91292004000002</v>
      </c>
      <c r="F122" s="2418">
        <v>449.35320533999999</v>
      </c>
      <c r="G122" s="2418">
        <v>549.55971469999997</v>
      </c>
      <c r="H122" s="2418">
        <v>199.74299999999999</v>
      </c>
      <c r="I122" s="2418">
        <v>534.96600000000001</v>
      </c>
      <c r="J122" s="2418">
        <v>322.60831045000003</v>
      </c>
      <c r="K122" s="2421">
        <v>5674.7271944300001</v>
      </c>
      <c r="L122" s="2418">
        <v>508</v>
      </c>
      <c r="M122" s="2556"/>
      <c r="O122" s="3992"/>
      <c r="P122" s="3992"/>
    </row>
    <row r="123" spans="1:16" s="3993" customFormat="1" ht="18" hidden="1" customHeight="1">
      <c r="A123" s="2005"/>
      <c r="B123" s="2529" t="s">
        <v>168</v>
      </c>
      <c r="C123" s="2551">
        <v>16651.610282829999</v>
      </c>
      <c r="D123" s="2418">
        <v>8472.1835364600011</v>
      </c>
      <c r="E123" s="2518">
        <v>750.51884897000002</v>
      </c>
      <c r="F123" s="2418">
        <v>373.64131944000002</v>
      </c>
      <c r="G123" s="2418">
        <v>376.87752953</v>
      </c>
      <c r="H123" s="2418">
        <v>50</v>
      </c>
      <c r="I123" s="2418">
        <v>534.96600000000001</v>
      </c>
      <c r="J123" s="2418">
        <v>341.57331045000001</v>
      </c>
      <c r="K123" s="2421">
        <v>5994.3685869499996</v>
      </c>
      <c r="L123" s="2418">
        <v>508</v>
      </c>
      <c r="M123" s="2556"/>
      <c r="O123" s="3992"/>
      <c r="P123" s="3992"/>
    </row>
    <row r="124" spans="1:16" s="3993" customFormat="1" ht="18" hidden="1" customHeight="1">
      <c r="A124" s="2005"/>
      <c r="B124" s="2529" t="s">
        <v>169</v>
      </c>
      <c r="C124" s="2410">
        <v>17819.512641549998</v>
      </c>
      <c r="D124" s="2418">
        <v>8523.7303767599988</v>
      </c>
      <c r="E124" s="2412">
        <v>1367.73804445</v>
      </c>
      <c r="F124" s="2418">
        <v>840.30055726000001</v>
      </c>
      <c r="G124" s="2418">
        <v>527.43748718999996</v>
      </c>
      <c r="H124" s="2418">
        <v>0</v>
      </c>
      <c r="I124" s="2418">
        <v>682.3389459</v>
      </c>
      <c r="J124" s="2418">
        <v>421.43695611999999</v>
      </c>
      <c r="K124" s="2421">
        <v>6250.6914388899995</v>
      </c>
      <c r="L124" s="2418">
        <v>573.57687942999996</v>
      </c>
      <c r="M124" s="2556"/>
      <c r="O124" s="3992"/>
      <c r="P124" s="3992"/>
    </row>
    <row r="125" spans="1:16" s="3993" customFormat="1" ht="18" hidden="1" customHeight="1">
      <c r="A125" s="2005"/>
      <c r="B125" s="2529" t="s">
        <v>170</v>
      </c>
      <c r="C125" s="2410">
        <v>19083.970160150002</v>
      </c>
      <c r="D125" s="2418">
        <v>9723.7918528200025</v>
      </c>
      <c r="E125" s="2412">
        <v>1076.4854466699999</v>
      </c>
      <c r="F125" s="2418">
        <v>628.82312389999993</v>
      </c>
      <c r="G125" s="2418">
        <v>447.66232276999995</v>
      </c>
      <c r="H125" s="2418">
        <v>0</v>
      </c>
      <c r="I125" s="2418">
        <v>549.76547968</v>
      </c>
      <c r="J125" s="2418">
        <v>393.25706724000003</v>
      </c>
      <c r="K125" s="2421">
        <v>6773.7000556200001</v>
      </c>
      <c r="L125" s="2418">
        <v>566.97025812000004</v>
      </c>
      <c r="M125" s="2556"/>
      <c r="O125" s="3992"/>
      <c r="P125" s="3992"/>
    </row>
    <row r="126" spans="1:16" s="3993" customFormat="1" ht="18" hidden="1" customHeight="1">
      <c r="A126" s="2005"/>
      <c r="B126" s="2529" t="s">
        <v>171</v>
      </c>
      <c r="C126" s="2410">
        <v>20177.88238155</v>
      </c>
      <c r="D126" s="2418">
        <v>10553.041572779999</v>
      </c>
      <c r="E126" s="2412">
        <v>1122.8631736699999</v>
      </c>
      <c r="F126" s="2418">
        <v>815.29367415000002</v>
      </c>
      <c r="G126" s="2418">
        <v>307.56949952000002</v>
      </c>
      <c r="H126" s="2418">
        <v>0</v>
      </c>
      <c r="I126" s="2418">
        <v>535.10594590000005</v>
      </c>
      <c r="J126" s="2418">
        <v>372.78065345000005</v>
      </c>
      <c r="K126" s="2421">
        <v>7032.1685246300003</v>
      </c>
      <c r="L126" s="2418">
        <v>561.92251111999997</v>
      </c>
      <c r="M126" s="2556"/>
      <c r="O126" s="3992"/>
      <c r="P126" s="3992"/>
    </row>
    <row r="127" spans="1:16" s="3993" customFormat="1" ht="18" customHeight="1">
      <c r="A127" s="2005"/>
      <c r="B127" s="2523">
        <v>2008</v>
      </c>
      <c r="C127" s="2410">
        <v>19645.004529729998</v>
      </c>
      <c r="D127" s="2418">
        <v>9387.1983497799993</v>
      </c>
      <c r="E127" s="2412">
        <v>1690.5152264600001</v>
      </c>
      <c r="F127" s="2418">
        <v>888.33421056999998</v>
      </c>
      <c r="G127" s="2418">
        <v>802.18101589000014</v>
      </c>
      <c r="H127" s="2418">
        <v>0</v>
      </c>
      <c r="I127" s="2418">
        <v>527.00300000000004</v>
      </c>
      <c r="J127" s="2418">
        <v>358.34845545000002</v>
      </c>
      <c r="K127" s="2421">
        <v>7130.4551694700003</v>
      </c>
      <c r="L127" s="2418">
        <v>551.48432857</v>
      </c>
      <c r="M127" s="2556"/>
      <c r="O127" s="3992"/>
      <c r="P127" s="3992"/>
    </row>
    <row r="128" spans="1:16" s="3993" customFormat="1" ht="18" hidden="1" customHeight="1">
      <c r="A128" s="2005"/>
      <c r="B128" s="2530">
        <v>2009</v>
      </c>
      <c r="C128" s="2410"/>
      <c r="D128" s="2521"/>
      <c r="E128" s="2412"/>
      <c r="F128" s="2521"/>
      <c r="G128" s="2411"/>
      <c r="H128" s="2411"/>
      <c r="I128" s="2521"/>
      <c r="J128" s="2411"/>
      <c r="K128" s="2521"/>
      <c r="L128" s="2411"/>
      <c r="M128" s="2556"/>
      <c r="O128" s="3992"/>
      <c r="P128" s="3992"/>
    </row>
    <row r="129" spans="1:18" s="3993" customFormat="1" ht="18" hidden="1" customHeight="1">
      <c r="A129" s="2005"/>
      <c r="B129" s="2531" t="s">
        <v>161</v>
      </c>
      <c r="C129" s="2417">
        <v>17363.039489350002</v>
      </c>
      <c r="D129" s="2418">
        <v>7051.3532188400004</v>
      </c>
      <c r="E129" s="2419">
        <v>1553.31753824</v>
      </c>
      <c r="F129" s="2418">
        <v>667.58372236000002</v>
      </c>
      <c r="G129" s="2418">
        <v>885.73381588000007</v>
      </c>
      <c r="H129" s="2418">
        <v>0</v>
      </c>
      <c r="I129" s="2420">
        <v>527.00300000000004</v>
      </c>
      <c r="J129" s="2421">
        <v>354.79084445000001</v>
      </c>
      <c r="K129" s="2421">
        <v>7329.0306678200004</v>
      </c>
      <c r="L129" s="2418">
        <v>547.54422</v>
      </c>
      <c r="M129" s="2556"/>
      <c r="O129" s="3992"/>
      <c r="P129" s="3992"/>
    </row>
    <row r="130" spans="1:18" s="3993" customFormat="1" ht="18" hidden="1" customHeight="1">
      <c r="A130" s="2005"/>
      <c r="B130" s="2531" t="s">
        <v>162</v>
      </c>
      <c r="C130" s="2417">
        <v>17571.941996660003</v>
      </c>
      <c r="D130" s="2418">
        <v>7277.6418196700006</v>
      </c>
      <c r="E130" s="2419">
        <v>1464.3146603499999</v>
      </c>
      <c r="F130" s="2418">
        <v>515.00019925000004</v>
      </c>
      <c r="G130" s="2418">
        <v>949.31446110000002</v>
      </c>
      <c r="H130" s="2418">
        <v>0</v>
      </c>
      <c r="I130" s="2420">
        <v>527.00300000000004</v>
      </c>
      <c r="J130" s="2421">
        <v>355.60952044999999</v>
      </c>
      <c r="K130" s="2421">
        <v>7376.95633662</v>
      </c>
      <c r="L130" s="2418">
        <v>570.41665957000009</v>
      </c>
      <c r="M130" s="2556"/>
      <c r="O130" s="3992"/>
      <c r="P130" s="3992"/>
    </row>
    <row r="131" spans="1:18" s="3993" customFormat="1" ht="18" hidden="1" customHeight="1">
      <c r="A131" s="2005"/>
      <c r="B131" s="2016" t="s">
        <v>163</v>
      </c>
      <c r="C131" s="2417">
        <v>17663.723208300002</v>
      </c>
      <c r="D131" s="2418">
        <v>7364.8937540899997</v>
      </c>
      <c r="E131" s="2419">
        <v>1241.2061912899999</v>
      </c>
      <c r="F131" s="2418">
        <v>453.47097421000001</v>
      </c>
      <c r="G131" s="2418">
        <v>787.73521707999998</v>
      </c>
      <c r="H131" s="2418">
        <v>0</v>
      </c>
      <c r="I131" s="2420">
        <v>527.00300000000004</v>
      </c>
      <c r="J131" s="2421">
        <v>349.12443444999997</v>
      </c>
      <c r="K131" s="2421">
        <v>7574.9565478000013</v>
      </c>
      <c r="L131" s="2418">
        <v>606.53928066999993</v>
      </c>
      <c r="M131" s="2556"/>
      <c r="O131" s="3992"/>
      <c r="P131" s="3992"/>
      <c r="R131" s="3995"/>
    </row>
    <row r="132" spans="1:18" s="3993" customFormat="1" ht="18" hidden="1" customHeight="1">
      <c r="A132" s="2005"/>
      <c r="B132" s="2016" t="s">
        <v>164</v>
      </c>
      <c r="C132" s="2417">
        <v>18794.852158379999</v>
      </c>
      <c r="D132" s="2418">
        <v>8568.5940895500007</v>
      </c>
      <c r="E132" s="2419">
        <v>1089.7787257699999</v>
      </c>
      <c r="F132" s="2418">
        <v>718.71718811999995</v>
      </c>
      <c r="G132" s="2418">
        <v>371.06153764999999</v>
      </c>
      <c r="H132" s="2418">
        <v>0</v>
      </c>
      <c r="I132" s="2420">
        <v>527.00300000000004</v>
      </c>
      <c r="J132" s="2421">
        <v>344.93101245000003</v>
      </c>
      <c r="K132" s="2421">
        <v>7658.8560181599996</v>
      </c>
      <c r="L132" s="2418">
        <v>605.6893124500001</v>
      </c>
      <c r="M132" s="2556"/>
      <c r="O132" s="3992"/>
      <c r="P132" s="3992"/>
    </row>
    <row r="133" spans="1:18" s="3993" customFormat="1" ht="18" hidden="1" customHeight="1">
      <c r="A133" s="2005"/>
      <c r="B133" s="2016" t="s">
        <v>165</v>
      </c>
      <c r="C133" s="2417">
        <v>19135.505770800002</v>
      </c>
      <c r="D133" s="2418">
        <v>8442.2661899899995</v>
      </c>
      <c r="E133" s="2419">
        <v>1419.3072994600002</v>
      </c>
      <c r="F133" s="2418">
        <v>817.38290790999997</v>
      </c>
      <c r="G133" s="2418">
        <v>601.92439155000011</v>
      </c>
      <c r="H133" s="2418">
        <v>0</v>
      </c>
      <c r="I133" s="2420">
        <v>527.00300000000004</v>
      </c>
      <c r="J133" s="2421">
        <v>347.15558844999998</v>
      </c>
      <c r="K133" s="2421">
        <v>7794.0350736600003</v>
      </c>
      <c r="L133" s="2418">
        <v>605.73861924000005</v>
      </c>
      <c r="M133" s="2556"/>
      <c r="O133" s="3992"/>
      <c r="P133" s="3992"/>
    </row>
    <row r="134" spans="1:18" s="3993" customFormat="1" ht="18" hidden="1" customHeight="1">
      <c r="A134" s="2005"/>
      <c r="B134" s="2016" t="s">
        <v>166</v>
      </c>
      <c r="C134" s="2417">
        <v>17906.711209569999</v>
      </c>
      <c r="D134" s="2418">
        <v>7780.4801301699999</v>
      </c>
      <c r="E134" s="2419">
        <v>777.69005453</v>
      </c>
      <c r="F134" s="2418">
        <v>396.40809495999997</v>
      </c>
      <c r="G134" s="2418">
        <v>381.28195956999997</v>
      </c>
      <c r="H134" s="2418">
        <v>0</v>
      </c>
      <c r="I134" s="2420">
        <v>527.00300000000004</v>
      </c>
      <c r="J134" s="2421">
        <v>347.60705645000002</v>
      </c>
      <c r="K134" s="2421">
        <v>7867.3846574099998</v>
      </c>
      <c r="L134" s="2418">
        <v>606.54631100999995</v>
      </c>
      <c r="M134" s="2556"/>
      <c r="O134" s="3992"/>
      <c r="P134" s="3992"/>
    </row>
    <row r="135" spans="1:18" s="3993" customFormat="1" ht="18" hidden="1" customHeight="1">
      <c r="A135" s="2005"/>
      <c r="B135" s="2016" t="s">
        <v>167</v>
      </c>
      <c r="C135" s="2417">
        <v>18746.457313900002</v>
      </c>
      <c r="D135" s="2418">
        <v>7591.0053174800014</v>
      </c>
      <c r="E135" s="2419">
        <v>1680.6862287699998</v>
      </c>
      <c r="F135" s="2418">
        <v>1171.5722533399999</v>
      </c>
      <c r="G135" s="2418">
        <v>509.11397543000004</v>
      </c>
      <c r="H135" s="2418">
        <v>0</v>
      </c>
      <c r="I135" s="2420">
        <v>527.00300000000004</v>
      </c>
      <c r="J135" s="2421">
        <v>347.60705645000002</v>
      </c>
      <c r="K135" s="2421">
        <v>7993.6094001900001</v>
      </c>
      <c r="L135" s="2418">
        <v>606.54631100999995</v>
      </c>
      <c r="M135" s="2556"/>
      <c r="O135" s="3992"/>
      <c r="P135" s="3992"/>
    </row>
    <row r="136" spans="1:18" s="3993" customFormat="1" ht="18" hidden="1" customHeight="1">
      <c r="A136" s="2005"/>
      <c r="B136" s="2016" t="s">
        <v>168</v>
      </c>
      <c r="C136" s="2417">
        <v>21029.026278159999</v>
      </c>
      <c r="D136" s="2418">
        <v>8840.2796276000008</v>
      </c>
      <c r="E136" s="2419">
        <v>2617.4686910700002</v>
      </c>
      <c r="F136" s="2418">
        <v>2122.1817153900001</v>
      </c>
      <c r="G136" s="2418">
        <v>495.28697567999995</v>
      </c>
      <c r="H136" s="2418">
        <v>0</v>
      </c>
      <c r="I136" s="2420">
        <v>527.00300000000004</v>
      </c>
      <c r="J136" s="2421">
        <v>351.38771453000004</v>
      </c>
      <c r="K136" s="2421">
        <v>8080.6547440000004</v>
      </c>
      <c r="L136" s="2418">
        <v>612.23250096000004</v>
      </c>
      <c r="M136" s="2556"/>
      <c r="O136" s="3992"/>
      <c r="P136" s="3992"/>
    </row>
    <row r="137" spans="1:18" s="3993" customFormat="1" ht="18" hidden="1" customHeight="1">
      <c r="A137" s="2005"/>
      <c r="B137" s="2016" t="s">
        <v>169</v>
      </c>
      <c r="C137" s="2417">
        <v>21874.41337948</v>
      </c>
      <c r="D137" s="2418">
        <v>10745.18745028</v>
      </c>
      <c r="E137" s="2419">
        <v>1387.4468970400001</v>
      </c>
      <c r="F137" s="2418">
        <v>1025.52789968</v>
      </c>
      <c r="G137" s="2418">
        <v>361.91899735999999</v>
      </c>
      <c r="H137" s="2418">
        <v>0</v>
      </c>
      <c r="I137" s="2420">
        <v>527.00300000000004</v>
      </c>
      <c r="J137" s="2421">
        <v>399.17993905000003</v>
      </c>
      <c r="K137" s="2421">
        <v>8182.1220351400007</v>
      </c>
      <c r="L137" s="2418">
        <v>633.47405796999999</v>
      </c>
      <c r="M137" s="2556"/>
      <c r="O137" s="3992"/>
      <c r="P137" s="3992"/>
    </row>
    <row r="138" spans="1:18" s="3993" customFormat="1" ht="18" hidden="1" customHeight="1">
      <c r="A138" s="2005"/>
      <c r="B138" s="2016" t="s">
        <v>170</v>
      </c>
      <c r="C138" s="2417">
        <v>21874.41337948</v>
      </c>
      <c r="D138" s="2418">
        <v>10745.18745028</v>
      </c>
      <c r="E138" s="2419">
        <v>1387.4468970400001</v>
      </c>
      <c r="F138" s="2418">
        <v>1025.52789968</v>
      </c>
      <c r="G138" s="2418">
        <v>361.91899735999999</v>
      </c>
      <c r="H138" s="2418">
        <v>0</v>
      </c>
      <c r="I138" s="2420">
        <v>527.00300000000004</v>
      </c>
      <c r="J138" s="2421">
        <v>399.17993905000003</v>
      </c>
      <c r="K138" s="2421">
        <v>8182.1220351400007</v>
      </c>
      <c r="L138" s="2418">
        <v>633.47405796999999</v>
      </c>
      <c r="M138" s="2556"/>
      <c r="O138" s="3992"/>
      <c r="P138" s="3992"/>
    </row>
    <row r="139" spans="1:18" s="3993" customFormat="1" ht="18" hidden="1" customHeight="1">
      <c r="A139" s="2005"/>
      <c r="B139" s="2016" t="s">
        <v>171</v>
      </c>
      <c r="C139" s="2417">
        <v>23850.559519270002</v>
      </c>
      <c r="D139" s="2418">
        <v>11884.51332555</v>
      </c>
      <c r="E139" s="2419">
        <v>1948.54314292</v>
      </c>
      <c r="F139" s="2418">
        <v>1473.49007837</v>
      </c>
      <c r="G139" s="2418">
        <v>475.05306454999999</v>
      </c>
      <c r="H139" s="2418">
        <v>0</v>
      </c>
      <c r="I139" s="2420">
        <v>527.00300000000004</v>
      </c>
      <c r="J139" s="2421">
        <v>407.80680364000006</v>
      </c>
      <c r="K139" s="2421">
        <v>8428.4205730600006</v>
      </c>
      <c r="L139" s="2418">
        <v>654.27267410000002</v>
      </c>
      <c r="M139" s="2556"/>
      <c r="O139" s="3992"/>
      <c r="P139" s="3992"/>
    </row>
    <row r="140" spans="1:18" s="3993" customFormat="1" ht="18" customHeight="1">
      <c r="A140" s="2005"/>
      <c r="B140" s="2530">
        <v>2009</v>
      </c>
      <c r="C140" s="2417">
        <v>24905.373681059998</v>
      </c>
      <c r="D140" s="2418">
        <v>13306.638654910003</v>
      </c>
      <c r="E140" s="2419">
        <v>1640.8603556600001</v>
      </c>
      <c r="F140" s="2418">
        <v>1234.9793538100002</v>
      </c>
      <c r="G140" s="2418">
        <v>405.88100184999996</v>
      </c>
      <c r="H140" s="2418">
        <v>0</v>
      </c>
      <c r="I140" s="2420">
        <v>605.70005215000003</v>
      </c>
      <c r="J140" s="2421">
        <v>42.063310450000003</v>
      </c>
      <c r="K140" s="2421">
        <v>8727.1008126199995</v>
      </c>
      <c r="L140" s="2418">
        <v>583.01049526999998</v>
      </c>
      <c r="M140" s="2556"/>
      <c r="O140" s="3992"/>
      <c r="P140" s="3992"/>
      <c r="Q140" s="3993" t="s">
        <v>275</v>
      </c>
    </row>
    <row r="141" spans="1:18" s="3993" customFormat="1" ht="18" hidden="1" customHeight="1">
      <c r="A141" s="2005"/>
      <c r="B141" s="2414">
        <v>2010</v>
      </c>
      <c r="C141" s="2424"/>
      <c r="D141" s="2016"/>
      <c r="E141" s="2016"/>
      <c r="F141" s="2016"/>
      <c r="G141" s="2016"/>
      <c r="H141" s="2016"/>
      <c r="I141" s="2016"/>
      <c r="J141" s="2016"/>
      <c r="K141" s="2415"/>
      <c r="L141" s="2016"/>
      <c r="M141" s="2556"/>
    </row>
    <row r="142" spans="1:18" s="3993" customFormat="1" ht="18" hidden="1" customHeight="1">
      <c r="A142" s="2005"/>
      <c r="B142" s="2416" t="s">
        <v>161</v>
      </c>
      <c r="C142" s="2583">
        <v>22942.81615907</v>
      </c>
      <c r="D142" s="2584">
        <v>10557.69231137</v>
      </c>
      <c r="E142" s="2585">
        <v>2272.3840475100001</v>
      </c>
      <c r="F142" s="2584">
        <v>1625.8286305400002</v>
      </c>
      <c r="G142" s="2584">
        <v>646.55541697000001</v>
      </c>
      <c r="H142" s="2584">
        <v>0</v>
      </c>
      <c r="I142" s="2586">
        <v>527.00300000000004</v>
      </c>
      <c r="J142" s="2587">
        <v>42.775166480000003</v>
      </c>
      <c r="K142" s="2587">
        <v>9534.9616337099997</v>
      </c>
      <c r="L142" s="2584">
        <v>8</v>
      </c>
      <c r="M142" s="2556"/>
    </row>
    <row r="143" spans="1:18" s="3993" customFormat="1" ht="18" hidden="1" customHeight="1">
      <c r="A143" s="2005"/>
      <c r="B143" s="2416" t="s">
        <v>162</v>
      </c>
      <c r="C143" s="2583">
        <v>26066.824156279996</v>
      </c>
      <c r="D143" s="2584">
        <v>10731.864258360001</v>
      </c>
      <c r="E143" s="2585">
        <v>5159.8525781199987</v>
      </c>
      <c r="F143" s="2584">
        <v>4517.369689449999</v>
      </c>
      <c r="G143" s="2584">
        <v>642.48288866999997</v>
      </c>
      <c r="H143" s="2584">
        <v>0</v>
      </c>
      <c r="I143" s="2586">
        <v>527.00300000000004</v>
      </c>
      <c r="J143" s="2587">
        <v>43.232668250000003</v>
      </c>
      <c r="K143" s="2587">
        <v>9596.8716515499982</v>
      </c>
      <c r="L143" s="2584">
        <v>8</v>
      </c>
      <c r="M143" s="2556"/>
    </row>
    <row r="144" spans="1:18" s="3993" customFormat="1" ht="18" hidden="1" customHeight="1">
      <c r="A144" s="2005"/>
      <c r="B144" s="2422" t="s">
        <v>163</v>
      </c>
      <c r="C144" s="2583">
        <v>23544.923411150005</v>
      </c>
      <c r="D144" s="2584">
        <v>10973.96166762</v>
      </c>
      <c r="E144" s="2585">
        <v>2300.2736744000003</v>
      </c>
      <c r="F144" s="2584">
        <v>1743.1132628200003</v>
      </c>
      <c r="G144" s="2584">
        <v>557.16041158000007</v>
      </c>
      <c r="H144" s="2584">
        <v>0</v>
      </c>
      <c r="I144" s="2586">
        <v>605.47086694000006</v>
      </c>
      <c r="J144" s="2587">
        <v>42.063310450000003</v>
      </c>
      <c r="K144" s="2587">
        <v>9019.0927907200003</v>
      </c>
      <c r="L144" s="2584">
        <v>604.06110102000002</v>
      </c>
      <c r="M144" s="2556"/>
    </row>
    <row r="145" spans="1:18" s="3993" customFormat="1" ht="18" hidden="1" customHeight="1">
      <c r="A145" s="2005"/>
      <c r="B145" s="2422" t="s">
        <v>164</v>
      </c>
      <c r="C145" s="2583">
        <v>21025.483190670002</v>
      </c>
      <c r="D145" s="2584">
        <v>8813.1528329100001</v>
      </c>
      <c r="E145" s="2585">
        <v>1930.9581504000002</v>
      </c>
      <c r="F145" s="2584">
        <v>1442.6640766100002</v>
      </c>
      <c r="G145" s="2584">
        <v>488.29407379000003</v>
      </c>
      <c r="H145" s="2584">
        <v>0</v>
      </c>
      <c r="I145" s="2586">
        <v>607.28676196000004</v>
      </c>
      <c r="J145" s="2587">
        <v>42.063310450000003</v>
      </c>
      <c r="K145" s="2587">
        <v>9028.5678947900014</v>
      </c>
      <c r="L145" s="2584">
        <v>603.45424015999993</v>
      </c>
      <c r="M145" s="2556"/>
      <c r="R145" s="3992"/>
    </row>
    <row r="146" spans="1:18" s="3993" customFormat="1" ht="18" hidden="1" customHeight="1">
      <c r="A146" s="2005"/>
      <c r="B146" s="2422" t="s">
        <v>165</v>
      </c>
      <c r="C146" s="2583">
        <v>22299.635145750002</v>
      </c>
      <c r="D146" s="2584">
        <v>9831.3229924900006</v>
      </c>
      <c r="E146" s="2585">
        <v>2202.6866463599999</v>
      </c>
      <c r="F146" s="2584">
        <v>1649.35065209</v>
      </c>
      <c r="G146" s="2584">
        <v>553.33599427000001</v>
      </c>
      <c r="H146" s="2584">
        <v>527.00300000000004</v>
      </c>
      <c r="I146" s="2586">
        <v>80.046158509999998</v>
      </c>
      <c r="J146" s="2587">
        <v>42.063310450000003</v>
      </c>
      <c r="K146" s="2587">
        <v>9013.9463027700003</v>
      </c>
      <c r="L146" s="2584">
        <v>602.5667351699999</v>
      </c>
      <c r="M146" s="2556"/>
      <c r="Q146" s="3992"/>
    </row>
    <row r="147" spans="1:18" s="3993" customFormat="1" ht="18" hidden="1" customHeight="1">
      <c r="A147" s="2005"/>
      <c r="B147" s="2423" t="s">
        <v>166</v>
      </c>
      <c r="C147" s="2583">
        <v>21730.311719120004</v>
      </c>
      <c r="D147" s="2584">
        <v>9938.3320792600007</v>
      </c>
      <c r="E147" s="2585">
        <v>1699.59436762</v>
      </c>
      <c r="F147" s="2584">
        <v>958.89624436999998</v>
      </c>
      <c r="G147" s="2584">
        <v>740.69812324999998</v>
      </c>
      <c r="H147" s="2584">
        <v>527.00300000000004</v>
      </c>
      <c r="I147" s="2586">
        <v>75.635799460000001</v>
      </c>
      <c r="J147" s="2587">
        <v>42.063310450000003</v>
      </c>
      <c r="K147" s="2587">
        <v>8853.5631754299993</v>
      </c>
      <c r="L147" s="2584">
        <v>594.11998689999996</v>
      </c>
      <c r="M147" s="2556"/>
    </row>
    <row r="148" spans="1:18" s="3993" customFormat="1" ht="18" hidden="1" customHeight="1">
      <c r="A148" s="2005"/>
      <c r="B148" s="2416" t="s">
        <v>167</v>
      </c>
      <c r="C148" s="2583">
        <v>22473.868493009999</v>
      </c>
      <c r="D148" s="2584">
        <v>10234.634691179999</v>
      </c>
      <c r="E148" s="2585">
        <v>1920.7128293400001</v>
      </c>
      <c r="F148" s="2584">
        <v>1307.0770241600001</v>
      </c>
      <c r="G148" s="2584">
        <v>613.63580518000003</v>
      </c>
      <c r="H148" s="2584">
        <v>527.00300000000004</v>
      </c>
      <c r="I148" s="2586">
        <v>80.673809430000006</v>
      </c>
      <c r="J148" s="2587">
        <v>42.063310450000003</v>
      </c>
      <c r="K148" s="2587">
        <v>9063.1078298400007</v>
      </c>
      <c r="L148" s="2584">
        <v>605.67302276999999</v>
      </c>
      <c r="M148" s="2556"/>
    </row>
    <row r="149" spans="1:18" s="3993" customFormat="1" ht="18" hidden="1" customHeight="1">
      <c r="A149" s="2005"/>
      <c r="B149" s="2416" t="s">
        <v>168</v>
      </c>
      <c r="C149" s="2583">
        <v>23773.960144119999</v>
      </c>
      <c r="D149" s="2584">
        <v>11092.57028894</v>
      </c>
      <c r="E149" s="2585">
        <v>2442.05776711</v>
      </c>
      <c r="F149" s="2584">
        <v>1939.1069608299999</v>
      </c>
      <c r="G149" s="2584">
        <v>502.95080628000005</v>
      </c>
      <c r="H149" s="2584">
        <v>527.00300000000004</v>
      </c>
      <c r="I149" s="2586">
        <v>80.133882819999997</v>
      </c>
      <c r="J149" s="2587">
        <v>42.063310450000003</v>
      </c>
      <c r="K149" s="2587">
        <v>8989.4023683800006</v>
      </c>
      <c r="L149" s="2584">
        <v>600.72952641999996</v>
      </c>
      <c r="M149" s="2556"/>
    </row>
    <row r="150" spans="1:18" s="3993" customFormat="1" ht="18" hidden="1" customHeight="1">
      <c r="A150" s="2005"/>
      <c r="B150" s="2416" t="s">
        <v>169</v>
      </c>
      <c r="C150" s="2583">
        <v>26879.352851550004</v>
      </c>
      <c r="D150" s="2584">
        <v>15735.316935160001</v>
      </c>
      <c r="E150" s="2585">
        <v>927.73534530999996</v>
      </c>
      <c r="F150" s="2584">
        <v>394.54841942999997</v>
      </c>
      <c r="G150" s="2584">
        <v>533.18692587999999</v>
      </c>
      <c r="H150" s="2584">
        <v>527.00300000000004</v>
      </c>
      <c r="I150" s="2586">
        <v>75.422902969999996</v>
      </c>
      <c r="J150" s="2587">
        <v>42.063310450000003</v>
      </c>
      <c r="K150" s="2587">
        <v>8970.7581317799995</v>
      </c>
      <c r="L150" s="2584">
        <v>601.05322588000001</v>
      </c>
      <c r="M150" s="2556"/>
      <c r="P150" s="3992"/>
    </row>
    <row r="151" spans="1:18" s="3993" customFormat="1" ht="18" hidden="1" customHeight="1">
      <c r="A151" s="2005"/>
      <c r="B151" s="2423" t="s">
        <v>170</v>
      </c>
      <c r="C151" s="2583">
        <v>26270.374363729999</v>
      </c>
      <c r="D151" s="2584">
        <v>14775.846597909998</v>
      </c>
      <c r="E151" s="2585">
        <v>1123.1285422700003</v>
      </c>
      <c r="F151" s="2584">
        <v>402.64461586000004</v>
      </c>
      <c r="G151" s="2584">
        <v>720.48392641000009</v>
      </c>
      <c r="H151" s="2584">
        <v>527.00300000000004</v>
      </c>
      <c r="I151" s="2586">
        <v>78.923214639999998</v>
      </c>
      <c r="J151" s="2587">
        <v>42.063310450000003</v>
      </c>
      <c r="K151" s="2587">
        <v>9114.4824393400013</v>
      </c>
      <c r="L151" s="2584">
        <v>608.92725912000003</v>
      </c>
      <c r="M151" s="2556"/>
    </row>
    <row r="152" spans="1:18" s="3993" customFormat="1" ht="18" hidden="1" customHeight="1">
      <c r="A152" s="2005"/>
      <c r="B152" s="2423" t="s">
        <v>171</v>
      </c>
      <c r="C152" s="2583">
        <v>27143.238839340003</v>
      </c>
      <c r="D152" s="2584">
        <v>15953.584450189999</v>
      </c>
      <c r="E152" s="2585">
        <v>952.12919078999994</v>
      </c>
      <c r="F152" s="2584">
        <v>486.0736852</v>
      </c>
      <c r="G152" s="2584">
        <v>466.05550558999994</v>
      </c>
      <c r="H152" s="2584">
        <v>527.00300000000004</v>
      </c>
      <c r="I152" s="2586">
        <v>75.491887189999986</v>
      </c>
      <c r="J152" s="2587">
        <v>42.063310450000003</v>
      </c>
      <c r="K152" s="2587">
        <v>8990.55011405</v>
      </c>
      <c r="L152" s="2584">
        <v>602.41688666999994</v>
      </c>
      <c r="M152" s="2556"/>
    </row>
    <row r="153" spans="1:18" s="3993" customFormat="1" ht="18" customHeight="1">
      <c r="A153" s="2005"/>
      <c r="B153" s="2414">
        <v>2010</v>
      </c>
      <c r="C153" s="2583">
        <v>27908.613687469999</v>
      </c>
      <c r="D153" s="2584">
        <v>15373.782789590001</v>
      </c>
      <c r="E153" s="2585">
        <v>815.93477960999996</v>
      </c>
      <c r="F153" s="2584">
        <v>446.58990013999994</v>
      </c>
      <c r="G153" s="2584">
        <v>369.34487947000002</v>
      </c>
      <c r="H153" s="2584">
        <v>527.00300000000004</v>
      </c>
      <c r="I153" s="2586">
        <v>124.60888127</v>
      </c>
      <c r="J153" s="2587">
        <v>42.063310450000003</v>
      </c>
      <c r="K153" s="2587">
        <v>10358.939265660001</v>
      </c>
      <c r="L153" s="2584">
        <v>666.28166089000001</v>
      </c>
      <c r="M153" s="2556"/>
    </row>
    <row r="154" spans="1:18" s="3993" customFormat="1" ht="18" hidden="1" customHeight="1">
      <c r="A154" s="2014"/>
      <c r="B154" s="2424">
        <v>2011</v>
      </c>
      <c r="C154" s="2588"/>
      <c r="D154" s="2589"/>
      <c r="E154" s="2589"/>
      <c r="F154" s="2589"/>
      <c r="G154" s="2589"/>
      <c r="H154" s="2589"/>
      <c r="I154" s="2589"/>
      <c r="J154" s="2589"/>
      <c r="K154" s="2590"/>
      <c r="L154" s="2589"/>
      <c r="M154" s="2556"/>
      <c r="R154" s="3992"/>
    </row>
    <row r="155" spans="1:18" s="3993" customFormat="1" ht="18" hidden="1" customHeight="1">
      <c r="A155" s="2014"/>
      <c r="B155" s="2016" t="s">
        <v>161</v>
      </c>
      <c r="C155" s="2583">
        <v>22184.131886709994</v>
      </c>
      <c r="D155" s="2584">
        <v>11295.962926069999</v>
      </c>
      <c r="E155" s="2585">
        <v>710.38435755</v>
      </c>
      <c r="F155" s="2584">
        <v>408.06593106000003</v>
      </c>
      <c r="G155" s="2584">
        <v>302.31842648999998</v>
      </c>
      <c r="H155" s="2584">
        <v>527.00300000000004</v>
      </c>
      <c r="I155" s="2586">
        <v>68.204233939999995</v>
      </c>
      <c r="J155" s="2587">
        <v>42.063310450000003</v>
      </c>
      <c r="K155" s="2587">
        <v>8936.7810019999997</v>
      </c>
      <c r="L155" s="2584">
        <v>603.73305669999991</v>
      </c>
      <c r="M155" s="2556"/>
    </row>
    <row r="156" spans="1:18" s="3993" customFormat="1" ht="18" hidden="1" customHeight="1">
      <c r="A156" s="2014"/>
      <c r="B156" s="2016" t="s">
        <v>162</v>
      </c>
      <c r="C156" s="2583">
        <v>22636.463494670003</v>
      </c>
      <c r="D156" s="2584">
        <v>11326.146615080001</v>
      </c>
      <c r="E156" s="2585">
        <v>702.42960936000009</v>
      </c>
      <c r="F156" s="2584">
        <v>292.23149397999998</v>
      </c>
      <c r="G156" s="2584">
        <v>410.19811538000005</v>
      </c>
      <c r="H156" s="2584">
        <v>527.00300000000004</v>
      </c>
      <c r="I156" s="2586">
        <v>74.02388028</v>
      </c>
      <c r="J156" s="2587">
        <v>42.063310450000003</v>
      </c>
      <c r="K156" s="2587">
        <v>9336.3313744900006</v>
      </c>
      <c r="L156" s="2584">
        <v>628.46570500999997</v>
      </c>
      <c r="M156" s="2556"/>
    </row>
    <row r="157" spans="1:18" s="3993" customFormat="1" ht="18" hidden="1" customHeight="1">
      <c r="A157" s="2014"/>
      <c r="B157" s="2016" t="s">
        <v>163</v>
      </c>
      <c r="C157" s="2583">
        <v>22392.59783191</v>
      </c>
      <c r="D157" s="2584">
        <v>8530.0221199299995</v>
      </c>
      <c r="E157" s="2585">
        <v>2627.5726471500002</v>
      </c>
      <c r="F157" s="2584">
        <v>560.65404115000001</v>
      </c>
      <c r="G157" s="2584">
        <v>2066.9186060000002</v>
      </c>
      <c r="H157" s="2584">
        <v>527.00300000000004</v>
      </c>
      <c r="I157" s="2586">
        <v>84.593857650000004</v>
      </c>
      <c r="J157" s="2587">
        <v>42.063310450000003</v>
      </c>
      <c r="K157" s="2587">
        <v>9918.3441808099997</v>
      </c>
      <c r="L157" s="2584">
        <v>662.99871592</v>
      </c>
      <c r="M157" s="2556"/>
      <c r="R157" s="3992"/>
    </row>
    <row r="158" spans="1:18" s="3993" customFormat="1" ht="18" hidden="1" customHeight="1">
      <c r="A158" s="2007"/>
      <c r="B158" s="3484" t="s">
        <v>164</v>
      </c>
      <c r="C158" s="2583">
        <v>23531.299331480001</v>
      </c>
      <c r="D158" s="2584">
        <v>9742.73228337</v>
      </c>
      <c r="E158" s="2585">
        <v>2235.5712400099997</v>
      </c>
      <c r="F158" s="2584">
        <v>685.49759245999996</v>
      </c>
      <c r="G158" s="2584">
        <v>1550.0736475499998</v>
      </c>
      <c r="H158" s="2584">
        <v>527.00300000000004</v>
      </c>
      <c r="I158" s="2586">
        <v>85.779224920000004</v>
      </c>
      <c r="J158" s="2587">
        <v>42.063310450000003</v>
      </c>
      <c r="K158" s="2587">
        <v>10214.76947487</v>
      </c>
      <c r="L158" s="2584">
        <v>683.38079785999992</v>
      </c>
      <c r="M158" s="2556"/>
      <c r="R158" s="3992"/>
    </row>
    <row r="159" spans="1:18" s="3993" customFormat="1" ht="18" hidden="1" customHeight="1">
      <c r="A159" s="2007"/>
      <c r="B159" s="3484" t="s">
        <v>165</v>
      </c>
      <c r="C159" s="2583">
        <v>22474.644452330002</v>
      </c>
      <c r="D159" s="2584">
        <v>9121.0268824400009</v>
      </c>
      <c r="E159" s="2585">
        <v>1494.2891473</v>
      </c>
      <c r="F159" s="2584">
        <v>250.22854545999996</v>
      </c>
      <c r="G159" s="2584">
        <v>1244.0606018399999</v>
      </c>
      <c r="H159" s="2584">
        <v>527.00300000000004</v>
      </c>
      <c r="I159" s="2586">
        <v>85.592221969999997</v>
      </c>
      <c r="J159" s="2587">
        <v>42.063310450000003</v>
      </c>
      <c r="K159" s="2587">
        <v>10500.50917306</v>
      </c>
      <c r="L159" s="2584">
        <v>704.16071711000006</v>
      </c>
      <c r="M159" s="2556"/>
    </row>
    <row r="160" spans="1:18" s="3993" customFormat="1" ht="18" hidden="1" customHeight="1">
      <c r="A160" s="2007"/>
      <c r="B160" s="3484" t="s">
        <v>166</v>
      </c>
      <c r="C160" s="2583">
        <v>23108.410095579999</v>
      </c>
      <c r="D160" s="2584">
        <v>9283.722799430001</v>
      </c>
      <c r="E160" s="2585">
        <v>1947.04424062</v>
      </c>
      <c r="F160" s="2584">
        <v>341.71367767000004</v>
      </c>
      <c r="G160" s="2584">
        <v>1605.3305629500001</v>
      </c>
      <c r="H160" s="2584">
        <v>592.05952425000009</v>
      </c>
      <c r="I160" s="2586">
        <v>404.97518780000001</v>
      </c>
      <c r="J160" s="2587">
        <v>-29.717352520000006</v>
      </c>
      <c r="K160" s="2587">
        <v>10608.89187822</v>
      </c>
      <c r="L160" s="2584">
        <v>301.43381777999997</v>
      </c>
      <c r="M160" s="2556"/>
    </row>
    <row r="161" spans="1:13" s="3993" customFormat="1" ht="17.25" hidden="1" customHeight="1">
      <c r="A161" s="2007"/>
      <c r="B161" s="3484" t="s">
        <v>167</v>
      </c>
      <c r="C161" s="2583">
        <v>24220.473587569999</v>
      </c>
      <c r="D161" s="2584">
        <v>9918.1427364800002</v>
      </c>
      <c r="E161" s="2585">
        <v>1899.5587784200002</v>
      </c>
      <c r="F161" s="2584">
        <v>315.25740347999994</v>
      </c>
      <c r="G161" s="2584">
        <v>1584.3013749400002</v>
      </c>
      <c r="H161" s="2584">
        <v>580.91825133000009</v>
      </c>
      <c r="I161" s="2586">
        <v>395.90415539999998</v>
      </c>
      <c r="J161" s="2587">
        <v>73.240143639999999</v>
      </c>
      <c r="K161" s="2587">
        <v>11251.615246819998</v>
      </c>
      <c r="L161" s="2584">
        <v>101.09427548000001</v>
      </c>
      <c r="M161" s="2556"/>
    </row>
    <row r="162" spans="1:13" s="3993" customFormat="1" ht="17.25" hidden="1" customHeight="1">
      <c r="A162" s="2007"/>
      <c r="B162" s="3484" t="s">
        <v>168</v>
      </c>
      <c r="C162" s="2583">
        <v>22330.46188603</v>
      </c>
      <c r="D162" s="2584">
        <v>7676.0916720499999</v>
      </c>
      <c r="E162" s="2585">
        <v>1355.36257849</v>
      </c>
      <c r="F162" s="2584">
        <v>394.10790220999996</v>
      </c>
      <c r="G162" s="2584">
        <v>961.25467628000013</v>
      </c>
      <c r="H162" s="2584">
        <v>573.23810595000009</v>
      </c>
      <c r="I162" s="2586">
        <v>399.86080520999997</v>
      </c>
      <c r="J162" s="2587">
        <v>72.722856790000009</v>
      </c>
      <c r="K162" s="2587">
        <v>11950.302668640001</v>
      </c>
      <c r="L162" s="2584">
        <v>302.88319889999997</v>
      </c>
      <c r="M162" s="2556"/>
    </row>
    <row r="163" spans="1:13" s="3993" customFormat="1" ht="17.25" hidden="1" customHeight="1">
      <c r="A163" s="2007"/>
      <c r="B163" s="3484" t="s">
        <v>169</v>
      </c>
      <c r="C163" s="2583">
        <v>24949.637541799999</v>
      </c>
      <c r="D163" s="2584">
        <v>9606.330069489999</v>
      </c>
      <c r="E163" s="2585">
        <v>1347.7186267699999</v>
      </c>
      <c r="F163" s="2584">
        <v>252.57322325999999</v>
      </c>
      <c r="G163" s="2584">
        <v>1095.1454035099998</v>
      </c>
      <c r="H163" s="2584">
        <v>572.04802323000001</v>
      </c>
      <c r="I163" s="2586">
        <v>392.84021359999997</v>
      </c>
      <c r="J163" s="2587">
        <v>71.287243610000004</v>
      </c>
      <c r="K163" s="2587">
        <v>12657.76235062</v>
      </c>
      <c r="L163" s="2584">
        <v>301.65101448000001</v>
      </c>
      <c r="M163" s="2556"/>
    </row>
    <row r="164" spans="1:13" s="3993" customFormat="1" ht="17.25" hidden="1" customHeight="1">
      <c r="A164" s="2007"/>
      <c r="B164" s="3484" t="s">
        <v>170</v>
      </c>
      <c r="C164" s="2583">
        <v>25883.816713119999</v>
      </c>
      <c r="D164" s="2584">
        <v>10294.291700440001</v>
      </c>
      <c r="E164" s="2585">
        <v>1453.9526736600001</v>
      </c>
      <c r="F164" s="2584">
        <v>459.94390209999995</v>
      </c>
      <c r="G164" s="2584">
        <v>994.00877156000001</v>
      </c>
      <c r="H164" s="2584">
        <v>41.179160639999999</v>
      </c>
      <c r="I164" s="2586">
        <v>396.29788724000002</v>
      </c>
      <c r="J164" s="2587">
        <v>151.58079759</v>
      </c>
      <c r="K164" s="2587">
        <v>13244.22953167</v>
      </c>
      <c r="L164" s="2584">
        <v>302.28496187999997</v>
      </c>
      <c r="M164" s="2556"/>
    </row>
    <row r="165" spans="1:13" s="3993" customFormat="1" ht="17.25" hidden="1" customHeight="1">
      <c r="A165" s="2007"/>
      <c r="B165" s="3484" t="s">
        <v>171</v>
      </c>
      <c r="C165" s="2583">
        <v>27858.106714719997</v>
      </c>
      <c r="D165" s="2584">
        <v>10778.010078200001</v>
      </c>
      <c r="E165" s="2585">
        <v>1758.2667422999998</v>
      </c>
      <c r="F165" s="2584">
        <v>1067.12379328</v>
      </c>
      <c r="G165" s="2584">
        <v>691.14294901999995</v>
      </c>
      <c r="H165" s="2584">
        <v>564.85372012000005</v>
      </c>
      <c r="I165" s="2586">
        <v>491.01764488000003</v>
      </c>
      <c r="J165" s="2587">
        <v>133.66651919999998</v>
      </c>
      <c r="K165" s="2587">
        <v>13829.465434549998</v>
      </c>
      <c r="L165" s="2584">
        <v>302.82657546999997</v>
      </c>
      <c r="M165" s="2556"/>
    </row>
    <row r="166" spans="1:13" s="3993" customFormat="1" ht="17.25" customHeight="1">
      <c r="A166" s="2007"/>
      <c r="B166" s="2424">
        <v>2011</v>
      </c>
      <c r="C166" s="2583">
        <v>24766.03062646</v>
      </c>
      <c r="D166" s="2584">
        <v>7824.0810388</v>
      </c>
      <c r="E166" s="2585">
        <v>1188.90191972</v>
      </c>
      <c r="F166" s="2584">
        <v>589.55581059999986</v>
      </c>
      <c r="G166" s="2584">
        <v>599.34610912000005</v>
      </c>
      <c r="H166" s="2584">
        <v>558.74409959000002</v>
      </c>
      <c r="I166" s="2586">
        <v>482.92866608999998</v>
      </c>
      <c r="J166" s="2587">
        <v>144.67497058000001</v>
      </c>
      <c r="K166" s="2587">
        <v>14265.006401709999</v>
      </c>
      <c r="L166" s="2584">
        <v>301.69352996999999</v>
      </c>
      <c r="M166" s="2556"/>
    </row>
    <row r="167" spans="1:13" s="3993" customFormat="1" ht="17.25" hidden="1" customHeight="1">
      <c r="A167" s="2007"/>
      <c r="B167" s="2424">
        <v>2012</v>
      </c>
      <c r="C167" s="2583"/>
      <c r="D167" s="2584"/>
      <c r="E167" s="2585"/>
      <c r="F167" s="2584"/>
      <c r="G167" s="2584"/>
      <c r="H167" s="2584"/>
      <c r="I167" s="2586"/>
      <c r="J167" s="2587"/>
      <c r="K167" s="2590"/>
      <c r="L167" s="2589"/>
      <c r="M167" s="2556"/>
    </row>
    <row r="168" spans="1:13" s="3993" customFormat="1" ht="17.25" hidden="1" customHeight="1">
      <c r="A168" s="2007"/>
      <c r="B168" s="2016" t="s">
        <v>161</v>
      </c>
      <c r="C168" s="2583">
        <v>25078.902576469998</v>
      </c>
      <c r="D168" s="2584">
        <v>7689.0594185199998</v>
      </c>
      <c r="E168" s="2585">
        <v>1172.3910894099999</v>
      </c>
      <c r="F168" s="2584">
        <v>392.93929414000002</v>
      </c>
      <c r="G168" s="2584">
        <v>779.45179526999993</v>
      </c>
      <c r="H168" s="2584">
        <v>556.98984380000002</v>
      </c>
      <c r="I168" s="2586">
        <v>486.76779687999993</v>
      </c>
      <c r="J168" s="2587">
        <v>144.22791989000001</v>
      </c>
      <c r="K168" s="2587">
        <v>14727.188406130001</v>
      </c>
      <c r="L168" s="2584">
        <v>302.27810183999998</v>
      </c>
      <c r="M168" s="2556"/>
    </row>
    <row r="169" spans="1:13" s="3993" customFormat="1" ht="17.25" hidden="1" customHeight="1">
      <c r="A169" s="2007"/>
      <c r="B169" s="2016" t="s">
        <v>162</v>
      </c>
      <c r="C169" s="2583">
        <v>27202.529053849998</v>
      </c>
      <c r="D169" s="2584">
        <v>9531.8631072199987</v>
      </c>
      <c r="E169" s="2585">
        <v>1072.6441724700001</v>
      </c>
      <c r="F169" s="2584">
        <v>252.93391972999999</v>
      </c>
      <c r="G169" s="2584">
        <v>819.71025273999999</v>
      </c>
      <c r="H169" s="2584">
        <v>554.97175998</v>
      </c>
      <c r="I169" s="2586">
        <v>490.67736972999995</v>
      </c>
      <c r="J169" s="2587">
        <v>149.58114653000001</v>
      </c>
      <c r="K169" s="2587">
        <v>15101.180402199998</v>
      </c>
      <c r="L169" s="2584">
        <v>301.61109572000004</v>
      </c>
      <c r="M169" s="2556"/>
    </row>
    <row r="170" spans="1:13" s="3993" customFormat="1" ht="17.25" hidden="1" customHeight="1">
      <c r="A170" s="2007"/>
      <c r="B170" s="2016" t="s">
        <v>163</v>
      </c>
      <c r="C170" s="2583">
        <v>24107.72057618</v>
      </c>
      <c r="D170" s="2584">
        <v>5661.4853798700005</v>
      </c>
      <c r="E170" s="2585">
        <v>1545.9613778399998</v>
      </c>
      <c r="F170" s="2584">
        <v>604.75575475999995</v>
      </c>
      <c r="G170" s="2584">
        <v>941.20562308000001</v>
      </c>
      <c r="H170" s="2584">
        <v>545.46616773000005</v>
      </c>
      <c r="I170" s="2586">
        <v>481.55466905999998</v>
      </c>
      <c r="J170" s="2587">
        <v>133.57285604999998</v>
      </c>
      <c r="K170" s="2587">
        <v>15437.99411535</v>
      </c>
      <c r="L170" s="2584">
        <v>301.68601027999995</v>
      </c>
      <c r="M170" s="2556"/>
    </row>
    <row r="171" spans="1:13" s="3993" customFormat="1" ht="17.25" hidden="1" customHeight="1">
      <c r="A171" s="2005"/>
      <c r="B171" s="2016" t="s">
        <v>164</v>
      </c>
      <c r="C171" s="2583">
        <v>23111.603044289997</v>
      </c>
      <c r="D171" s="2584">
        <v>4227.9703928700001</v>
      </c>
      <c r="E171" s="2585">
        <v>1530.2837358199999</v>
      </c>
      <c r="F171" s="2584">
        <v>628.2864642699999</v>
      </c>
      <c r="G171" s="2584">
        <v>901.99727155000005</v>
      </c>
      <c r="H171" s="2584">
        <v>543.78840597999999</v>
      </c>
      <c r="I171" s="2586">
        <v>711.76394206000009</v>
      </c>
      <c r="J171" s="2587">
        <v>128.03604895000001</v>
      </c>
      <c r="K171" s="2587">
        <v>15668.113663099997</v>
      </c>
      <c r="L171" s="2584">
        <v>301.64685550999997</v>
      </c>
      <c r="M171" s="2556"/>
    </row>
    <row r="172" spans="1:13" s="3993" customFormat="1" ht="17.25" hidden="1" customHeight="1">
      <c r="A172" s="2005"/>
      <c r="B172" s="2016" t="s">
        <v>165</v>
      </c>
      <c r="C172" s="2583">
        <v>25381.893310240001</v>
      </c>
      <c r="D172" s="2584">
        <v>6887.2553371099993</v>
      </c>
      <c r="E172" s="2585">
        <v>1208.3809927699999</v>
      </c>
      <c r="F172" s="2584">
        <v>565.55933666999999</v>
      </c>
      <c r="G172" s="2584">
        <v>642.82165609999993</v>
      </c>
      <c r="H172" s="2584">
        <v>546.38561873000003</v>
      </c>
      <c r="I172" s="2586">
        <v>718.47080367000001</v>
      </c>
      <c r="J172" s="2587">
        <v>134.12790452000002</v>
      </c>
      <c r="K172" s="2587">
        <v>15585.587909470001</v>
      </c>
      <c r="L172" s="2584">
        <v>301.68474397000006</v>
      </c>
      <c r="M172" s="2556"/>
    </row>
    <row r="173" spans="1:13" s="3996" customFormat="1" ht="17.25" hidden="1" customHeight="1">
      <c r="A173" s="2017"/>
      <c r="B173" s="2016" t="s">
        <v>166</v>
      </c>
      <c r="C173" s="2583">
        <v>25904.149835910001</v>
      </c>
      <c r="D173" s="2584">
        <v>7209.9816905600001</v>
      </c>
      <c r="E173" s="2591">
        <v>1437.88271463</v>
      </c>
      <c r="F173" s="2589">
        <v>909.40387772999986</v>
      </c>
      <c r="G173" s="2589">
        <v>528.47883690000003</v>
      </c>
      <c r="H173" s="2589">
        <v>545.95855688000006</v>
      </c>
      <c r="I173" s="2586">
        <v>711.10687449</v>
      </c>
      <c r="J173" s="2587">
        <v>130.36190023</v>
      </c>
      <c r="K173" s="2587">
        <v>15567.209879120001</v>
      </c>
      <c r="L173" s="2584">
        <v>301.64821999999998</v>
      </c>
      <c r="M173" s="2556"/>
    </row>
    <row r="174" spans="1:13" s="3996" customFormat="1" ht="17.25" hidden="1" customHeight="1">
      <c r="A174" s="2017"/>
      <c r="B174" s="2016" t="s">
        <v>167</v>
      </c>
      <c r="C174" s="2583">
        <v>25770.459216529998</v>
      </c>
      <c r="D174" s="2584">
        <v>6148.0664555500007</v>
      </c>
      <c r="E174" s="2591">
        <v>2383.2311285800001</v>
      </c>
      <c r="F174" s="2589">
        <v>1722.6243808500001</v>
      </c>
      <c r="G174" s="2589">
        <v>660.60674773000005</v>
      </c>
      <c r="H174" s="2589">
        <v>543.44762933000004</v>
      </c>
      <c r="I174" s="2586">
        <v>716.66971029000001</v>
      </c>
      <c r="J174" s="2587">
        <v>119.35384670000001</v>
      </c>
      <c r="K174" s="2587">
        <v>15540.004604219999</v>
      </c>
      <c r="L174" s="2584">
        <v>319.68584186000004</v>
      </c>
      <c r="M174" s="2556"/>
    </row>
    <row r="175" spans="1:13" s="3996" customFormat="1" ht="17.25" hidden="1" customHeight="1">
      <c r="A175" s="2017"/>
      <c r="B175" s="2016" t="s">
        <v>168</v>
      </c>
      <c r="C175" s="2583">
        <v>27640.875388789995</v>
      </c>
      <c r="D175" s="2584">
        <v>9068.3220332000001</v>
      </c>
      <c r="E175" s="2591">
        <v>1065.0587876999998</v>
      </c>
      <c r="F175" s="2589">
        <v>545.31328038999993</v>
      </c>
      <c r="G175" s="2589">
        <v>519.74550730999999</v>
      </c>
      <c r="H175" s="2589">
        <v>541.87897484000007</v>
      </c>
      <c r="I175" s="2586">
        <v>722.55801952999991</v>
      </c>
      <c r="J175" s="2587">
        <v>112.27580945999999</v>
      </c>
      <c r="K175" s="2587">
        <v>15811.09619808</v>
      </c>
      <c r="L175" s="2584">
        <v>319.68556598000004</v>
      </c>
      <c r="M175" s="2556"/>
    </row>
    <row r="176" spans="1:13" s="3996" customFormat="1" ht="17.25" hidden="1" customHeight="1">
      <c r="A176" s="2017"/>
      <c r="B176" s="2016" t="s">
        <v>169</v>
      </c>
      <c r="C176" s="2583">
        <v>27530.278604189996</v>
      </c>
      <c r="D176" s="2584">
        <v>8148.9695161399995</v>
      </c>
      <c r="E176" s="2591">
        <v>1914.05377443</v>
      </c>
      <c r="F176" s="2589">
        <v>1132.0840411899999</v>
      </c>
      <c r="G176" s="2589">
        <v>781.96973323999998</v>
      </c>
      <c r="H176" s="2589">
        <v>541.31484779000004</v>
      </c>
      <c r="I176" s="2586">
        <v>717.21608823000008</v>
      </c>
      <c r="J176" s="2587">
        <v>93.556426139999999</v>
      </c>
      <c r="K176" s="2587">
        <v>15795.518585419999</v>
      </c>
      <c r="L176" s="2584">
        <v>319.64936603999996</v>
      </c>
      <c r="M176" s="2556"/>
    </row>
    <row r="177" spans="1:13" s="3996" customFormat="1" ht="17.25" hidden="1" customHeight="1">
      <c r="A177" s="2017"/>
      <c r="B177" s="2016" t="s">
        <v>170</v>
      </c>
      <c r="C177" s="2583">
        <v>28417.622412880002</v>
      </c>
      <c r="D177" s="2584">
        <v>9134.2596511600004</v>
      </c>
      <c r="E177" s="2591">
        <v>1898.9183263199998</v>
      </c>
      <c r="F177" s="2589">
        <v>970.82362210999986</v>
      </c>
      <c r="G177" s="2589">
        <v>928.09470420999992</v>
      </c>
      <c r="H177" s="2589">
        <v>535.04597094000007</v>
      </c>
      <c r="I177" s="2586">
        <v>716.4929549200001</v>
      </c>
      <c r="J177" s="2587">
        <v>83.434967240000006</v>
      </c>
      <c r="K177" s="2587">
        <v>15729.78250161</v>
      </c>
      <c r="L177" s="2584">
        <v>319.68804068999998</v>
      </c>
      <c r="M177" s="2556"/>
    </row>
    <row r="178" spans="1:13" s="3996" customFormat="1" ht="17.25" hidden="1" customHeight="1">
      <c r="A178" s="2017"/>
      <c r="B178" s="2016" t="s">
        <v>171</v>
      </c>
      <c r="C178" s="2583">
        <v>29795.596598625998</v>
      </c>
      <c r="D178" s="2584">
        <v>9543.5880926299997</v>
      </c>
      <c r="E178" s="2591">
        <v>1602.2211842899999</v>
      </c>
      <c r="F178" s="2589">
        <v>530.51620920000005</v>
      </c>
      <c r="G178" s="2589">
        <v>1071.7049750899998</v>
      </c>
      <c r="H178" s="2589">
        <v>1818.4080808799999</v>
      </c>
      <c r="I178" s="2586">
        <v>723.08079960000009</v>
      </c>
      <c r="J178" s="2587">
        <v>89.15038783</v>
      </c>
      <c r="K178" s="2587">
        <v>15699.500267265999</v>
      </c>
      <c r="L178" s="2584">
        <v>319.64778612999999</v>
      </c>
      <c r="M178" s="2556"/>
    </row>
    <row r="179" spans="1:13" s="3996" customFormat="1" ht="17.25" customHeight="1">
      <c r="A179" s="2017"/>
      <c r="B179" s="2424">
        <v>2012</v>
      </c>
      <c r="C179" s="2592">
        <v>27571.827341290002</v>
      </c>
      <c r="D179" s="2593">
        <v>8237.7938382299999</v>
      </c>
      <c r="E179" s="2591">
        <v>1579.66918197</v>
      </c>
      <c r="F179" s="2589">
        <v>614.19587444999979</v>
      </c>
      <c r="G179" s="2589">
        <v>965.47330752000005</v>
      </c>
      <c r="H179" s="2589">
        <v>970.78027634</v>
      </c>
      <c r="I179" s="2586">
        <v>722.48833166999998</v>
      </c>
      <c r="J179" s="2594">
        <v>82.223317640000005</v>
      </c>
      <c r="K179" s="2594">
        <v>15450.422933990001</v>
      </c>
      <c r="L179" s="2593">
        <v>528.44946144999994</v>
      </c>
      <c r="M179" s="2556"/>
    </row>
    <row r="180" spans="1:13" s="2018" customFormat="1" ht="17.25" customHeight="1">
      <c r="A180" s="2017"/>
      <c r="B180" s="2425">
        <v>2013</v>
      </c>
      <c r="C180" s="2595"/>
      <c r="D180" s="2589"/>
      <c r="E180" s="2591"/>
      <c r="F180" s="2589"/>
      <c r="G180" s="2589"/>
      <c r="H180" s="2589"/>
      <c r="I180" s="2589"/>
      <c r="J180" s="2589"/>
      <c r="K180" s="2589"/>
      <c r="L180" s="2596"/>
      <c r="M180" s="2556"/>
    </row>
    <row r="181" spans="1:13" s="2018" customFormat="1" ht="17.25" customHeight="1">
      <c r="A181" s="2017"/>
      <c r="B181" s="2409" t="s">
        <v>161</v>
      </c>
      <c r="C181" s="2595">
        <v>26248.292524876</v>
      </c>
      <c r="D181" s="2589">
        <v>6905.6674248600002</v>
      </c>
      <c r="E181" s="2591">
        <v>1931.3534044099999</v>
      </c>
      <c r="F181" s="2589">
        <v>697.11510468000006</v>
      </c>
      <c r="G181" s="2589">
        <v>1234.2382997299999</v>
      </c>
      <c r="H181" s="2589">
        <v>527.00300000000004</v>
      </c>
      <c r="I181" s="2589">
        <v>728.63999743999989</v>
      </c>
      <c r="J181" s="2589">
        <v>78.379963889999999</v>
      </c>
      <c r="K181" s="2589">
        <v>15548.799272826001</v>
      </c>
      <c r="L181" s="2596">
        <v>528.44946144999994</v>
      </c>
      <c r="M181" s="2556"/>
    </row>
    <row r="182" spans="1:13" s="2018" customFormat="1" ht="17.25" customHeight="1">
      <c r="A182" s="2017"/>
      <c r="B182" s="2409" t="s">
        <v>162</v>
      </c>
      <c r="C182" s="2595">
        <v>25299.767084465999</v>
      </c>
      <c r="D182" s="2589">
        <v>5656.0978725200002</v>
      </c>
      <c r="E182" s="2591">
        <v>2223.0327373999999</v>
      </c>
      <c r="F182" s="2589">
        <v>681.15449535000005</v>
      </c>
      <c r="G182" s="2589">
        <v>1541.8782420499999</v>
      </c>
      <c r="H182" s="2589">
        <v>527.00300000000004</v>
      </c>
      <c r="I182" s="2589">
        <v>733.09397738999985</v>
      </c>
      <c r="J182" s="2589">
        <v>78.831554570000009</v>
      </c>
      <c r="K182" s="2589">
        <v>15562.099282796</v>
      </c>
      <c r="L182" s="2596">
        <v>519.60865979000005</v>
      </c>
      <c r="M182" s="2556"/>
    </row>
    <row r="183" spans="1:13" s="2018" customFormat="1" ht="17.25" customHeight="1">
      <c r="A183" s="2017"/>
      <c r="B183" s="2413" t="s">
        <v>163</v>
      </c>
      <c r="C183" s="2592">
        <v>28469.265423956</v>
      </c>
      <c r="D183" s="2593">
        <v>7544.8419815800007</v>
      </c>
      <c r="E183" s="2597">
        <v>3383.596043</v>
      </c>
      <c r="F183" s="2593">
        <v>1399.8361583899998</v>
      </c>
      <c r="G183" s="2593">
        <v>1983.7598846100002</v>
      </c>
      <c r="H183" s="2593">
        <v>527.00300000000004</v>
      </c>
      <c r="I183" s="2593">
        <v>728.35520216999998</v>
      </c>
      <c r="J183" s="2593">
        <v>69.377868700000008</v>
      </c>
      <c r="K183" s="2593">
        <v>15708.777530326</v>
      </c>
      <c r="L183" s="2593">
        <v>507.31379817999999</v>
      </c>
      <c r="M183" s="2556"/>
    </row>
    <row r="184" spans="1:13" s="2018" customFormat="1" ht="17.25" customHeight="1">
      <c r="A184" s="2017"/>
      <c r="B184" s="2413" t="s">
        <v>164</v>
      </c>
      <c r="C184" s="2592">
        <v>25395.466458635994</v>
      </c>
      <c r="D184" s="2593">
        <v>5734.5587612399995</v>
      </c>
      <c r="E184" s="2597">
        <v>1968.67127351</v>
      </c>
      <c r="F184" s="2593">
        <v>415.35758855</v>
      </c>
      <c r="G184" s="2593">
        <v>1553.31368496</v>
      </c>
      <c r="H184" s="2593">
        <v>527.00320564000003</v>
      </c>
      <c r="I184" s="2593">
        <v>733.22599555999989</v>
      </c>
      <c r="J184" s="2593">
        <v>58.870782020000007</v>
      </c>
      <c r="K184" s="2593">
        <v>15878.335050785998</v>
      </c>
      <c r="L184" s="2593">
        <v>494.80138987999999</v>
      </c>
      <c r="M184" s="2556"/>
    </row>
    <row r="185" spans="1:13" s="2018" customFormat="1" ht="17.25" customHeight="1">
      <c r="A185" s="2017"/>
      <c r="B185" s="2413" t="s">
        <v>165</v>
      </c>
      <c r="C185" s="2592">
        <v>26748.909099916</v>
      </c>
      <c r="D185" s="2593">
        <v>6991.2609942899999</v>
      </c>
      <c r="E185" s="2597">
        <v>1946.1563918400002</v>
      </c>
      <c r="F185" s="2593">
        <v>452.01080976000009</v>
      </c>
      <c r="G185" s="2593">
        <v>1494.1455820800002</v>
      </c>
      <c r="H185" s="2593">
        <v>527.00300000000004</v>
      </c>
      <c r="I185" s="2593">
        <v>739.55104856000003</v>
      </c>
      <c r="J185" s="2593">
        <v>59.021954560000005</v>
      </c>
      <c r="K185" s="2593">
        <v>16003.608728746</v>
      </c>
      <c r="L185" s="2593">
        <v>482.30698192</v>
      </c>
      <c r="M185" s="2556"/>
    </row>
    <row r="186" spans="1:13" s="2018" customFormat="1" ht="17.25" customHeight="1">
      <c r="A186" s="2017"/>
      <c r="B186" s="2754" t="s">
        <v>166</v>
      </c>
      <c r="C186" s="2755">
        <v>33291.712624749998</v>
      </c>
      <c r="D186" s="2756">
        <v>12793.03642606</v>
      </c>
      <c r="E186" s="2757">
        <v>1614.7340226899996</v>
      </c>
      <c r="F186" s="2756">
        <v>299.89748649000001</v>
      </c>
      <c r="G186" s="2756">
        <v>1314.8365361999997</v>
      </c>
      <c r="H186" s="2756">
        <v>1632.9364173200001</v>
      </c>
      <c r="I186" s="2756">
        <v>795.18147377000003</v>
      </c>
      <c r="J186" s="2756">
        <v>54.762190400000001</v>
      </c>
      <c r="K186" s="2756">
        <v>15947.29695991</v>
      </c>
      <c r="L186" s="2756">
        <v>453.76513460000001</v>
      </c>
      <c r="M186" s="2556"/>
    </row>
    <row r="187" spans="1:13" s="2018" customFormat="1" ht="17.25" customHeight="1">
      <c r="A187" s="2017"/>
      <c r="B187" s="2754" t="s">
        <v>167</v>
      </c>
      <c r="C187" s="2755">
        <v>26979.269188049999</v>
      </c>
      <c r="D187" s="2756">
        <v>5565.6923577899997</v>
      </c>
      <c r="E187" s="2757">
        <v>1792.1398105799997</v>
      </c>
      <c r="F187" s="2756">
        <v>378.89259844999998</v>
      </c>
      <c r="G187" s="2756">
        <v>1413.2472121299998</v>
      </c>
      <c r="H187" s="2756">
        <v>2487.1905903699999</v>
      </c>
      <c r="I187" s="2756">
        <v>751.28315636000002</v>
      </c>
      <c r="J187" s="2756">
        <v>55.276661760000003</v>
      </c>
      <c r="K187" s="2756">
        <v>15800.590438709998</v>
      </c>
      <c r="L187" s="2756">
        <v>527.09617247999995</v>
      </c>
      <c r="M187" s="2556"/>
    </row>
    <row r="188" spans="1:13" s="2018" customFormat="1" ht="17.25" customHeight="1">
      <c r="A188" s="2017"/>
      <c r="B188" s="2754" t="s">
        <v>168</v>
      </c>
      <c r="C188" s="2755">
        <v>28494.092035196001</v>
      </c>
      <c r="D188" s="2756">
        <v>7939.7193868300001</v>
      </c>
      <c r="E188" s="2757">
        <v>1690.1787597999996</v>
      </c>
      <c r="F188" s="2756">
        <v>326.11844181999993</v>
      </c>
      <c r="G188" s="2756">
        <v>1364.0603179799998</v>
      </c>
      <c r="H188" s="2756">
        <v>1719.2234944400002</v>
      </c>
      <c r="I188" s="2756">
        <v>758.55518131999986</v>
      </c>
      <c r="J188" s="2756">
        <v>55.812933350000002</v>
      </c>
      <c r="K188" s="2756">
        <v>15819.920838506001</v>
      </c>
      <c r="L188" s="2756">
        <v>510.68144095000002</v>
      </c>
      <c r="M188" s="2556"/>
    </row>
    <row r="189" spans="1:13" s="2018" customFormat="1" ht="17.25" customHeight="1">
      <c r="A189" s="2017"/>
      <c r="B189" s="2754" t="s">
        <v>169</v>
      </c>
      <c r="C189" s="2755">
        <v>29932.863760635999</v>
      </c>
      <c r="D189" s="2756">
        <v>10031.20139298</v>
      </c>
      <c r="E189" s="2757">
        <v>1815.65144768</v>
      </c>
      <c r="F189" s="2756">
        <v>350.35366262999992</v>
      </c>
      <c r="G189" s="2756">
        <v>1465.2977850500001</v>
      </c>
      <c r="H189" s="2756">
        <v>527.00300000000004</v>
      </c>
      <c r="I189" s="2756">
        <v>763.47422488000007</v>
      </c>
      <c r="J189" s="2756">
        <v>54.113027209999998</v>
      </c>
      <c r="K189" s="2756">
        <v>16227.288411395999</v>
      </c>
      <c r="L189" s="2756">
        <v>514.13225649000003</v>
      </c>
      <c r="M189" s="2556"/>
    </row>
    <row r="190" spans="1:13" s="2018" customFormat="1" ht="17.25" customHeight="1">
      <c r="A190" s="2017"/>
      <c r="B190" s="2754" t="s">
        <v>170</v>
      </c>
      <c r="C190" s="2755">
        <v>30000.810827096004</v>
      </c>
      <c r="D190" s="2756">
        <v>10237.27321741</v>
      </c>
      <c r="E190" s="2757">
        <v>2180.1751031700001</v>
      </c>
      <c r="F190" s="2756">
        <v>637.03669381999998</v>
      </c>
      <c r="G190" s="2756">
        <v>1543.1384093500001</v>
      </c>
      <c r="H190" s="2756">
        <v>146.26900000000001</v>
      </c>
      <c r="I190" s="2756">
        <v>732.34235939999996</v>
      </c>
      <c r="J190" s="2756">
        <v>53.885206490000002</v>
      </c>
      <c r="K190" s="2756">
        <v>16173.472382296</v>
      </c>
      <c r="L190" s="2756">
        <v>477.39355832999996</v>
      </c>
      <c r="M190" s="2556"/>
    </row>
    <row r="191" spans="1:13" s="2018" customFormat="1" ht="17.25" customHeight="1">
      <c r="A191" s="2017"/>
      <c r="B191" s="2754" t="s">
        <v>171</v>
      </c>
      <c r="C191" s="2755">
        <v>31260.172855650002</v>
      </c>
      <c r="D191" s="2756">
        <v>11202.04020558</v>
      </c>
      <c r="E191" s="2757">
        <v>2361.7171510200001</v>
      </c>
      <c r="F191" s="2756">
        <v>515.67213941</v>
      </c>
      <c r="G191" s="2756">
        <v>1846.0450116100001</v>
      </c>
      <c r="H191" s="2756">
        <v>146.26900000000001</v>
      </c>
      <c r="I191" s="2756">
        <v>737.57779162999987</v>
      </c>
      <c r="J191" s="2756">
        <v>53.834482340000001</v>
      </c>
      <c r="K191" s="2756">
        <v>16282.383727829998</v>
      </c>
      <c r="L191" s="2756">
        <v>476.35049724999999</v>
      </c>
      <c r="M191" s="2556"/>
    </row>
    <row r="192" spans="1:13" s="2018" customFormat="1" ht="17.25" customHeight="1">
      <c r="A192" s="2017"/>
      <c r="B192" s="2754" t="s">
        <v>148</v>
      </c>
      <c r="C192" s="2755">
        <v>30367.154039999998</v>
      </c>
      <c r="D192" s="2756">
        <v>10335.445419490001</v>
      </c>
      <c r="E192" s="2757">
        <v>2170.5969100600005</v>
      </c>
      <c r="F192" s="2756">
        <v>330.85295668000003</v>
      </c>
      <c r="G192" s="2756">
        <v>1839.7439533800002</v>
      </c>
      <c r="H192" s="2756">
        <v>105.372</v>
      </c>
      <c r="I192" s="2756">
        <v>773.24612006999996</v>
      </c>
      <c r="J192" s="2756">
        <v>52.490882880000001</v>
      </c>
      <c r="K192" s="2756">
        <v>16310.8226517</v>
      </c>
      <c r="L192" s="2756">
        <v>619.18005579999999</v>
      </c>
      <c r="M192" s="2556"/>
    </row>
    <row r="193" spans="1:13" s="2018" customFormat="1" ht="17.25" customHeight="1">
      <c r="A193" s="2017"/>
      <c r="B193" s="2915">
        <v>2014</v>
      </c>
      <c r="C193" s="2755"/>
      <c r="D193" s="2756"/>
      <c r="E193" s="2757"/>
      <c r="F193" s="2756"/>
      <c r="G193" s="2756"/>
      <c r="H193" s="2756"/>
      <c r="I193" s="2756"/>
      <c r="J193" s="2756"/>
      <c r="K193" s="2756"/>
      <c r="L193" s="2756"/>
      <c r="M193" s="2556"/>
    </row>
    <row r="194" spans="1:13" s="2018" customFormat="1" ht="17.25" customHeight="1">
      <c r="A194" s="2017"/>
      <c r="B194" s="2754" t="s">
        <v>161</v>
      </c>
      <c r="C194" s="2755">
        <v>33184.365325170002</v>
      </c>
      <c r="D194" s="2756">
        <v>12162.992404459999</v>
      </c>
      <c r="E194" s="2757">
        <v>2938.3293981600004</v>
      </c>
      <c r="F194" s="2756">
        <v>609.13923586000055</v>
      </c>
      <c r="G194" s="2756">
        <v>2329.1901622999999</v>
      </c>
      <c r="H194" s="2756">
        <v>105.372</v>
      </c>
      <c r="I194" s="2756">
        <v>917.77568550000001</v>
      </c>
      <c r="J194" s="2756">
        <v>344.18199172000004</v>
      </c>
      <c r="K194" s="2756">
        <v>16117.986991070004</v>
      </c>
      <c r="L194" s="2756">
        <v>597.72685425999998</v>
      </c>
      <c r="M194" s="2556"/>
    </row>
    <row r="195" spans="1:13" s="2018" customFormat="1" ht="17.25" customHeight="1">
      <c r="A195" s="2017"/>
      <c r="B195" s="2754" t="s">
        <v>162</v>
      </c>
      <c r="C195" s="2755">
        <v>32808.983123780003</v>
      </c>
      <c r="D195" s="2756">
        <v>10576.941827060002</v>
      </c>
      <c r="E195" s="2757">
        <v>3902.0221499700001</v>
      </c>
      <c r="F195" s="2756">
        <v>712.16908143000012</v>
      </c>
      <c r="G195" s="2756">
        <v>3189.8530685400001</v>
      </c>
      <c r="H195" s="2756">
        <v>105.372</v>
      </c>
      <c r="I195" s="2756">
        <v>923.30039390999991</v>
      </c>
      <c r="J195" s="2756">
        <v>379.86670528000002</v>
      </c>
      <c r="K195" s="2756">
        <v>16345.762522520001</v>
      </c>
      <c r="L195" s="2756">
        <v>575.71752503999994</v>
      </c>
      <c r="M195" s="2556"/>
    </row>
    <row r="196" spans="1:13" s="2018" customFormat="1" ht="17.25" customHeight="1">
      <c r="A196" s="2017"/>
      <c r="B196" s="2754" t="s">
        <v>163</v>
      </c>
      <c r="C196" s="2755">
        <v>30300.495850290001</v>
      </c>
      <c r="D196" s="2756">
        <v>9005.1271449300002</v>
      </c>
      <c r="E196" s="2757">
        <v>3039.0137239500004</v>
      </c>
      <c r="F196" s="2756">
        <v>434.61105991000005</v>
      </c>
      <c r="G196" s="2756">
        <v>2604.4026640400002</v>
      </c>
      <c r="H196" s="2756">
        <v>105.372</v>
      </c>
      <c r="I196" s="2756">
        <v>1002.3079956700001</v>
      </c>
      <c r="J196" s="2756">
        <v>352.99412024000003</v>
      </c>
      <c r="K196" s="2756">
        <v>16246.484905959998</v>
      </c>
      <c r="L196" s="2756">
        <v>549.19595953999999</v>
      </c>
      <c r="M196" s="2556"/>
    </row>
    <row r="197" spans="1:13" s="2018" customFormat="1" ht="17.25" customHeight="1">
      <c r="A197" s="2017"/>
      <c r="B197" s="2754" t="s">
        <v>164</v>
      </c>
      <c r="C197" s="2755">
        <v>31724.701749429994</v>
      </c>
      <c r="D197" s="2756">
        <v>10290.99318736</v>
      </c>
      <c r="E197" s="2757">
        <v>3031.1745795800011</v>
      </c>
      <c r="F197" s="2756">
        <v>452.96329123000061</v>
      </c>
      <c r="G197" s="2756">
        <v>2578.2112883500004</v>
      </c>
      <c r="H197" s="2756">
        <v>105.372</v>
      </c>
      <c r="I197" s="2756">
        <v>997.5162104399999</v>
      </c>
      <c r="J197" s="2756">
        <v>414.55297839000002</v>
      </c>
      <c r="K197" s="2756">
        <v>16362.736084299995</v>
      </c>
      <c r="L197" s="2756">
        <v>522.35670935999997</v>
      </c>
      <c r="M197" s="2556"/>
    </row>
    <row r="198" spans="1:13" s="2018" customFormat="1" ht="17.25" customHeight="1">
      <c r="A198" s="2017"/>
      <c r="B198" s="2754" t="s">
        <v>165</v>
      </c>
      <c r="C198" s="2755">
        <v>35223.115788229989</v>
      </c>
      <c r="D198" s="2756">
        <v>13735.64133325</v>
      </c>
      <c r="E198" s="2757">
        <v>2932.7368726300001</v>
      </c>
      <c r="F198" s="2756">
        <v>731.7042159099999</v>
      </c>
      <c r="G198" s="2756">
        <v>2201.03265672</v>
      </c>
      <c r="H198" s="2756">
        <v>105.372</v>
      </c>
      <c r="I198" s="2756">
        <v>1105.87686601</v>
      </c>
      <c r="J198" s="2756">
        <v>393.07996566999998</v>
      </c>
      <c r="K198" s="2756">
        <v>16454.964581889995</v>
      </c>
      <c r="L198" s="2756">
        <v>495.44416877999998</v>
      </c>
      <c r="M198" s="2556"/>
    </row>
    <row r="199" spans="1:13" s="2018" customFormat="1" ht="17.25" customHeight="1">
      <c r="A199" s="2017"/>
      <c r="B199" s="2754" t="s">
        <v>166</v>
      </c>
      <c r="C199" s="2755">
        <v>37423.346829443995</v>
      </c>
      <c r="D199" s="2756">
        <v>14382.263852199998</v>
      </c>
      <c r="E199" s="2757">
        <v>1898.8389173140083</v>
      </c>
      <c r="F199" s="2756">
        <v>484.35098154000008</v>
      </c>
      <c r="G199" s="2756">
        <v>1414.4879357740083</v>
      </c>
      <c r="H199" s="2756">
        <v>1463.4058674299999</v>
      </c>
      <c r="I199" s="2756">
        <v>2009.25481319</v>
      </c>
      <c r="J199" s="2756">
        <v>417.37089295999999</v>
      </c>
      <c r="K199" s="2756">
        <v>16489.09719172999</v>
      </c>
      <c r="L199" s="2756">
        <v>763.11529461999999</v>
      </c>
      <c r="M199" s="2556"/>
    </row>
    <row r="200" spans="1:13" ht="17.25" customHeight="1">
      <c r="A200" s="2005"/>
      <c r="B200" s="2754" t="s">
        <v>167</v>
      </c>
      <c r="C200" s="2755">
        <v>37488.399967254467</v>
      </c>
      <c r="D200" s="2756">
        <v>15427.394900760002</v>
      </c>
      <c r="E200" s="2757">
        <v>2300.4666865044633</v>
      </c>
      <c r="F200" s="2756">
        <v>446.59138291999994</v>
      </c>
      <c r="G200" s="2756">
        <v>1853.8753035844634</v>
      </c>
      <c r="H200" s="2756">
        <v>77.484999999999999</v>
      </c>
      <c r="I200" s="2756">
        <v>1810.20721989</v>
      </c>
      <c r="J200" s="2756">
        <v>422.23388129</v>
      </c>
      <c r="K200" s="2756">
        <v>16718.842369590002</v>
      </c>
      <c r="L200" s="2756">
        <v>731.76990922000005</v>
      </c>
      <c r="M200" s="2556"/>
    </row>
    <row r="201" spans="1:13" ht="17.25" customHeight="1">
      <c r="A201" s="2005"/>
      <c r="B201" s="2754" t="s">
        <v>168</v>
      </c>
      <c r="C201" s="2755">
        <v>35895.984455489997</v>
      </c>
      <c r="D201" s="2756">
        <v>14926.067567129998</v>
      </c>
      <c r="E201" s="2757">
        <v>1887.129183</v>
      </c>
      <c r="F201" s="2756">
        <v>434.76573466000002</v>
      </c>
      <c r="G201" s="2756">
        <v>1452.3634483399999</v>
      </c>
      <c r="H201" s="2756">
        <v>77.484999999999999</v>
      </c>
      <c r="I201" s="2756">
        <v>1088.4137259099998</v>
      </c>
      <c r="J201" s="2756">
        <v>401.38800385000002</v>
      </c>
      <c r="K201" s="2756">
        <v>16814.930685149997</v>
      </c>
      <c r="L201" s="2756">
        <v>700.57029045000002</v>
      </c>
      <c r="M201" s="2556"/>
    </row>
    <row r="202" spans="1:13" ht="17.25" customHeight="1">
      <c r="A202" s="2005"/>
      <c r="B202" s="2754" t="s">
        <v>169</v>
      </c>
      <c r="C202" s="2755">
        <v>41084.731755675501</v>
      </c>
      <c r="D202" s="2756">
        <v>19385.920783319998</v>
      </c>
      <c r="E202" s="2757">
        <v>2334.0516995755011</v>
      </c>
      <c r="F202" s="2756">
        <v>824.83943708000004</v>
      </c>
      <c r="G202" s="2756">
        <v>1509.2122624955009</v>
      </c>
      <c r="H202" s="2756">
        <v>77.484999999999999</v>
      </c>
      <c r="I202" s="2756">
        <v>1074.51846286</v>
      </c>
      <c r="J202" s="2756">
        <v>396.32983029000002</v>
      </c>
      <c r="K202" s="2756">
        <v>17147.810619859996</v>
      </c>
      <c r="L202" s="2756">
        <v>668.61535976999994</v>
      </c>
      <c r="M202" s="2556"/>
    </row>
    <row r="203" spans="1:13" ht="17.25" customHeight="1">
      <c r="A203" s="2005"/>
      <c r="B203" s="2754" t="s">
        <v>170</v>
      </c>
      <c r="C203" s="2755">
        <v>39430.29074655001</v>
      </c>
      <c r="D203" s="2756">
        <v>17112.837971540001</v>
      </c>
      <c r="E203" s="2757">
        <v>2072.4447035100002</v>
      </c>
      <c r="F203" s="2756">
        <v>433.68314541999996</v>
      </c>
      <c r="G203" s="2756">
        <v>1638.7615580900001</v>
      </c>
      <c r="H203" s="2756">
        <v>498.15</v>
      </c>
      <c r="I203" s="2756">
        <v>1418.8920266599998</v>
      </c>
      <c r="J203" s="2756">
        <v>380.47434902999998</v>
      </c>
      <c r="K203" s="2756">
        <v>17310.915553970004</v>
      </c>
      <c r="L203" s="2756">
        <v>636.57614183999999</v>
      </c>
      <c r="M203" s="2556"/>
    </row>
    <row r="204" spans="1:13" ht="17.25" customHeight="1">
      <c r="A204" s="2005"/>
      <c r="B204" s="2754" t="s">
        <v>171</v>
      </c>
      <c r="C204" s="2755">
        <v>42546.701779330004</v>
      </c>
      <c r="D204" s="2756">
        <v>20902.782961180004</v>
      </c>
      <c r="E204" s="2757">
        <v>1953.4570036599998</v>
      </c>
      <c r="F204" s="2756">
        <v>720.09273301999997</v>
      </c>
      <c r="G204" s="2756">
        <v>1233.3642706399999</v>
      </c>
      <c r="H204" s="2756">
        <v>0</v>
      </c>
      <c r="I204" s="2756">
        <v>1424.30500413</v>
      </c>
      <c r="J204" s="2756">
        <v>385.87251398000001</v>
      </c>
      <c r="K204" s="2756">
        <v>17276.124638339999</v>
      </c>
      <c r="L204" s="2756">
        <v>604.15965804000007</v>
      </c>
      <c r="M204" s="2556"/>
    </row>
    <row r="205" spans="1:13" ht="17.25" customHeight="1">
      <c r="A205" s="2005"/>
      <c r="B205" s="2754" t="s">
        <v>148</v>
      </c>
      <c r="C205" s="2755">
        <v>39496.058182879999</v>
      </c>
      <c r="D205" s="2756">
        <v>17658.539112589999</v>
      </c>
      <c r="E205" s="2757">
        <v>2098.7426530900002</v>
      </c>
      <c r="F205" s="2756">
        <v>488.08803298000004</v>
      </c>
      <c r="G205" s="2756">
        <v>1610.65462011</v>
      </c>
      <c r="H205" s="2756">
        <v>0</v>
      </c>
      <c r="I205" s="2756">
        <v>1167.2650396199999</v>
      </c>
      <c r="J205" s="2756">
        <v>375.55644613000004</v>
      </c>
      <c r="K205" s="2756">
        <v>17624.68086497</v>
      </c>
      <c r="L205" s="2756">
        <v>571.27406647999999</v>
      </c>
      <c r="M205" s="2556"/>
    </row>
    <row r="206" spans="1:13" ht="17.25" customHeight="1">
      <c r="A206" s="2005"/>
      <c r="B206" s="2915">
        <v>2015</v>
      </c>
      <c r="C206" s="2755"/>
      <c r="D206" s="2756"/>
      <c r="E206" s="2757"/>
      <c r="F206" s="2756"/>
      <c r="G206" s="2756"/>
      <c r="H206" s="2756"/>
      <c r="I206" s="2756"/>
      <c r="J206" s="2756"/>
      <c r="K206" s="2756"/>
      <c r="L206" s="2756"/>
      <c r="M206" s="2556"/>
    </row>
    <row r="207" spans="1:13" ht="17.25" customHeight="1">
      <c r="A207" s="2005"/>
      <c r="B207" s="2754" t="s">
        <v>161</v>
      </c>
      <c r="C207" s="2755">
        <v>37542.347863700008</v>
      </c>
      <c r="D207" s="2756">
        <v>15864.579722929999</v>
      </c>
      <c r="E207" s="2757">
        <v>1902.8185430499998</v>
      </c>
      <c r="F207" s="2756">
        <v>488.74223276999999</v>
      </c>
      <c r="G207" s="2756">
        <v>1414.0763102799999</v>
      </c>
      <c r="H207" s="2756">
        <v>0</v>
      </c>
      <c r="I207" s="2756">
        <v>1167.13563836</v>
      </c>
      <c r="J207" s="2756">
        <v>380.19248921000002</v>
      </c>
      <c r="K207" s="2756">
        <v>17689.087099380009</v>
      </c>
      <c r="L207" s="2756">
        <v>538.53437077000012</v>
      </c>
      <c r="M207" s="2556"/>
    </row>
    <row r="208" spans="1:13" ht="17.25" customHeight="1">
      <c r="A208" s="2005"/>
      <c r="B208" s="2754" t="s">
        <v>162</v>
      </c>
      <c r="C208" s="2755">
        <v>36667.794269419996</v>
      </c>
      <c r="D208" s="2756">
        <v>14483.742521190001</v>
      </c>
      <c r="E208" s="2757">
        <v>2317.1656217099999</v>
      </c>
      <c r="F208" s="2756">
        <v>486.16917689000002</v>
      </c>
      <c r="G208" s="2756">
        <v>1830.9964448199999</v>
      </c>
      <c r="H208" s="2756">
        <v>0</v>
      </c>
      <c r="I208" s="2756">
        <v>1185.9426395399998</v>
      </c>
      <c r="J208" s="2756">
        <v>395.42991160000003</v>
      </c>
      <c r="K208" s="2756">
        <v>17780.318083359998</v>
      </c>
      <c r="L208" s="2756">
        <v>505.19549201999996</v>
      </c>
      <c r="M208" s="2556"/>
    </row>
    <row r="209" spans="1:13" ht="17.25" customHeight="1">
      <c r="A209" s="2005"/>
      <c r="B209" s="2754" t="s">
        <v>163</v>
      </c>
      <c r="C209" s="2755">
        <v>35169.028466359996</v>
      </c>
      <c r="D209" s="2756">
        <v>12624.148000430003</v>
      </c>
      <c r="E209" s="2757">
        <v>2641.0611981799998</v>
      </c>
      <c r="F209" s="2756">
        <v>535.89264133999995</v>
      </c>
      <c r="G209" s="2756">
        <v>2105.1685568399998</v>
      </c>
      <c r="H209" s="2756">
        <v>0</v>
      </c>
      <c r="I209" s="2756">
        <v>1198.85620184</v>
      </c>
      <c r="J209" s="2756">
        <v>327.01575488999998</v>
      </c>
      <c r="K209" s="2756">
        <v>17933.974753249993</v>
      </c>
      <c r="L209" s="2756">
        <v>443.97255776999998</v>
      </c>
      <c r="M209" s="2556"/>
    </row>
    <row r="210" spans="1:13" ht="17.25" customHeight="1">
      <c r="A210" s="2005"/>
      <c r="B210" s="2754" t="s">
        <v>164</v>
      </c>
      <c r="C210" s="2755">
        <v>36171.327831770002</v>
      </c>
      <c r="D210" s="2756">
        <v>14281.847312175265</v>
      </c>
      <c r="E210" s="2757">
        <v>1900.3941162647343</v>
      </c>
      <c r="F210" s="2756">
        <v>430.36615080473405</v>
      </c>
      <c r="G210" s="2756">
        <v>1470.0279654600001</v>
      </c>
      <c r="H210" s="2756">
        <v>0</v>
      </c>
      <c r="I210" s="2756">
        <v>1239.6073206999999</v>
      </c>
      <c r="J210" s="2756">
        <v>396.87052453000001</v>
      </c>
      <c r="K210" s="2756">
        <v>17942.206116139998</v>
      </c>
      <c r="L210" s="2756">
        <v>410.40244196000003</v>
      </c>
      <c r="M210" s="2556"/>
    </row>
    <row r="211" spans="1:13" ht="17.25" customHeight="1">
      <c r="A211" s="2005"/>
      <c r="B211" s="2754" t="s">
        <v>165</v>
      </c>
      <c r="C211" s="2755">
        <v>36720.42804341</v>
      </c>
      <c r="D211" s="2756">
        <v>12329.759725620001</v>
      </c>
      <c r="E211" s="2757">
        <v>1834.3816212299998</v>
      </c>
      <c r="F211" s="2756">
        <v>464.87017069000001</v>
      </c>
      <c r="G211" s="2756">
        <v>1369.5114505399997</v>
      </c>
      <c r="H211" s="2756">
        <v>0</v>
      </c>
      <c r="I211" s="2756">
        <v>3726.9930081900002</v>
      </c>
      <c r="J211" s="2756">
        <v>381.90423422999999</v>
      </c>
      <c r="K211" s="2756">
        <v>18070.237599620003</v>
      </c>
      <c r="L211" s="2756">
        <v>377.15185451999997</v>
      </c>
      <c r="M211" s="2556"/>
    </row>
    <row r="212" spans="1:13" ht="17.25" customHeight="1">
      <c r="A212" s="2005"/>
      <c r="B212" s="2754" t="s">
        <v>166</v>
      </c>
      <c r="C212" s="2755">
        <v>37761.788121700003</v>
      </c>
      <c r="D212" s="2756">
        <v>11833.87335559</v>
      </c>
      <c r="E212" s="2757">
        <v>1981.9415136800001</v>
      </c>
      <c r="F212" s="2756">
        <v>649.09486145999995</v>
      </c>
      <c r="G212" s="2756">
        <v>1332.8466522200001</v>
      </c>
      <c r="H212" s="2756">
        <v>0</v>
      </c>
      <c r="I212" s="2756">
        <v>4212.6285523500001</v>
      </c>
      <c r="J212" s="2756">
        <v>744.65027222000003</v>
      </c>
      <c r="K212" s="2756">
        <v>18362.393148000003</v>
      </c>
      <c r="L212" s="2756">
        <v>626.30127985999991</v>
      </c>
      <c r="M212" s="2556"/>
    </row>
    <row r="213" spans="1:13" ht="17.25" customHeight="1">
      <c r="A213" s="2005"/>
      <c r="B213" s="2754" t="s">
        <v>167</v>
      </c>
      <c r="C213" s="2755">
        <v>34939.168117830006</v>
      </c>
      <c r="D213" s="2756">
        <v>11016.499472379999</v>
      </c>
      <c r="E213" s="2757">
        <v>1594.0930991200003</v>
      </c>
      <c r="F213" s="2756">
        <v>332.21308637000004</v>
      </c>
      <c r="G213" s="2756">
        <v>1261.8800127500001</v>
      </c>
      <c r="H213" s="2756">
        <v>0</v>
      </c>
      <c r="I213" s="2756">
        <v>3541.1647349600003</v>
      </c>
      <c r="J213" s="2756">
        <v>447.14533147000003</v>
      </c>
      <c r="K213" s="2756">
        <v>18000.789204960001</v>
      </c>
      <c r="L213" s="2756">
        <v>339.47627494</v>
      </c>
      <c r="M213" s="2556"/>
    </row>
    <row r="214" spans="1:13" ht="17.25" customHeight="1">
      <c r="A214" s="2005"/>
      <c r="B214" s="2754" t="s">
        <v>168</v>
      </c>
      <c r="C214" s="2755">
        <v>35298.693384139995</v>
      </c>
      <c r="D214" s="2756">
        <v>12222.545990449998</v>
      </c>
      <c r="E214" s="2757">
        <v>1574.28137305</v>
      </c>
      <c r="F214" s="2756">
        <v>320.62149621999998</v>
      </c>
      <c r="G214" s="2756">
        <v>1253.65987683</v>
      </c>
      <c r="H214" s="2756">
        <v>0</v>
      </c>
      <c r="I214" s="2756">
        <v>2655.47912834</v>
      </c>
      <c r="J214" s="2756">
        <v>574.87401059000001</v>
      </c>
      <c r="K214" s="2756">
        <v>17973.720646859998</v>
      </c>
      <c r="L214" s="2756">
        <v>297.79223485</v>
      </c>
      <c r="M214" s="2556"/>
    </row>
    <row r="215" spans="1:13" ht="17.25" customHeight="1">
      <c r="A215" s="2005"/>
      <c r="B215" s="2754" t="s">
        <v>169</v>
      </c>
      <c r="C215" s="2755">
        <v>35752.065686029993</v>
      </c>
      <c r="D215" s="2756">
        <v>11401.266971779998</v>
      </c>
      <c r="E215" s="2757">
        <v>2703.2289144400002</v>
      </c>
      <c r="F215" s="2756">
        <v>1268.6709605599999</v>
      </c>
      <c r="G215" s="2756">
        <v>1434.55795388</v>
      </c>
      <c r="H215" s="2756">
        <v>0</v>
      </c>
      <c r="I215" s="2756">
        <v>2632.6857861500002</v>
      </c>
      <c r="J215" s="2756">
        <v>602.66810950000001</v>
      </c>
      <c r="K215" s="2756">
        <v>18134.336193759998</v>
      </c>
      <c r="L215" s="2756">
        <v>277.87971040000002</v>
      </c>
      <c r="M215" s="2556"/>
    </row>
    <row r="216" spans="1:13" ht="17.25" customHeight="1">
      <c r="A216" s="2005"/>
      <c r="B216" s="2754" t="s">
        <v>170</v>
      </c>
      <c r="C216" s="2755">
        <v>38492.115545429988</v>
      </c>
      <c r="D216" s="2756">
        <v>14738.45742771</v>
      </c>
      <c r="E216" s="2757">
        <v>1875.37234253</v>
      </c>
      <c r="F216" s="2756">
        <v>711.65992332999997</v>
      </c>
      <c r="G216" s="2756">
        <v>1163.7124192000001</v>
      </c>
      <c r="H216" s="2756">
        <v>0</v>
      </c>
      <c r="I216" s="2756">
        <v>2638.23592517</v>
      </c>
      <c r="J216" s="2756">
        <v>609.75661271000001</v>
      </c>
      <c r="K216" s="2756">
        <v>18198.418665039993</v>
      </c>
      <c r="L216" s="2756">
        <v>431.87457226999999</v>
      </c>
      <c r="M216" s="2556"/>
    </row>
    <row r="217" spans="1:13" ht="17.25" customHeight="1">
      <c r="A217" s="2005"/>
      <c r="B217" s="4181" t="s">
        <v>171</v>
      </c>
      <c r="C217" s="4182">
        <v>40030.919056470004</v>
      </c>
      <c r="D217" s="4183">
        <v>15968.981591309999</v>
      </c>
      <c r="E217" s="4184">
        <v>1895.36941856</v>
      </c>
      <c r="F217" s="4183">
        <v>657.12776385999996</v>
      </c>
      <c r="G217" s="4183">
        <v>1238.2416547</v>
      </c>
      <c r="H217" s="4183">
        <v>4.8555314000000003</v>
      </c>
      <c r="I217" s="4183">
        <v>2893.0569089600003</v>
      </c>
      <c r="J217" s="4183">
        <v>611.10149366000007</v>
      </c>
      <c r="K217" s="4183">
        <v>18232.670312880004</v>
      </c>
      <c r="L217" s="4183">
        <v>424.88379970000005</v>
      </c>
      <c r="M217" s="2556"/>
    </row>
    <row r="218" spans="1:13" ht="17.25" customHeight="1">
      <c r="A218" s="2005"/>
      <c r="B218" s="4181" t="s">
        <v>148</v>
      </c>
      <c r="C218" s="4182">
        <v>37759.882839180005</v>
      </c>
      <c r="D218" s="4183">
        <v>13283.348465430001</v>
      </c>
      <c r="E218" s="4184">
        <v>2290.9742639699998</v>
      </c>
      <c r="F218" s="4183">
        <v>933.92177041000002</v>
      </c>
      <c r="G218" s="4183">
        <v>1357.0524935599999</v>
      </c>
      <c r="H218" s="4183">
        <v>0</v>
      </c>
      <c r="I218" s="4183">
        <v>2867.4502905199997</v>
      </c>
      <c r="J218" s="4183">
        <v>569.39613253000005</v>
      </c>
      <c r="K218" s="4183">
        <v>18349.940860160004</v>
      </c>
      <c r="L218" s="4183">
        <v>398.77282656999995</v>
      </c>
      <c r="M218" s="2556"/>
    </row>
    <row r="219" spans="1:13" ht="17.25" customHeight="1">
      <c r="A219" s="2005"/>
      <c r="B219" s="4298">
        <v>2016</v>
      </c>
      <c r="C219" s="4182"/>
      <c r="D219" s="4183"/>
      <c r="E219" s="4184"/>
      <c r="F219" s="4183"/>
      <c r="G219" s="4183"/>
      <c r="H219" s="4183"/>
      <c r="I219" s="4183"/>
      <c r="J219" s="4183"/>
      <c r="K219" s="4183"/>
      <c r="L219" s="4183"/>
      <c r="M219" s="2556"/>
    </row>
    <row r="220" spans="1:13" ht="17.25" customHeight="1">
      <c r="A220" s="2005"/>
      <c r="B220" s="4181" t="s">
        <v>161</v>
      </c>
      <c r="C220" s="4182">
        <v>39350.784199939997</v>
      </c>
      <c r="D220" s="4183">
        <v>11076.75369451</v>
      </c>
      <c r="E220" s="4184">
        <v>2803.9544263099997</v>
      </c>
      <c r="F220" s="4183">
        <v>1650.40066482</v>
      </c>
      <c r="G220" s="4183">
        <v>1153.5537614899999</v>
      </c>
      <c r="H220" s="4183">
        <v>3086.1930000000002</v>
      </c>
      <c r="I220" s="4183">
        <v>2874.5053091499999</v>
      </c>
      <c r="J220" s="4183">
        <v>764.16783741000006</v>
      </c>
      <c r="K220" s="4183">
        <v>18356.691087579999</v>
      </c>
      <c r="L220" s="4183">
        <v>388.51884497999998</v>
      </c>
      <c r="M220" s="2556"/>
    </row>
    <row r="221" spans="1:13" ht="17.25" customHeight="1">
      <c r="A221" s="2005"/>
      <c r="B221" s="4299" t="s">
        <v>162</v>
      </c>
      <c r="C221" s="4300">
        <v>41705.116704970002</v>
      </c>
      <c r="D221" s="4301">
        <v>14258.988663839998</v>
      </c>
      <c r="E221" s="4302">
        <v>1987.1952086400074</v>
      </c>
      <c r="F221" s="4301">
        <v>932.29053707000003</v>
      </c>
      <c r="G221" s="4301">
        <v>1054.9046715700074</v>
      </c>
      <c r="H221" s="4301">
        <v>3093.3805000000002</v>
      </c>
      <c r="I221" s="4301">
        <v>2877.6286465999997</v>
      </c>
      <c r="J221" s="4301">
        <v>704.47441194999999</v>
      </c>
      <c r="K221" s="4301">
        <v>18405.928603869997</v>
      </c>
      <c r="L221" s="4301">
        <v>377.52067006999999</v>
      </c>
      <c r="M221" s="2556"/>
    </row>
    <row r="222" spans="1:13" ht="15.75" customHeight="1">
      <c r="A222" s="2005"/>
      <c r="B222" s="4606" t="s">
        <v>1630</v>
      </c>
      <c r="C222" s="4606"/>
      <c r="D222" s="4606"/>
      <c r="E222" s="4606"/>
      <c r="F222" s="4606"/>
      <c r="G222" s="4606"/>
      <c r="H222" s="4606"/>
      <c r="I222" s="4606"/>
      <c r="J222" s="4606"/>
      <c r="K222" s="4607"/>
      <c r="L222" s="4607"/>
      <c r="M222" s="2556"/>
    </row>
    <row r="223" spans="1:13" ht="15.75" customHeight="1">
      <c r="A223" s="2005"/>
      <c r="B223" s="4608"/>
      <c r="C223" s="4608"/>
      <c r="D223" s="4608"/>
      <c r="E223" s="4608"/>
      <c r="F223" s="4608"/>
      <c r="G223" s="4608"/>
      <c r="H223" s="4608"/>
      <c r="I223" s="4608"/>
      <c r="J223" s="4608"/>
      <c r="K223" s="4607"/>
      <c r="L223" s="4607"/>
      <c r="M223" s="2556"/>
    </row>
    <row r="224" spans="1:13" ht="25.5" customHeight="1">
      <c r="A224" s="2005"/>
      <c r="B224" s="2005"/>
      <c r="C224" s="3507"/>
      <c r="D224" s="2215"/>
      <c r="E224" s="2215"/>
      <c r="F224" s="2215"/>
      <c r="G224" s="2215"/>
      <c r="H224" s="2215"/>
      <c r="I224" s="2215"/>
      <c r="J224" s="2215"/>
      <c r="K224" s="2215"/>
      <c r="L224" s="2215"/>
      <c r="M224" s="2005"/>
    </row>
    <row r="225" spans="1:13" ht="10.5" customHeight="1">
      <c r="A225" s="2005"/>
      <c r="B225" s="2005"/>
      <c r="C225" s="3507"/>
      <c r="D225" s="2215"/>
      <c r="E225" s="2215"/>
      <c r="F225" s="2215"/>
      <c r="G225" s="2215"/>
      <c r="H225" s="2215"/>
      <c r="I225" s="2215"/>
      <c r="J225" s="2215"/>
      <c r="K225" s="2215"/>
      <c r="L225" s="2215"/>
      <c r="M225" s="2005"/>
    </row>
    <row r="226" spans="1:13">
      <c r="A226" s="2005"/>
      <c r="B226" s="2005"/>
      <c r="C226" s="3507"/>
      <c r="D226" s="2215"/>
      <c r="E226" s="2215"/>
      <c r="F226" s="2215"/>
      <c r="G226" s="2215"/>
      <c r="H226" s="2215"/>
      <c r="I226" s="2215"/>
      <c r="J226" s="2215"/>
      <c r="K226" s="2215"/>
      <c r="L226" s="2215"/>
      <c r="M226" s="2005"/>
    </row>
    <row r="227" spans="1:13">
      <c r="A227" s="2005"/>
      <c r="B227" s="2005"/>
      <c r="C227" s="3507"/>
      <c r="D227" s="2215"/>
      <c r="E227" s="2215"/>
      <c r="F227" s="2215"/>
      <c r="G227" s="2215"/>
      <c r="H227" s="2215"/>
      <c r="I227" s="2215"/>
      <c r="J227" s="2215"/>
      <c r="K227" s="2215"/>
      <c r="L227" s="2215"/>
      <c r="M227" s="2005"/>
    </row>
    <row r="228" spans="1:13">
      <c r="A228" s="2005"/>
      <c r="B228" s="2005"/>
      <c r="C228" s="3507"/>
      <c r="D228" s="2215"/>
      <c r="E228" s="2215"/>
      <c r="F228" s="2215"/>
      <c r="G228" s="2215"/>
      <c r="H228" s="2215"/>
      <c r="I228" s="2215"/>
      <c r="J228" s="2215"/>
      <c r="K228" s="2968"/>
      <c r="L228" s="2215"/>
      <c r="M228" s="2005"/>
    </row>
    <row r="236" spans="1:13">
      <c r="C236" s="3508"/>
      <c r="D236" s="2219"/>
      <c r="E236" s="2219"/>
      <c r="F236" s="2219"/>
      <c r="G236" s="2219"/>
      <c r="H236" s="2219"/>
      <c r="I236" s="2219"/>
      <c r="J236" s="2219"/>
      <c r="K236" s="2219"/>
      <c r="L236" s="2219"/>
    </row>
  </sheetData>
  <mergeCells count="5">
    <mergeCell ref="B222:L223"/>
    <mergeCell ref="B1:L1"/>
    <mergeCell ref="E6:G6"/>
    <mergeCell ref="J7:J10"/>
    <mergeCell ref="K7:K10"/>
  </mergeCells>
  <pageMargins left="0.92" right="0.97" top="0.71" bottom="0.41" header="0.56000000000000005" footer="0.41"/>
  <pageSetup paperSize="9" scale="56" orientation="portrait" r:id="rId1"/>
  <headerFooter alignWithMargins="0"/>
  <colBreaks count="1" manualBreakCount="1">
    <brk id="1" max="213" man="1"/>
  </colBreaks>
</worksheet>
</file>

<file path=xl/worksheets/sheet3.xml><?xml version="1.0" encoding="utf-8"?>
<worksheet xmlns="http://schemas.openxmlformats.org/spreadsheetml/2006/main" xmlns:r="http://schemas.openxmlformats.org/officeDocument/2006/relationships">
  <sheetPr codeName="Sheet6">
    <pageSetUpPr fitToPage="1"/>
  </sheetPr>
  <dimension ref="A1:J73"/>
  <sheetViews>
    <sheetView workbookViewId="0">
      <pane xSplit="1" ySplit="3" topLeftCell="B37" activePane="bottomRight" state="frozen"/>
      <selection pane="topRight" activeCell="B1" sqref="B1"/>
      <selection pane="bottomLeft" activeCell="A2" sqref="A2"/>
      <selection pane="bottomRight" activeCell="I50" sqref="I50"/>
    </sheetView>
  </sheetViews>
  <sheetFormatPr defaultRowHeight="12.75"/>
  <cols>
    <col min="1" max="1" width="27.140625" customWidth="1"/>
    <col min="2" max="2" width="7.140625" customWidth="1"/>
    <col min="3" max="3" width="6.140625" customWidth="1"/>
    <col min="9" max="9" width="46" customWidth="1"/>
  </cols>
  <sheetData>
    <row r="1" spans="1:10" ht="30" customHeight="1">
      <c r="A1" s="4425" t="s">
        <v>676</v>
      </c>
      <c r="B1" s="4425"/>
      <c r="C1" s="4425"/>
      <c r="D1" s="4425"/>
      <c r="E1" s="4425"/>
      <c r="F1" s="4425"/>
      <c r="G1" s="4425"/>
      <c r="H1" s="4425"/>
      <c r="I1" s="924"/>
    </row>
    <row r="2" spans="1:10" ht="12.75" customHeight="1">
      <c r="A2" s="982"/>
      <c r="B2" s="983"/>
      <c r="C2" s="983"/>
      <c r="D2" s="983"/>
      <c r="E2" s="983"/>
      <c r="F2" s="4426" t="s">
        <v>1181</v>
      </c>
      <c r="G2" s="4427"/>
      <c r="H2" s="4428"/>
      <c r="I2" s="984"/>
    </row>
    <row r="3" spans="1:10" ht="17.25" customHeight="1">
      <c r="A3" s="966"/>
      <c r="B3" s="967">
        <f>[7]Worksheet!B1</f>
        <v>2001</v>
      </c>
      <c r="C3" s="967">
        <f>[7]Worksheet!C1</f>
        <v>2002</v>
      </c>
      <c r="D3" s="967">
        <f>[7]Worksheet!D1</f>
        <v>2003</v>
      </c>
      <c r="E3" s="967">
        <f>[7]Worksheet!E1</f>
        <v>2004</v>
      </c>
      <c r="F3" s="966">
        <f>[7]Worksheet!F1</f>
        <v>2005</v>
      </c>
      <c r="G3" s="967">
        <f>[7]Worksheet!G1</f>
        <v>2006</v>
      </c>
      <c r="H3" s="967">
        <f>[7]Worksheet!H1</f>
        <v>2007</v>
      </c>
      <c r="I3" s="981" t="s">
        <v>363</v>
      </c>
    </row>
    <row r="4" spans="1:10" ht="5.25" customHeight="1">
      <c r="A4" s="914"/>
      <c r="B4" s="914"/>
      <c r="C4" s="914"/>
      <c r="D4" s="914"/>
      <c r="E4" s="914"/>
      <c r="F4" s="914"/>
      <c r="G4" s="914"/>
      <c r="H4" s="968"/>
      <c r="I4" s="897"/>
    </row>
    <row r="5" spans="1:10" ht="17.25" customHeight="1">
      <c r="A5" s="915" t="s">
        <v>871</v>
      </c>
      <c r="B5" s="897"/>
      <c r="C5" s="897"/>
      <c r="D5" s="897"/>
      <c r="E5" s="897"/>
      <c r="F5" s="897"/>
      <c r="G5" s="897"/>
      <c r="H5" s="969"/>
      <c r="I5" s="897"/>
      <c r="J5" s="132" t="s">
        <v>871</v>
      </c>
    </row>
    <row r="6" spans="1:10" ht="17.25" customHeight="1">
      <c r="A6" s="916" t="s">
        <v>320</v>
      </c>
      <c r="B6" s="906">
        <f>[7]Worksheet!B5</f>
        <v>-6420.6661839999997</v>
      </c>
      <c r="C6" s="906">
        <f>[7]Worksheet!C5</f>
        <v>-6419.979483383323</v>
      </c>
      <c r="D6" s="906">
        <f>[7]Worksheet!D5</f>
        <v>-7716.0984739999994</v>
      </c>
      <c r="E6" s="906">
        <f>[7]Worksheet!E5</f>
        <v>-8467.4952140000005</v>
      </c>
      <c r="F6" s="906">
        <f>[7]Worksheet!F5</f>
        <v>-9616.5605838637221</v>
      </c>
      <c r="G6" s="906">
        <f>[7]Worksheet!G5</f>
        <v>-10921.557689246703</v>
      </c>
      <c r="H6" s="970">
        <f>[7]Worksheet!H5</f>
        <v>-12403.646950417229</v>
      </c>
      <c r="I6" s="906" t="s">
        <v>364</v>
      </c>
      <c r="J6" s="757" t="s">
        <v>869</v>
      </c>
    </row>
    <row r="7" spans="1:10" ht="17.25" customHeight="1">
      <c r="A7" s="916" t="s">
        <v>321</v>
      </c>
      <c r="B7" s="906">
        <f>[7]Worksheet!B6</f>
        <v>-568.11199999999997</v>
      </c>
      <c r="C7" s="906">
        <f>[7]Worksheet!C6</f>
        <v>-1786.6320000000001</v>
      </c>
      <c r="D7" s="906">
        <f>[7]Worksheet!D6</f>
        <v>-2073.3870000000002</v>
      </c>
      <c r="E7" s="906">
        <f>[7]Worksheet!E6</f>
        <v>-1653.418408</v>
      </c>
      <c r="F7" s="906">
        <f>[7]Worksheet!F6</f>
        <v>-3240</v>
      </c>
      <c r="G7" s="906">
        <f>[7]Worksheet!G6</f>
        <v>-2160</v>
      </c>
      <c r="H7" s="970">
        <f>[7]Worksheet!H6</f>
        <v>-753.12</v>
      </c>
      <c r="I7" s="906" t="s">
        <v>365</v>
      </c>
      <c r="J7" s="757" t="s">
        <v>836</v>
      </c>
    </row>
    <row r="8" spans="1:10" ht="17.25" customHeight="1">
      <c r="A8" s="915" t="s">
        <v>99</v>
      </c>
      <c r="B8" s="906"/>
      <c r="C8" s="906"/>
      <c r="D8" s="906"/>
      <c r="E8" s="906"/>
      <c r="F8" s="906"/>
      <c r="G8" s="906"/>
      <c r="H8" s="970"/>
      <c r="I8" s="906"/>
      <c r="J8" s="35" t="s">
        <v>99</v>
      </c>
    </row>
    <row r="9" spans="1:10" ht="17.25" customHeight="1">
      <c r="A9" s="916" t="s">
        <v>322</v>
      </c>
      <c r="B9" s="906">
        <f>[7]Worksheet!B9</f>
        <v>4700.4704229999998</v>
      </c>
      <c r="C9" s="906">
        <f>[7]Worksheet!C9</f>
        <v>5095.320909</v>
      </c>
      <c r="D9" s="906">
        <f>[7]Worksheet!D9</f>
        <v>6768.8240083000001</v>
      </c>
      <c r="E9" s="906">
        <f>[7]Worksheet!E9</f>
        <v>7574.6002250000001</v>
      </c>
      <c r="F9" s="906">
        <f>[7]Worksheet!F9</f>
        <v>9478.4300561839736</v>
      </c>
      <c r="G9" s="906">
        <f>[7]Worksheet!G9</f>
        <v>11034.122063537938</v>
      </c>
      <c r="H9" s="970">
        <f>[7]Worksheet!H9</f>
        <v>12698.059560379425</v>
      </c>
      <c r="I9" s="906" t="s">
        <v>364</v>
      </c>
      <c r="J9" s="757" t="s">
        <v>870</v>
      </c>
    </row>
    <row r="10" spans="1:10" s="965" customFormat="1" ht="39" customHeight="1">
      <c r="A10" s="962" t="s">
        <v>1176</v>
      </c>
      <c r="B10" s="963"/>
      <c r="C10" s="963"/>
      <c r="D10" s="963"/>
      <c r="E10" s="963"/>
      <c r="F10" s="963"/>
      <c r="G10" s="963">
        <f>[7]Worksheet!G10</f>
        <v>847.68</v>
      </c>
      <c r="H10" s="971">
        <f>[7]Worksheet!H10</f>
        <v>4238.3999999999996</v>
      </c>
      <c r="I10" s="977" t="s">
        <v>370</v>
      </c>
      <c r="J10" s="964" t="s">
        <v>1176</v>
      </c>
    </row>
    <row r="11" spans="1:10" ht="17.25" customHeight="1">
      <c r="A11" s="916" t="s">
        <v>1177</v>
      </c>
      <c r="B11" s="906"/>
      <c r="C11" s="906"/>
      <c r="D11" s="906"/>
      <c r="E11" s="906"/>
      <c r="F11" s="906"/>
      <c r="G11" s="961">
        <f>[7]Worksheet!G11</f>
        <v>1.75</v>
      </c>
      <c r="H11" s="972">
        <f>[7]Worksheet!H11</f>
        <v>1.75</v>
      </c>
      <c r="I11" s="898"/>
      <c r="J11" s="757" t="s">
        <v>1177</v>
      </c>
    </row>
    <row r="12" spans="1:10" ht="17.25" customHeight="1">
      <c r="A12" s="916" t="s">
        <v>1178</v>
      </c>
      <c r="B12" s="906"/>
      <c r="C12" s="906"/>
      <c r="D12" s="906"/>
      <c r="E12" s="906"/>
      <c r="F12" s="906"/>
      <c r="G12" s="906">
        <f>G10*G11</f>
        <v>1483.4399999999998</v>
      </c>
      <c r="H12" s="970">
        <f>H10*H11</f>
        <v>7417.1999999999989</v>
      </c>
      <c r="I12" s="906" t="s">
        <v>371</v>
      </c>
      <c r="J12" s="757" t="s">
        <v>1178</v>
      </c>
    </row>
    <row r="13" spans="1:10" ht="17.25" customHeight="1">
      <c r="A13" s="915" t="s">
        <v>457</v>
      </c>
      <c r="B13" s="906"/>
      <c r="C13" s="906"/>
      <c r="D13" s="906"/>
      <c r="E13" s="906"/>
      <c r="F13" s="906"/>
      <c r="G13" s="906"/>
      <c r="H13" s="970"/>
      <c r="I13" s="906"/>
      <c r="J13" s="35" t="s">
        <v>457</v>
      </c>
    </row>
    <row r="14" spans="1:10" ht="17.25" customHeight="1">
      <c r="A14" s="917" t="s">
        <v>323</v>
      </c>
      <c r="B14" s="906"/>
      <c r="C14" s="906"/>
      <c r="D14" s="906"/>
      <c r="E14" s="906"/>
      <c r="F14" s="906"/>
      <c r="G14" s="906"/>
      <c r="H14" s="970"/>
      <c r="I14" s="906"/>
      <c r="J14" s="35" t="s">
        <v>867</v>
      </c>
    </row>
    <row r="15" spans="1:10" ht="17.25" customHeight="1">
      <c r="A15" s="916" t="s">
        <v>840</v>
      </c>
      <c r="B15" s="906">
        <f>[7]Worksheet!B15</f>
        <v>1731.7909999999999</v>
      </c>
      <c r="C15" s="906">
        <f>[7]Worksheet!C15</f>
        <v>129.33699999999999</v>
      </c>
      <c r="D15" s="906">
        <f>[7]Worksheet!D15</f>
        <v>537.20000000000005</v>
      </c>
      <c r="E15" s="906">
        <f>[7]Worksheet!E15</f>
        <v>878</v>
      </c>
      <c r="F15" s="906">
        <f>[7]Worksheet!F15</f>
        <v>1980</v>
      </c>
      <c r="G15" s="906">
        <f>[7]Worksheet!G15</f>
        <v>3759</v>
      </c>
      <c r="H15" s="970">
        <f>[7]Worksheet!H15</f>
        <v>3000</v>
      </c>
      <c r="I15" s="906" t="s">
        <v>372</v>
      </c>
      <c r="J15" t="s">
        <v>841</v>
      </c>
    </row>
    <row r="16" spans="1:10" ht="17.25" customHeight="1">
      <c r="A16" s="916" t="s">
        <v>1287</v>
      </c>
      <c r="B16" s="906">
        <f>[7]Worksheet!B16</f>
        <v>800</v>
      </c>
      <c r="C16" s="906">
        <f>[7]Worksheet!C16</f>
        <v>800</v>
      </c>
      <c r="D16" s="906">
        <f>[7]Worksheet!D16</f>
        <v>1750</v>
      </c>
      <c r="E16" s="906">
        <f>[7]Worksheet!E16</f>
        <v>1750</v>
      </c>
      <c r="F16" s="906">
        <f>[7]Worksheet!F16</f>
        <v>1750</v>
      </c>
      <c r="G16" s="906">
        <f>[7]Worksheet!G16</f>
        <v>1050</v>
      </c>
      <c r="H16" s="970">
        <f>[7]Worksheet!H16</f>
        <v>0</v>
      </c>
      <c r="I16" s="906" t="s">
        <v>372</v>
      </c>
      <c r="J16" t="s">
        <v>840</v>
      </c>
    </row>
    <row r="17" spans="1:10" ht="17.25" customHeight="1">
      <c r="A17" s="917" t="s">
        <v>860</v>
      </c>
      <c r="B17" s="906">
        <f>[7]Worksheet!B17</f>
        <v>2021.3050000000001</v>
      </c>
      <c r="C17" s="906">
        <f>[7]Worksheet!C17</f>
        <v>5819.02</v>
      </c>
      <c r="D17" s="906">
        <f>[7]Worksheet!D17</f>
        <v>4666.7730000000001</v>
      </c>
      <c r="E17" s="906">
        <f>[7]Worksheet!E17</f>
        <v>4161.6397999999999</v>
      </c>
      <c r="F17" s="906">
        <f>[7]Worksheet!F17</f>
        <v>2700</v>
      </c>
      <c r="G17" s="906">
        <f>[7]Worksheet!G17</f>
        <v>1800</v>
      </c>
      <c r="H17" s="970">
        <f>[7]Worksheet!H17</f>
        <v>627.6</v>
      </c>
      <c r="I17" s="906" t="s">
        <v>372</v>
      </c>
      <c r="J17" s="35" t="s">
        <v>860</v>
      </c>
    </row>
    <row r="18" spans="1:10" ht="17.25" customHeight="1">
      <c r="A18" s="915" t="s">
        <v>837</v>
      </c>
      <c r="B18" s="906"/>
      <c r="C18" s="906"/>
      <c r="D18" s="906"/>
      <c r="E18" s="906"/>
      <c r="F18" s="906"/>
      <c r="G18" s="906"/>
      <c r="H18" s="970"/>
      <c r="I18" s="906"/>
      <c r="J18" s="35" t="s">
        <v>837</v>
      </c>
    </row>
    <row r="19" spans="1:10" ht="17.25" customHeight="1">
      <c r="A19" s="916" t="s">
        <v>838</v>
      </c>
      <c r="B19" s="906">
        <f>[7]Worksheet!B23</f>
        <v>1950.75648</v>
      </c>
      <c r="C19" s="906">
        <f>[7]Worksheet!C23</f>
        <v>3203.5848000000001</v>
      </c>
      <c r="D19" s="906">
        <f>[7]Worksheet!D23</f>
        <v>3346.1817999999998</v>
      </c>
      <c r="E19" s="906">
        <f>[7]Worksheet!E23</f>
        <v>2655.7377999999999</v>
      </c>
      <c r="F19" s="906">
        <f>[7]Worksheet!F23</f>
        <v>2239.547</v>
      </c>
      <c r="G19" s="906">
        <v>0</v>
      </c>
      <c r="H19" s="970">
        <v>0</v>
      </c>
      <c r="I19" s="906" t="s">
        <v>372</v>
      </c>
      <c r="J19" t="s">
        <v>838</v>
      </c>
    </row>
    <row r="20" spans="1:10" ht="17.25" customHeight="1">
      <c r="A20" s="915" t="s">
        <v>839</v>
      </c>
      <c r="B20" s="906"/>
      <c r="C20" s="906"/>
      <c r="D20" s="906"/>
      <c r="E20" s="906"/>
      <c r="F20" s="906"/>
      <c r="G20" s="906"/>
      <c r="H20" s="970"/>
      <c r="I20" s="906"/>
      <c r="J20" s="35" t="s">
        <v>839</v>
      </c>
    </row>
    <row r="21" spans="1:10" ht="17.25" customHeight="1">
      <c r="A21" s="916" t="s">
        <v>324</v>
      </c>
      <c r="B21" s="906"/>
      <c r="C21" s="906"/>
      <c r="D21" s="906"/>
      <c r="E21" s="906"/>
      <c r="F21" s="906"/>
      <c r="G21" s="906"/>
      <c r="H21" s="970"/>
      <c r="I21" s="906"/>
      <c r="J21" t="s">
        <v>855</v>
      </c>
    </row>
    <row r="22" spans="1:10" ht="17.25" customHeight="1">
      <c r="A22" s="916" t="s">
        <v>325</v>
      </c>
      <c r="B22" s="906">
        <f>[7]Worksheet!B28</f>
        <v>-685.90340086000003</v>
      </c>
      <c r="C22" s="906">
        <f>[7]Worksheet!C28</f>
        <v>-1021.08211013</v>
      </c>
      <c r="D22" s="906">
        <f>[7]Worksheet!D28</f>
        <v>-1055.7996101399999</v>
      </c>
      <c r="E22" s="906">
        <f>[7]Worksheet!E28</f>
        <v>-1152.64189833</v>
      </c>
      <c r="F22" s="906">
        <f>[7]Worksheet!F28</f>
        <v>-1286.0127656801956</v>
      </c>
      <c r="G22" s="906">
        <f>[7]Worksheet!G28</f>
        <v>-2731.8158225799079</v>
      </c>
      <c r="H22" s="970">
        <f>[7]Worksheet!H28</f>
        <v>-4344.9110870556742</v>
      </c>
      <c r="I22" s="906" t="s">
        <v>372</v>
      </c>
      <c r="J22" t="s">
        <v>857</v>
      </c>
    </row>
    <row r="23" spans="1:10" ht="17.25" customHeight="1">
      <c r="A23" s="916" t="s">
        <v>326</v>
      </c>
      <c r="B23" s="906"/>
      <c r="C23" s="906"/>
      <c r="D23" s="906"/>
      <c r="E23" s="906"/>
      <c r="F23" s="906"/>
      <c r="G23" s="906">
        <f>[7]Worksheet!G29</f>
        <v>-1433.3</v>
      </c>
      <c r="H23" s="970">
        <f>[7]Worksheet!H29</f>
        <v>-1433.3</v>
      </c>
      <c r="I23" s="906" t="s">
        <v>372</v>
      </c>
      <c r="J23" t="s">
        <v>858</v>
      </c>
    </row>
    <row r="24" spans="1:10" ht="17.25" customHeight="1">
      <c r="A24" s="916" t="s">
        <v>327</v>
      </c>
      <c r="B24" s="906"/>
      <c r="C24" s="906"/>
      <c r="D24" s="906"/>
      <c r="E24" s="906"/>
      <c r="F24" s="906"/>
      <c r="G24" s="906">
        <f>[7]Worksheet!G30</f>
        <v>-1297</v>
      </c>
      <c r="H24" s="970">
        <f>[7]Worksheet!H30</f>
        <v>-1297</v>
      </c>
      <c r="I24" s="906" t="s">
        <v>372</v>
      </c>
      <c r="J24" t="s">
        <v>859</v>
      </c>
    </row>
    <row r="25" spans="1:10" ht="17.25" customHeight="1">
      <c r="A25" s="897"/>
      <c r="B25" s="906"/>
      <c r="C25" s="906"/>
      <c r="D25" s="906"/>
      <c r="E25" s="906"/>
      <c r="F25" s="906"/>
      <c r="G25" s="906"/>
      <c r="H25" s="970"/>
      <c r="I25" s="906"/>
    </row>
    <row r="26" spans="1:10" ht="17.25" customHeight="1">
      <c r="A26" s="915" t="s">
        <v>341</v>
      </c>
      <c r="B26" s="918">
        <f>SUM(B6:B24)</f>
        <v>3529.6413181399994</v>
      </c>
      <c r="C26" s="918">
        <f>SUM(C6:C24)</f>
        <v>5819.5691154866772</v>
      </c>
      <c r="D26" s="918">
        <f>SUM(D6:D24)</f>
        <v>6223.6937241600008</v>
      </c>
      <c r="E26" s="918">
        <f>SUM(E6:E24)</f>
        <v>5746.4223046699999</v>
      </c>
      <c r="F26" s="918">
        <f>SUM(F6:F24)</f>
        <v>4005.4037066400565</v>
      </c>
      <c r="G26" s="918">
        <f>SUM(G6:G7,G9,G12,G15:G17,G22:G24)</f>
        <v>582.88855171132604</v>
      </c>
      <c r="H26" s="973">
        <f>SUM(H6:H7,H9,H12,H15:H17,H22:H24)</f>
        <v>3510.8815229065194</v>
      </c>
      <c r="I26" s="978" t="s">
        <v>373</v>
      </c>
      <c r="J26" t="s">
        <v>342</v>
      </c>
    </row>
    <row r="27" spans="1:10" ht="17.25" customHeight="1">
      <c r="A27" s="897" t="s">
        <v>637</v>
      </c>
      <c r="B27" s="918"/>
      <c r="C27" s="918">
        <f t="shared" ref="C27:H27" si="0">C26-B26</f>
        <v>2289.9277973466778</v>
      </c>
      <c r="D27" s="918">
        <f t="shared" si="0"/>
        <v>404.12460867332356</v>
      </c>
      <c r="E27" s="918">
        <f t="shared" si="0"/>
        <v>-477.27141949000088</v>
      </c>
      <c r="F27" s="918">
        <f t="shared" si="0"/>
        <v>-1741.0185980299434</v>
      </c>
      <c r="G27" s="918">
        <f t="shared" si="0"/>
        <v>-3422.5151549287302</v>
      </c>
      <c r="H27" s="973">
        <f t="shared" si="0"/>
        <v>2927.9929711951936</v>
      </c>
      <c r="I27" s="918"/>
      <c r="J27" s="35" t="s">
        <v>680</v>
      </c>
    </row>
    <row r="28" spans="1:10" ht="17.25" customHeight="1">
      <c r="A28" s="897" t="s">
        <v>815</v>
      </c>
      <c r="B28" s="918"/>
      <c r="C28" s="918">
        <f>[7]Worksheet!C34</f>
        <v>139.80030730872667</v>
      </c>
      <c r="D28" s="918">
        <f>[7]Worksheet!D34</f>
        <v>-3.9571764563656986</v>
      </c>
      <c r="E28" s="918">
        <f>[7]Worksheet!E34</f>
        <v>-74.749229960823982</v>
      </c>
      <c r="F28" s="918">
        <f>[7]Worksheet!F34</f>
        <v>-8.6978192725230183</v>
      </c>
      <c r="G28" s="918">
        <f>[7]Worksheet!G34</f>
        <v>-93.072208512421568</v>
      </c>
      <c r="H28" s="973">
        <f>[7]Worksheet!H34</f>
        <v>2766.0566162524228</v>
      </c>
      <c r="I28" s="918"/>
      <c r="J28" t="s">
        <v>637</v>
      </c>
    </row>
    <row r="29" spans="1:10" ht="17.25" customHeight="1">
      <c r="A29" s="897"/>
      <c r="B29" s="918"/>
      <c r="C29" s="918"/>
      <c r="D29" s="918"/>
      <c r="E29" s="918">
        <f>SUM(B26:E27)/3</f>
        <v>7845.3691496622259</v>
      </c>
      <c r="F29" s="918"/>
      <c r="G29" s="918"/>
      <c r="H29" s="973"/>
      <c r="I29" s="918"/>
      <c r="J29" t="s">
        <v>815</v>
      </c>
    </row>
    <row r="30" spans="1:10" ht="17.25" customHeight="1">
      <c r="A30" s="915"/>
      <c r="B30" s="918"/>
      <c r="C30" s="918"/>
      <c r="D30" s="918"/>
      <c r="E30" s="918">
        <f>SUM(C45:E45)/3</f>
        <v>-28.539999999999964</v>
      </c>
      <c r="F30" s="918"/>
      <c r="G30" s="918"/>
      <c r="H30" s="973"/>
      <c r="I30" s="918"/>
    </row>
    <row r="31" spans="1:10" ht="17.25" customHeight="1">
      <c r="A31" s="915" t="s">
        <v>679</v>
      </c>
      <c r="B31" s="918"/>
      <c r="C31" s="918"/>
      <c r="D31" s="918"/>
      <c r="E31" s="918">
        <f>E30/E29*100</f>
        <v>-0.36378147994768001</v>
      </c>
      <c r="F31" s="918"/>
      <c r="G31" s="918">
        <f>[7]Worksheet!G37</f>
        <v>357.35769860786468</v>
      </c>
      <c r="H31" s="973">
        <f>[7]Worksheet!H37</f>
        <v>5227.926783475953</v>
      </c>
      <c r="I31" s="918"/>
      <c r="J31" s="35"/>
    </row>
    <row r="32" spans="1:10" ht="17.25" customHeight="1">
      <c r="A32" s="897" t="s">
        <v>1176</v>
      </c>
      <c r="B32" s="918"/>
      <c r="C32" s="918"/>
      <c r="D32" s="918"/>
      <c r="E32" s="918"/>
      <c r="F32" s="918"/>
      <c r="G32" s="918">
        <f>[7]Worksheet!G38</f>
        <v>847.68</v>
      </c>
      <c r="H32" s="973">
        <f>[7]Worksheet!H38</f>
        <v>4238.3999999999996</v>
      </c>
      <c r="I32" s="918"/>
      <c r="J32" s="35" t="s">
        <v>679</v>
      </c>
    </row>
    <row r="33" spans="1:10" ht="17.25" customHeight="1">
      <c r="A33" s="897" t="s">
        <v>1177</v>
      </c>
      <c r="B33" s="918"/>
      <c r="C33" s="918"/>
      <c r="D33" s="918"/>
      <c r="E33" s="918"/>
      <c r="F33" s="918"/>
      <c r="G33" s="918">
        <f>[7]Worksheet!G39</f>
        <v>2</v>
      </c>
      <c r="H33" s="973">
        <f>[7]Worksheet!H39</f>
        <v>2</v>
      </c>
      <c r="I33" s="918"/>
      <c r="J33" t="s">
        <v>1176</v>
      </c>
    </row>
    <row r="34" spans="1:10" ht="17.25" customHeight="1">
      <c r="A34" s="897" t="s">
        <v>1178</v>
      </c>
      <c r="B34" s="918"/>
      <c r="C34" s="918"/>
      <c r="D34" s="918"/>
      <c r="E34" s="918"/>
      <c r="F34" s="918"/>
      <c r="G34" s="918">
        <f>[7]Worksheet!G40</f>
        <v>1695.36</v>
      </c>
      <c r="H34" s="973">
        <f>[7]Worksheet!H40</f>
        <v>8476.7999999999993</v>
      </c>
      <c r="I34" s="918"/>
      <c r="J34" t="s">
        <v>1177</v>
      </c>
    </row>
    <row r="35" spans="1:10" ht="17.25" customHeight="1">
      <c r="A35" s="897" t="s">
        <v>248</v>
      </c>
      <c r="B35" s="918"/>
      <c r="C35" s="918"/>
      <c r="D35" s="918"/>
      <c r="E35" s="918"/>
      <c r="F35" s="918"/>
      <c r="G35" s="918">
        <f>[7]Worksheet!G41</f>
        <v>211.9200000000003</v>
      </c>
      <c r="H35" s="973">
        <f>[7]Worksheet!H41</f>
        <v>1059.5999999999985</v>
      </c>
      <c r="I35" s="918"/>
      <c r="J35" t="s">
        <v>1178</v>
      </c>
    </row>
    <row r="36" spans="1:10" ht="17.25" customHeight="1">
      <c r="A36" s="897" t="s">
        <v>918</v>
      </c>
      <c r="B36" s="918"/>
      <c r="C36" s="918"/>
      <c r="D36" s="918"/>
      <c r="E36" s="918"/>
      <c r="F36" s="918"/>
      <c r="G36" s="918">
        <f>[7]Worksheet!G42</f>
        <v>-59.301926564213773</v>
      </c>
      <c r="H36" s="973">
        <f>[7]Worksheet!H42</f>
        <v>-20.268072677473302</v>
      </c>
      <c r="I36" s="918"/>
      <c r="J36" t="s">
        <v>248</v>
      </c>
    </row>
    <row r="37" spans="1:10" ht="17.25" customHeight="1">
      <c r="A37" s="897"/>
      <c r="B37" s="918"/>
      <c r="C37" s="918"/>
      <c r="D37" s="918"/>
      <c r="E37" s="918"/>
      <c r="F37" s="918"/>
      <c r="G37" s="918"/>
      <c r="H37" s="973"/>
      <c r="I37" s="918"/>
      <c r="J37" t="s">
        <v>918</v>
      </c>
    </row>
    <row r="38" spans="1:10" s="700" customFormat="1" ht="17.25" customHeight="1">
      <c r="A38" s="915" t="s">
        <v>345</v>
      </c>
      <c r="B38" s="918">
        <f>[7]Worksheet!B44</f>
        <v>3403.9494800000002</v>
      </c>
      <c r="C38" s="918">
        <f>[7]Worksheet!C44</f>
        <v>7235.9728000000014</v>
      </c>
      <c r="D38" s="918">
        <f>[7]Worksheet!D44</f>
        <v>5939.5677999999989</v>
      </c>
      <c r="E38" s="918">
        <f>[7]Worksheet!E44</f>
        <v>5163.9591920000003</v>
      </c>
      <c r="F38" s="918">
        <f>[7]Worksheet!F44</f>
        <v>1699.5470000000005</v>
      </c>
      <c r="G38" s="918">
        <f>[7]Worksheet!G44</f>
        <v>-1606.8600000000006</v>
      </c>
      <c r="H38" s="973">
        <f>[7]Worksheet!H44</f>
        <v>4561.3799999999992</v>
      </c>
      <c r="I38" s="918"/>
      <c r="J38" s="132" t="s">
        <v>917</v>
      </c>
    </row>
    <row r="39" spans="1:10" s="700" customFormat="1" ht="17.25" customHeight="1">
      <c r="A39" s="897" t="s">
        <v>343</v>
      </c>
      <c r="B39" s="906">
        <f>SUM(B12,B17,B19)</f>
        <v>3972.0614800000003</v>
      </c>
      <c r="C39" s="906">
        <f t="shared" ref="C39:H39" si="1">SUM(C12,C17,C19)</f>
        <v>9022.604800000001</v>
      </c>
      <c r="D39" s="906">
        <f t="shared" si="1"/>
        <v>8012.9547999999995</v>
      </c>
      <c r="E39" s="906">
        <f t="shared" si="1"/>
        <v>6817.3775999999998</v>
      </c>
      <c r="F39" s="906">
        <f t="shared" si="1"/>
        <v>4939.5470000000005</v>
      </c>
      <c r="G39" s="906">
        <f t="shared" si="1"/>
        <v>3283.4399999999996</v>
      </c>
      <c r="H39" s="970">
        <f t="shared" si="1"/>
        <v>8044.7999999999993</v>
      </c>
      <c r="I39" s="906"/>
      <c r="J39" s="700" t="s">
        <v>249</v>
      </c>
    </row>
    <row r="40" spans="1:10" s="700" customFormat="1" ht="17.25" customHeight="1">
      <c r="A40" s="919" t="s">
        <v>344</v>
      </c>
      <c r="B40" s="920">
        <f>SUM(B7,B23:B24)</f>
        <v>-568.11199999999997</v>
      </c>
      <c r="C40" s="920">
        <f t="shared" ref="C40:H40" si="2">SUM(C7,C23:C24)</f>
        <v>-1786.6320000000001</v>
      </c>
      <c r="D40" s="920">
        <f t="shared" si="2"/>
        <v>-2073.3870000000002</v>
      </c>
      <c r="E40" s="920">
        <f t="shared" si="2"/>
        <v>-1653.418408</v>
      </c>
      <c r="F40" s="920">
        <f t="shared" si="2"/>
        <v>-3240</v>
      </c>
      <c r="G40" s="920">
        <f t="shared" si="2"/>
        <v>-4890.3</v>
      </c>
      <c r="H40" s="974">
        <f t="shared" si="2"/>
        <v>-3483.42</v>
      </c>
      <c r="I40" s="920"/>
      <c r="J40" s="700" t="s">
        <v>250</v>
      </c>
    </row>
    <row r="41" spans="1:10">
      <c r="A41" s="892" t="s">
        <v>916</v>
      </c>
      <c r="B41" s="890">
        <f>[7]Worksheet!B48</f>
        <v>3403.9494800000002</v>
      </c>
      <c r="C41" s="890">
        <f>[7]Worksheet!C48</f>
        <v>7235.9728000000014</v>
      </c>
      <c r="D41" s="890">
        <f>[7]Worksheet!D48</f>
        <v>5939.5677999999989</v>
      </c>
      <c r="E41" s="890">
        <f>[7]Worksheet!E48</f>
        <v>5163.9591920000003</v>
      </c>
      <c r="F41" s="890">
        <f>[7]Worksheet!F48</f>
        <v>1699.5470000000005</v>
      </c>
      <c r="G41" s="890">
        <f>[7]Worksheet!G48</f>
        <v>-1394.9400000000005</v>
      </c>
      <c r="H41" s="890">
        <f>[7]Worksheet!H48</f>
        <v>5620.98</v>
      </c>
      <c r="I41" s="979"/>
    </row>
    <row r="42" spans="1:10">
      <c r="A42" s="872" t="s">
        <v>249</v>
      </c>
      <c r="B42" s="890">
        <f>[7]Worksheet!B49</f>
        <v>3972.0614800000003</v>
      </c>
      <c r="C42" s="890">
        <f>[7]Worksheet!C49</f>
        <v>9022.604800000001</v>
      </c>
      <c r="D42" s="890">
        <f>[7]Worksheet!D49</f>
        <v>8012.9547999999995</v>
      </c>
      <c r="E42" s="890">
        <f>[7]Worksheet!E49</f>
        <v>6817.3775999999998</v>
      </c>
      <c r="F42" s="890">
        <f>[7]Worksheet!F49</f>
        <v>4939.5470000000005</v>
      </c>
      <c r="G42" s="890">
        <f>[7]Worksheet!G49</f>
        <v>3495.3599999999997</v>
      </c>
      <c r="H42" s="890">
        <f>[7]Worksheet!H49</f>
        <v>9104.4</v>
      </c>
      <c r="I42" s="979"/>
      <c r="J42" s="132"/>
    </row>
    <row r="43" spans="1:10">
      <c r="A43" s="872" t="s">
        <v>250</v>
      </c>
      <c r="B43" s="890">
        <f>[7]Worksheet!B50</f>
        <v>-568.11199999999997</v>
      </c>
      <c r="C43" s="890">
        <f>[7]Worksheet!C50</f>
        <v>-1786.6320000000001</v>
      </c>
      <c r="D43" s="890">
        <f>[7]Worksheet!D50</f>
        <v>-2073.3870000000002</v>
      </c>
      <c r="E43" s="890">
        <f>[7]Worksheet!E50</f>
        <v>-1653.418408</v>
      </c>
      <c r="F43" s="890">
        <f>[7]Worksheet!F50</f>
        <v>-3240</v>
      </c>
      <c r="G43" s="890">
        <f>[7]Worksheet!G50</f>
        <v>-4890.3</v>
      </c>
      <c r="H43" s="890">
        <f>[7]Worksheet!H50</f>
        <v>-3483.42</v>
      </c>
      <c r="I43" s="979"/>
      <c r="J43" s="700"/>
    </row>
    <row r="44" spans="1:10">
      <c r="A44" s="872" t="s">
        <v>918</v>
      </c>
      <c r="B44" s="890"/>
      <c r="C44" s="890"/>
      <c r="D44" s="890"/>
      <c r="E44" s="890"/>
      <c r="F44" s="890"/>
      <c r="G44" s="890">
        <f>[7]Worksheet!G51</f>
        <v>-15.192051271022407</v>
      </c>
      <c r="H44" s="890">
        <f>[7]Worksheet!H51</f>
        <v>-18.850805375575085</v>
      </c>
      <c r="I44" s="979"/>
      <c r="J44" s="700"/>
    </row>
    <row r="45" spans="1:10">
      <c r="B45" s="891"/>
      <c r="C45" s="891">
        <f t="shared" ref="C45:H45" si="3">C46-B46</f>
        <v>-333.73</v>
      </c>
      <c r="D45" s="891">
        <f t="shared" si="3"/>
        <v>1032.6799999999998</v>
      </c>
      <c r="E45" s="891">
        <f t="shared" si="3"/>
        <v>-784.56999999999971</v>
      </c>
      <c r="F45" s="891">
        <f t="shared" si="3"/>
        <v>120.16211119920172</v>
      </c>
      <c r="G45" s="891">
        <f t="shared" si="3"/>
        <v>17.48665655133982</v>
      </c>
      <c r="H45" s="891">
        <f t="shared" si="3"/>
        <v>702.17630458130361</v>
      </c>
      <c r="I45" s="980"/>
      <c r="J45" s="700"/>
    </row>
    <row r="46" spans="1:10" ht="51" customHeight="1">
      <c r="A46" s="985" t="s">
        <v>374</v>
      </c>
      <c r="B46" s="986">
        <f>[7]Worksheet!B53</f>
        <v>3663.88</v>
      </c>
      <c r="C46" s="986">
        <f>[7]Worksheet!C53</f>
        <v>3330.15</v>
      </c>
      <c r="D46" s="986">
        <f>[7]Worksheet!D53</f>
        <v>4362.83</v>
      </c>
      <c r="E46" s="986">
        <f>[7]Worksheet!E53</f>
        <v>3578.26</v>
      </c>
      <c r="F46" s="986">
        <f>E46+(F26*3%)</f>
        <v>3698.4221111992019</v>
      </c>
      <c r="G46" s="986">
        <f>F46+(G26*3%)</f>
        <v>3715.9087677505418</v>
      </c>
      <c r="H46" s="987">
        <f>G46+(H26*20%)</f>
        <v>4418.0850723318454</v>
      </c>
      <c r="I46" s="988" t="s">
        <v>376</v>
      </c>
    </row>
    <row r="47" spans="1:10">
      <c r="A47" s="989" t="s">
        <v>375</v>
      </c>
      <c r="B47" s="990"/>
      <c r="C47" s="990"/>
      <c r="D47" s="990"/>
      <c r="E47" s="990"/>
      <c r="F47" s="990"/>
      <c r="G47" s="991">
        <f>((G46/F46)-1)*100</f>
        <v>0.47281397378595713</v>
      </c>
      <c r="H47" s="991">
        <f>((H46/G46)-1)*100</f>
        <v>18.896489350742929</v>
      </c>
      <c r="I47" s="991"/>
      <c r="J47" s="35" t="s">
        <v>319</v>
      </c>
    </row>
    <row r="48" spans="1:10">
      <c r="A48" s="673"/>
      <c r="B48" s="762"/>
      <c r="C48" s="762"/>
      <c r="D48" s="762"/>
      <c r="E48" s="762"/>
      <c r="F48" s="762"/>
      <c r="G48" s="933"/>
      <c r="H48" s="975"/>
      <c r="I48" s="933"/>
      <c r="J48" t="s">
        <v>815</v>
      </c>
    </row>
    <row r="49" spans="1:10">
      <c r="A49" s="673" t="s">
        <v>686</v>
      </c>
      <c r="B49" s="762">
        <f>[7]Worksheet!B57</f>
        <v>3663.88</v>
      </c>
      <c r="C49" s="762">
        <f>[7]Worksheet!C57</f>
        <v>3330.15</v>
      </c>
      <c r="D49" s="762">
        <f>[7]Worksheet!D57</f>
        <v>4362.83</v>
      </c>
      <c r="E49" s="762">
        <f>[7]Worksheet!E57</f>
        <v>3578.26</v>
      </c>
      <c r="F49" s="762">
        <f>E49+(F26*3%)</f>
        <v>3698.4221111992019</v>
      </c>
      <c r="G49" s="933">
        <f>F49+(G26*3%)+1433+1297</f>
        <v>6445.9087677505413</v>
      </c>
      <c r="H49" s="975">
        <f>G49+(H26*20%)</f>
        <v>7148.0850723318454</v>
      </c>
      <c r="I49" s="933"/>
      <c r="J49" s="35"/>
    </row>
    <row r="50" spans="1:10">
      <c r="A50" s="183" t="s">
        <v>375</v>
      </c>
      <c r="B50" s="932"/>
      <c r="C50" s="932"/>
      <c r="D50" s="932"/>
      <c r="E50" s="932"/>
      <c r="F50" s="932"/>
      <c r="G50" s="934">
        <f>((G49/F49)-1)*100</f>
        <v>74.288076751208791</v>
      </c>
      <c r="H50" s="976">
        <f>((H49/G49)-1)*100</f>
        <v>10.893363990727799</v>
      </c>
      <c r="I50" s="934"/>
      <c r="J50" s="35" t="s">
        <v>319</v>
      </c>
    </row>
    <row r="51" spans="1:10">
      <c r="A51" s="483" t="s">
        <v>677</v>
      </c>
      <c r="B51" s="737"/>
      <c r="C51" s="737"/>
      <c r="D51" s="737"/>
      <c r="E51" s="737"/>
      <c r="F51" s="737"/>
      <c r="G51" s="737"/>
      <c r="H51" s="737"/>
      <c r="I51" s="737"/>
      <c r="J51" t="s">
        <v>815</v>
      </c>
    </row>
    <row r="52" spans="1:10">
      <c r="B52" s="737"/>
      <c r="C52" s="737"/>
      <c r="D52" s="737"/>
      <c r="E52" s="737"/>
      <c r="F52" s="737"/>
      <c r="G52" s="737"/>
      <c r="H52" s="737"/>
      <c r="I52" s="737"/>
    </row>
    <row r="53" spans="1:10">
      <c r="A53" s="35"/>
      <c r="B53" s="737"/>
      <c r="C53" s="737"/>
      <c r="D53" s="737"/>
      <c r="E53" s="737"/>
      <c r="F53" s="737"/>
      <c r="G53" s="737"/>
      <c r="H53" s="737"/>
      <c r="I53" s="737"/>
    </row>
    <row r="54" spans="1:10">
      <c r="A54" t="s">
        <v>108</v>
      </c>
      <c r="B54" s="737"/>
      <c r="C54" s="737"/>
      <c r="D54" s="737"/>
      <c r="E54" s="737"/>
      <c r="F54" s="737"/>
      <c r="G54" s="737"/>
      <c r="H54" s="737"/>
      <c r="I54" s="737"/>
    </row>
    <row r="55" spans="1:10" ht="15.75">
      <c r="A55" s="1110" t="s">
        <v>109</v>
      </c>
      <c r="B55" s="1111"/>
      <c r="C55" s="1111"/>
      <c r="D55" s="737"/>
      <c r="E55" s="737"/>
      <c r="F55" s="737"/>
      <c r="G55" s="737"/>
      <c r="H55" s="737"/>
      <c r="I55" s="737"/>
      <c r="J55" s="35"/>
    </row>
    <row r="56" spans="1:10" ht="22.5" customHeight="1">
      <c r="A56" s="1112"/>
      <c r="B56" s="1113">
        <v>2006</v>
      </c>
      <c r="C56" s="1113">
        <v>2007</v>
      </c>
      <c r="G56" s="737"/>
      <c r="H56" s="737"/>
      <c r="I56" s="737"/>
      <c r="J56" s="35"/>
    </row>
    <row r="57" spans="1:10" ht="22.5" customHeight="1">
      <c r="A57" s="1114" t="s">
        <v>341</v>
      </c>
      <c r="B57" s="1115">
        <f>G26</f>
        <v>582.88855171132604</v>
      </c>
      <c r="C57" s="1115">
        <f>H26</f>
        <v>3510.8815229065194</v>
      </c>
      <c r="E57" s="737"/>
      <c r="F57" s="737"/>
      <c r="G57" s="737"/>
      <c r="H57" s="737"/>
      <c r="I57" s="737"/>
    </row>
    <row r="58" spans="1:10" ht="39" customHeight="1">
      <c r="A58" s="1116" t="s">
        <v>345</v>
      </c>
      <c r="B58" s="1111">
        <f>G38</f>
        <v>-1606.8600000000006</v>
      </c>
      <c r="C58" s="1111">
        <f>H38</f>
        <v>4561.3799999999992</v>
      </c>
      <c r="D58" s="737"/>
      <c r="E58" s="737"/>
      <c r="F58" s="737"/>
      <c r="G58" s="737"/>
      <c r="H58" s="737"/>
      <c r="I58" s="737"/>
    </row>
    <row r="59" spans="1:10" ht="22.5" customHeight="1">
      <c r="A59" s="1117" t="s">
        <v>110</v>
      </c>
      <c r="B59" s="1111">
        <f>G46</f>
        <v>3715.9087677505418</v>
      </c>
      <c r="C59" s="1111">
        <f>H46</f>
        <v>4418.0850723318454</v>
      </c>
      <c r="D59" s="737"/>
      <c r="E59" s="737"/>
      <c r="F59" s="737"/>
      <c r="G59" s="737"/>
      <c r="H59" s="737"/>
      <c r="I59" s="737"/>
    </row>
    <row r="60" spans="1:10" ht="22.5" customHeight="1" thickBot="1">
      <c r="A60" s="1118" t="s">
        <v>375</v>
      </c>
      <c r="B60" s="1119">
        <f>G47</f>
        <v>0.47281397378595713</v>
      </c>
      <c r="C60" s="1119">
        <f>H47</f>
        <v>18.896489350742929</v>
      </c>
      <c r="D60" s="759"/>
      <c r="E60" s="737"/>
      <c r="F60" s="737"/>
      <c r="G60" s="737"/>
      <c r="H60" s="737"/>
      <c r="I60" s="737"/>
    </row>
    <row r="61" spans="1:10">
      <c r="A61" s="35"/>
      <c r="J61" s="35"/>
    </row>
    <row r="62" spans="1:10">
      <c r="A62" s="35"/>
      <c r="J62" s="35"/>
    </row>
    <row r="63" spans="1:10">
      <c r="J63" s="35"/>
    </row>
    <row r="64" spans="1:10">
      <c r="A64" s="758"/>
    </row>
    <row r="65" spans="1:10">
      <c r="J65" s="758"/>
    </row>
    <row r="67" spans="1:10">
      <c r="A67" s="35"/>
    </row>
    <row r="68" spans="1:10">
      <c r="J68" s="35"/>
    </row>
    <row r="69" spans="1:10">
      <c r="A69" s="35"/>
    </row>
    <row r="70" spans="1:10">
      <c r="J70" s="35"/>
    </row>
    <row r="72" spans="1:10">
      <c r="A72" s="35"/>
    </row>
    <row r="73" spans="1:10">
      <c r="J73" s="35"/>
    </row>
  </sheetData>
  <mergeCells count="2">
    <mergeCell ref="A1:H1"/>
    <mergeCell ref="F2:H2"/>
  </mergeCells>
  <phoneticPr fontId="44" type="noConversion"/>
  <pageMargins left="1.1000000000000001" right="0.75" top="0.51" bottom="1" header="0.5" footer="0.5"/>
  <pageSetup scale="45" orientation="landscape" r:id="rId1"/>
  <headerFooter alignWithMargins="0">
    <oddFooter>&amp;L&amp;D</oddFooter>
  </headerFooter>
  <legacyDrawing r:id="rId2"/>
</worksheet>
</file>

<file path=xl/worksheets/sheet30.xml><?xml version="1.0" encoding="utf-8"?>
<worksheet xmlns="http://schemas.openxmlformats.org/spreadsheetml/2006/main" xmlns:r="http://schemas.openxmlformats.org/officeDocument/2006/relationships">
  <dimension ref="A1:S260"/>
  <sheetViews>
    <sheetView zoomScale="70" zoomScaleNormal="70" zoomScaleSheetLayoutView="75" workbookViewId="0">
      <pane ySplit="10" topLeftCell="A215" activePane="bottomLeft" state="frozen"/>
      <selection activeCell="K31" sqref="K31"/>
      <selection pane="bottomLeft" activeCell="Q216" sqref="Q216"/>
    </sheetView>
  </sheetViews>
  <sheetFormatPr defaultColWidth="11" defaultRowHeight="16.5"/>
  <cols>
    <col min="1" max="1" width="11" style="3998"/>
    <col min="2" max="2" width="9" style="2020" customWidth="1"/>
    <col min="3" max="3" width="12.5703125" style="3514" customWidth="1"/>
    <col min="4" max="4" width="12.5703125" style="2200" customWidth="1"/>
    <col min="5" max="5" width="12.140625" style="2200" customWidth="1"/>
    <col min="6" max="6" width="11.5703125" style="2200" customWidth="1"/>
    <col min="7" max="8" width="10" style="2200" bestFit="1" customWidth="1"/>
    <col min="9" max="9" width="9.140625" style="2200" customWidth="1"/>
    <col min="10" max="10" width="11.140625" style="2200" customWidth="1"/>
    <col min="11" max="11" width="12.7109375" style="2200" customWidth="1"/>
    <col min="12" max="12" width="11.42578125" style="2200" customWidth="1"/>
    <col min="13" max="13" width="10.42578125" style="2200" customWidth="1"/>
    <col min="14" max="14" width="12.140625" style="2020" customWidth="1"/>
    <col min="15" max="15" width="11" style="3998"/>
    <col min="16" max="16" width="11.140625" style="2020" bestFit="1" customWidth="1"/>
    <col min="17" max="256" width="11" style="2020"/>
    <col min="257" max="257" width="9" style="2020" customWidth="1"/>
    <col min="258" max="259" width="12.5703125" style="2020" customWidth="1"/>
    <col min="260" max="260" width="12.140625" style="2020" customWidth="1"/>
    <col min="261" max="261" width="13" style="2020" customWidth="1"/>
    <col min="262" max="262" width="9.140625" style="2020" customWidth="1"/>
    <col min="263" max="263" width="9.5703125" style="2020" customWidth="1"/>
    <col min="264" max="264" width="10" style="2020" customWidth="1"/>
    <col min="265" max="265" width="11.85546875" style="2020" customWidth="1"/>
    <col min="266" max="266" width="13.7109375" style="2020" customWidth="1"/>
    <col min="267" max="267" width="12.7109375" style="2020" customWidth="1"/>
    <col min="268" max="268" width="11.28515625" style="2020" customWidth="1"/>
    <col min="269" max="269" width="12.140625" style="2020" customWidth="1"/>
    <col min="270" max="512" width="11" style="2020"/>
    <col min="513" max="513" width="9" style="2020" customWidth="1"/>
    <col min="514" max="515" width="12.5703125" style="2020" customWidth="1"/>
    <col min="516" max="516" width="12.140625" style="2020" customWidth="1"/>
    <col min="517" max="517" width="13" style="2020" customWidth="1"/>
    <col min="518" max="518" width="9.140625" style="2020" customWidth="1"/>
    <col min="519" max="519" width="9.5703125" style="2020" customWidth="1"/>
    <col min="520" max="520" width="10" style="2020" customWidth="1"/>
    <col min="521" max="521" width="11.85546875" style="2020" customWidth="1"/>
    <col min="522" max="522" width="13.7109375" style="2020" customWidth="1"/>
    <col min="523" max="523" width="12.7109375" style="2020" customWidth="1"/>
    <col min="524" max="524" width="11.28515625" style="2020" customWidth="1"/>
    <col min="525" max="525" width="12.140625" style="2020" customWidth="1"/>
    <col min="526" max="768" width="11" style="2020"/>
    <col min="769" max="769" width="9" style="2020" customWidth="1"/>
    <col min="770" max="771" width="12.5703125" style="2020" customWidth="1"/>
    <col min="772" max="772" width="12.140625" style="2020" customWidth="1"/>
    <col min="773" max="773" width="13" style="2020" customWidth="1"/>
    <col min="774" max="774" width="9.140625" style="2020" customWidth="1"/>
    <col min="775" max="775" width="9.5703125" style="2020" customWidth="1"/>
    <col min="776" max="776" width="10" style="2020" customWidth="1"/>
    <col min="777" max="777" width="11.85546875" style="2020" customWidth="1"/>
    <col min="778" max="778" width="13.7109375" style="2020" customWidth="1"/>
    <col min="779" max="779" width="12.7109375" style="2020" customWidth="1"/>
    <col min="780" max="780" width="11.28515625" style="2020" customWidth="1"/>
    <col min="781" max="781" width="12.140625" style="2020" customWidth="1"/>
    <col min="782" max="1024" width="11" style="2020"/>
    <col min="1025" max="1025" width="9" style="2020" customWidth="1"/>
    <col min="1026" max="1027" width="12.5703125" style="2020" customWidth="1"/>
    <col min="1028" max="1028" width="12.140625" style="2020" customWidth="1"/>
    <col min="1029" max="1029" width="13" style="2020" customWidth="1"/>
    <col min="1030" max="1030" width="9.140625" style="2020" customWidth="1"/>
    <col min="1031" max="1031" width="9.5703125" style="2020" customWidth="1"/>
    <col min="1032" max="1032" width="10" style="2020" customWidth="1"/>
    <col min="1033" max="1033" width="11.85546875" style="2020" customWidth="1"/>
    <col min="1034" max="1034" width="13.7109375" style="2020" customWidth="1"/>
    <col min="1035" max="1035" width="12.7109375" style="2020" customWidth="1"/>
    <col min="1036" max="1036" width="11.28515625" style="2020" customWidth="1"/>
    <col min="1037" max="1037" width="12.140625" style="2020" customWidth="1"/>
    <col min="1038" max="1280" width="11" style="2020"/>
    <col min="1281" max="1281" width="9" style="2020" customWidth="1"/>
    <col min="1282" max="1283" width="12.5703125" style="2020" customWidth="1"/>
    <col min="1284" max="1284" width="12.140625" style="2020" customWidth="1"/>
    <col min="1285" max="1285" width="13" style="2020" customWidth="1"/>
    <col min="1286" max="1286" width="9.140625" style="2020" customWidth="1"/>
    <col min="1287" max="1287" width="9.5703125" style="2020" customWidth="1"/>
    <col min="1288" max="1288" width="10" style="2020" customWidth="1"/>
    <col min="1289" max="1289" width="11.85546875" style="2020" customWidth="1"/>
    <col min="1290" max="1290" width="13.7109375" style="2020" customWidth="1"/>
    <col min="1291" max="1291" width="12.7109375" style="2020" customWidth="1"/>
    <col min="1292" max="1292" width="11.28515625" style="2020" customWidth="1"/>
    <col min="1293" max="1293" width="12.140625" style="2020" customWidth="1"/>
    <col min="1294" max="1536" width="11" style="2020"/>
    <col min="1537" max="1537" width="9" style="2020" customWidth="1"/>
    <col min="1538" max="1539" width="12.5703125" style="2020" customWidth="1"/>
    <col min="1540" max="1540" width="12.140625" style="2020" customWidth="1"/>
    <col min="1541" max="1541" width="13" style="2020" customWidth="1"/>
    <col min="1542" max="1542" width="9.140625" style="2020" customWidth="1"/>
    <col min="1543" max="1543" width="9.5703125" style="2020" customWidth="1"/>
    <col min="1544" max="1544" width="10" style="2020" customWidth="1"/>
    <col min="1545" max="1545" width="11.85546875" style="2020" customWidth="1"/>
    <col min="1546" max="1546" width="13.7109375" style="2020" customWidth="1"/>
    <col min="1547" max="1547" width="12.7109375" style="2020" customWidth="1"/>
    <col min="1548" max="1548" width="11.28515625" style="2020" customWidth="1"/>
    <col min="1549" max="1549" width="12.140625" style="2020" customWidth="1"/>
    <col min="1550" max="1792" width="11" style="2020"/>
    <col min="1793" max="1793" width="9" style="2020" customWidth="1"/>
    <col min="1794" max="1795" width="12.5703125" style="2020" customWidth="1"/>
    <col min="1796" max="1796" width="12.140625" style="2020" customWidth="1"/>
    <col min="1797" max="1797" width="13" style="2020" customWidth="1"/>
    <col min="1798" max="1798" width="9.140625" style="2020" customWidth="1"/>
    <col min="1799" max="1799" width="9.5703125" style="2020" customWidth="1"/>
    <col min="1800" max="1800" width="10" style="2020" customWidth="1"/>
    <col min="1801" max="1801" width="11.85546875" style="2020" customWidth="1"/>
    <col min="1802" max="1802" width="13.7109375" style="2020" customWidth="1"/>
    <col min="1803" max="1803" width="12.7109375" style="2020" customWidth="1"/>
    <col min="1804" max="1804" width="11.28515625" style="2020" customWidth="1"/>
    <col min="1805" max="1805" width="12.140625" style="2020" customWidth="1"/>
    <col min="1806" max="2048" width="11" style="2020"/>
    <col min="2049" max="2049" width="9" style="2020" customWidth="1"/>
    <col min="2050" max="2051" width="12.5703125" style="2020" customWidth="1"/>
    <col min="2052" max="2052" width="12.140625" style="2020" customWidth="1"/>
    <col min="2053" max="2053" width="13" style="2020" customWidth="1"/>
    <col min="2054" max="2054" width="9.140625" style="2020" customWidth="1"/>
    <col min="2055" max="2055" width="9.5703125" style="2020" customWidth="1"/>
    <col min="2056" max="2056" width="10" style="2020" customWidth="1"/>
    <col min="2057" max="2057" width="11.85546875" style="2020" customWidth="1"/>
    <col min="2058" max="2058" width="13.7109375" style="2020" customWidth="1"/>
    <col min="2059" max="2059" width="12.7109375" style="2020" customWidth="1"/>
    <col min="2060" max="2060" width="11.28515625" style="2020" customWidth="1"/>
    <col min="2061" max="2061" width="12.140625" style="2020" customWidth="1"/>
    <col min="2062" max="2304" width="11" style="2020"/>
    <col min="2305" max="2305" width="9" style="2020" customWidth="1"/>
    <col min="2306" max="2307" width="12.5703125" style="2020" customWidth="1"/>
    <col min="2308" max="2308" width="12.140625" style="2020" customWidth="1"/>
    <col min="2309" max="2309" width="13" style="2020" customWidth="1"/>
    <col min="2310" max="2310" width="9.140625" style="2020" customWidth="1"/>
    <col min="2311" max="2311" width="9.5703125" style="2020" customWidth="1"/>
    <col min="2312" max="2312" width="10" style="2020" customWidth="1"/>
    <col min="2313" max="2313" width="11.85546875" style="2020" customWidth="1"/>
    <col min="2314" max="2314" width="13.7109375" style="2020" customWidth="1"/>
    <col min="2315" max="2315" width="12.7109375" style="2020" customWidth="1"/>
    <col min="2316" max="2316" width="11.28515625" style="2020" customWidth="1"/>
    <col min="2317" max="2317" width="12.140625" style="2020" customWidth="1"/>
    <col min="2318" max="2560" width="11" style="2020"/>
    <col min="2561" max="2561" width="9" style="2020" customWidth="1"/>
    <col min="2562" max="2563" width="12.5703125" style="2020" customWidth="1"/>
    <col min="2564" max="2564" width="12.140625" style="2020" customWidth="1"/>
    <col min="2565" max="2565" width="13" style="2020" customWidth="1"/>
    <col min="2566" max="2566" width="9.140625" style="2020" customWidth="1"/>
    <col min="2567" max="2567" width="9.5703125" style="2020" customWidth="1"/>
    <col min="2568" max="2568" width="10" style="2020" customWidth="1"/>
    <col min="2569" max="2569" width="11.85546875" style="2020" customWidth="1"/>
    <col min="2570" max="2570" width="13.7109375" style="2020" customWidth="1"/>
    <col min="2571" max="2571" width="12.7109375" style="2020" customWidth="1"/>
    <col min="2572" max="2572" width="11.28515625" style="2020" customWidth="1"/>
    <col min="2573" max="2573" width="12.140625" style="2020" customWidth="1"/>
    <col min="2574" max="2816" width="11" style="2020"/>
    <col min="2817" max="2817" width="9" style="2020" customWidth="1"/>
    <col min="2818" max="2819" width="12.5703125" style="2020" customWidth="1"/>
    <col min="2820" max="2820" width="12.140625" style="2020" customWidth="1"/>
    <col min="2821" max="2821" width="13" style="2020" customWidth="1"/>
    <col min="2822" max="2822" width="9.140625" style="2020" customWidth="1"/>
    <col min="2823" max="2823" width="9.5703125" style="2020" customWidth="1"/>
    <col min="2824" max="2824" width="10" style="2020" customWidth="1"/>
    <col min="2825" max="2825" width="11.85546875" style="2020" customWidth="1"/>
    <col min="2826" max="2826" width="13.7109375" style="2020" customWidth="1"/>
    <col min="2827" max="2827" width="12.7109375" style="2020" customWidth="1"/>
    <col min="2828" max="2828" width="11.28515625" style="2020" customWidth="1"/>
    <col min="2829" max="2829" width="12.140625" style="2020" customWidth="1"/>
    <col min="2830" max="3072" width="11" style="2020"/>
    <col min="3073" max="3073" width="9" style="2020" customWidth="1"/>
    <col min="3074" max="3075" width="12.5703125" style="2020" customWidth="1"/>
    <col min="3076" max="3076" width="12.140625" style="2020" customWidth="1"/>
    <col min="3077" max="3077" width="13" style="2020" customWidth="1"/>
    <col min="3078" max="3078" width="9.140625" style="2020" customWidth="1"/>
    <col min="3079" max="3079" width="9.5703125" style="2020" customWidth="1"/>
    <col min="3080" max="3080" width="10" style="2020" customWidth="1"/>
    <col min="3081" max="3081" width="11.85546875" style="2020" customWidth="1"/>
    <col min="3082" max="3082" width="13.7109375" style="2020" customWidth="1"/>
    <col min="3083" max="3083" width="12.7109375" style="2020" customWidth="1"/>
    <col min="3084" max="3084" width="11.28515625" style="2020" customWidth="1"/>
    <col min="3085" max="3085" width="12.140625" style="2020" customWidth="1"/>
    <col min="3086" max="3328" width="11" style="2020"/>
    <col min="3329" max="3329" width="9" style="2020" customWidth="1"/>
    <col min="3330" max="3331" width="12.5703125" style="2020" customWidth="1"/>
    <col min="3332" max="3332" width="12.140625" style="2020" customWidth="1"/>
    <col min="3333" max="3333" width="13" style="2020" customWidth="1"/>
    <col min="3334" max="3334" width="9.140625" style="2020" customWidth="1"/>
    <col min="3335" max="3335" width="9.5703125" style="2020" customWidth="1"/>
    <col min="3336" max="3336" width="10" style="2020" customWidth="1"/>
    <col min="3337" max="3337" width="11.85546875" style="2020" customWidth="1"/>
    <col min="3338" max="3338" width="13.7109375" style="2020" customWidth="1"/>
    <col min="3339" max="3339" width="12.7109375" style="2020" customWidth="1"/>
    <col min="3340" max="3340" width="11.28515625" style="2020" customWidth="1"/>
    <col min="3341" max="3341" width="12.140625" style="2020" customWidth="1"/>
    <col min="3342" max="3584" width="11" style="2020"/>
    <col min="3585" max="3585" width="9" style="2020" customWidth="1"/>
    <col min="3586" max="3587" width="12.5703125" style="2020" customWidth="1"/>
    <col min="3588" max="3588" width="12.140625" style="2020" customWidth="1"/>
    <col min="3589" max="3589" width="13" style="2020" customWidth="1"/>
    <col min="3590" max="3590" width="9.140625" style="2020" customWidth="1"/>
    <col min="3591" max="3591" width="9.5703125" style="2020" customWidth="1"/>
    <col min="3592" max="3592" width="10" style="2020" customWidth="1"/>
    <col min="3593" max="3593" width="11.85546875" style="2020" customWidth="1"/>
    <col min="3594" max="3594" width="13.7109375" style="2020" customWidth="1"/>
    <col min="3595" max="3595" width="12.7109375" style="2020" customWidth="1"/>
    <col min="3596" max="3596" width="11.28515625" style="2020" customWidth="1"/>
    <col min="3597" max="3597" width="12.140625" style="2020" customWidth="1"/>
    <col min="3598" max="3840" width="11" style="2020"/>
    <col min="3841" max="3841" width="9" style="2020" customWidth="1"/>
    <col min="3842" max="3843" width="12.5703125" style="2020" customWidth="1"/>
    <col min="3844" max="3844" width="12.140625" style="2020" customWidth="1"/>
    <col min="3845" max="3845" width="13" style="2020" customWidth="1"/>
    <col min="3846" max="3846" width="9.140625" style="2020" customWidth="1"/>
    <col min="3847" max="3847" width="9.5703125" style="2020" customWidth="1"/>
    <col min="3848" max="3848" width="10" style="2020" customWidth="1"/>
    <col min="3849" max="3849" width="11.85546875" style="2020" customWidth="1"/>
    <col min="3850" max="3850" width="13.7109375" style="2020" customWidth="1"/>
    <col min="3851" max="3851" width="12.7109375" style="2020" customWidth="1"/>
    <col min="3852" max="3852" width="11.28515625" style="2020" customWidth="1"/>
    <col min="3853" max="3853" width="12.140625" style="2020" customWidth="1"/>
    <col min="3854" max="4096" width="11" style="2020"/>
    <col min="4097" max="4097" width="9" style="2020" customWidth="1"/>
    <col min="4098" max="4099" width="12.5703125" style="2020" customWidth="1"/>
    <col min="4100" max="4100" width="12.140625" style="2020" customWidth="1"/>
    <col min="4101" max="4101" width="13" style="2020" customWidth="1"/>
    <col min="4102" max="4102" width="9.140625" style="2020" customWidth="1"/>
    <col min="4103" max="4103" width="9.5703125" style="2020" customWidth="1"/>
    <col min="4104" max="4104" width="10" style="2020" customWidth="1"/>
    <col min="4105" max="4105" width="11.85546875" style="2020" customWidth="1"/>
    <col min="4106" max="4106" width="13.7109375" style="2020" customWidth="1"/>
    <col min="4107" max="4107" width="12.7109375" style="2020" customWidth="1"/>
    <col min="4108" max="4108" width="11.28515625" style="2020" customWidth="1"/>
    <col min="4109" max="4109" width="12.140625" style="2020" customWidth="1"/>
    <col min="4110" max="4352" width="11" style="2020"/>
    <col min="4353" max="4353" width="9" style="2020" customWidth="1"/>
    <col min="4354" max="4355" width="12.5703125" style="2020" customWidth="1"/>
    <col min="4356" max="4356" width="12.140625" style="2020" customWidth="1"/>
    <col min="4357" max="4357" width="13" style="2020" customWidth="1"/>
    <col min="4358" max="4358" width="9.140625" style="2020" customWidth="1"/>
    <col min="4359" max="4359" width="9.5703125" style="2020" customWidth="1"/>
    <col min="4360" max="4360" width="10" style="2020" customWidth="1"/>
    <col min="4361" max="4361" width="11.85546875" style="2020" customWidth="1"/>
    <col min="4362" max="4362" width="13.7109375" style="2020" customWidth="1"/>
    <col min="4363" max="4363" width="12.7109375" style="2020" customWidth="1"/>
    <col min="4364" max="4364" width="11.28515625" style="2020" customWidth="1"/>
    <col min="4365" max="4365" width="12.140625" style="2020" customWidth="1"/>
    <col min="4366" max="4608" width="11" style="2020"/>
    <col min="4609" max="4609" width="9" style="2020" customWidth="1"/>
    <col min="4610" max="4611" width="12.5703125" style="2020" customWidth="1"/>
    <col min="4612" max="4612" width="12.140625" style="2020" customWidth="1"/>
    <col min="4613" max="4613" width="13" style="2020" customWidth="1"/>
    <col min="4614" max="4614" width="9.140625" style="2020" customWidth="1"/>
    <col min="4615" max="4615" width="9.5703125" style="2020" customWidth="1"/>
    <col min="4616" max="4616" width="10" style="2020" customWidth="1"/>
    <col min="4617" max="4617" width="11.85546875" style="2020" customWidth="1"/>
    <col min="4618" max="4618" width="13.7109375" style="2020" customWidth="1"/>
    <col min="4619" max="4619" width="12.7109375" style="2020" customWidth="1"/>
    <col min="4620" max="4620" width="11.28515625" style="2020" customWidth="1"/>
    <col min="4621" max="4621" width="12.140625" style="2020" customWidth="1"/>
    <col min="4622" max="4864" width="11" style="2020"/>
    <col min="4865" max="4865" width="9" style="2020" customWidth="1"/>
    <col min="4866" max="4867" width="12.5703125" style="2020" customWidth="1"/>
    <col min="4868" max="4868" width="12.140625" style="2020" customWidth="1"/>
    <col min="4869" max="4869" width="13" style="2020" customWidth="1"/>
    <col min="4870" max="4870" width="9.140625" style="2020" customWidth="1"/>
    <col min="4871" max="4871" width="9.5703125" style="2020" customWidth="1"/>
    <col min="4872" max="4872" width="10" style="2020" customWidth="1"/>
    <col min="4873" max="4873" width="11.85546875" style="2020" customWidth="1"/>
    <col min="4874" max="4874" width="13.7109375" style="2020" customWidth="1"/>
    <col min="4875" max="4875" width="12.7109375" style="2020" customWidth="1"/>
    <col min="4876" max="4876" width="11.28515625" style="2020" customWidth="1"/>
    <col min="4877" max="4877" width="12.140625" style="2020" customWidth="1"/>
    <col min="4878" max="5120" width="11" style="2020"/>
    <col min="5121" max="5121" width="9" style="2020" customWidth="1"/>
    <col min="5122" max="5123" width="12.5703125" style="2020" customWidth="1"/>
    <col min="5124" max="5124" width="12.140625" style="2020" customWidth="1"/>
    <col min="5125" max="5125" width="13" style="2020" customWidth="1"/>
    <col min="5126" max="5126" width="9.140625" style="2020" customWidth="1"/>
    <col min="5127" max="5127" width="9.5703125" style="2020" customWidth="1"/>
    <col min="5128" max="5128" width="10" style="2020" customWidth="1"/>
    <col min="5129" max="5129" width="11.85546875" style="2020" customWidth="1"/>
    <col min="5130" max="5130" width="13.7109375" style="2020" customWidth="1"/>
    <col min="5131" max="5131" width="12.7109375" style="2020" customWidth="1"/>
    <col min="5132" max="5132" width="11.28515625" style="2020" customWidth="1"/>
    <col min="5133" max="5133" width="12.140625" style="2020" customWidth="1"/>
    <col min="5134" max="5376" width="11" style="2020"/>
    <col min="5377" max="5377" width="9" style="2020" customWidth="1"/>
    <col min="5378" max="5379" width="12.5703125" style="2020" customWidth="1"/>
    <col min="5380" max="5380" width="12.140625" style="2020" customWidth="1"/>
    <col min="5381" max="5381" width="13" style="2020" customWidth="1"/>
    <col min="5382" max="5382" width="9.140625" style="2020" customWidth="1"/>
    <col min="5383" max="5383" width="9.5703125" style="2020" customWidth="1"/>
    <col min="5384" max="5384" width="10" style="2020" customWidth="1"/>
    <col min="5385" max="5385" width="11.85546875" style="2020" customWidth="1"/>
    <col min="5386" max="5386" width="13.7109375" style="2020" customWidth="1"/>
    <col min="5387" max="5387" width="12.7109375" style="2020" customWidth="1"/>
    <col min="5388" max="5388" width="11.28515625" style="2020" customWidth="1"/>
    <col min="5389" max="5389" width="12.140625" style="2020" customWidth="1"/>
    <col min="5390" max="5632" width="11" style="2020"/>
    <col min="5633" max="5633" width="9" style="2020" customWidth="1"/>
    <col min="5634" max="5635" width="12.5703125" style="2020" customWidth="1"/>
    <col min="5636" max="5636" width="12.140625" style="2020" customWidth="1"/>
    <col min="5637" max="5637" width="13" style="2020" customWidth="1"/>
    <col min="5638" max="5638" width="9.140625" style="2020" customWidth="1"/>
    <col min="5639" max="5639" width="9.5703125" style="2020" customWidth="1"/>
    <col min="5640" max="5640" width="10" style="2020" customWidth="1"/>
    <col min="5641" max="5641" width="11.85546875" style="2020" customWidth="1"/>
    <col min="5642" max="5642" width="13.7109375" style="2020" customWidth="1"/>
    <col min="5643" max="5643" width="12.7109375" style="2020" customWidth="1"/>
    <col min="5644" max="5644" width="11.28515625" style="2020" customWidth="1"/>
    <col min="5645" max="5645" width="12.140625" style="2020" customWidth="1"/>
    <col min="5646" max="5888" width="11" style="2020"/>
    <col min="5889" max="5889" width="9" style="2020" customWidth="1"/>
    <col min="5890" max="5891" width="12.5703125" style="2020" customWidth="1"/>
    <col min="5892" max="5892" width="12.140625" style="2020" customWidth="1"/>
    <col min="5893" max="5893" width="13" style="2020" customWidth="1"/>
    <col min="5894" max="5894" width="9.140625" style="2020" customWidth="1"/>
    <col min="5895" max="5895" width="9.5703125" style="2020" customWidth="1"/>
    <col min="5896" max="5896" width="10" style="2020" customWidth="1"/>
    <col min="5897" max="5897" width="11.85546875" style="2020" customWidth="1"/>
    <col min="5898" max="5898" width="13.7109375" style="2020" customWidth="1"/>
    <col min="5899" max="5899" width="12.7109375" style="2020" customWidth="1"/>
    <col min="5900" max="5900" width="11.28515625" style="2020" customWidth="1"/>
    <col min="5901" max="5901" width="12.140625" style="2020" customWidth="1"/>
    <col min="5902" max="6144" width="11" style="2020"/>
    <col min="6145" max="6145" width="9" style="2020" customWidth="1"/>
    <col min="6146" max="6147" width="12.5703125" style="2020" customWidth="1"/>
    <col min="6148" max="6148" width="12.140625" style="2020" customWidth="1"/>
    <col min="6149" max="6149" width="13" style="2020" customWidth="1"/>
    <col min="6150" max="6150" width="9.140625" style="2020" customWidth="1"/>
    <col min="6151" max="6151" width="9.5703125" style="2020" customWidth="1"/>
    <col min="6152" max="6152" width="10" style="2020" customWidth="1"/>
    <col min="6153" max="6153" width="11.85546875" style="2020" customWidth="1"/>
    <col min="6154" max="6154" width="13.7109375" style="2020" customWidth="1"/>
    <col min="6155" max="6155" width="12.7109375" style="2020" customWidth="1"/>
    <col min="6156" max="6156" width="11.28515625" style="2020" customWidth="1"/>
    <col min="6157" max="6157" width="12.140625" style="2020" customWidth="1"/>
    <col min="6158" max="6400" width="11" style="2020"/>
    <col min="6401" max="6401" width="9" style="2020" customWidth="1"/>
    <col min="6402" max="6403" width="12.5703125" style="2020" customWidth="1"/>
    <col min="6404" max="6404" width="12.140625" style="2020" customWidth="1"/>
    <col min="6405" max="6405" width="13" style="2020" customWidth="1"/>
    <col min="6406" max="6406" width="9.140625" style="2020" customWidth="1"/>
    <col min="6407" max="6407" width="9.5703125" style="2020" customWidth="1"/>
    <col min="6408" max="6408" width="10" style="2020" customWidth="1"/>
    <col min="6409" max="6409" width="11.85546875" style="2020" customWidth="1"/>
    <col min="6410" max="6410" width="13.7109375" style="2020" customWidth="1"/>
    <col min="6411" max="6411" width="12.7109375" style="2020" customWidth="1"/>
    <col min="6412" max="6412" width="11.28515625" style="2020" customWidth="1"/>
    <col min="6413" max="6413" width="12.140625" style="2020" customWidth="1"/>
    <col min="6414" max="6656" width="11" style="2020"/>
    <col min="6657" max="6657" width="9" style="2020" customWidth="1"/>
    <col min="6658" max="6659" width="12.5703125" style="2020" customWidth="1"/>
    <col min="6660" max="6660" width="12.140625" style="2020" customWidth="1"/>
    <col min="6661" max="6661" width="13" style="2020" customWidth="1"/>
    <col min="6662" max="6662" width="9.140625" style="2020" customWidth="1"/>
    <col min="6663" max="6663" width="9.5703125" style="2020" customWidth="1"/>
    <col min="6664" max="6664" width="10" style="2020" customWidth="1"/>
    <col min="6665" max="6665" width="11.85546875" style="2020" customWidth="1"/>
    <col min="6666" max="6666" width="13.7109375" style="2020" customWidth="1"/>
    <col min="6667" max="6667" width="12.7109375" style="2020" customWidth="1"/>
    <col min="6668" max="6668" width="11.28515625" style="2020" customWidth="1"/>
    <col min="6669" max="6669" width="12.140625" style="2020" customWidth="1"/>
    <col min="6670" max="6912" width="11" style="2020"/>
    <col min="6913" max="6913" width="9" style="2020" customWidth="1"/>
    <col min="6914" max="6915" width="12.5703125" style="2020" customWidth="1"/>
    <col min="6916" max="6916" width="12.140625" style="2020" customWidth="1"/>
    <col min="6917" max="6917" width="13" style="2020" customWidth="1"/>
    <col min="6918" max="6918" width="9.140625" style="2020" customWidth="1"/>
    <col min="6919" max="6919" width="9.5703125" style="2020" customWidth="1"/>
    <col min="6920" max="6920" width="10" style="2020" customWidth="1"/>
    <col min="6921" max="6921" width="11.85546875" style="2020" customWidth="1"/>
    <col min="6922" max="6922" width="13.7109375" style="2020" customWidth="1"/>
    <col min="6923" max="6923" width="12.7109375" style="2020" customWidth="1"/>
    <col min="6924" max="6924" width="11.28515625" style="2020" customWidth="1"/>
    <col min="6925" max="6925" width="12.140625" style="2020" customWidth="1"/>
    <col min="6926" max="7168" width="11" style="2020"/>
    <col min="7169" max="7169" width="9" style="2020" customWidth="1"/>
    <col min="7170" max="7171" width="12.5703125" style="2020" customWidth="1"/>
    <col min="7172" max="7172" width="12.140625" style="2020" customWidth="1"/>
    <col min="7173" max="7173" width="13" style="2020" customWidth="1"/>
    <col min="7174" max="7174" width="9.140625" style="2020" customWidth="1"/>
    <col min="7175" max="7175" width="9.5703125" style="2020" customWidth="1"/>
    <col min="7176" max="7176" width="10" style="2020" customWidth="1"/>
    <col min="7177" max="7177" width="11.85546875" style="2020" customWidth="1"/>
    <col min="7178" max="7178" width="13.7109375" style="2020" customWidth="1"/>
    <col min="7179" max="7179" width="12.7109375" style="2020" customWidth="1"/>
    <col min="7180" max="7180" width="11.28515625" style="2020" customWidth="1"/>
    <col min="7181" max="7181" width="12.140625" style="2020" customWidth="1"/>
    <col min="7182" max="7424" width="11" style="2020"/>
    <col min="7425" max="7425" width="9" style="2020" customWidth="1"/>
    <col min="7426" max="7427" width="12.5703125" style="2020" customWidth="1"/>
    <col min="7428" max="7428" width="12.140625" style="2020" customWidth="1"/>
    <col min="7429" max="7429" width="13" style="2020" customWidth="1"/>
    <col min="7430" max="7430" width="9.140625" style="2020" customWidth="1"/>
    <col min="7431" max="7431" width="9.5703125" style="2020" customWidth="1"/>
    <col min="7432" max="7432" width="10" style="2020" customWidth="1"/>
    <col min="7433" max="7433" width="11.85546875" style="2020" customWidth="1"/>
    <col min="7434" max="7434" width="13.7109375" style="2020" customWidth="1"/>
    <col min="7435" max="7435" width="12.7109375" style="2020" customWidth="1"/>
    <col min="7436" max="7436" width="11.28515625" style="2020" customWidth="1"/>
    <col min="7437" max="7437" width="12.140625" style="2020" customWidth="1"/>
    <col min="7438" max="7680" width="11" style="2020"/>
    <col min="7681" max="7681" width="9" style="2020" customWidth="1"/>
    <col min="7682" max="7683" width="12.5703125" style="2020" customWidth="1"/>
    <col min="7684" max="7684" width="12.140625" style="2020" customWidth="1"/>
    <col min="7685" max="7685" width="13" style="2020" customWidth="1"/>
    <col min="7686" max="7686" width="9.140625" style="2020" customWidth="1"/>
    <col min="7687" max="7687" width="9.5703125" style="2020" customWidth="1"/>
    <col min="7688" max="7688" width="10" style="2020" customWidth="1"/>
    <col min="7689" max="7689" width="11.85546875" style="2020" customWidth="1"/>
    <col min="7690" max="7690" width="13.7109375" style="2020" customWidth="1"/>
    <col min="7691" max="7691" width="12.7109375" style="2020" customWidth="1"/>
    <col min="7692" max="7692" width="11.28515625" style="2020" customWidth="1"/>
    <col min="7693" max="7693" width="12.140625" style="2020" customWidth="1"/>
    <col min="7694" max="7936" width="11" style="2020"/>
    <col min="7937" max="7937" width="9" style="2020" customWidth="1"/>
    <col min="7938" max="7939" width="12.5703125" style="2020" customWidth="1"/>
    <col min="7940" max="7940" width="12.140625" style="2020" customWidth="1"/>
    <col min="7941" max="7941" width="13" style="2020" customWidth="1"/>
    <col min="7942" max="7942" width="9.140625" style="2020" customWidth="1"/>
    <col min="7943" max="7943" width="9.5703125" style="2020" customWidth="1"/>
    <col min="7944" max="7944" width="10" style="2020" customWidth="1"/>
    <col min="7945" max="7945" width="11.85546875" style="2020" customWidth="1"/>
    <col min="7946" max="7946" width="13.7109375" style="2020" customWidth="1"/>
    <col min="7947" max="7947" width="12.7109375" style="2020" customWidth="1"/>
    <col min="7948" max="7948" width="11.28515625" style="2020" customWidth="1"/>
    <col min="7949" max="7949" width="12.140625" style="2020" customWidth="1"/>
    <col min="7950" max="8192" width="11" style="2020"/>
    <col min="8193" max="8193" width="9" style="2020" customWidth="1"/>
    <col min="8194" max="8195" width="12.5703125" style="2020" customWidth="1"/>
    <col min="8196" max="8196" width="12.140625" style="2020" customWidth="1"/>
    <col min="8197" max="8197" width="13" style="2020" customWidth="1"/>
    <col min="8198" max="8198" width="9.140625" style="2020" customWidth="1"/>
    <col min="8199" max="8199" width="9.5703125" style="2020" customWidth="1"/>
    <col min="8200" max="8200" width="10" style="2020" customWidth="1"/>
    <col min="8201" max="8201" width="11.85546875" style="2020" customWidth="1"/>
    <col min="8202" max="8202" width="13.7109375" style="2020" customWidth="1"/>
    <col min="8203" max="8203" width="12.7109375" style="2020" customWidth="1"/>
    <col min="8204" max="8204" width="11.28515625" style="2020" customWidth="1"/>
    <col min="8205" max="8205" width="12.140625" style="2020" customWidth="1"/>
    <col min="8206" max="8448" width="11" style="2020"/>
    <col min="8449" max="8449" width="9" style="2020" customWidth="1"/>
    <col min="8450" max="8451" width="12.5703125" style="2020" customWidth="1"/>
    <col min="8452" max="8452" width="12.140625" style="2020" customWidth="1"/>
    <col min="8453" max="8453" width="13" style="2020" customWidth="1"/>
    <col min="8454" max="8454" width="9.140625" style="2020" customWidth="1"/>
    <col min="8455" max="8455" width="9.5703125" style="2020" customWidth="1"/>
    <col min="8456" max="8456" width="10" style="2020" customWidth="1"/>
    <col min="8457" max="8457" width="11.85546875" style="2020" customWidth="1"/>
    <col min="8458" max="8458" width="13.7109375" style="2020" customWidth="1"/>
    <col min="8459" max="8459" width="12.7109375" style="2020" customWidth="1"/>
    <col min="8460" max="8460" width="11.28515625" style="2020" customWidth="1"/>
    <col min="8461" max="8461" width="12.140625" style="2020" customWidth="1"/>
    <col min="8462" max="8704" width="11" style="2020"/>
    <col min="8705" max="8705" width="9" style="2020" customWidth="1"/>
    <col min="8706" max="8707" width="12.5703125" style="2020" customWidth="1"/>
    <col min="8708" max="8708" width="12.140625" style="2020" customWidth="1"/>
    <col min="8709" max="8709" width="13" style="2020" customWidth="1"/>
    <col min="8710" max="8710" width="9.140625" style="2020" customWidth="1"/>
    <col min="8711" max="8711" width="9.5703125" style="2020" customWidth="1"/>
    <col min="8712" max="8712" width="10" style="2020" customWidth="1"/>
    <col min="8713" max="8713" width="11.85546875" style="2020" customWidth="1"/>
    <col min="8714" max="8714" width="13.7109375" style="2020" customWidth="1"/>
    <col min="8715" max="8715" width="12.7109375" style="2020" customWidth="1"/>
    <col min="8716" max="8716" width="11.28515625" style="2020" customWidth="1"/>
    <col min="8717" max="8717" width="12.140625" style="2020" customWidth="1"/>
    <col min="8718" max="8960" width="11" style="2020"/>
    <col min="8961" max="8961" width="9" style="2020" customWidth="1"/>
    <col min="8962" max="8963" width="12.5703125" style="2020" customWidth="1"/>
    <col min="8964" max="8964" width="12.140625" style="2020" customWidth="1"/>
    <col min="8965" max="8965" width="13" style="2020" customWidth="1"/>
    <col min="8966" max="8966" width="9.140625" style="2020" customWidth="1"/>
    <col min="8967" max="8967" width="9.5703125" style="2020" customWidth="1"/>
    <col min="8968" max="8968" width="10" style="2020" customWidth="1"/>
    <col min="8969" max="8969" width="11.85546875" style="2020" customWidth="1"/>
    <col min="8970" max="8970" width="13.7109375" style="2020" customWidth="1"/>
    <col min="8971" max="8971" width="12.7109375" style="2020" customWidth="1"/>
    <col min="8972" max="8972" width="11.28515625" style="2020" customWidth="1"/>
    <col min="8973" max="8973" width="12.140625" style="2020" customWidth="1"/>
    <col min="8974" max="9216" width="11" style="2020"/>
    <col min="9217" max="9217" width="9" style="2020" customWidth="1"/>
    <col min="9218" max="9219" width="12.5703125" style="2020" customWidth="1"/>
    <col min="9220" max="9220" width="12.140625" style="2020" customWidth="1"/>
    <col min="9221" max="9221" width="13" style="2020" customWidth="1"/>
    <col min="9222" max="9222" width="9.140625" style="2020" customWidth="1"/>
    <col min="9223" max="9223" width="9.5703125" style="2020" customWidth="1"/>
    <col min="9224" max="9224" width="10" style="2020" customWidth="1"/>
    <col min="9225" max="9225" width="11.85546875" style="2020" customWidth="1"/>
    <col min="9226" max="9226" width="13.7109375" style="2020" customWidth="1"/>
    <col min="9227" max="9227" width="12.7109375" style="2020" customWidth="1"/>
    <col min="9228" max="9228" width="11.28515625" style="2020" customWidth="1"/>
    <col min="9229" max="9229" width="12.140625" style="2020" customWidth="1"/>
    <col min="9230" max="9472" width="11" style="2020"/>
    <col min="9473" max="9473" width="9" style="2020" customWidth="1"/>
    <col min="9474" max="9475" width="12.5703125" style="2020" customWidth="1"/>
    <col min="9476" max="9476" width="12.140625" style="2020" customWidth="1"/>
    <col min="9477" max="9477" width="13" style="2020" customWidth="1"/>
    <col min="9478" max="9478" width="9.140625" style="2020" customWidth="1"/>
    <col min="9479" max="9479" width="9.5703125" style="2020" customWidth="1"/>
    <col min="9480" max="9480" width="10" style="2020" customWidth="1"/>
    <col min="9481" max="9481" width="11.85546875" style="2020" customWidth="1"/>
    <col min="9482" max="9482" width="13.7109375" style="2020" customWidth="1"/>
    <col min="9483" max="9483" width="12.7109375" style="2020" customWidth="1"/>
    <col min="9484" max="9484" width="11.28515625" style="2020" customWidth="1"/>
    <col min="9485" max="9485" width="12.140625" style="2020" customWidth="1"/>
    <col min="9486" max="9728" width="11" style="2020"/>
    <col min="9729" max="9729" width="9" style="2020" customWidth="1"/>
    <col min="9730" max="9731" width="12.5703125" style="2020" customWidth="1"/>
    <col min="9732" max="9732" width="12.140625" style="2020" customWidth="1"/>
    <col min="9733" max="9733" width="13" style="2020" customWidth="1"/>
    <col min="9734" max="9734" width="9.140625" style="2020" customWidth="1"/>
    <col min="9735" max="9735" width="9.5703125" style="2020" customWidth="1"/>
    <col min="9736" max="9736" width="10" style="2020" customWidth="1"/>
    <col min="9737" max="9737" width="11.85546875" style="2020" customWidth="1"/>
    <col min="9738" max="9738" width="13.7109375" style="2020" customWidth="1"/>
    <col min="9739" max="9739" width="12.7109375" style="2020" customWidth="1"/>
    <col min="9740" max="9740" width="11.28515625" style="2020" customWidth="1"/>
    <col min="9741" max="9741" width="12.140625" style="2020" customWidth="1"/>
    <col min="9742" max="9984" width="11" style="2020"/>
    <col min="9985" max="9985" width="9" style="2020" customWidth="1"/>
    <col min="9986" max="9987" width="12.5703125" style="2020" customWidth="1"/>
    <col min="9988" max="9988" width="12.140625" style="2020" customWidth="1"/>
    <col min="9989" max="9989" width="13" style="2020" customWidth="1"/>
    <col min="9990" max="9990" width="9.140625" style="2020" customWidth="1"/>
    <col min="9991" max="9991" width="9.5703125" style="2020" customWidth="1"/>
    <col min="9992" max="9992" width="10" style="2020" customWidth="1"/>
    <col min="9993" max="9993" width="11.85546875" style="2020" customWidth="1"/>
    <col min="9994" max="9994" width="13.7109375" style="2020" customWidth="1"/>
    <col min="9995" max="9995" width="12.7109375" style="2020" customWidth="1"/>
    <col min="9996" max="9996" width="11.28515625" style="2020" customWidth="1"/>
    <col min="9997" max="9997" width="12.140625" style="2020" customWidth="1"/>
    <col min="9998" max="10240" width="11" style="2020"/>
    <col min="10241" max="10241" width="9" style="2020" customWidth="1"/>
    <col min="10242" max="10243" width="12.5703125" style="2020" customWidth="1"/>
    <col min="10244" max="10244" width="12.140625" style="2020" customWidth="1"/>
    <col min="10245" max="10245" width="13" style="2020" customWidth="1"/>
    <col min="10246" max="10246" width="9.140625" style="2020" customWidth="1"/>
    <col min="10247" max="10247" width="9.5703125" style="2020" customWidth="1"/>
    <col min="10248" max="10248" width="10" style="2020" customWidth="1"/>
    <col min="10249" max="10249" width="11.85546875" style="2020" customWidth="1"/>
    <col min="10250" max="10250" width="13.7109375" style="2020" customWidth="1"/>
    <col min="10251" max="10251" width="12.7109375" style="2020" customWidth="1"/>
    <col min="10252" max="10252" width="11.28515625" style="2020" customWidth="1"/>
    <col min="10253" max="10253" width="12.140625" style="2020" customWidth="1"/>
    <col min="10254" max="10496" width="11" style="2020"/>
    <col min="10497" max="10497" width="9" style="2020" customWidth="1"/>
    <col min="10498" max="10499" width="12.5703125" style="2020" customWidth="1"/>
    <col min="10500" max="10500" width="12.140625" style="2020" customWidth="1"/>
    <col min="10501" max="10501" width="13" style="2020" customWidth="1"/>
    <col min="10502" max="10502" width="9.140625" style="2020" customWidth="1"/>
    <col min="10503" max="10503" width="9.5703125" style="2020" customWidth="1"/>
    <col min="10504" max="10504" width="10" style="2020" customWidth="1"/>
    <col min="10505" max="10505" width="11.85546875" style="2020" customWidth="1"/>
    <col min="10506" max="10506" width="13.7109375" style="2020" customWidth="1"/>
    <col min="10507" max="10507" width="12.7109375" style="2020" customWidth="1"/>
    <col min="10508" max="10508" width="11.28515625" style="2020" customWidth="1"/>
    <col min="10509" max="10509" width="12.140625" style="2020" customWidth="1"/>
    <col min="10510" max="10752" width="11" style="2020"/>
    <col min="10753" max="10753" width="9" style="2020" customWidth="1"/>
    <col min="10754" max="10755" width="12.5703125" style="2020" customWidth="1"/>
    <col min="10756" max="10756" width="12.140625" style="2020" customWidth="1"/>
    <col min="10757" max="10757" width="13" style="2020" customWidth="1"/>
    <col min="10758" max="10758" width="9.140625" style="2020" customWidth="1"/>
    <col min="10759" max="10759" width="9.5703125" style="2020" customWidth="1"/>
    <col min="10760" max="10760" width="10" style="2020" customWidth="1"/>
    <col min="10761" max="10761" width="11.85546875" style="2020" customWidth="1"/>
    <col min="10762" max="10762" width="13.7109375" style="2020" customWidth="1"/>
    <col min="10763" max="10763" width="12.7109375" style="2020" customWidth="1"/>
    <col min="10764" max="10764" width="11.28515625" style="2020" customWidth="1"/>
    <col min="10765" max="10765" width="12.140625" style="2020" customWidth="1"/>
    <col min="10766" max="11008" width="11" style="2020"/>
    <col min="11009" max="11009" width="9" style="2020" customWidth="1"/>
    <col min="11010" max="11011" width="12.5703125" style="2020" customWidth="1"/>
    <col min="11012" max="11012" width="12.140625" style="2020" customWidth="1"/>
    <col min="11013" max="11013" width="13" style="2020" customWidth="1"/>
    <col min="11014" max="11014" width="9.140625" style="2020" customWidth="1"/>
    <col min="11015" max="11015" width="9.5703125" style="2020" customWidth="1"/>
    <col min="11016" max="11016" width="10" style="2020" customWidth="1"/>
    <col min="11017" max="11017" width="11.85546875" style="2020" customWidth="1"/>
    <col min="11018" max="11018" width="13.7109375" style="2020" customWidth="1"/>
    <col min="11019" max="11019" width="12.7109375" style="2020" customWidth="1"/>
    <col min="11020" max="11020" width="11.28515625" style="2020" customWidth="1"/>
    <col min="11021" max="11021" width="12.140625" style="2020" customWidth="1"/>
    <col min="11022" max="11264" width="11" style="2020"/>
    <col min="11265" max="11265" width="9" style="2020" customWidth="1"/>
    <col min="11266" max="11267" width="12.5703125" style="2020" customWidth="1"/>
    <col min="11268" max="11268" width="12.140625" style="2020" customWidth="1"/>
    <col min="11269" max="11269" width="13" style="2020" customWidth="1"/>
    <col min="11270" max="11270" width="9.140625" style="2020" customWidth="1"/>
    <col min="11271" max="11271" width="9.5703125" style="2020" customWidth="1"/>
    <col min="11272" max="11272" width="10" style="2020" customWidth="1"/>
    <col min="11273" max="11273" width="11.85546875" style="2020" customWidth="1"/>
    <col min="11274" max="11274" width="13.7109375" style="2020" customWidth="1"/>
    <col min="11275" max="11275" width="12.7109375" style="2020" customWidth="1"/>
    <col min="11276" max="11276" width="11.28515625" style="2020" customWidth="1"/>
    <col min="11277" max="11277" width="12.140625" style="2020" customWidth="1"/>
    <col min="11278" max="11520" width="11" style="2020"/>
    <col min="11521" max="11521" width="9" style="2020" customWidth="1"/>
    <col min="11522" max="11523" width="12.5703125" style="2020" customWidth="1"/>
    <col min="11524" max="11524" width="12.140625" style="2020" customWidth="1"/>
    <col min="11525" max="11525" width="13" style="2020" customWidth="1"/>
    <col min="11526" max="11526" width="9.140625" style="2020" customWidth="1"/>
    <col min="11527" max="11527" width="9.5703125" style="2020" customWidth="1"/>
    <col min="11528" max="11528" width="10" style="2020" customWidth="1"/>
    <col min="11529" max="11529" width="11.85546875" style="2020" customWidth="1"/>
    <col min="11530" max="11530" width="13.7109375" style="2020" customWidth="1"/>
    <col min="11531" max="11531" width="12.7109375" style="2020" customWidth="1"/>
    <col min="11532" max="11532" width="11.28515625" style="2020" customWidth="1"/>
    <col min="11533" max="11533" width="12.140625" style="2020" customWidth="1"/>
    <col min="11534" max="11776" width="11" style="2020"/>
    <col min="11777" max="11777" width="9" style="2020" customWidth="1"/>
    <col min="11778" max="11779" width="12.5703125" style="2020" customWidth="1"/>
    <col min="11780" max="11780" width="12.140625" style="2020" customWidth="1"/>
    <col min="11781" max="11781" width="13" style="2020" customWidth="1"/>
    <col min="11782" max="11782" width="9.140625" style="2020" customWidth="1"/>
    <col min="11783" max="11783" width="9.5703125" style="2020" customWidth="1"/>
    <col min="11784" max="11784" width="10" style="2020" customWidth="1"/>
    <col min="11785" max="11785" width="11.85546875" style="2020" customWidth="1"/>
    <col min="11786" max="11786" width="13.7109375" style="2020" customWidth="1"/>
    <col min="11787" max="11787" width="12.7109375" style="2020" customWidth="1"/>
    <col min="11788" max="11788" width="11.28515625" style="2020" customWidth="1"/>
    <col min="11789" max="11789" width="12.140625" style="2020" customWidth="1"/>
    <col min="11790" max="12032" width="11" style="2020"/>
    <col min="12033" max="12033" width="9" style="2020" customWidth="1"/>
    <col min="12034" max="12035" width="12.5703125" style="2020" customWidth="1"/>
    <col min="12036" max="12036" width="12.140625" style="2020" customWidth="1"/>
    <col min="12037" max="12037" width="13" style="2020" customWidth="1"/>
    <col min="12038" max="12038" width="9.140625" style="2020" customWidth="1"/>
    <col min="12039" max="12039" width="9.5703125" style="2020" customWidth="1"/>
    <col min="12040" max="12040" width="10" style="2020" customWidth="1"/>
    <col min="12041" max="12041" width="11.85546875" style="2020" customWidth="1"/>
    <col min="12042" max="12042" width="13.7109375" style="2020" customWidth="1"/>
    <col min="12043" max="12043" width="12.7109375" style="2020" customWidth="1"/>
    <col min="12044" max="12044" width="11.28515625" style="2020" customWidth="1"/>
    <col min="12045" max="12045" width="12.140625" style="2020" customWidth="1"/>
    <col min="12046" max="12288" width="11" style="2020"/>
    <col min="12289" max="12289" width="9" style="2020" customWidth="1"/>
    <col min="12290" max="12291" width="12.5703125" style="2020" customWidth="1"/>
    <col min="12292" max="12292" width="12.140625" style="2020" customWidth="1"/>
    <col min="12293" max="12293" width="13" style="2020" customWidth="1"/>
    <col min="12294" max="12294" width="9.140625" style="2020" customWidth="1"/>
    <col min="12295" max="12295" width="9.5703125" style="2020" customWidth="1"/>
    <col min="12296" max="12296" width="10" style="2020" customWidth="1"/>
    <col min="12297" max="12297" width="11.85546875" style="2020" customWidth="1"/>
    <col min="12298" max="12298" width="13.7109375" style="2020" customWidth="1"/>
    <col min="12299" max="12299" width="12.7109375" style="2020" customWidth="1"/>
    <col min="12300" max="12300" width="11.28515625" style="2020" customWidth="1"/>
    <col min="12301" max="12301" width="12.140625" style="2020" customWidth="1"/>
    <col min="12302" max="12544" width="11" style="2020"/>
    <col min="12545" max="12545" width="9" style="2020" customWidth="1"/>
    <col min="12546" max="12547" width="12.5703125" style="2020" customWidth="1"/>
    <col min="12548" max="12548" width="12.140625" style="2020" customWidth="1"/>
    <col min="12549" max="12549" width="13" style="2020" customWidth="1"/>
    <col min="12550" max="12550" width="9.140625" style="2020" customWidth="1"/>
    <col min="12551" max="12551" width="9.5703125" style="2020" customWidth="1"/>
    <col min="12552" max="12552" width="10" style="2020" customWidth="1"/>
    <col min="12553" max="12553" width="11.85546875" style="2020" customWidth="1"/>
    <col min="12554" max="12554" width="13.7109375" style="2020" customWidth="1"/>
    <col min="12555" max="12555" width="12.7109375" style="2020" customWidth="1"/>
    <col min="12556" max="12556" width="11.28515625" style="2020" customWidth="1"/>
    <col min="12557" max="12557" width="12.140625" style="2020" customWidth="1"/>
    <col min="12558" max="12800" width="11" style="2020"/>
    <col min="12801" max="12801" width="9" style="2020" customWidth="1"/>
    <col min="12802" max="12803" width="12.5703125" style="2020" customWidth="1"/>
    <col min="12804" max="12804" width="12.140625" style="2020" customWidth="1"/>
    <col min="12805" max="12805" width="13" style="2020" customWidth="1"/>
    <col min="12806" max="12806" width="9.140625" style="2020" customWidth="1"/>
    <col min="12807" max="12807" width="9.5703125" style="2020" customWidth="1"/>
    <col min="12808" max="12808" width="10" style="2020" customWidth="1"/>
    <col min="12809" max="12809" width="11.85546875" style="2020" customWidth="1"/>
    <col min="12810" max="12810" width="13.7109375" style="2020" customWidth="1"/>
    <col min="12811" max="12811" width="12.7109375" style="2020" customWidth="1"/>
    <col min="12812" max="12812" width="11.28515625" style="2020" customWidth="1"/>
    <col min="12813" max="12813" width="12.140625" style="2020" customWidth="1"/>
    <col min="12814" max="13056" width="11" style="2020"/>
    <col min="13057" max="13057" width="9" style="2020" customWidth="1"/>
    <col min="13058" max="13059" width="12.5703125" style="2020" customWidth="1"/>
    <col min="13060" max="13060" width="12.140625" style="2020" customWidth="1"/>
    <col min="13061" max="13061" width="13" style="2020" customWidth="1"/>
    <col min="13062" max="13062" width="9.140625" style="2020" customWidth="1"/>
    <col min="13063" max="13063" width="9.5703125" style="2020" customWidth="1"/>
    <col min="13064" max="13064" width="10" style="2020" customWidth="1"/>
    <col min="13065" max="13065" width="11.85546875" style="2020" customWidth="1"/>
    <col min="13066" max="13066" width="13.7109375" style="2020" customWidth="1"/>
    <col min="13067" max="13067" width="12.7109375" style="2020" customWidth="1"/>
    <col min="13068" max="13068" width="11.28515625" style="2020" customWidth="1"/>
    <col min="13069" max="13069" width="12.140625" style="2020" customWidth="1"/>
    <col min="13070" max="13312" width="11" style="2020"/>
    <col min="13313" max="13313" width="9" style="2020" customWidth="1"/>
    <col min="13314" max="13315" width="12.5703125" style="2020" customWidth="1"/>
    <col min="13316" max="13316" width="12.140625" style="2020" customWidth="1"/>
    <col min="13317" max="13317" width="13" style="2020" customWidth="1"/>
    <col min="13318" max="13318" width="9.140625" style="2020" customWidth="1"/>
    <col min="13319" max="13319" width="9.5703125" style="2020" customWidth="1"/>
    <col min="13320" max="13320" width="10" style="2020" customWidth="1"/>
    <col min="13321" max="13321" width="11.85546875" style="2020" customWidth="1"/>
    <col min="13322" max="13322" width="13.7109375" style="2020" customWidth="1"/>
    <col min="13323" max="13323" width="12.7109375" style="2020" customWidth="1"/>
    <col min="13324" max="13324" width="11.28515625" style="2020" customWidth="1"/>
    <col min="13325" max="13325" width="12.140625" style="2020" customWidth="1"/>
    <col min="13326" max="13568" width="11" style="2020"/>
    <col min="13569" max="13569" width="9" style="2020" customWidth="1"/>
    <col min="13570" max="13571" width="12.5703125" style="2020" customWidth="1"/>
    <col min="13572" max="13572" width="12.140625" style="2020" customWidth="1"/>
    <col min="13573" max="13573" width="13" style="2020" customWidth="1"/>
    <col min="13574" max="13574" width="9.140625" style="2020" customWidth="1"/>
    <col min="13575" max="13575" width="9.5703125" style="2020" customWidth="1"/>
    <col min="13576" max="13576" width="10" style="2020" customWidth="1"/>
    <col min="13577" max="13577" width="11.85546875" style="2020" customWidth="1"/>
    <col min="13578" max="13578" width="13.7109375" style="2020" customWidth="1"/>
    <col min="13579" max="13579" width="12.7109375" style="2020" customWidth="1"/>
    <col min="13580" max="13580" width="11.28515625" style="2020" customWidth="1"/>
    <col min="13581" max="13581" width="12.140625" style="2020" customWidth="1"/>
    <col min="13582" max="13824" width="11" style="2020"/>
    <col min="13825" max="13825" width="9" style="2020" customWidth="1"/>
    <col min="13826" max="13827" width="12.5703125" style="2020" customWidth="1"/>
    <col min="13828" max="13828" width="12.140625" style="2020" customWidth="1"/>
    <col min="13829" max="13829" width="13" style="2020" customWidth="1"/>
    <col min="13830" max="13830" width="9.140625" style="2020" customWidth="1"/>
    <col min="13831" max="13831" width="9.5703125" style="2020" customWidth="1"/>
    <col min="13832" max="13832" width="10" style="2020" customWidth="1"/>
    <col min="13833" max="13833" width="11.85546875" style="2020" customWidth="1"/>
    <col min="13834" max="13834" width="13.7109375" style="2020" customWidth="1"/>
    <col min="13835" max="13835" width="12.7109375" style="2020" customWidth="1"/>
    <col min="13836" max="13836" width="11.28515625" style="2020" customWidth="1"/>
    <col min="13837" max="13837" width="12.140625" style="2020" customWidth="1"/>
    <col min="13838" max="14080" width="11" style="2020"/>
    <col min="14081" max="14081" width="9" style="2020" customWidth="1"/>
    <col min="14082" max="14083" width="12.5703125" style="2020" customWidth="1"/>
    <col min="14084" max="14084" width="12.140625" style="2020" customWidth="1"/>
    <col min="14085" max="14085" width="13" style="2020" customWidth="1"/>
    <col min="14086" max="14086" width="9.140625" style="2020" customWidth="1"/>
    <col min="14087" max="14087" width="9.5703125" style="2020" customWidth="1"/>
    <col min="14088" max="14088" width="10" style="2020" customWidth="1"/>
    <col min="14089" max="14089" width="11.85546875" style="2020" customWidth="1"/>
    <col min="14090" max="14090" width="13.7109375" style="2020" customWidth="1"/>
    <col min="14091" max="14091" width="12.7109375" style="2020" customWidth="1"/>
    <col min="14092" max="14092" width="11.28515625" style="2020" customWidth="1"/>
    <col min="14093" max="14093" width="12.140625" style="2020" customWidth="1"/>
    <col min="14094" max="14336" width="11" style="2020"/>
    <col min="14337" max="14337" width="9" style="2020" customWidth="1"/>
    <col min="14338" max="14339" width="12.5703125" style="2020" customWidth="1"/>
    <col min="14340" max="14340" width="12.140625" style="2020" customWidth="1"/>
    <col min="14341" max="14341" width="13" style="2020" customWidth="1"/>
    <col min="14342" max="14342" width="9.140625" style="2020" customWidth="1"/>
    <col min="14343" max="14343" width="9.5703125" style="2020" customWidth="1"/>
    <col min="14344" max="14344" width="10" style="2020" customWidth="1"/>
    <col min="14345" max="14345" width="11.85546875" style="2020" customWidth="1"/>
    <col min="14346" max="14346" width="13.7109375" style="2020" customWidth="1"/>
    <col min="14347" max="14347" width="12.7109375" style="2020" customWidth="1"/>
    <col min="14348" max="14348" width="11.28515625" style="2020" customWidth="1"/>
    <col min="14349" max="14349" width="12.140625" style="2020" customWidth="1"/>
    <col min="14350" max="14592" width="11" style="2020"/>
    <col min="14593" max="14593" width="9" style="2020" customWidth="1"/>
    <col min="14594" max="14595" width="12.5703125" style="2020" customWidth="1"/>
    <col min="14596" max="14596" width="12.140625" style="2020" customWidth="1"/>
    <col min="14597" max="14597" width="13" style="2020" customWidth="1"/>
    <col min="14598" max="14598" width="9.140625" style="2020" customWidth="1"/>
    <col min="14599" max="14599" width="9.5703125" style="2020" customWidth="1"/>
    <col min="14600" max="14600" width="10" style="2020" customWidth="1"/>
    <col min="14601" max="14601" width="11.85546875" style="2020" customWidth="1"/>
    <col min="14602" max="14602" width="13.7109375" style="2020" customWidth="1"/>
    <col min="14603" max="14603" width="12.7109375" style="2020" customWidth="1"/>
    <col min="14604" max="14604" width="11.28515625" style="2020" customWidth="1"/>
    <col min="14605" max="14605" width="12.140625" style="2020" customWidth="1"/>
    <col min="14606" max="14848" width="11" style="2020"/>
    <col min="14849" max="14849" width="9" style="2020" customWidth="1"/>
    <col min="14850" max="14851" width="12.5703125" style="2020" customWidth="1"/>
    <col min="14852" max="14852" width="12.140625" style="2020" customWidth="1"/>
    <col min="14853" max="14853" width="13" style="2020" customWidth="1"/>
    <col min="14854" max="14854" width="9.140625" style="2020" customWidth="1"/>
    <col min="14855" max="14855" width="9.5703125" style="2020" customWidth="1"/>
    <col min="14856" max="14856" width="10" style="2020" customWidth="1"/>
    <col min="14857" max="14857" width="11.85546875" style="2020" customWidth="1"/>
    <col min="14858" max="14858" width="13.7109375" style="2020" customWidth="1"/>
    <col min="14859" max="14859" width="12.7109375" style="2020" customWidth="1"/>
    <col min="14860" max="14860" width="11.28515625" style="2020" customWidth="1"/>
    <col min="14861" max="14861" width="12.140625" style="2020" customWidth="1"/>
    <col min="14862" max="15104" width="11" style="2020"/>
    <col min="15105" max="15105" width="9" style="2020" customWidth="1"/>
    <col min="15106" max="15107" width="12.5703125" style="2020" customWidth="1"/>
    <col min="15108" max="15108" width="12.140625" style="2020" customWidth="1"/>
    <col min="15109" max="15109" width="13" style="2020" customWidth="1"/>
    <col min="15110" max="15110" width="9.140625" style="2020" customWidth="1"/>
    <col min="15111" max="15111" width="9.5703125" style="2020" customWidth="1"/>
    <col min="15112" max="15112" width="10" style="2020" customWidth="1"/>
    <col min="15113" max="15113" width="11.85546875" style="2020" customWidth="1"/>
    <col min="15114" max="15114" width="13.7109375" style="2020" customWidth="1"/>
    <col min="15115" max="15115" width="12.7109375" style="2020" customWidth="1"/>
    <col min="15116" max="15116" width="11.28515625" style="2020" customWidth="1"/>
    <col min="15117" max="15117" width="12.140625" style="2020" customWidth="1"/>
    <col min="15118" max="15360" width="11" style="2020"/>
    <col min="15361" max="15361" width="9" style="2020" customWidth="1"/>
    <col min="15362" max="15363" width="12.5703125" style="2020" customWidth="1"/>
    <col min="15364" max="15364" width="12.140625" style="2020" customWidth="1"/>
    <col min="15365" max="15365" width="13" style="2020" customWidth="1"/>
    <col min="15366" max="15366" width="9.140625" style="2020" customWidth="1"/>
    <col min="15367" max="15367" width="9.5703125" style="2020" customWidth="1"/>
    <col min="15368" max="15368" width="10" style="2020" customWidth="1"/>
    <col min="15369" max="15369" width="11.85546875" style="2020" customWidth="1"/>
    <col min="15370" max="15370" width="13.7109375" style="2020" customWidth="1"/>
    <col min="15371" max="15371" width="12.7109375" style="2020" customWidth="1"/>
    <col min="15372" max="15372" width="11.28515625" style="2020" customWidth="1"/>
    <col min="15373" max="15373" width="12.140625" style="2020" customWidth="1"/>
    <col min="15374" max="15616" width="11" style="2020"/>
    <col min="15617" max="15617" width="9" style="2020" customWidth="1"/>
    <col min="15618" max="15619" width="12.5703125" style="2020" customWidth="1"/>
    <col min="15620" max="15620" width="12.140625" style="2020" customWidth="1"/>
    <col min="15621" max="15621" width="13" style="2020" customWidth="1"/>
    <col min="15622" max="15622" width="9.140625" style="2020" customWidth="1"/>
    <col min="15623" max="15623" width="9.5703125" style="2020" customWidth="1"/>
    <col min="15624" max="15624" width="10" style="2020" customWidth="1"/>
    <col min="15625" max="15625" width="11.85546875" style="2020" customWidth="1"/>
    <col min="15626" max="15626" width="13.7109375" style="2020" customWidth="1"/>
    <col min="15627" max="15627" width="12.7109375" style="2020" customWidth="1"/>
    <col min="15628" max="15628" width="11.28515625" style="2020" customWidth="1"/>
    <col min="15629" max="15629" width="12.140625" style="2020" customWidth="1"/>
    <col min="15630" max="15872" width="11" style="2020"/>
    <col min="15873" max="15873" width="9" style="2020" customWidth="1"/>
    <col min="15874" max="15875" width="12.5703125" style="2020" customWidth="1"/>
    <col min="15876" max="15876" width="12.140625" style="2020" customWidth="1"/>
    <col min="15877" max="15877" width="13" style="2020" customWidth="1"/>
    <col min="15878" max="15878" width="9.140625" style="2020" customWidth="1"/>
    <col min="15879" max="15879" width="9.5703125" style="2020" customWidth="1"/>
    <col min="15880" max="15880" width="10" style="2020" customWidth="1"/>
    <col min="15881" max="15881" width="11.85546875" style="2020" customWidth="1"/>
    <col min="15882" max="15882" width="13.7109375" style="2020" customWidth="1"/>
    <col min="15883" max="15883" width="12.7109375" style="2020" customWidth="1"/>
    <col min="15884" max="15884" width="11.28515625" style="2020" customWidth="1"/>
    <col min="15885" max="15885" width="12.140625" style="2020" customWidth="1"/>
    <col min="15886" max="16128" width="11" style="2020"/>
    <col min="16129" max="16129" width="9" style="2020" customWidth="1"/>
    <col min="16130" max="16131" width="12.5703125" style="2020" customWidth="1"/>
    <col min="16132" max="16132" width="12.140625" style="2020" customWidth="1"/>
    <col min="16133" max="16133" width="13" style="2020" customWidth="1"/>
    <col min="16134" max="16134" width="9.140625" style="2020" customWidth="1"/>
    <col min="16135" max="16135" width="9.5703125" style="2020" customWidth="1"/>
    <col min="16136" max="16136" width="10" style="2020" customWidth="1"/>
    <col min="16137" max="16137" width="11.85546875" style="2020" customWidth="1"/>
    <col min="16138" max="16138" width="13.7109375" style="2020" customWidth="1"/>
    <col min="16139" max="16139" width="12.7109375" style="2020" customWidth="1"/>
    <col min="16140" max="16140" width="11.28515625" style="2020" customWidth="1"/>
    <col min="16141" max="16141" width="12.140625" style="2020" customWidth="1"/>
    <col min="16142" max="16384" width="11" style="2020"/>
  </cols>
  <sheetData>
    <row r="1" spans="1:15" ht="18" customHeight="1">
      <c r="A1" s="2019"/>
      <c r="B1" s="4620" t="s">
        <v>2075</v>
      </c>
      <c r="C1" s="4620"/>
      <c r="D1" s="4620"/>
      <c r="E1" s="4620"/>
      <c r="F1" s="4620"/>
      <c r="G1" s="4620"/>
      <c r="H1" s="4620"/>
      <c r="I1" s="4620"/>
      <c r="J1" s="4620"/>
      <c r="K1" s="4620"/>
      <c r="L1" s="4620"/>
      <c r="M1" s="4620"/>
      <c r="N1" s="2021"/>
      <c r="O1" s="3997"/>
    </row>
    <row r="2" spans="1:15" ht="18" customHeight="1">
      <c r="A2" s="2019"/>
      <c r="B2" s="3148" t="s">
        <v>1757</v>
      </c>
      <c r="C2" s="3510"/>
      <c r="D2" s="3147"/>
      <c r="E2" s="3147"/>
      <c r="F2" s="2239"/>
      <c r="G2" s="2230"/>
      <c r="H2" s="2230"/>
      <c r="I2" s="2230"/>
      <c r="J2" s="2230"/>
      <c r="K2" s="2230"/>
      <c r="L2" s="2230"/>
      <c r="M2" s="2230"/>
      <c r="N2" s="2021"/>
      <c r="O2" s="3997"/>
    </row>
    <row r="3" spans="1:15" ht="12" customHeight="1">
      <c r="A3" s="2019"/>
      <c r="B3" s="2023"/>
      <c r="C3" s="3511"/>
      <c r="D3" s="2231"/>
      <c r="E3" s="2231"/>
      <c r="F3" s="2240"/>
      <c r="G3" s="2231"/>
      <c r="H3" s="2231"/>
      <c r="I3" s="2231"/>
      <c r="J3" s="2231"/>
      <c r="K3" s="2231"/>
      <c r="L3" s="2231"/>
      <c r="M3" s="2249"/>
      <c r="N3" s="2021"/>
      <c r="O3" s="3997"/>
    </row>
    <row r="4" spans="1:15" ht="18" customHeight="1">
      <c r="A4" s="2019"/>
      <c r="B4" s="2024"/>
      <c r="C4" s="3474" t="s">
        <v>188</v>
      </c>
      <c r="D4" s="2190"/>
      <c r="E4" s="2190"/>
      <c r="F4" s="2241"/>
      <c r="G4" s="2190"/>
      <c r="H4" s="2190"/>
      <c r="I4" s="2190"/>
      <c r="J4" s="2190"/>
      <c r="K4" s="2190"/>
      <c r="L4" s="2190"/>
      <c r="M4" s="2191"/>
      <c r="N4" s="2021"/>
      <c r="O4" s="3997"/>
    </row>
    <row r="5" spans="1:15" ht="12" customHeight="1">
      <c r="A5" s="2019"/>
      <c r="B5" s="2024"/>
      <c r="C5" s="2025"/>
      <c r="D5" s="2232"/>
      <c r="E5" s="2026"/>
      <c r="F5" s="2026"/>
      <c r="G5" s="2227"/>
      <c r="H5" s="2243"/>
      <c r="I5" s="2243"/>
      <c r="J5" s="2025"/>
      <c r="K5" s="2247"/>
      <c r="L5" s="2025"/>
      <c r="M5" s="2028"/>
      <c r="N5" s="2021"/>
      <c r="O5" s="3997"/>
    </row>
    <row r="6" spans="1:15" ht="18" customHeight="1">
      <c r="A6" s="2019"/>
      <c r="B6" s="2024"/>
      <c r="C6" s="2025"/>
      <c r="D6" s="2028"/>
      <c r="E6" s="2026"/>
      <c r="F6" s="2026" t="s">
        <v>142</v>
      </c>
      <c r="G6" s="4617" t="s">
        <v>432</v>
      </c>
      <c r="H6" s="4618"/>
      <c r="I6" s="4619"/>
      <c r="J6" s="2025"/>
      <c r="K6" s="2248"/>
      <c r="L6" s="2025" t="s">
        <v>142</v>
      </c>
      <c r="M6" s="2028"/>
      <c r="N6" s="2021"/>
      <c r="O6" s="3997"/>
    </row>
    <row r="7" spans="1:15" ht="12" customHeight="1">
      <c r="A7" s="2019"/>
      <c r="B7" s="2024"/>
      <c r="C7" s="2025"/>
      <c r="D7" s="2028"/>
      <c r="E7" s="2026"/>
      <c r="F7" s="2026"/>
      <c r="G7" s="2025"/>
      <c r="H7" s="2025"/>
      <c r="I7" s="2025"/>
      <c r="J7" s="2025"/>
      <c r="K7" s="2248"/>
      <c r="L7" s="2025"/>
      <c r="M7" s="2028"/>
      <c r="N7" s="2021"/>
      <c r="O7" s="3997"/>
    </row>
    <row r="8" spans="1:15" ht="18" customHeight="1">
      <c r="A8" s="2019"/>
      <c r="B8" s="2025"/>
      <c r="C8" s="2025"/>
      <c r="D8" s="2233"/>
      <c r="E8" s="2025"/>
      <c r="F8" s="2026" t="s">
        <v>176</v>
      </c>
      <c r="G8" s="2025"/>
      <c r="H8" s="2025"/>
      <c r="I8" s="2025"/>
      <c r="J8" s="2026"/>
      <c r="K8" s="2027" t="s">
        <v>1276</v>
      </c>
      <c r="L8" s="2025"/>
      <c r="M8" s="2028" t="s">
        <v>189</v>
      </c>
      <c r="N8" s="2021"/>
      <c r="O8" s="3997"/>
    </row>
    <row r="9" spans="1:15" ht="18" customHeight="1">
      <c r="A9" s="2019"/>
      <c r="B9" s="2025" t="s">
        <v>175</v>
      </c>
      <c r="C9" s="2025"/>
      <c r="D9" s="2028" t="s">
        <v>193</v>
      </c>
      <c r="E9" s="2025" t="s">
        <v>434</v>
      </c>
      <c r="F9" s="2026" t="s">
        <v>179</v>
      </c>
      <c r="G9" s="2025"/>
      <c r="H9" s="2025"/>
      <c r="I9" s="2025"/>
      <c r="J9" s="2025" t="s">
        <v>177</v>
      </c>
      <c r="K9" s="2027" t="s">
        <v>1567</v>
      </c>
      <c r="L9" s="2025" t="s">
        <v>435</v>
      </c>
      <c r="M9" s="2028" t="s">
        <v>191</v>
      </c>
      <c r="N9" s="2021"/>
      <c r="O9" s="3997"/>
    </row>
    <row r="10" spans="1:15" ht="18" customHeight="1">
      <c r="A10" s="2019"/>
      <c r="B10" s="2029" t="s">
        <v>140</v>
      </c>
      <c r="C10" s="3474" t="s">
        <v>152</v>
      </c>
      <c r="D10" s="2030" t="s">
        <v>192</v>
      </c>
      <c r="E10" s="2189" t="s">
        <v>192</v>
      </c>
      <c r="F10" s="2031" t="s">
        <v>192</v>
      </c>
      <c r="G10" s="2189" t="s">
        <v>152</v>
      </c>
      <c r="H10" s="2189" t="s">
        <v>141</v>
      </c>
      <c r="I10" s="2189" t="s">
        <v>431</v>
      </c>
      <c r="J10" s="2189" t="s">
        <v>192</v>
      </c>
      <c r="K10" s="2032" t="s">
        <v>1568</v>
      </c>
      <c r="L10" s="2189" t="s">
        <v>436</v>
      </c>
      <c r="M10" s="2030" t="s">
        <v>180</v>
      </c>
      <c r="N10" s="2021"/>
      <c r="O10" s="3997"/>
    </row>
    <row r="11" spans="1:15" hidden="1">
      <c r="A11" s="2019"/>
      <c r="B11" s="2034">
        <v>2000</v>
      </c>
      <c r="C11" s="2025"/>
      <c r="D11" s="2033"/>
      <c r="E11" s="2033"/>
      <c r="F11" s="2242"/>
      <c r="G11" s="2033"/>
      <c r="H11" s="2033"/>
      <c r="I11" s="2237"/>
      <c r="J11" s="2246"/>
      <c r="K11" s="2033"/>
      <c r="L11" s="2033"/>
      <c r="M11" s="2229"/>
      <c r="N11" s="2019"/>
    </row>
    <row r="12" spans="1:15" hidden="1">
      <c r="A12" s="2019"/>
      <c r="B12" s="2035" t="s">
        <v>161</v>
      </c>
      <c r="C12" s="2025">
        <v>7366.1500000000005</v>
      </c>
      <c r="D12" s="2033">
        <v>1892.8</v>
      </c>
      <c r="E12" s="2033">
        <v>3466.05</v>
      </c>
      <c r="F12" s="2242">
        <v>326.64999999999998</v>
      </c>
      <c r="G12" s="2033">
        <v>0</v>
      </c>
      <c r="H12" s="2033">
        <v>0</v>
      </c>
      <c r="I12" s="2242">
        <v>0</v>
      </c>
      <c r="J12" s="2237">
        <v>400.76</v>
      </c>
      <c r="K12" s="2033">
        <v>0</v>
      </c>
      <c r="L12" s="2033">
        <v>451.29</v>
      </c>
      <c r="M12" s="2229">
        <v>828.6</v>
      </c>
      <c r="N12" s="2019"/>
    </row>
    <row r="13" spans="1:15" hidden="1">
      <c r="A13" s="2019"/>
      <c r="B13" s="2035" t="s">
        <v>162</v>
      </c>
      <c r="C13" s="2025">
        <v>6829.98</v>
      </c>
      <c r="D13" s="2033">
        <v>1506.57</v>
      </c>
      <c r="E13" s="2033">
        <v>3504.57</v>
      </c>
      <c r="F13" s="2242">
        <v>300.57</v>
      </c>
      <c r="G13" s="2033">
        <v>0</v>
      </c>
      <c r="H13" s="2033">
        <v>0</v>
      </c>
      <c r="I13" s="2242">
        <v>0</v>
      </c>
      <c r="J13" s="2237">
        <v>471.83</v>
      </c>
      <c r="K13" s="2033">
        <v>0</v>
      </c>
      <c r="L13" s="2033">
        <v>451.29</v>
      </c>
      <c r="M13" s="2229">
        <v>595.15</v>
      </c>
      <c r="N13" s="2019"/>
    </row>
    <row r="14" spans="1:15" hidden="1">
      <c r="A14" s="2019"/>
      <c r="B14" s="2035" t="s">
        <v>163</v>
      </c>
      <c r="C14" s="2025">
        <v>6815.6600000000008</v>
      </c>
      <c r="D14" s="2033">
        <v>2572.84</v>
      </c>
      <c r="E14" s="2033">
        <v>3075.94</v>
      </c>
      <c r="F14" s="2242">
        <v>281.49</v>
      </c>
      <c r="G14" s="2033">
        <v>0</v>
      </c>
      <c r="H14" s="2033">
        <v>0</v>
      </c>
      <c r="I14" s="2242">
        <v>0</v>
      </c>
      <c r="J14" s="2237">
        <v>497.76</v>
      </c>
      <c r="K14" s="2033">
        <v>0</v>
      </c>
      <c r="L14" s="2033">
        <v>451.29</v>
      </c>
      <c r="M14" s="2229">
        <v>-63.66</v>
      </c>
      <c r="N14" s="2019"/>
    </row>
    <row r="15" spans="1:15" hidden="1">
      <c r="A15" s="2019"/>
      <c r="B15" s="2037" t="s">
        <v>164</v>
      </c>
      <c r="C15" s="2025">
        <v>6989.6100000000006</v>
      </c>
      <c r="D15" s="2033">
        <v>2022.03</v>
      </c>
      <c r="E15" s="2033">
        <v>2987.38</v>
      </c>
      <c r="F15" s="2242">
        <v>269.63</v>
      </c>
      <c r="G15" s="2033">
        <v>0</v>
      </c>
      <c r="H15" s="2033">
        <v>0</v>
      </c>
      <c r="I15" s="2242">
        <v>0</v>
      </c>
      <c r="J15" s="2236">
        <v>408.23</v>
      </c>
      <c r="K15" s="2033">
        <v>0</v>
      </c>
      <c r="L15" s="2033">
        <v>451.29</v>
      </c>
      <c r="M15" s="2229">
        <v>851.05</v>
      </c>
      <c r="N15" s="2019"/>
    </row>
    <row r="16" spans="1:15" hidden="1">
      <c r="A16" s="2019"/>
      <c r="B16" s="2037" t="s">
        <v>165</v>
      </c>
      <c r="C16" s="2025">
        <v>6838.6399999999994</v>
      </c>
      <c r="D16" s="2033">
        <v>1905.2</v>
      </c>
      <c r="E16" s="2033">
        <v>2943.64</v>
      </c>
      <c r="F16" s="2242">
        <v>241.29</v>
      </c>
      <c r="G16" s="2033">
        <v>0</v>
      </c>
      <c r="H16" s="2033">
        <v>0</v>
      </c>
      <c r="I16" s="2242">
        <v>0</v>
      </c>
      <c r="J16" s="2236">
        <v>504.95</v>
      </c>
      <c r="K16" s="2033">
        <v>0</v>
      </c>
      <c r="L16" s="2033">
        <v>451.29</v>
      </c>
      <c r="M16" s="2229">
        <v>792.27</v>
      </c>
      <c r="N16" s="2019"/>
    </row>
    <row r="17" spans="1:15" hidden="1">
      <c r="A17" s="2019"/>
      <c r="B17" s="2037" t="s">
        <v>166</v>
      </c>
      <c r="C17" s="2554">
        <v>7329.78</v>
      </c>
      <c r="D17" s="2228">
        <v>2029.07</v>
      </c>
      <c r="E17" s="2228">
        <v>3369.47</v>
      </c>
      <c r="F17" s="2236">
        <v>201.87</v>
      </c>
      <c r="G17" s="2228">
        <v>0</v>
      </c>
      <c r="H17" s="2228">
        <v>0</v>
      </c>
      <c r="I17" s="2236">
        <v>0</v>
      </c>
      <c r="J17" s="2236">
        <v>430.65</v>
      </c>
      <c r="K17" s="2228">
        <v>0</v>
      </c>
      <c r="L17" s="2228">
        <v>451.29</v>
      </c>
      <c r="M17" s="2250">
        <v>847.43</v>
      </c>
      <c r="N17" s="2019"/>
    </row>
    <row r="18" spans="1:15" hidden="1">
      <c r="A18" s="2019"/>
      <c r="B18" s="2037" t="s">
        <v>167</v>
      </c>
      <c r="C18" s="2554">
        <v>7326.6599999999989</v>
      </c>
      <c r="D18" s="2228">
        <v>2146.2399999999998</v>
      </c>
      <c r="E18" s="2228">
        <v>3747.39</v>
      </c>
      <c r="F18" s="2236">
        <v>227.91</v>
      </c>
      <c r="G18" s="2228">
        <v>0</v>
      </c>
      <c r="H18" s="2228">
        <v>0</v>
      </c>
      <c r="I18" s="2236">
        <v>0</v>
      </c>
      <c r="J18" s="2236">
        <v>450.07</v>
      </c>
      <c r="K18" s="2228">
        <v>0</v>
      </c>
      <c r="L18" s="2228">
        <v>451.29</v>
      </c>
      <c r="M18" s="2250">
        <v>303.76</v>
      </c>
      <c r="N18" s="2019"/>
    </row>
    <row r="19" spans="1:15" hidden="1">
      <c r="A19" s="2019"/>
      <c r="B19" s="2037" t="s">
        <v>168</v>
      </c>
      <c r="C19" s="2554">
        <v>7380.4599999999991</v>
      </c>
      <c r="D19" s="2228">
        <v>2119.16</v>
      </c>
      <c r="E19" s="2228">
        <v>3763.5</v>
      </c>
      <c r="F19" s="2236">
        <v>202.91</v>
      </c>
      <c r="G19" s="2228">
        <v>0</v>
      </c>
      <c r="H19" s="2228">
        <v>0</v>
      </c>
      <c r="I19" s="2236">
        <v>0</v>
      </c>
      <c r="J19" s="2236">
        <v>265.94</v>
      </c>
      <c r="K19" s="2228">
        <v>0</v>
      </c>
      <c r="L19" s="2228">
        <v>451.29</v>
      </c>
      <c r="M19" s="2250">
        <v>577.66</v>
      </c>
      <c r="N19" s="2019"/>
    </row>
    <row r="20" spans="1:15" hidden="1">
      <c r="A20" s="2019"/>
      <c r="B20" s="2037" t="s">
        <v>183</v>
      </c>
      <c r="C20" s="2554">
        <v>7716.9</v>
      </c>
      <c r="D20" s="2228">
        <v>2574.3200000000002</v>
      </c>
      <c r="E20" s="2228">
        <v>3619.27</v>
      </c>
      <c r="F20" s="2236">
        <v>276.05</v>
      </c>
      <c r="G20" s="2228">
        <v>0</v>
      </c>
      <c r="H20" s="2228">
        <v>0</v>
      </c>
      <c r="I20" s="2236">
        <v>0</v>
      </c>
      <c r="J20" s="2236">
        <v>266.27999999999997</v>
      </c>
      <c r="K20" s="2228">
        <v>0</v>
      </c>
      <c r="L20" s="2228">
        <v>451.29</v>
      </c>
      <c r="M20" s="2250">
        <v>529.69000000000005</v>
      </c>
      <c r="N20" s="2019"/>
    </row>
    <row r="21" spans="1:15" hidden="1">
      <c r="A21" s="2019"/>
      <c r="B21" s="2037" t="s">
        <v>170</v>
      </c>
      <c r="C21" s="2554">
        <v>7664.4199999999992</v>
      </c>
      <c r="D21" s="2228">
        <v>2365.9899999999998</v>
      </c>
      <c r="E21" s="2228">
        <v>3291.32</v>
      </c>
      <c r="F21" s="2236">
        <v>235.57</v>
      </c>
      <c r="G21" s="2228">
        <v>0</v>
      </c>
      <c r="H21" s="2228">
        <v>0</v>
      </c>
      <c r="I21" s="2236">
        <v>0</v>
      </c>
      <c r="J21" s="2236">
        <v>285.47000000000003</v>
      </c>
      <c r="K21" s="2228">
        <v>0</v>
      </c>
      <c r="L21" s="2228">
        <v>451.29</v>
      </c>
      <c r="M21" s="2250">
        <v>1034.78</v>
      </c>
      <c r="N21" s="2019"/>
    </row>
    <row r="22" spans="1:15" hidden="1">
      <c r="A22" s="2019"/>
      <c r="B22" s="2037" t="s">
        <v>171</v>
      </c>
      <c r="C22" s="2554">
        <v>7543.4100000000008</v>
      </c>
      <c r="D22" s="2228">
        <v>2107.2600000000002</v>
      </c>
      <c r="E22" s="2228">
        <v>3860.02</v>
      </c>
      <c r="F22" s="2236">
        <v>196.88</v>
      </c>
      <c r="G22" s="2228">
        <v>0</v>
      </c>
      <c r="H22" s="2228">
        <v>0</v>
      </c>
      <c r="I22" s="2236">
        <v>0</v>
      </c>
      <c r="J22" s="2236">
        <v>288.49</v>
      </c>
      <c r="K22" s="2228">
        <v>0</v>
      </c>
      <c r="L22" s="2228">
        <v>451.29</v>
      </c>
      <c r="M22" s="2250">
        <v>639.47</v>
      </c>
      <c r="N22" s="2019"/>
    </row>
    <row r="23" spans="1:15" s="2039" customFormat="1" hidden="1">
      <c r="A23" s="2038"/>
      <c r="B23" s="2034">
        <v>2000</v>
      </c>
      <c r="C23" s="2554">
        <v>7813.48</v>
      </c>
      <c r="D23" s="2228">
        <v>1998.11</v>
      </c>
      <c r="E23" s="2228">
        <v>3744.69</v>
      </c>
      <c r="F23" s="2236">
        <v>158.72999999999999</v>
      </c>
      <c r="G23" s="2228">
        <v>0</v>
      </c>
      <c r="H23" s="2228">
        <v>0</v>
      </c>
      <c r="I23" s="2236">
        <v>0</v>
      </c>
      <c r="J23" s="2236">
        <v>330.13</v>
      </c>
      <c r="K23" s="2228">
        <v>0</v>
      </c>
      <c r="L23" s="2228">
        <v>513.84</v>
      </c>
      <c r="M23" s="2250">
        <v>1067.98</v>
      </c>
      <c r="N23" s="2038"/>
      <c r="O23" s="3999"/>
    </row>
    <row r="24" spans="1:15" hidden="1">
      <c r="A24" s="2019"/>
      <c r="B24" s="2040">
        <v>2001</v>
      </c>
      <c r="C24" s="2554"/>
      <c r="D24" s="2234"/>
      <c r="E24" s="2234"/>
      <c r="F24" s="2234"/>
      <c r="G24" s="2234"/>
      <c r="H24" s="2234"/>
      <c r="I24" s="2234"/>
      <c r="J24" s="2234"/>
      <c r="K24" s="2234"/>
      <c r="L24" s="2234"/>
      <c r="M24" s="2251"/>
      <c r="N24" s="2019"/>
    </row>
    <row r="25" spans="1:15" hidden="1">
      <c r="A25" s="2019"/>
      <c r="B25" s="2037" t="s">
        <v>161</v>
      </c>
      <c r="C25" s="2554">
        <v>7237.54</v>
      </c>
      <c r="D25" s="2228">
        <v>2100.3200000000002</v>
      </c>
      <c r="E25" s="2228">
        <v>2981.79</v>
      </c>
      <c r="F25" s="2228">
        <v>232.92</v>
      </c>
      <c r="G25" s="2228">
        <v>1064.4100000000001</v>
      </c>
      <c r="H25" s="2228">
        <v>1064.4100000000001</v>
      </c>
      <c r="I25" s="2228">
        <v>0</v>
      </c>
      <c r="J25" s="2228">
        <v>300.26</v>
      </c>
      <c r="K25" s="2228">
        <v>0</v>
      </c>
      <c r="L25" s="2228">
        <v>571.36</v>
      </c>
      <c r="M25" s="2250">
        <v>-13.52</v>
      </c>
      <c r="N25" s="2019"/>
    </row>
    <row r="26" spans="1:15" hidden="1">
      <c r="A26" s="2019"/>
      <c r="B26" s="2037" t="s">
        <v>162</v>
      </c>
      <c r="C26" s="2554">
        <v>7129.2799999999988</v>
      </c>
      <c r="D26" s="2228">
        <v>1897.7</v>
      </c>
      <c r="E26" s="2228">
        <v>2831.05</v>
      </c>
      <c r="F26" s="2228">
        <v>268.39999999999998</v>
      </c>
      <c r="G26" s="2228">
        <v>1258.1600000000001</v>
      </c>
      <c r="H26" s="2228">
        <v>1258.1600000000001</v>
      </c>
      <c r="I26" s="2228">
        <v>0</v>
      </c>
      <c r="J26" s="2228">
        <v>292.64999999999998</v>
      </c>
      <c r="K26" s="2228">
        <v>0</v>
      </c>
      <c r="L26" s="2228">
        <v>513.84</v>
      </c>
      <c r="M26" s="2250">
        <v>67.48</v>
      </c>
      <c r="N26" s="2019"/>
    </row>
    <row r="27" spans="1:15" hidden="1">
      <c r="A27" s="2019"/>
      <c r="B27" s="2037" t="s">
        <v>163</v>
      </c>
      <c r="C27" s="2554">
        <v>7105.630000000001</v>
      </c>
      <c r="D27" s="2228">
        <v>2371.6</v>
      </c>
      <c r="E27" s="2228">
        <v>3462.49</v>
      </c>
      <c r="F27" s="2228">
        <v>176.11</v>
      </c>
      <c r="G27" s="2228">
        <v>134.35</v>
      </c>
      <c r="H27" s="2228">
        <v>134.35</v>
      </c>
      <c r="I27" s="2228">
        <v>0</v>
      </c>
      <c r="J27" s="2228">
        <v>387.43</v>
      </c>
      <c r="K27" s="2228">
        <v>0</v>
      </c>
      <c r="L27" s="2228">
        <v>513.84</v>
      </c>
      <c r="M27" s="2250">
        <v>59.81</v>
      </c>
      <c r="N27" s="2019"/>
    </row>
    <row r="28" spans="1:15" hidden="1">
      <c r="A28" s="2019"/>
      <c r="B28" s="2037" t="s">
        <v>164</v>
      </c>
      <c r="C28" s="2554">
        <v>8437.7999999999993</v>
      </c>
      <c r="D28" s="2228">
        <v>2281.4699999999998</v>
      </c>
      <c r="E28" s="2228">
        <v>3327.02</v>
      </c>
      <c r="F28" s="2228">
        <v>278.70999999999998</v>
      </c>
      <c r="G28" s="2228">
        <v>494.77</v>
      </c>
      <c r="H28" s="2228">
        <v>494.77</v>
      </c>
      <c r="I28" s="2228">
        <v>0</v>
      </c>
      <c r="J28" s="2228">
        <v>799.89</v>
      </c>
      <c r="K28" s="2228">
        <v>0</v>
      </c>
      <c r="L28" s="2228">
        <v>513.84</v>
      </c>
      <c r="M28" s="2250">
        <v>742.1</v>
      </c>
      <c r="N28" s="2019"/>
    </row>
    <row r="29" spans="1:15" ht="16.5" hidden="1" customHeight="1">
      <c r="A29" s="2019"/>
      <c r="B29" s="2037" t="s">
        <v>165</v>
      </c>
      <c r="C29" s="2554">
        <v>7932.1299999999992</v>
      </c>
      <c r="D29" s="2228">
        <v>1343.48</v>
      </c>
      <c r="E29" s="2228">
        <v>3103.5</v>
      </c>
      <c r="F29" s="2228">
        <v>281.99</v>
      </c>
      <c r="G29" s="2228">
        <v>825.08</v>
      </c>
      <c r="H29" s="2228">
        <v>825.08</v>
      </c>
      <c r="I29" s="2228">
        <v>0</v>
      </c>
      <c r="J29" s="2228">
        <v>779.38</v>
      </c>
      <c r="K29" s="2228">
        <v>0</v>
      </c>
      <c r="L29" s="2228">
        <v>513.84</v>
      </c>
      <c r="M29" s="2250">
        <v>1084.8599999999999</v>
      </c>
      <c r="N29" s="2019"/>
    </row>
    <row r="30" spans="1:15" hidden="1">
      <c r="A30" s="2019"/>
      <c r="B30" s="2037" t="s">
        <v>166</v>
      </c>
      <c r="C30" s="2554">
        <v>8379.15</v>
      </c>
      <c r="D30" s="2228">
        <v>2280.46</v>
      </c>
      <c r="E30" s="2228">
        <v>2817.68</v>
      </c>
      <c r="F30" s="2228">
        <v>201.32</v>
      </c>
      <c r="G30" s="2228">
        <v>1199.49</v>
      </c>
      <c r="H30" s="2228">
        <v>1199.49</v>
      </c>
      <c r="I30" s="2228">
        <v>0</v>
      </c>
      <c r="J30" s="2228">
        <v>671.55</v>
      </c>
      <c r="K30" s="2228">
        <v>0</v>
      </c>
      <c r="L30" s="2228">
        <v>513.84</v>
      </c>
      <c r="M30" s="2250">
        <v>694.81</v>
      </c>
      <c r="N30" s="2019"/>
    </row>
    <row r="31" spans="1:15" hidden="1">
      <c r="A31" s="2019"/>
      <c r="B31" s="2037" t="s">
        <v>167</v>
      </c>
      <c r="C31" s="2554">
        <v>8825.1299999999992</v>
      </c>
      <c r="D31" s="2228">
        <v>2553.85</v>
      </c>
      <c r="E31" s="2228">
        <v>3324.82</v>
      </c>
      <c r="F31" s="2228">
        <v>235.23</v>
      </c>
      <c r="G31" s="2228">
        <v>2049.2399999999998</v>
      </c>
      <c r="H31" s="2228">
        <v>2049.2399999999998</v>
      </c>
      <c r="I31" s="2228">
        <v>0</v>
      </c>
      <c r="J31" s="2228">
        <v>629.65</v>
      </c>
      <c r="K31" s="2228">
        <v>0</v>
      </c>
      <c r="L31" s="2228">
        <v>513.84</v>
      </c>
      <c r="M31" s="2250">
        <v>-481.5</v>
      </c>
      <c r="N31" s="2019"/>
    </row>
    <row r="32" spans="1:15" hidden="1">
      <c r="A32" s="2019"/>
      <c r="B32" s="2037" t="s">
        <v>168</v>
      </c>
      <c r="C32" s="2554">
        <v>8381.2999999999993</v>
      </c>
      <c r="D32" s="2228">
        <v>2663.14</v>
      </c>
      <c r="E32" s="2228">
        <v>3361.49</v>
      </c>
      <c r="F32" s="2228">
        <v>131.38</v>
      </c>
      <c r="G32" s="2228">
        <v>1292.92</v>
      </c>
      <c r="H32" s="2244">
        <v>1292.92</v>
      </c>
      <c r="I32" s="2228">
        <v>0</v>
      </c>
      <c r="J32" s="2244">
        <v>622.69000000000005</v>
      </c>
      <c r="K32" s="2228">
        <v>0</v>
      </c>
      <c r="L32" s="2244">
        <v>482.94</v>
      </c>
      <c r="M32" s="2250">
        <v>-173.26</v>
      </c>
      <c r="N32" s="2019"/>
    </row>
    <row r="33" spans="1:15" s="2039" customFormat="1" hidden="1">
      <c r="A33" s="2038"/>
      <c r="B33" s="2037" t="s">
        <v>169</v>
      </c>
      <c r="C33" s="2554">
        <v>8542.69</v>
      </c>
      <c r="D33" s="2228">
        <v>2425.67</v>
      </c>
      <c r="E33" s="2228">
        <v>3569.72</v>
      </c>
      <c r="F33" s="2228">
        <v>155.43</v>
      </c>
      <c r="G33" s="2228">
        <v>1106.32</v>
      </c>
      <c r="H33" s="2228">
        <v>1106.32</v>
      </c>
      <c r="I33" s="2228">
        <v>0</v>
      </c>
      <c r="J33" s="2228">
        <v>584.6</v>
      </c>
      <c r="K33" s="2228">
        <v>0</v>
      </c>
      <c r="L33" s="2228">
        <v>622.76</v>
      </c>
      <c r="M33" s="2250">
        <v>78.19</v>
      </c>
      <c r="N33" s="2038"/>
      <c r="O33" s="3999"/>
    </row>
    <row r="34" spans="1:15" hidden="1">
      <c r="A34" s="2019"/>
      <c r="B34" s="2037" t="s">
        <v>170</v>
      </c>
      <c r="C34" s="2554">
        <v>8662.7200000000012</v>
      </c>
      <c r="D34" s="2228">
        <v>2901.88</v>
      </c>
      <c r="E34" s="2228">
        <v>3083.5</v>
      </c>
      <c r="F34" s="2228">
        <v>228.02</v>
      </c>
      <c r="G34" s="2228">
        <v>1156.95</v>
      </c>
      <c r="H34" s="2228">
        <v>1156.95</v>
      </c>
      <c r="I34" s="2228">
        <v>0</v>
      </c>
      <c r="J34" s="2228">
        <v>549.23</v>
      </c>
      <c r="K34" s="2228">
        <v>0</v>
      </c>
      <c r="L34" s="2228">
        <v>649.11</v>
      </c>
      <c r="M34" s="2250">
        <v>94.03</v>
      </c>
      <c r="N34" s="2019"/>
    </row>
    <row r="35" spans="1:15" hidden="1">
      <c r="A35" s="2019"/>
      <c r="B35" s="2037" t="s">
        <v>171</v>
      </c>
      <c r="C35" s="2554">
        <v>8597</v>
      </c>
      <c r="D35" s="2228">
        <v>2282.54</v>
      </c>
      <c r="E35" s="2228">
        <v>3137.29</v>
      </c>
      <c r="F35" s="2228">
        <v>193.25</v>
      </c>
      <c r="G35" s="2228">
        <v>1377.29</v>
      </c>
      <c r="H35" s="2228">
        <v>1377.29</v>
      </c>
      <c r="I35" s="2228">
        <v>0</v>
      </c>
      <c r="J35" s="2228">
        <v>433.22</v>
      </c>
      <c r="K35" s="2228">
        <v>0</v>
      </c>
      <c r="L35" s="2228">
        <v>622.04999999999995</v>
      </c>
      <c r="M35" s="2250">
        <v>551.36</v>
      </c>
      <c r="N35" s="2019"/>
    </row>
    <row r="36" spans="1:15" hidden="1">
      <c r="A36" s="2019"/>
      <c r="B36" s="2040">
        <v>2001</v>
      </c>
      <c r="C36" s="2554">
        <v>9137.69</v>
      </c>
      <c r="D36" s="2228">
        <v>2554.8000000000002</v>
      </c>
      <c r="E36" s="2228">
        <v>3407.75</v>
      </c>
      <c r="F36" s="2228">
        <v>209.3</v>
      </c>
      <c r="G36" s="2228">
        <v>973.4</v>
      </c>
      <c r="H36" s="2228">
        <v>973.4</v>
      </c>
      <c r="I36" s="2228">
        <v>0</v>
      </c>
      <c r="J36" s="2228">
        <v>731.6</v>
      </c>
      <c r="K36" s="2228">
        <v>0</v>
      </c>
      <c r="L36" s="2228">
        <v>654.67999999999995</v>
      </c>
      <c r="M36" s="2250">
        <v>606.16</v>
      </c>
      <c r="N36" s="2019"/>
    </row>
    <row r="37" spans="1:15" hidden="1">
      <c r="A37" s="2019"/>
      <c r="B37" s="2040">
        <v>2002</v>
      </c>
      <c r="C37" s="2554"/>
      <c r="D37" s="2228"/>
      <c r="E37" s="2228"/>
      <c r="F37" s="2228"/>
      <c r="G37" s="2228"/>
      <c r="H37" s="2228"/>
      <c r="I37" s="2228"/>
      <c r="J37" s="2228"/>
      <c r="K37" s="2228"/>
      <c r="L37" s="2228"/>
      <c r="M37" s="2250"/>
      <c r="N37" s="2019"/>
    </row>
    <row r="38" spans="1:15" hidden="1">
      <c r="A38" s="2019"/>
      <c r="B38" s="2037" t="s">
        <v>161</v>
      </c>
      <c r="C38" s="2554">
        <v>9487.0600000000013</v>
      </c>
      <c r="D38" s="2228">
        <v>2466.88</v>
      </c>
      <c r="E38" s="2228">
        <v>3099.5</v>
      </c>
      <c r="F38" s="2228">
        <v>329.79</v>
      </c>
      <c r="G38" s="2228">
        <v>1519.8</v>
      </c>
      <c r="H38" s="2228">
        <v>1519.8</v>
      </c>
      <c r="I38" s="2228">
        <v>0</v>
      </c>
      <c r="J38" s="2228">
        <v>710.32</v>
      </c>
      <c r="K38" s="2228">
        <v>0</v>
      </c>
      <c r="L38" s="2228">
        <v>697.24</v>
      </c>
      <c r="M38" s="2250">
        <v>663.53</v>
      </c>
      <c r="N38" s="2019"/>
    </row>
    <row r="39" spans="1:15" hidden="1">
      <c r="A39" s="2019"/>
      <c r="B39" s="2037" t="s">
        <v>162</v>
      </c>
      <c r="C39" s="2554">
        <v>9386.7000000000007</v>
      </c>
      <c r="D39" s="2228">
        <v>2939.93</v>
      </c>
      <c r="E39" s="2228">
        <v>3537.01</v>
      </c>
      <c r="F39" s="2228">
        <v>308.87</v>
      </c>
      <c r="G39" s="2228">
        <v>644.13</v>
      </c>
      <c r="H39" s="2228">
        <v>644.13</v>
      </c>
      <c r="I39" s="2228">
        <v>0</v>
      </c>
      <c r="J39" s="2228">
        <v>620.94000000000005</v>
      </c>
      <c r="K39" s="2228">
        <v>0</v>
      </c>
      <c r="L39" s="2228">
        <v>679.78</v>
      </c>
      <c r="M39" s="2250">
        <v>656.04</v>
      </c>
      <c r="N39" s="2019"/>
    </row>
    <row r="40" spans="1:15" hidden="1">
      <c r="A40" s="2019"/>
      <c r="B40" s="2037" t="s">
        <v>163</v>
      </c>
      <c r="C40" s="2554">
        <v>9939.4600000000009</v>
      </c>
      <c r="D40" s="2228">
        <v>2487.9</v>
      </c>
      <c r="E40" s="2228">
        <v>3560.51</v>
      </c>
      <c r="F40" s="2228">
        <v>328.31</v>
      </c>
      <c r="G40" s="2228">
        <v>1480.27</v>
      </c>
      <c r="H40" s="2228">
        <v>1480.27</v>
      </c>
      <c r="I40" s="2228">
        <v>0</v>
      </c>
      <c r="J40" s="2228">
        <v>586.66999999999996</v>
      </c>
      <c r="K40" s="2228">
        <v>0</v>
      </c>
      <c r="L40" s="2228">
        <v>688.12</v>
      </c>
      <c r="M40" s="2250">
        <v>807.68</v>
      </c>
      <c r="N40" s="2019"/>
    </row>
    <row r="41" spans="1:15" hidden="1">
      <c r="A41" s="2019"/>
      <c r="B41" s="2037" t="s">
        <v>164</v>
      </c>
      <c r="C41" s="2554">
        <v>9534</v>
      </c>
      <c r="D41" s="2228">
        <v>2538.1</v>
      </c>
      <c r="E41" s="2228">
        <v>3172.36</v>
      </c>
      <c r="F41" s="2228">
        <v>299.77999999999997</v>
      </c>
      <c r="G41" s="2228">
        <v>1747.06</v>
      </c>
      <c r="H41" s="2228">
        <v>1747.06</v>
      </c>
      <c r="I41" s="2228">
        <v>0</v>
      </c>
      <c r="J41" s="2228">
        <v>511.07</v>
      </c>
      <c r="K41" s="2228">
        <v>0</v>
      </c>
      <c r="L41" s="2228">
        <v>687.61</v>
      </c>
      <c r="M41" s="2250">
        <v>578.02</v>
      </c>
      <c r="N41" s="2019"/>
    </row>
    <row r="42" spans="1:15" hidden="1">
      <c r="A42" s="2019"/>
      <c r="B42" s="2037" t="s">
        <v>165</v>
      </c>
      <c r="C42" s="2554">
        <v>9453.9499999999989</v>
      </c>
      <c r="D42" s="2228">
        <v>2788.23</v>
      </c>
      <c r="E42" s="2228">
        <v>3603.68</v>
      </c>
      <c r="F42" s="2228">
        <v>298.52999999999997</v>
      </c>
      <c r="G42" s="2228">
        <v>661.81</v>
      </c>
      <c r="H42" s="2228">
        <v>661.81</v>
      </c>
      <c r="I42" s="2228">
        <v>0</v>
      </c>
      <c r="J42" s="2228">
        <v>754.61</v>
      </c>
      <c r="K42" s="2228">
        <v>0</v>
      </c>
      <c r="L42" s="2228">
        <v>682.84</v>
      </c>
      <c r="M42" s="2250">
        <v>664.25</v>
      </c>
      <c r="N42" s="2019"/>
    </row>
    <row r="43" spans="1:15" hidden="1">
      <c r="A43" s="2019"/>
      <c r="B43" s="2037" t="s">
        <v>166</v>
      </c>
      <c r="C43" s="2554">
        <v>9284</v>
      </c>
      <c r="D43" s="2228">
        <v>2604.41</v>
      </c>
      <c r="E43" s="2228">
        <v>3392.47</v>
      </c>
      <c r="F43" s="2228">
        <v>256.5</v>
      </c>
      <c r="G43" s="2228">
        <v>1366.28</v>
      </c>
      <c r="H43" s="2228">
        <v>1366.28</v>
      </c>
      <c r="I43" s="2228">
        <v>0</v>
      </c>
      <c r="J43" s="2228">
        <v>601.5</v>
      </c>
      <c r="K43" s="2228">
        <v>0</v>
      </c>
      <c r="L43" s="2228">
        <v>698.86</v>
      </c>
      <c r="M43" s="2250">
        <v>363.98</v>
      </c>
      <c r="N43" s="2019"/>
    </row>
    <row r="44" spans="1:15" hidden="1">
      <c r="A44" s="2019"/>
      <c r="B44" s="2037" t="s">
        <v>167</v>
      </c>
      <c r="C44" s="2554">
        <v>9560.8099999999977</v>
      </c>
      <c r="D44" s="2228">
        <v>3894.97</v>
      </c>
      <c r="E44" s="2228">
        <v>3115.35</v>
      </c>
      <c r="F44" s="2228">
        <v>400.08</v>
      </c>
      <c r="G44" s="2228">
        <v>930.97</v>
      </c>
      <c r="H44" s="2228">
        <v>930.97</v>
      </c>
      <c r="I44" s="2228">
        <v>0</v>
      </c>
      <c r="J44" s="2228">
        <v>611.04999999999995</v>
      </c>
      <c r="K44" s="2228">
        <v>0</v>
      </c>
      <c r="L44" s="2228">
        <v>694.81</v>
      </c>
      <c r="M44" s="2250">
        <v>-86.42</v>
      </c>
      <c r="N44" s="2019"/>
    </row>
    <row r="45" spans="1:15" hidden="1">
      <c r="A45" s="2019"/>
      <c r="B45" s="2037" t="s">
        <v>168</v>
      </c>
      <c r="C45" s="2554">
        <v>9917.1800000000021</v>
      </c>
      <c r="D45" s="2228">
        <v>2958.08</v>
      </c>
      <c r="E45" s="2228">
        <v>2948.11</v>
      </c>
      <c r="F45" s="2228">
        <v>313.25</v>
      </c>
      <c r="G45" s="2228">
        <v>1757.14</v>
      </c>
      <c r="H45" s="2228">
        <v>1757.14</v>
      </c>
      <c r="I45" s="2228">
        <v>0</v>
      </c>
      <c r="J45" s="2228">
        <v>595.24</v>
      </c>
      <c r="K45" s="2228">
        <v>0</v>
      </c>
      <c r="L45" s="2228">
        <v>689</v>
      </c>
      <c r="M45" s="2250">
        <v>656.36</v>
      </c>
      <c r="N45" s="2019"/>
    </row>
    <row r="46" spans="1:15" hidden="1">
      <c r="A46" s="2019"/>
      <c r="B46" s="2037" t="s">
        <v>169</v>
      </c>
      <c r="C46" s="2554">
        <v>9149.2900000000009</v>
      </c>
      <c r="D46" s="2228">
        <v>2853.89</v>
      </c>
      <c r="E46" s="2228">
        <v>3082.11</v>
      </c>
      <c r="F46" s="2228">
        <v>225.84</v>
      </c>
      <c r="G46" s="2228">
        <v>1198.4100000000001</v>
      </c>
      <c r="H46" s="2228">
        <v>1198.4100000000001</v>
      </c>
      <c r="I46" s="2228">
        <v>0</v>
      </c>
      <c r="J46" s="2228">
        <v>539.49</v>
      </c>
      <c r="K46" s="2228">
        <v>0</v>
      </c>
      <c r="L46" s="2228">
        <v>695.59</v>
      </c>
      <c r="M46" s="2250">
        <v>553.96</v>
      </c>
      <c r="N46" s="2019"/>
    </row>
    <row r="47" spans="1:15" ht="13.5" hidden="1" customHeight="1">
      <c r="A47" s="2019"/>
      <c r="B47" s="2037" t="s">
        <v>170</v>
      </c>
      <c r="C47" s="2554">
        <v>9657.8000000000011</v>
      </c>
      <c r="D47" s="2228">
        <v>3680.14</v>
      </c>
      <c r="E47" s="2228">
        <v>3191.12</v>
      </c>
      <c r="F47" s="2228">
        <v>180.56</v>
      </c>
      <c r="G47" s="2228">
        <v>385.86</v>
      </c>
      <c r="H47" s="2228">
        <v>385.86</v>
      </c>
      <c r="I47" s="2228">
        <v>0</v>
      </c>
      <c r="J47" s="2228">
        <v>956.83</v>
      </c>
      <c r="K47" s="2228">
        <v>0</v>
      </c>
      <c r="L47" s="2228">
        <v>724.34</v>
      </c>
      <c r="M47" s="2250">
        <v>538.95000000000005</v>
      </c>
      <c r="N47" s="2019"/>
    </row>
    <row r="48" spans="1:15" hidden="1">
      <c r="A48" s="2019"/>
      <c r="B48" s="2037" t="s">
        <v>171</v>
      </c>
      <c r="C48" s="2554">
        <v>9301.9399999999987</v>
      </c>
      <c r="D48" s="2228">
        <v>6978.45</v>
      </c>
      <c r="E48" s="2228">
        <v>3223.49</v>
      </c>
      <c r="F48" s="2228">
        <v>221.16</v>
      </c>
      <c r="G48" s="2228">
        <v>0</v>
      </c>
      <c r="H48" s="2228">
        <v>0</v>
      </c>
      <c r="I48" s="2228">
        <v>0</v>
      </c>
      <c r="J48" s="2228">
        <v>849.18</v>
      </c>
      <c r="K48" s="2228">
        <v>0</v>
      </c>
      <c r="L48" s="2228">
        <v>749.04</v>
      </c>
      <c r="M48" s="2250">
        <v>-2719.38</v>
      </c>
      <c r="N48" s="2019"/>
    </row>
    <row r="49" spans="1:15" s="2042" customFormat="1" hidden="1">
      <c r="A49" s="2041"/>
      <c r="B49" s="2040">
        <v>2002</v>
      </c>
      <c r="C49" s="2554">
        <v>11300.529999999999</v>
      </c>
      <c r="D49" s="2235">
        <v>4672.38</v>
      </c>
      <c r="E49" s="2235">
        <v>3203.22</v>
      </c>
      <c r="F49" s="2235">
        <v>441.85</v>
      </c>
      <c r="G49" s="2228">
        <v>0</v>
      </c>
      <c r="H49" s="2228">
        <v>0</v>
      </c>
      <c r="I49" s="2228">
        <v>0</v>
      </c>
      <c r="J49" s="2235">
        <v>775.46</v>
      </c>
      <c r="K49" s="2228">
        <v>0</v>
      </c>
      <c r="L49" s="2235">
        <v>865.81</v>
      </c>
      <c r="M49" s="2252">
        <v>1341.81</v>
      </c>
      <c r="N49" s="2041"/>
      <c r="O49" s="4000"/>
    </row>
    <row r="50" spans="1:15" hidden="1">
      <c r="A50" s="2019"/>
      <c r="B50" s="2040">
        <v>2003</v>
      </c>
      <c r="C50" s="2554"/>
      <c r="D50" s="2234"/>
      <c r="E50" s="2234"/>
      <c r="F50" s="2234"/>
      <c r="G50" s="2228"/>
      <c r="H50" s="2228"/>
      <c r="I50" s="2228"/>
      <c r="J50" s="2234"/>
      <c r="K50" s="2228"/>
      <c r="L50" s="2234"/>
      <c r="M50" s="2251"/>
      <c r="N50" s="2038"/>
    </row>
    <row r="51" spans="1:15" hidden="1">
      <c r="A51" s="2019"/>
      <c r="B51" s="2037" t="s">
        <v>161</v>
      </c>
      <c r="C51" s="2554">
        <v>10785.1714651</v>
      </c>
      <c r="D51" s="2228">
        <v>4889.4960690999997</v>
      </c>
      <c r="E51" s="2228">
        <v>3099.1877901199996</v>
      </c>
      <c r="F51" s="2228">
        <v>431.45236609</v>
      </c>
      <c r="G51" s="2228">
        <v>0</v>
      </c>
      <c r="H51" s="2228">
        <v>0</v>
      </c>
      <c r="I51" s="2228">
        <v>0</v>
      </c>
      <c r="J51" s="2228">
        <v>0</v>
      </c>
      <c r="K51" s="2228">
        <v>0</v>
      </c>
      <c r="L51" s="2228">
        <v>779.48468666999997</v>
      </c>
      <c r="M51" s="2250">
        <v>1585.5505531199997</v>
      </c>
      <c r="N51" s="2038"/>
    </row>
    <row r="52" spans="1:15" hidden="1">
      <c r="A52" s="2019"/>
      <c r="B52" s="2037" t="s">
        <v>162</v>
      </c>
      <c r="C52" s="2554">
        <v>10504.652823120001</v>
      </c>
      <c r="D52" s="2228">
        <v>4176.9310580599995</v>
      </c>
      <c r="E52" s="2228">
        <v>3197.08302073</v>
      </c>
      <c r="F52" s="2228">
        <v>410.17919147000003</v>
      </c>
      <c r="G52" s="2228">
        <v>324.09249225000002</v>
      </c>
      <c r="H52" s="2228">
        <v>324.09249225000002</v>
      </c>
      <c r="I52" s="2228">
        <v>0</v>
      </c>
      <c r="J52" s="2228">
        <v>0</v>
      </c>
      <c r="K52" s="2228">
        <v>0</v>
      </c>
      <c r="L52" s="2228">
        <v>784.07098337999992</v>
      </c>
      <c r="M52" s="2250">
        <v>1612.2960772300012</v>
      </c>
      <c r="N52" s="2019"/>
    </row>
    <row r="53" spans="1:15" hidden="1">
      <c r="A53" s="2019"/>
      <c r="B53" s="2037" t="s">
        <v>163</v>
      </c>
      <c r="C53" s="2554">
        <v>11037.147159189999</v>
      </c>
      <c r="D53" s="2228">
        <v>3778.8335040199995</v>
      </c>
      <c r="E53" s="2228">
        <v>3206.9100518199998</v>
      </c>
      <c r="F53" s="2228">
        <v>602.52307427999995</v>
      </c>
      <c r="G53" s="2228">
        <v>1014.5811269</v>
      </c>
      <c r="H53" s="2228">
        <v>1014.5811269</v>
      </c>
      <c r="I53" s="2228">
        <v>0</v>
      </c>
      <c r="J53" s="2228">
        <v>0</v>
      </c>
      <c r="K53" s="2228">
        <v>0</v>
      </c>
      <c r="L53" s="2228">
        <v>804.43532692999997</v>
      </c>
      <c r="M53" s="2250">
        <v>1629.8640752400006</v>
      </c>
      <c r="N53" s="2019"/>
    </row>
    <row r="54" spans="1:15" hidden="1">
      <c r="A54" s="2019"/>
      <c r="B54" s="2037" t="s">
        <v>164</v>
      </c>
      <c r="C54" s="2554">
        <v>12394.650212529999</v>
      </c>
      <c r="D54" s="2228">
        <v>4334.0708339599996</v>
      </c>
      <c r="E54" s="2228">
        <v>3414.8692292400005</v>
      </c>
      <c r="F54" s="2228">
        <v>1315.0679804700001</v>
      </c>
      <c r="G54" s="2228">
        <v>380.33457411000001</v>
      </c>
      <c r="H54" s="2228">
        <v>380.33457411000001</v>
      </c>
      <c r="I54" s="2228">
        <v>0</v>
      </c>
      <c r="J54" s="2228">
        <v>0</v>
      </c>
      <c r="K54" s="2228">
        <v>0</v>
      </c>
      <c r="L54" s="2228">
        <v>803.72426978999999</v>
      </c>
      <c r="M54" s="2250">
        <v>2146.58332496</v>
      </c>
      <c r="N54" s="2019"/>
    </row>
    <row r="55" spans="1:15" hidden="1">
      <c r="A55" s="2019"/>
      <c r="B55" s="2037" t="s">
        <v>165</v>
      </c>
      <c r="C55" s="2554">
        <v>12444.770759010002</v>
      </c>
      <c r="D55" s="2228">
        <v>4745.5147108500005</v>
      </c>
      <c r="E55" s="2228">
        <v>3971.5326527500001</v>
      </c>
      <c r="F55" s="2228">
        <v>1181.08341126</v>
      </c>
      <c r="G55" s="2228">
        <v>1408.62749478</v>
      </c>
      <c r="H55" s="2228">
        <v>1408.62749478</v>
      </c>
      <c r="I55" s="2228">
        <v>0</v>
      </c>
      <c r="J55" s="2228">
        <v>0</v>
      </c>
      <c r="K55" s="2228">
        <v>0</v>
      </c>
      <c r="L55" s="2228">
        <v>812.61974835000001</v>
      </c>
      <c r="M55" s="2250">
        <v>325.39274102000127</v>
      </c>
      <c r="N55" s="2019"/>
    </row>
    <row r="56" spans="1:15" hidden="1">
      <c r="A56" s="2019"/>
      <c r="B56" s="2037" t="s">
        <v>166</v>
      </c>
      <c r="C56" s="2554">
        <v>12313.684539769998</v>
      </c>
      <c r="D56" s="2228">
        <v>4290.2619884100004</v>
      </c>
      <c r="E56" s="2228">
        <v>3979.3091176700004</v>
      </c>
      <c r="F56" s="2228">
        <v>1158.9952464400001</v>
      </c>
      <c r="G56" s="2228">
        <v>0</v>
      </c>
      <c r="H56" s="2228">
        <v>0</v>
      </c>
      <c r="I56" s="2228">
        <v>0</v>
      </c>
      <c r="J56" s="2228">
        <v>0</v>
      </c>
      <c r="K56" s="2228">
        <v>0</v>
      </c>
      <c r="L56" s="2228">
        <v>831.48619380000002</v>
      </c>
      <c r="M56" s="2250">
        <v>2053.6319934499988</v>
      </c>
      <c r="N56" s="2019"/>
    </row>
    <row r="57" spans="1:15" hidden="1">
      <c r="A57" s="2019"/>
      <c r="B57" s="2036" t="s">
        <v>167</v>
      </c>
      <c r="C57" s="2554">
        <v>12674.261102819999</v>
      </c>
      <c r="D57" s="2228">
        <v>5605.7610373999996</v>
      </c>
      <c r="E57" s="2228">
        <v>4118.6588941199998</v>
      </c>
      <c r="F57" s="2228">
        <v>1117.14500146</v>
      </c>
      <c r="G57" s="2228">
        <v>135.09892672000001</v>
      </c>
      <c r="H57" s="2228">
        <v>135.09892672000001</v>
      </c>
      <c r="I57" s="2228">
        <v>0</v>
      </c>
      <c r="J57" s="2228">
        <v>0</v>
      </c>
      <c r="K57" s="2228">
        <v>0</v>
      </c>
      <c r="L57" s="2228">
        <v>853.9929239600001</v>
      </c>
      <c r="M57" s="2250">
        <v>843.60431916000016</v>
      </c>
      <c r="N57" s="2038"/>
    </row>
    <row r="58" spans="1:15" hidden="1">
      <c r="A58" s="2019"/>
      <c r="B58" s="2037" t="s">
        <v>168</v>
      </c>
      <c r="C58" s="2554">
        <v>12934.546498219999</v>
      </c>
      <c r="D58" s="2228">
        <v>4916.8854876299993</v>
      </c>
      <c r="E58" s="2228">
        <v>4172.5836442</v>
      </c>
      <c r="F58" s="2228">
        <v>1095.7769563900001</v>
      </c>
      <c r="G58" s="2228">
        <v>1013.28943127</v>
      </c>
      <c r="H58" s="2228">
        <v>1013.28943127</v>
      </c>
      <c r="I58" s="2228">
        <v>0</v>
      </c>
      <c r="J58" s="2228">
        <v>0</v>
      </c>
      <c r="K58" s="2228">
        <v>0</v>
      </c>
      <c r="L58" s="2228">
        <v>852.92773432000001</v>
      </c>
      <c r="M58" s="2250">
        <v>883.08324440999968</v>
      </c>
      <c r="N58" s="2019"/>
    </row>
    <row r="59" spans="1:15" hidden="1">
      <c r="A59" s="2019"/>
      <c r="B59" s="2037" t="s">
        <v>169</v>
      </c>
      <c r="C59" s="2554">
        <v>12776.278160570004</v>
      </c>
      <c r="D59" s="2228">
        <v>6066.6721840400005</v>
      </c>
      <c r="E59" s="2228">
        <v>4242.0330669099994</v>
      </c>
      <c r="F59" s="2228">
        <v>1069.1204391199999</v>
      </c>
      <c r="G59" s="2228">
        <v>0</v>
      </c>
      <c r="H59" s="2228">
        <v>0</v>
      </c>
      <c r="I59" s="2228">
        <v>0</v>
      </c>
      <c r="J59" s="2228">
        <v>0</v>
      </c>
      <c r="K59" s="2228">
        <v>0</v>
      </c>
      <c r="L59" s="2228">
        <v>915.13439445999995</v>
      </c>
      <c r="M59" s="2250">
        <v>483.3180760400046</v>
      </c>
      <c r="N59" s="2019"/>
    </row>
    <row r="60" spans="1:15" hidden="1">
      <c r="A60" s="2019"/>
      <c r="B60" s="2037" t="s">
        <v>170</v>
      </c>
      <c r="C60" s="2554">
        <v>12365.243036390002</v>
      </c>
      <c r="D60" s="2228">
        <v>5432.1582077800012</v>
      </c>
      <c r="E60" s="2228">
        <v>3726.9454668499998</v>
      </c>
      <c r="F60" s="2228">
        <v>1075.89231619</v>
      </c>
      <c r="G60" s="2228">
        <v>130.59451729</v>
      </c>
      <c r="H60" s="2228">
        <v>130.59451729</v>
      </c>
      <c r="I60" s="2228">
        <v>0</v>
      </c>
      <c r="J60" s="2228">
        <v>0</v>
      </c>
      <c r="K60" s="2228">
        <v>0</v>
      </c>
      <c r="L60" s="2228">
        <v>927.70269929999995</v>
      </c>
      <c r="M60" s="2250">
        <v>1071.9498289800013</v>
      </c>
      <c r="N60" s="2019"/>
    </row>
    <row r="61" spans="1:15" hidden="1">
      <c r="A61" s="2019"/>
      <c r="B61" s="2037" t="s">
        <v>171</v>
      </c>
      <c r="C61" s="2554">
        <v>12338.829625069999</v>
      </c>
      <c r="D61" s="2228">
        <v>5472.0269667699995</v>
      </c>
      <c r="E61" s="2228">
        <v>3902.9844836900002</v>
      </c>
      <c r="F61" s="2228">
        <v>1058.5373607000001</v>
      </c>
      <c r="G61" s="2228">
        <v>0</v>
      </c>
      <c r="H61" s="2228">
        <v>0</v>
      </c>
      <c r="I61" s="2228">
        <v>0</v>
      </c>
      <c r="J61" s="2228">
        <v>0</v>
      </c>
      <c r="K61" s="2228">
        <v>0</v>
      </c>
      <c r="L61" s="2228">
        <v>931.92003059000012</v>
      </c>
      <c r="M61" s="2250">
        <v>973.36078332000034</v>
      </c>
      <c r="N61" s="2019"/>
    </row>
    <row r="62" spans="1:15" ht="18" customHeight="1">
      <c r="A62" s="2019"/>
      <c r="B62" s="2040">
        <v>2003</v>
      </c>
      <c r="C62" s="2554">
        <v>11602.33303858</v>
      </c>
      <c r="D62" s="2228">
        <v>4616.5444192200002</v>
      </c>
      <c r="E62" s="2228">
        <v>3921.9203818400006</v>
      </c>
      <c r="F62" s="2228">
        <v>1002.0923297000001</v>
      </c>
      <c r="G62" s="2228">
        <v>0</v>
      </c>
      <c r="H62" s="2228">
        <v>0</v>
      </c>
      <c r="I62" s="2228">
        <v>0</v>
      </c>
      <c r="J62" s="2228">
        <v>0</v>
      </c>
      <c r="K62" s="2228">
        <v>0</v>
      </c>
      <c r="L62" s="2228">
        <v>937.68113460000006</v>
      </c>
      <c r="M62" s="2250">
        <v>1124.0947732199984</v>
      </c>
      <c r="N62" s="2043"/>
    </row>
    <row r="63" spans="1:15" hidden="1">
      <c r="A63" s="2019"/>
      <c r="B63" s="2040">
        <v>2004</v>
      </c>
      <c r="C63" s="2554"/>
      <c r="D63" s="2234"/>
      <c r="E63" s="2234"/>
      <c r="F63" s="2234"/>
      <c r="G63" s="2236"/>
      <c r="H63" s="2234"/>
      <c r="I63" s="2234"/>
      <c r="J63" s="2234"/>
      <c r="K63" s="2234"/>
      <c r="L63" s="2234"/>
      <c r="M63" s="2251"/>
      <c r="N63" s="2019"/>
    </row>
    <row r="64" spans="1:15" hidden="1">
      <c r="A64" s="2019"/>
      <c r="B64" s="2037" t="s">
        <v>161</v>
      </c>
      <c r="C64" s="2554">
        <v>12505.362983789997</v>
      </c>
      <c r="D64" s="2236">
        <v>5068.4406344899999</v>
      </c>
      <c r="E64" s="2236">
        <v>3828.46558508</v>
      </c>
      <c r="F64" s="2236">
        <v>1139.7713647</v>
      </c>
      <c r="G64" s="2236">
        <v>0</v>
      </c>
      <c r="H64" s="2236">
        <v>0</v>
      </c>
      <c r="I64" s="2236">
        <v>0</v>
      </c>
      <c r="J64" s="2236">
        <v>0</v>
      </c>
      <c r="K64" s="2236">
        <v>0</v>
      </c>
      <c r="L64" s="2236">
        <v>946.81340597000008</v>
      </c>
      <c r="M64" s="2245">
        <v>1521.8719935499976</v>
      </c>
      <c r="N64" s="2044"/>
    </row>
    <row r="65" spans="1:14" hidden="1">
      <c r="A65" s="2019"/>
      <c r="B65" s="2037" t="s">
        <v>162</v>
      </c>
      <c r="C65" s="2554">
        <v>11622.040896030001</v>
      </c>
      <c r="D65" s="2236">
        <v>4898.6071079199992</v>
      </c>
      <c r="E65" s="2236">
        <v>3728.6158350699998</v>
      </c>
      <c r="F65" s="2236">
        <v>1113.4594171900001</v>
      </c>
      <c r="G65" s="2236">
        <v>0</v>
      </c>
      <c r="H65" s="2236">
        <v>0</v>
      </c>
      <c r="I65" s="2236">
        <v>0</v>
      </c>
      <c r="J65" s="2236">
        <v>0</v>
      </c>
      <c r="K65" s="2236">
        <v>0</v>
      </c>
      <c r="L65" s="2236">
        <v>944.58120100999997</v>
      </c>
      <c r="M65" s="2245">
        <v>936.77733484000055</v>
      </c>
      <c r="N65" s="2044"/>
    </row>
    <row r="66" spans="1:14" hidden="1">
      <c r="A66" s="2019"/>
      <c r="B66" s="2037" t="s">
        <v>163</v>
      </c>
      <c r="C66" s="2554">
        <v>11867.937316239997</v>
      </c>
      <c r="D66" s="2236">
        <v>4204.2882096200001</v>
      </c>
      <c r="E66" s="2236">
        <v>3698.7937833299998</v>
      </c>
      <c r="F66" s="2236">
        <v>1191.4670653199998</v>
      </c>
      <c r="G66" s="2236">
        <v>719.27044694000006</v>
      </c>
      <c r="H66" s="2236">
        <v>719.27044694000006</v>
      </c>
      <c r="I66" s="2236">
        <v>0</v>
      </c>
      <c r="J66" s="2236">
        <v>0</v>
      </c>
      <c r="K66" s="2236">
        <v>0</v>
      </c>
      <c r="L66" s="2236">
        <v>973.9191072000001</v>
      </c>
      <c r="M66" s="2245">
        <v>1080.1987038299994</v>
      </c>
      <c r="N66" s="2044"/>
    </row>
    <row r="67" spans="1:14" hidden="1">
      <c r="A67" s="2019"/>
      <c r="B67" s="2037" t="s">
        <v>164</v>
      </c>
      <c r="C67" s="2554">
        <v>13007.531387210001</v>
      </c>
      <c r="D67" s="2236">
        <v>6384.3383653299989</v>
      </c>
      <c r="E67" s="2236">
        <v>3670.7903483800001</v>
      </c>
      <c r="F67" s="2236">
        <v>1102.2415838099998</v>
      </c>
      <c r="G67" s="2236">
        <v>842.78836601</v>
      </c>
      <c r="H67" s="2236">
        <v>842.78836601</v>
      </c>
      <c r="I67" s="2236">
        <v>0</v>
      </c>
      <c r="J67" s="2236">
        <v>0</v>
      </c>
      <c r="K67" s="2236">
        <v>0</v>
      </c>
      <c r="L67" s="2236">
        <v>977.79377172999989</v>
      </c>
      <c r="M67" s="2245">
        <v>29.578951950003102</v>
      </c>
      <c r="N67" s="2044"/>
    </row>
    <row r="68" spans="1:14" hidden="1">
      <c r="A68" s="2019"/>
      <c r="B68" s="2037" t="s">
        <v>165</v>
      </c>
      <c r="C68" s="2554">
        <v>12342.375882159999</v>
      </c>
      <c r="D68" s="2236">
        <v>5465.6309159900002</v>
      </c>
      <c r="E68" s="2236">
        <v>3763.6426362500001</v>
      </c>
      <c r="F68" s="2236">
        <v>688.24500603000001</v>
      </c>
      <c r="G68" s="2236">
        <v>739.04907075000006</v>
      </c>
      <c r="H68" s="2236">
        <v>739.04907075000006</v>
      </c>
      <c r="I68" s="2236">
        <v>0</v>
      </c>
      <c r="J68" s="2236">
        <v>0</v>
      </c>
      <c r="K68" s="2236">
        <v>0</v>
      </c>
      <c r="L68" s="2236">
        <v>985.05887004999988</v>
      </c>
      <c r="M68" s="2245">
        <v>700.74938309000026</v>
      </c>
      <c r="N68" s="2044"/>
    </row>
    <row r="69" spans="1:14" hidden="1">
      <c r="A69" s="2019"/>
      <c r="B69" s="2037" t="s">
        <v>166</v>
      </c>
      <c r="C69" s="2554">
        <v>11498.00546226</v>
      </c>
      <c r="D69" s="2236">
        <v>5058.6174084899994</v>
      </c>
      <c r="E69" s="2236">
        <v>3620.9671019500001</v>
      </c>
      <c r="F69" s="2236">
        <v>560.72083164999992</v>
      </c>
      <c r="G69" s="2236">
        <v>1061.6331291900001</v>
      </c>
      <c r="H69" s="2236">
        <v>1061.6331291900001</v>
      </c>
      <c r="I69" s="2236">
        <v>0</v>
      </c>
      <c r="J69" s="2236">
        <v>0</v>
      </c>
      <c r="K69" s="2236">
        <v>0</v>
      </c>
      <c r="L69" s="2236">
        <v>1010.4973699300001</v>
      </c>
      <c r="M69" s="2245">
        <v>185.56962104999911</v>
      </c>
      <c r="N69" s="2044"/>
    </row>
    <row r="70" spans="1:14" hidden="1">
      <c r="A70" s="2019"/>
      <c r="B70" s="2037" t="s">
        <v>167</v>
      </c>
      <c r="C70" s="2554">
        <v>11033.709384950002</v>
      </c>
      <c r="D70" s="2236">
        <v>4664.1172662300005</v>
      </c>
      <c r="E70" s="2236">
        <v>3710.4116544900007</v>
      </c>
      <c r="F70" s="2236">
        <v>524.28564983000001</v>
      </c>
      <c r="G70" s="2236">
        <v>1052.71343361</v>
      </c>
      <c r="H70" s="2236">
        <v>1052.71343361</v>
      </c>
      <c r="I70" s="2236">
        <v>0</v>
      </c>
      <c r="J70" s="2236">
        <v>0</v>
      </c>
      <c r="K70" s="2236">
        <v>0</v>
      </c>
      <c r="L70" s="2236">
        <v>1016.27456622</v>
      </c>
      <c r="M70" s="2245">
        <v>65.906814570000279</v>
      </c>
      <c r="N70" s="2044"/>
    </row>
    <row r="71" spans="1:14" hidden="1">
      <c r="A71" s="2019"/>
      <c r="B71" s="2037" t="s">
        <v>168</v>
      </c>
      <c r="C71" s="2554">
        <v>10938.3764391</v>
      </c>
      <c r="D71" s="2236">
        <v>4391.5513155999997</v>
      </c>
      <c r="E71" s="2236">
        <v>3708.84322363</v>
      </c>
      <c r="F71" s="2236">
        <v>634.61968066999998</v>
      </c>
      <c r="G71" s="2236">
        <v>568.51560954000001</v>
      </c>
      <c r="H71" s="2236">
        <v>568.51560954000001</v>
      </c>
      <c r="I71" s="2236">
        <v>0</v>
      </c>
      <c r="J71" s="2236">
        <v>0</v>
      </c>
      <c r="K71" s="2236">
        <v>0</v>
      </c>
      <c r="L71" s="2236">
        <v>1000.44821981</v>
      </c>
      <c r="M71" s="2245">
        <v>634.39838985000097</v>
      </c>
      <c r="N71" s="2044"/>
    </row>
    <row r="72" spans="1:14" hidden="1">
      <c r="A72" s="2019"/>
      <c r="B72" s="2037" t="s">
        <v>169</v>
      </c>
      <c r="C72" s="2554">
        <v>10205.263275180001</v>
      </c>
      <c r="D72" s="2236">
        <v>3594.4131200599995</v>
      </c>
      <c r="E72" s="2236">
        <v>3692.7402877</v>
      </c>
      <c r="F72" s="2236">
        <v>514.57624478000002</v>
      </c>
      <c r="G72" s="2236">
        <v>0</v>
      </c>
      <c r="H72" s="2236">
        <v>0</v>
      </c>
      <c r="I72" s="2236">
        <v>0</v>
      </c>
      <c r="J72" s="2236">
        <v>0</v>
      </c>
      <c r="K72" s="2236">
        <v>0</v>
      </c>
      <c r="L72" s="2236">
        <v>1034.0437433299999</v>
      </c>
      <c r="M72" s="2245">
        <v>1369.4898793100019</v>
      </c>
      <c r="N72" s="2044"/>
    </row>
    <row r="73" spans="1:14" hidden="1">
      <c r="A73" s="2019"/>
      <c r="B73" s="2037" t="s">
        <v>170</v>
      </c>
      <c r="C73" s="2554">
        <v>11878.201458229998</v>
      </c>
      <c r="D73" s="2236">
        <v>5162.5262223099999</v>
      </c>
      <c r="E73" s="2236">
        <v>4773.0987583099995</v>
      </c>
      <c r="F73" s="2236">
        <v>378.33896533999996</v>
      </c>
      <c r="G73" s="2236">
        <v>0</v>
      </c>
      <c r="H73" s="2236">
        <v>0</v>
      </c>
      <c r="I73" s="2236">
        <v>0</v>
      </c>
      <c r="J73" s="2236">
        <v>0</v>
      </c>
      <c r="K73" s="2236">
        <v>0</v>
      </c>
      <c r="L73" s="2236">
        <v>1031.5629497499999</v>
      </c>
      <c r="M73" s="2245">
        <v>532.67456251999829</v>
      </c>
      <c r="N73" s="2044"/>
    </row>
    <row r="74" spans="1:14" hidden="1">
      <c r="A74" s="2019"/>
      <c r="B74" s="2037" t="s">
        <v>171</v>
      </c>
      <c r="C74" s="2554">
        <v>14234.105437010001</v>
      </c>
      <c r="D74" s="2236">
        <v>6604.8701182100003</v>
      </c>
      <c r="E74" s="2236">
        <v>4799.9541249099993</v>
      </c>
      <c r="F74" s="2236">
        <v>453.57744960000002</v>
      </c>
      <c r="G74" s="2236">
        <v>0</v>
      </c>
      <c r="H74" s="2236">
        <v>0</v>
      </c>
      <c r="I74" s="2236">
        <v>0</v>
      </c>
      <c r="J74" s="2236">
        <v>0</v>
      </c>
      <c r="K74" s="2236">
        <v>0</v>
      </c>
      <c r="L74" s="2236">
        <v>1037.20829355</v>
      </c>
      <c r="M74" s="2245">
        <v>1338.4954507400016</v>
      </c>
      <c r="N74" s="2044"/>
    </row>
    <row r="75" spans="1:14" ht="18" customHeight="1">
      <c r="A75" s="2019"/>
      <c r="B75" s="2040">
        <v>2004</v>
      </c>
      <c r="C75" s="2554">
        <v>13013.212286899998</v>
      </c>
      <c r="D75" s="2236">
        <v>5479.1897699299998</v>
      </c>
      <c r="E75" s="2236">
        <v>4710.4294192899988</v>
      </c>
      <c r="F75" s="2236">
        <v>507.63272155999999</v>
      </c>
      <c r="G75" s="2236">
        <v>0</v>
      </c>
      <c r="H75" s="2236">
        <v>0</v>
      </c>
      <c r="I75" s="2236">
        <v>0</v>
      </c>
      <c r="J75" s="2236">
        <v>0</v>
      </c>
      <c r="K75" s="2236">
        <v>0</v>
      </c>
      <c r="L75" s="2236">
        <v>1081.09291431</v>
      </c>
      <c r="M75" s="2245">
        <v>1234.8674618099994</v>
      </c>
      <c r="N75" s="2044"/>
    </row>
    <row r="76" spans="1:14" ht="18" hidden="1" customHeight="1">
      <c r="A76" s="2019"/>
      <c r="B76" s="2026">
        <v>2005</v>
      </c>
      <c r="C76" s="2028"/>
      <c r="D76" s="2237"/>
      <c r="E76" s="2237"/>
      <c r="F76" s="2237"/>
      <c r="G76" s="2237"/>
      <c r="H76" s="2237"/>
      <c r="I76" s="2237"/>
      <c r="J76" s="2237"/>
      <c r="K76" s="2237"/>
      <c r="L76" s="2237"/>
      <c r="M76" s="2237"/>
      <c r="N76" s="2019"/>
    </row>
    <row r="77" spans="1:14" hidden="1">
      <c r="A77" s="2019"/>
      <c r="B77" s="2036" t="s">
        <v>161</v>
      </c>
      <c r="C77" s="2028">
        <v>12757.363874740002</v>
      </c>
      <c r="D77" s="2237">
        <v>5168.705065260001</v>
      </c>
      <c r="E77" s="2237">
        <v>4761.60575247</v>
      </c>
      <c r="F77" s="2237">
        <v>496.76829935000001</v>
      </c>
      <c r="G77" s="2237">
        <v>0</v>
      </c>
      <c r="H77" s="2237">
        <v>0</v>
      </c>
      <c r="I77" s="2237">
        <v>0</v>
      </c>
      <c r="J77" s="2237">
        <v>0</v>
      </c>
      <c r="K77" s="2237">
        <v>0</v>
      </c>
      <c r="L77" s="2237">
        <v>1088.10177391</v>
      </c>
      <c r="M77" s="2237">
        <v>1242.182983749999</v>
      </c>
      <c r="N77" s="2044"/>
    </row>
    <row r="78" spans="1:14" hidden="1">
      <c r="A78" s="2019"/>
      <c r="B78" s="2036" t="s">
        <v>162</v>
      </c>
      <c r="C78" s="2028">
        <v>12439.801646699998</v>
      </c>
      <c r="D78" s="2237">
        <v>5219.90805602</v>
      </c>
      <c r="E78" s="2237">
        <v>4738.955019</v>
      </c>
      <c r="F78" s="2237">
        <v>392.42339830000003</v>
      </c>
      <c r="G78" s="2237">
        <v>0</v>
      </c>
      <c r="H78" s="2237">
        <v>0</v>
      </c>
      <c r="I78" s="2237">
        <v>0</v>
      </c>
      <c r="J78" s="2237">
        <v>0</v>
      </c>
      <c r="K78" s="2237">
        <v>0</v>
      </c>
      <c r="L78" s="2237">
        <v>1082.8497591299999</v>
      </c>
      <c r="M78" s="2237">
        <v>1005.6654142499992</v>
      </c>
      <c r="N78" s="2044"/>
    </row>
    <row r="79" spans="1:14" hidden="1">
      <c r="A79" s="2019"/>
      <c r="B79" s="2036" t="s">
        <v>163</v>
      </c>
      <c r="C79" s="2028">
        <v>13290.285084390001</v>
      </c>
      <c r="D79" s="2237">
        <v>6098.1916171000003</v>
      </c>
      <c r="E79" s="2237">
        <v>3779.8030739999999</v>
      </c>
      <c r="F79" s="2237">
        <v>346.66767199000003</v>
      </c>
      <c r="G79" s="2237">
        <v>0</v>
      </c>
      <c r="H79" s="2237">
        <v>0</v>
      </c>
      <c r="I79" s="2237">
        <v>0</v>
      </c>
      <c r="J79" s="2237">
        <v>0</v>
      </c>
      <c r="K79" s="2237">
        <v>0</v>
      </c>
      <c r="L79" s="2237">
        <v>1110.0766963900001</v>
      </c>
      <c r="M79" s="2237">
        <v>1955.5460249099997</v>
      </c>
      <c r="N79" s="2044"/>
    </row>
    <row r="80" spans="1:14" hidden="1">
      <c r="A80" s="2019"/>
      <c r="B80" s="2036" t="s">
        <v>164</v>
      </c>
      <c r="C80" s="2028">
        <v>11561.659770610002</v>
      </c>
      <c r="D80" s="2237">
        <v>5175.6419875900001</v>
      </c>
      <c r="E80" s="2237">
        <v>3933.3811626400002</v>
      </c>
      <c r="F80" s="2237">
        <v>339.97459958999997</v>
      </c>
      <c r="G80" s="2237">
        <v>0</v>
      </c>
      <c r="H80" s="2237">
        <v>0</v>
      </c>
      <c r="I80" s="2237">
        <v>0</v>
      </c>
      <c r="J80" s="2237">
        <v>0</v>
      </c>
      <c r="K80" s="2237">
        <v>0</v>
      </c>
      <c r="L80" s="2237">
        <v>1108.0378932799999</v>
      </c>
      <c r="M80" s="2237">
        <v>1004.6241275100019</v>
      </c>
      <c r="N80" s="2044"/>
    </row>
    <row r="81" spans="1:14" hidden="1">
      <c r="A81" s="2019"/>
      <c r="B81" s="2036" t="s">
        <v>165</v>
      </c>
      <c r="C81" s="2028">
        <v>12628.338465860003</v>
      </c>
      <c r="D81" s="2237">
        <v>5663.5457831700005</v>
      </c>
      <c r="E81" s="2237">
        <v>4876.4426826800009</v>
      </c>
      <c r="F81" s="2237">
        <v>368.30194768000001</v>
      </c>
      <c r="G81" s="2237">
        <v>0</v>
      </c>
      <c r="H81" s="2237">
        <v>0</v>
      </c>
      <c r="I81" s="2237">
        <v>0</v>
      </c>
      <c r="J81" s="2237">
        <v>0</v>
      </c>
      <c r="K81" s="2237">
        <v>0</v>
      </c>
      <c r="L81" s="2237">
        <v>1112.5399641399997</v>
      </c>
      <c r="M81" s="2237">
        <v>607.50808819000122</v>
      </c>
      <c r="N81" s="2044"/>
    </row>
    <row r="82" spans="1:14" hidden="1">
      <c r="A82" s="2019"/>
      <c r="B82" s="2036" t="s">
        <v>166</v>
      </c>
      <c r="C82" s="2028">
        <v>11901.684355970001</v>
      </c>
      <c r="D82" s="2237">
        <v>5568.2280416199992</v>
      </c>
      <c r="E82" s="2237">
        <v>4768.5653249400002</v>
      </c>
      <c r="F82" s="2237">
        <v>336.60116733999996</v>
      </c>
      <c r="G82" s="2237">
        <v>0</v>
      </c>
      <c r="H82" s="2237">
        <v>0</v>
      </c>
      <c r="I82" s="2237">
        <v>0</v>
      </c>
      <c r="J82" s="2237">
        <v>0</v>
      </c>
      <c r="K82" s="2237">
        <v>0</v>
      </c>
      <c r="L82" s="2237">
        <v>1150.5508594800001</v>
      </c>
      <c r="M82" s="2237">
        <v>77.738962590001393</v>
      </c>
      <c r="N82" s="2045"/>
    </row>
    <row r="83" spans="1:14" ht="15.75" hidden="1" customHeight="1">
      <c r="A83" s="2019"/>
      <c r="B83" s="2036" t="s">
        <v>167</v>
      </c>
      <c r="C83" s="2028">
        <v>12709.798774499999</v>
      </c>
      <c r="D83" s="2237">
        <v>5749.9593031700006</v>
      </c>
      <c r="E83" s="2237">
        <v>4816.1763637700014</v>
      </c>
      <c r="F83" s="2237">
        <v>341.25305044999999</v>
      </c>
      <c r="G83" s="2237">
        <v>0</v>
      </c>
      <c r="H83" s="2237">
        <v>0</v>
      </c>
      <c r="I83" s="2237">
        <v>0</v>
      </c>
      <c r="J83" s="2237">
        <v>0</v>
      </c>
      <c r="K83" s="2237">
        <v>0</v>
      </c>
      <c r="L83" s="2237">
        <v>1140.6688768700001</v>
      </c>
      <c r="M83" s="2237">
        <v>661.74118023999836</v>
      </c>
      <c r="N83" s="2045"/>
    </row>
    <row r="84" spans="1:14" hidden="1">
      <c r="A84" s="2019"/>
      <c r="B84" s="2036" t="s">
        <v>168</v>
      </c>
      <c r="C84" s="2028">
        <v>11875.456671870004</v>
      </c>
      <c r="D84" s="2237">
        <v>5286.2215586800003</v>
      </c>
      <c r="E84" s="2237">
        <v>4355.6475413400003</v>
      </c>
      <c r="F84" s="2237">
        <v>289.51913523000002</v>
      </c>
      <c r="G84" s="2237">
        <v>0</v>
      </c>
      <c r="H84" s="2237">
        <v>0</v>
      </c>
      <c r="I84" s="2237">
        <v>0</v>
      </c>
      <c r="J84" s="2237">
        <v>0</v>
      </c>
      <c r="K84" s="2237">
        <v>0</v>
      </c>
      <c r="L84" s="2237">
        <v>1143.2171289699997</v>
      </c>
      <c r="M84" s="2237">
        <v>800.85130765000213</v>
      </c>
      <c r="N84" s="2045"/>
    </row>
    <row r="85" spans="1:14" ht="21" hidden="1" customHeight="1">
      <c r="A85" s="2019"/>
      <c r="B85" s="2036" t="s">
        <v>169</v>
      </c>
      <c r="C85" s="2028">
        <v>12357.719650589999</v>
      </c>
      <c r="D85" s="2237">
        <v>5126.0646066299996</v>
      </c>
      <c r="E85" s="2237">
        <v>4419.6532465199998</v>
      </c>
      <c r="F85" s="2237">
        <v>445.37478312000002</v>
      </c>
      <c r="G85" s="2237">
        <v>0</v>
      </c>
      <c r="H85" s="2237">
        <v>0</v>
      </c>
      <c r="I85" s="2237">
        <v>0</v>
      </c>
      <c r="J85" s="2237">
        <v>0</v>
      </c>
      <c r="K85" s="2237">
        <v>0</v>
      </c>
      <c r="L85" s="2237">
        <v>1165.6341317899999</v>
      </c>
      <c r="M85" s="2237">
        <v>1200.9928825299994</v>
      </c>
      <c r="N85" s="2045"/>
    </row>
    <row r="86" spans="1:14" hidden="1">
      <c r="A86" s="2019"/>
      <c r="B86" s="2036" t="s">
        <v>170</v>
      </c>
      <c r="C86" s="2028">
        <v>12228.608196559999</v>
      </c>
      <c r="D86" s="2237">
        <v>5946.8253383200008</v>
      </c>
      <c r="E86" s="2237">
        <v>4007.5183312399995</v>
      </c>
      <c r="F86" s="2237">
        <v>417.80866056999997</v>
      </c>
      <c r="G86" s="2237">
        <v>0</v>
      </c>
      <c r="H86" s="2237">
        <v>0</v>
      </c>
      <c r="I86" s="2237">
        <v>0</v>
      </c>
      <c r="J86" s="2237">
        <v>0</v>
      </c>
      <c r="K86" s="2237">
        <v>0</v>
      </c>
      <c r="L86" s="2237">
        <v>1162.8900380799998</v>
      </c>
      <c r="M86" s="2237">
        <v>693.56582834999972</v>
      </c>
      <c r="N86" s="2045"/>
    </row>
    <row r="87" spans="1:14" hidden="1">
      <c r="A87" s="2019"/>
      <c r="B87" s="2036" t="s">
        <v>171</v>
      </c>
      <c r="C87" s="2028">
        <v>14517.05491648</v>
      </c>
      <c r="D87" s="2237">
        <v>7037.1910674399996</v>
      </c>
      <c r="E87" s="2237">
        <v>5604.4861485299989</v>
      </c>
      <c r="F87" s="2237">
        <v>374.06522001999997</v>
      </c>
      <c r="G87" s="2237">
        <v>0</v>
      </c>
      <c r="H87" s="2237">
        <v>0</v>
      </c>
      <c r="I87" s="2237">
        <v>0</v>
      </c>
      <c r="J87" s="2237">
        <v>0</v>
      </c>
      <c r="K87" s="2237">
        <v>0</v>
      </c>
      <c r="L87" s="2237">
        <v>1169.1714758699998</v>
      </c>
      <c r="M87" s="2237">
        <v>332.1410046200017</v>
      </c>
      <c r="N87" s="2045"/>
    </row>
    <row r="88" spans="1:14">
      <c r="A88" s="2019"/>
      <c r="B88" s="2026">
        <v>2005</v>
      </c>
      <c r="C88" s="2028">
        <v>14404.538304690002</v>
      </c>
      <c r="D88" s="2237">
        <v>6373.6620434900005</v>
      </c>
      <c r="E88" s="2237">
        <v>5414.7916394700005</v>
      </c>
      <c r="F88" s="2237">
        <v>348.58039169</v>
      </c>
      <c r="G88" s="2237">
        <v>0</v>
      </c>
      <c r="H88" s="2237">
        <v>0</v>
      </c>
      <c r="I88" s="2237">
        <v>0</v>
      </c>
      <c r="J88" s="2237">
        <v>0</v>
      </c>
      <c r="K88" s="2237">
        <v>0</v>
      </c>
      <c r="L88" s="2237">
        <v>1192.4873324600001</v>
      </c>
      <c r="M88" s="2237">
        <v>1075.0168975800025</v>
      </c>
      <c r="N88" s="2045"/>
    </row>
    <row r="89" spans="1:14" hidden="1">
      <c r="A89" s="2019"/>
      <c r="B89" s="2026">
        <v>2006</v>
      </c>
      <c r="C89" s="2028"/>
      <c r="D89" s="2237"/>
      <c r="E89" s="2237"/>
      <c r="F89" s="2237"/>
      <c r="G89" s="2237"/>
      <c r="H89" s="2237"/>
      <c r="I89" s="2237"/>
      <c r="J89" s="2237"/>
      <c r="K89" s="2237"/>
      <c r="L89" s="2237"/>
      <c r="M89" s="2237"/>
      <c r="N89" s="2045"/>
    </row>
    <row r="90" spans="1:14" hidden="1">
      <c r="A90" s="2019"/>
      <c r="B90" s="2036" t="s">
        <v>161</v>
      </c>
      <c r="C90" s="2028">
        <v>15131.993817989996</v>
      </c>
      <c r="D90" s="2237">
        <v>5773.6020403099992</v>
      </c>
      <c r="E90" s="2237">
        <v>6482.5828840099994</v>
      </c>
      <c r="F90" s="2237">
        <v>454.89598104999999</v>
      </c>
      <c r="G90" s="2237">
        <v>0</v>
      </c>
      <c r="H90" s="2237">
        <v>0</v>
      </c>
      <c r="I90" s="2237">
        <v>0</v>
      </c>
      <c r="J90" s="2237">
        <v>0</v>
      </c>
      <c r="K90" s="2237">
        <v>0</v>
      </c>
      <c r="L90" s="2237">
        <v>1150.1412754999999</v>
      </c>
      <c r="M90" s="2237">
        <v>1270.7716371199986</v>
      </c>
      <c r="N90" s="2045"/>
    </row>
    <row r="91" spans="1:14" hidden="1">
      <c r="A91" s="2019"/>
      <c r="B91" s="2036" t="s">
        <v>162</v>
      </c>
      <c r="C91" s="2028">
        <v>14636.507212480003</v>
      </c>
      <c r="D91" s="2237">
        <v>5714.7174433</v>
      </c>
      <c r="E91" s="2237">
        <v>6510.3769499400005</v>
      </c>
      <c r="F91" s="2237">
        <v>460.60800905000002</v>
      </c>
      <c r="G91" s="2237">
        <v>0</v>
      </c>
      <c r="H91" s="2237">
        <v>0</v>
      </c>
      <c r="I91" s="2237">
        <v>0</v>
      </c>
      <c r="J91" s="2237">
        <v>0</v>
      </c>
      <c r="K91" s="2237">
        <v>0</v>
      </c>
      <c r="L91" s="2237">
        <v>1141.9460228999999</v>
      </c>
      <c r="M91" s="2237">
        <v>808.85878729000251</v>
      </c>
      <c r="N91" s="2045"/>
    </row>
    <row r="92" spans="1:14" hidden="1">
      <c r="A92" s="2019"/>
      <c r="B92" s="2036" t="s">
        <v>163</v>
      </c>
      <c r="C92" s="2028">
        <v>15527.334001230001</v>
      </c>
      <c r="D92" s="2237">
        <v>6436.1005046500004</v>
      </c>
      <c r="E92" s="2237">
        <v>6243.9759162399996</v>
      </c>
      <c r="F92" s="2237">
        <v>454.01712941000005</v>
      </c>
      <c r="G92" s="2237">
        <v>0</v>
      </c>
      <c r="H92" s="2237">
        <v>0</v>
      </c>
      <c r="I92" s="2237">
        <v>0</v>
      </c>
      <c r="J92" s="2237">
        <v>0</v>
      </c>
      <c r="K92" s="2237">
        <v>0</v>
      </c>
      <c r="L92" s="2237">
        <v>1188.94079728</v>
      </c>
      <c r="M92" s="2237">
        <v>1204.2996536500013</v>
      </c>
      <c r="N92" s="2045"/>
    </row>
    <row r="93" spans="1:14" hidden="1">
      <c r="A93" s="2019"/>
      <c r="B93" s="2036" t="s">
        <v>164</v>
      </c>
      <c r="C93" s="2028">
        <v>17043.600331390004</v>
      </c>
      <c r="D93" s="2237">
        <v>7752.8984706199999</v>
      </c>
      <c r="E93" s="2237">
        <v>7083.8775517199992</v>
      </c>
      <c r="F93" s="2237">
        <v>464.94163811999999</v>
      </c>
      <c r="G93" s="2237">
        <v>0</v>
      </c>
      <c r="H93" s="2237">
        <v>0</v>
      </c>
      <c r="I93" s="2237">
        <v>0</v>
      </c>
      <c r="J93" s="2237">
        <v>0</v>
      </c>
      <c r="K93" s="2237">
        <v>0</v>
      </c>
      <c r="L93" s="2237">
        <v>1187.9038364599999</v>
      </c>
      <c r="M93" s="2237">
        <v>553.97883447000277</v>
      </c>
      <c r="N93" s="2045"/>
    </row>
    <row r="94" spans="1:14" hidden="1">
      <c r="A94" s="2019"/>
      <c r="B94" s="2036" t="s">
        <v>165</v>
      </c>
      <c r="C94" s="2028">
        <v>15399.073364670001</v>
      </c>
      <c r="D94" s="2237">
        <v>5918.9001114300008</v>
      </c>
      <c r="E94" s="2237">
        <v>6917.7242501200008</v>
      </c>
      <c r="F94" s="2237">
        <v>414.52652898000002</v>
      </c>
      <c r="G94" s="2237">
        <v>0</v>
      </c>
      <c r="H94" s="2237">
        <v>0</v>
      </c>
      <c r="I94" s="2237">
        <v>0</v>
      </c>
      <c r="J94" s="2237">
        <v>0</v>
      </c>
      <c r="K94" s="2237">
        <v>0</v>
      </c>
      <c r="L94" s="2237">
        <v>1189.8573347400002</v>
      </c>
      <c r="M94" s="2237">
        <v>958.06513939999786</v>
      </c>
      <c r="N94" s="2045"/>
    </row>
    <row r="95" spans="1:14" hidden="1">
      <c r="A95" s="2019"/>
      <c r="B95" s="2036" t="s">
        <v>166</v>
      </c>
      <c r="C95" s="2028">
        <v>15666.83168112</v>
      </c>
      <c r="D95" s="2237">
        <v>6427.1475355299999</v>
      </c>
      <c r="E95" s="2237">
        <v>6593.861427159999</v>
      </c>
      <c r="F95" s="2237">
        <v>457.52513525000001</v>
      </c>
      <c r="G95" s="2237">
        <v>0</v>
      </c>
      <c r="H95" s="2237">
        <v>0</v>
      </c>
      <c r="I95" s="2237">
        <v>0</v>
      </c>
      <c r="J95" s="2237">
        <v>0</v>
      </c>
      <c r="K95" s="2237">
        <v>0</v>
      </c>
      <c r="L95" s="2237">
        <v>1224.45951599</v>
      </c>
      <c r="M95" s="2237">
        <v>963.83806719000131</v>
      </c>
      <c r="N95" s="2045"/>
    </row>
    <row r="96" spans="1:14" hidden="1">
      <c r="A96" s="2019"/>
      <c r="B96" s="2036" t="s">
        <v>167</v>
      </c>
      <c r="C96" s="2028">
        <v>15670.045970539997</v>
      </c>
      <c r="D96" s="2237">
        <v>6438.7530676800006</v>
      </c>
      <c r="E96" s="2237">
        <v>6135.2209473100002</v>
      </c>
      <c r="F96" s="2237">
        <v>482.09613770999999</v>
      </c>
      <c r="G96" s="2237">
        <v>0</v>
      </c>
      <c r="H96" s="2237">
        <v>0</v>
      </c>
      <c r="I96" s="2237">
        <v>0</v>
      </c>
      <c r="J96" s="2237">
        <v>0</v>
      </c>
      <c r="K96" s="2237">
        <v>0</v>
      </c>
      <c r="L96" s="2237">
        <v>1227.461969</v>
      </c>
      <c r="M96" s="2237">
        <v>1386.5138488399971</v>
      </c>
      <c r="N96" s="2045"/>
    </row>
    <row r="97" spans="1:18" ht="18" hidden="1" customHeight="1">
      <c r="A97" s="2019"/>
      <c r="B97" s="2036" t="s">
        <v>168</v>
      </c>
      <c r="C97" s="2028">
        <v>15564.72577778</v>
      </c>
      <c r="D97" s="2237">
        <v>6163.2540168899995</v>
      </c>
      <c r="E97" s="2237">
        <v>5841.72132212</v>
      </c>
      <c r="F97" s="2237">
        <v>450.80796942000001</v>
      </c>
      <c r="G97" s="2237">
        <v>0</v>
      </c>
      <c r="H97" s="2237">
        <v>0</v>
      </c>
      <c r="I97" s="2237">
        <v>0</v>
      </c>
      <c r="J97" s="2237">
        <v>0</v>
      </c>
      <c r="K97" s="2237">
        <v>0</v>
      </c>
      <c r="L97" s="2237">
        <v>1226.9395358600002</v>
      </c>
      <c r="M97" s="2237">
        <v>1882.0029334900009</v>
      </c>
      <c r="N97" s="2045"/>
    </row>
    <row r="98" spans="1:18" hidden="1">
      <c r="A98" s="2019"/>
      <c r="B98" s="2036" t="s">
        <v>169</v>
      </c>
      <c r="C98" s="2028">
        <v>15439.150632069999</v>
      </c>
      <c r="D98" s="2237">
        <v>6166.12730096</v>
      </c>
      <c r="E98" s="2237">
        <v>5602.8677419999995</v>
      </c>
      <c r="F98" s="2237">
        <v>505.81116657000001</v>
      </c>
      <c r="G98" s="2237">
        <v>0</v>
      </c>
      <c r="H98" s="2237">
        <v>0</v>
      </c>
      <c r="I98" s="2237">
        <v>0</v>
      </c>
      <c r="J98" s="2237">
        <v>0</v>
      </c>
      <c r="K98" s="2237">
        <v>0</v>
      </c>
      <c r="L98" s="2237">
        <v>1277.5349502899999</v>
      </c>
      <c r="M98" s="2237">
        <v>1886.8094722499991</v>
      </c>
      <c r="N98" s="2045"/>
    </row>
    <row r="99" spans="1:18" hidden="1">
      <c r="A99" s="2019"/>
      <c r="B99" s="2036" t="s">
        <v>170</v>
      </c>
      <c r="C99" s="2028">
        <v>15621.128095739996</v>
      </c>
      <c r="D99" s="2237">
        <v>6599.840270390001</v>
      </c>
      <c r="E99" s="2237">
        <v>5723.18887352</v>
      </c>
      <c r="F99" s="2237">
        <v>522.14176785999996</v>
      </c>
      <c r="G99" s="2237">
        <v>0</v>
      </c>
      <c r="H99" s="2237">
        <v>0</v>
      </c>
      <c r="I99" s="2237">
        <v>0</v>
      </c>
      <c r="J99" s="2237">
        <v>0</v>
      </c>
      <c r="K99" s="2237">
        <v>0</v>
      </c>
      <c r="L99" s="2237">
        <v>1281.1635335799999</v>
      </c>
      <c r="M99" s="2237">
        <v>1494.7936503899964</v>
      </c>
      <c r="N99" s="2045"/>
      <c r="R99" s="2046"/>
    </row>
    <row r="100" spans="1:18" hidden="1">
      <c r="A100" s="2019"/>
      <c r="B100" s="2036" t="s">
        <v>171</v>
      </c>
      <c r="C100" s="2028">
        <v>16343.392542240003</v>
      </c>
      <c r="D100" s="2237">
        <v>7354.820110300001</v>
      </c>
      <c r="E100" s="2237">
        <v>5313.3728295300007</v>
      </c>
      <c r="F100" s="2237">
        <v>460.77587699000003</v>
      </c>
      <c r="G100" s="2237">
        <v>0</v>
      </c>
      <c r="H100" s="2237">
        <v>0</v>
      </c>
      <c r="I100" s="2237">
        <v>0</v>
      </c>
      <c r="J100" s="2237">
        <v>0</v>
      </c>
      <c r="K100" s="2237">
        <v>0</v>
      </c>
      <c r="L100" s="2237">
        <v>1290.0624320499999</v>
      </c>
      <c r="M100" s="2237">
        <v>1924.3612933700024</v>
      </c>
      <c r="N100" s="2045"/>
    </row>
    <row r="101" spans="1:18" ht="18" customHeight="1">
      <c r="A101" s="2019"/>
      <c r="B101" s="2026">
        <v>2006</v>
      </c>
      <c r="C101" s="2028">
        <v>16930.929380460002</v>
      </c>
      <c r="D101" s="2237">
        <v>7671.2934605500004</v>
      </c>
      <c r="E101" s="2237">
        <v>5366.2910123800002</v>
      </c>
      <c r="F101" s="2237">
        <v>411.40625156999999</v>
      </c>
      <c r="G101" s="2237">
        <v>0</v>
      </c>
      <c r="H101" s="2237">
        <v>0</v>
      </c>
      <c r="I101" s="2237">
        <v>0</v>
      </c>
      <c r="J101" s="2237">
        <v>0</v>
      </c>
      <c r="K101" s="2237">
        <v>0</v>
      </c>
      <c r="L101" s="2237">
        <v>1353.59492828</v>
      </c>
      <c r="M101" s="2237">
        <v>2128.3437276800032</v>
      </c>
      <c r="N101" s="2045"/>
    </row>
    <row r="102" spans="1:18" hidden="1">
      <c r="A102" s="2019"/>
      <c r="B102" s="2026">
        <v>2007</v>
      </c>
      <c r="C102" s="2028"/>
      <c r="D102" s="2237"/>
      <c r="E102" s="2237"/>
      <c r="F102" s="2237"/>
      <c r="G102" s="2237"/>
      <c r="H102" s="2237"/>
      <c r="I102" s="2237"/>
      <c r="J102" s="2237"/>
      <c r="K102" s="2237"/>
      <c r="L102" s="2237"/>
      <c r="M102" s="2237"/>
      <c r="N102" s="2045"/>
    </row>
    <row r="103" spans="1:18" hidden="1">
      <c r="A103" s="2019"/>
      <c r="B103" s="2036" t="s">
        <v>161</v>
      </c>
      <c r="C103" s="2028">
        <v>16374.365567269997</v>
      </c>
      <c r="D103" s="2237">
        <v>7218.8787445100006</v>
      </c>
      <c r="E103" s="2237">
        <v>5442.1080068499996</v>
      </c>
      <c r="F103" s="2237">
        <v>923.52041814999995</v>
      </c>
      <c r="G103" s="2237">
        <v>0</v>
      </c>
      <c r="H103" s="2237">
        <v>0</v>
      </c>
      <c r="I103" s="2237">
        <v>0</v>
      </c>
      <c r="J103" s="2237">
        <v>0</v>
      </c>
      <c r="K103" s="2237">
        <v>0</v>
      </c>
      <c r="L103" s="2237">
        <v>1357.8554181100001</v>
      </c>
      <c r="M103" s="2237">
        <v>1432.0029796499966</v>
      </c>
      <c r="N103" s="2045"/>
    </row>
    <row r="104" spans="1:18" hidden="1">
      <c r="A104" s="2019"/>
      <c r="B104" s="2036" t="s">
        <v>162</v>
      </c>
      <c r="C104" s="2028">
        <v>16070.936857759998</v>
      </c>
      <c r="D104" s="2237">
        <v>6620.2239147000009</v>
      </c>
      <c r="E104" s="2237">
        <v>5486.58182846</v>
      </c>
      <c r="F104" s="2237">
        <v>823.65972621000003</v>
      </c>
      <c r="G104" s="2237">
        <v>0</v>
      </c>
      <c r="H104" s="2237">
        <v>0</v>
      </c>
      <c r="I104" s="2237">
        <v>0</v>
      </c>
      <c r="J104" s="2237">
        <v>0</v>
      </c>
      <c r="K104" s="2237">
        <v>0</v>
      </c>
      <c r="L104" s="2237">
        <v>1350.8961580299999</v>
      </c>
      <c r="M104" s="2237">
        <v>1789.5752303599966</v>
      </c>
      <c r="N104" s="2045"/>
    </row>
    <row r="105" spans="1:18" hidden="1">
      <c r="A105" s="2019"/>
      <c r="B105" s="2036" t="s">
        <v>163</v>
      </c>
      <c r="C105" s="2028">
        <v>15555.26076668</v>
      </c>
      <c r="D105" s="2237">
        <v>7251.5129355999998</v>
      </c>
      <c r="E105" s="2237">
        <v>5072.1832037900003</v>
      </c>
      <c r="F105" s="2237">
        <v>791.05462403999991</v>
      </c>
      <c r="G105" s="2237">
        <v>0</v>
      </c>
      <c r="H105" s="2237">
        <v>0</v>
      </c>
      <c r="I105" s="2237">
        <v>0</v>
      </c>
      <c r="J105" s="2237">
        <v>0</v>
      </c>
      <c r="K105" s="2237">
        <v>0</v>
      </c>
      <c r="L105" s="2237">
        <v>1368.71925588</v>
      </c>
      <c r="M105" s="2237">
        <v>1071.7907473699997</v>
      </c>
      <c r="N105" s="2045"/>
    </row>
    <row r="106" spans="1:18" hidden="1">
      <c r="A106" s="2019"/>
      <c r="B106" s="2036" t="s">
        <v>164</v>
      </c>
      <c r="C106" s="2028">
        <v>17071.696832500002</v>
      </c>
      <c r="D106" s="2237">
        <v>7435.0505594200004</v>
      </c>
      <c r="E106" s="2237">
        <v>4987.1788219200007</v>
      </c>
      <c r="F106" s="2237">
        <v>835.06660141999998</v>
      </c>
      <c r="G106" s="2237">
        <v>0</v>
      </c>
      <c r="H106" s="2237">
        <v>0</v>
      </c>
      <c r="I106" s="2237">
        <v>0</v>
      </c>
      <c r="J106" s="2237">
        <v>0</v>
      </c>
      <c r="K106" s="2237">
        <v>0</v>
      </c>
      <c r="L106" s="2237">
        <v>1357.04325627</v>
      </c>
      <c r="M106" s="2237">
        <v>2457.3575934700002</v>
      </c>
      <c r="N106" s="2045"/>
    </row>
    <row r="107" spans="1:18" hidden="1">
      <c r="A107" s="2019"/>
      <c r="B107" s="2036" t="s">
        <v>165</v>
      </c>
      <c r="C107" s="2028">
        <v>16356.502570439998</v>
      </c>
      <c r="D107" s="2237">
        <v>8305.9598713199994</v>
      </c>
      <c r="E107" s="2237">
        <v>4255.33681368</v>
      </c>
      <c r="F107" s="2237">
        <v>922.48310704999994</v>
      </c>
      <c r="G107" s="2237">
        <v>0</v>
      </c>
      <c r="H107" s="2237">
        <v>0</v>
      </c>
      <c r="I107" s="2237">
        <v>0</v>
      </c>
      <c r="J107" s="2237">
        <v>0</v>
      </c>
      <c r="K107" s="2237">
        <v>0</v>
      </c>
      <c r="L107" s="2237">
        <v>1358.3211553799999</v>
      </c>
      <c r="M107" s="2237">
        <v>1514.4016230099987</v>
      </c>
      <c r="N107" s="2045"/>
    </row>
    <row r="108" spans="1:18" hidden="1">
      <c r="A108" s="2019"/>
      <c r="B108" s="2036" t="s">
        <v>166</v>
      </c>
      <c r="C108" s="2028">
        <v>16870.865862860002</v>
      </c>
      <c r="D108" s="2237">
        <v>8451.9713529799992</v>
      </c>
      <c r="E108" s="2237">
        <v>4179.3938140100008</v>
      </c>
      <c r="F108" s="2237">
        <v>1008.935952</v>
      </c>
      <c r="G108" s="2237">
        <v>0</v>
      </c>
      <c r="H108" s="2237">
        <v>0</v>
      </c>
      <c r="I108" s="2237">
        <v>0</v>
      </c>
      <c r="J108" s="2237">
        <v>0</v>
      </c>
      <c r="K108" s="2237">
        <v>0</v>
      </c>
      <c r="L108" s="2237">
        <v>1407.10798187</v>
      </c>
      <c r="M108" s="2237">
        <v>1823.4567620000034</v>
      </c>
      <c r="N108" s="2045"/>
    </row>
    <row r="109" spans="1:18" hidden="1">
      <c r="A109" s="2019"/>
      <c r="B109" s="2036" t="s">
        <v>167</v>
      </c>
      <c r="C109" s="2028">
        <v>17194.807082079999</v>
      </c>
      <c r="D109" s="2237">
        <v>8653.8993262400018</v>
      </c>
      <c r="E109" s="2237">
        <v>4557.9628102299994</v>
      </c>
      <c r="F109" s="2237">
        <v>955.71637753999994</v>
      </c>
      <c r="G109" s="2237">
        <v>0</v>
      </c>
      <c r="H109" s="2237">
        <v>0</v>
      </c>
      <c r="I109" s="2237">
        <v>0</v>
      </c>
      <c r="J109" s="2237">
        <v>0</v>
      </c>
      <c r="K109" s="2237">
        <v>0</v>
      </c>
      <c r="L109" s="2237">
        <v>1406.9472187399997</v>
      </c>
      <c r="M109" s="2237">
        <v>1620.2813493299982</v>
      </c>
      <c r="N109" s="2045"/>
    </row>
    <row r="110" spans="1:18" hidden="1">
      <c r="A110" s="2019"/>
      <c r="B110" s="2036" t="s">
        <v>168</v>
      </c>
      <c r="C110" s="2028">
        <v>17609.348792969999</v>
      </c>
      <c r="D110" s="2237">
        <v>9035.2789996299998</v>
      </c>
      <c r="E110" s="2237">
        <v>4674.8195551499994</v>
      </c>
      <c r="F110" s="2237">
        <v>786.13164372000006</v>
      </c>
      <c r="G110" s="2237">
        <v>0</v>
      </c>
      <c r="H110" s="2237">
        <v>0</v>
      </c>
      <c r="I110" s="2237">
        <v>0</v>
      </c>
      <c r="J110" s="2237">
        <v>0</v>
      </c>
      <c r="K110" s="2237">
        <v>0</v>
      </c>
      <c r="L110" s="2237">
        <v>1414.9956886699999</v>
      </c>
      <c r="M110" s="2237">
        <v>1698.122905799999</v>
      </c>
      <c r="N110" s="2045"/>
    </row>
    <row r="111" spans="1:18" hidden="1">
      <c r="A111" s="2019"/>
      <c r="B111" s="2036" t="s">
        <v>169</v>
      </c>
      <c r="C111" s="2028">
        <v>17544.664076780002</v>
      </c>
      <c r="D111" s="2237">
        <v>11196.560250469998</v>
      </c>
      <c r="E111" s="2237">
        <v>4494.6216743199993</v>
      </c>
      <c r="F111" s="2237">
        <v>730.53916373000004</v>
      </c>
      <c r="G111" s="2237">
        <v>0</v>
      </c>
      <c r="H111" s="2237">
        <v>0</v>
      </c>
      <c r="I111" s="2237">
        <v>0</v>
      </c>
      <c r="J111" s="2237">
        <v>0</v>
      </c>
      <c r="K111" s="2237">
        <v>0</v>
      </c>
      <c r="L111" s="2237">
        <v>1478.9058069499999</v>
      </c>
      <c r="M111" s="2237">
        <v>-355.96281868999722</v>
      </c>
      <c r="N111" s="2045"/>
    </row>
    <row r="112" spans="1:18" hidden="1">
      <c r="A112" s="2019"/>
      <c r="B112" s="2036" t="s">
        <v>170</v>
      </c>
      <c r="C112" s="2028">
        <v>18470.29805234</v>
      </c>
      <c r="D112" s="2237">
        <v>12429.25235509</v>
      </c>
      <c r="E112" s="2237">
        <v>4548.4228130999991</v>
      </c>
      <c r="F112" s="2237">
        <v>722.25713911000003</v>
      </c>
      <c r="G112" s="2237">
        <v>0</v>
      </c>
      <c r="H112" s="2237">
        <v>0</v>
      </c>
      <c r="I112" s="2237">
        <v>0</v>
      </c>
      <c r="J112" s="2237">
        <v>0</v>
      </c>
      <c r="K112" s="2237">
        <v>0</v>
      </c>
      <c r="L112" s="2237">
        <v>1490.0402317399999</v>
      </c>
      <c r="M112" s="2237">
        <v>-719.67448669999794</v>
      </c>
      <c r="N112" s="2045"/>
    </row>
    <row r="113" spans="1:16" hidden="1">
      <c r="A113" s="2019"/>
      <c r="B113" s="2036" t="s">
        <v>171</v>
      </c>
      <c r="C113" s="2028">
        <v>19631.509715759999</v>
      </c>
      <c r="D113" s="2237">
        <v>12702.303924690001</v>
      </c>
      <c r="E113" s="2237">
        <v>4718.5574659999993</v>
      </c>
      <c r="F113" s="2237">
        <v>652.06920762000004</v>
      </c>
      <c r="G113" s="2237">
        <v>0</v>
      </c>
      <c r="H113" s="2237">
        <v>0</v>
      </c>
      <c r="I113" s="2237">
        <v>0</v>
      </c>
      <c r="J113" s="2237">
        <v>0</v>
      </c>
      <c r="K113" s="2237">
        <v>0</v>
      </c>
      <c r="L113" s="2237">
        <v>1497.5373522499999</v>
      </c>
      <c r="M113" s="2237">
        <v>61.041765199999645</v>
      </c>
      <c r="N113" s="2045"/>
    </row>
    <row r="114" spans="1:16" ht="18" customHeight="1">
      <c r="A114" s="2019"/>
      <c r="B114" s="2026">
        <v>2007</v>
      </c>
      <c r="C114" s="2028">
        <v>18431.21765934</v>
      </c>
      <c r="D114" s="2237">
        <v>11717.985506969999</v>
      </c>
      <c r="E114" s="2237">
        <v>4736.6750662799996</v>
      </c>
      <c r="F114" s="2237">
        <v>599.9994068200001</v>
      </c>
      <c r="G114" s="2237">
        <v>0</v>
      </c>
      <c r="H114" s="2237">
        <v>0</v>
      </c>
      <c r="I114" s="2237">
        <v>0</v>
      </c>
      <c r="J114" s="2237">
        <v>0</v>
      </c>
      <c r="K114" s="2237">
        <v>0</v>
      </c>
      <c r="L114" s="2237">
        <v>1456.0447003299998</v>
      </c>
      <c r="M114" s="2237">
        <v>-79.487021059998369</v>
      </c>
      <c r="N114" s="2045"/>
    </row>
    <row r="115" spans="1:16" hidden="1">
      <c r="A115" s="2019"/>
      <c r="B115" s="2026">
        <v>2008</v>
      </c>
      <c r="C115" s="2028"/>
      <c r="D115" s="2237"/>
      <c r="E115" s="2237"/>
      <c r="F115" s="2237"/>
      <c r="G115" s="2237"/>
      <c r="H115" s="2237"/>
      <c r="I115" s="2237"/>
      <c r="J115" s="2237"/>
      <c r="K115" s="2237"/>
      <c r="L115" s="2237"/>
      <c r="M115" s="2237"/>
      <c r="N115" s="2045"/>
    </row>
    <row r="116" spans="1:16" hidden="1">
      <c r="A116" s="2019"/>
      <c r="B116" s="2036" t="s">
        <v>214</v>
      </c>
      <c r="C116" s="2028">
        <v>15973.660126949999</v>
      </c>
      <c r="D116" s="2237">
        <v>9135.4248747600013</v>
      </c>
      <c r="E116" s="2237">
        <v>4809.2400943800003</v>
      </c>
      <c r="F116" s="2237">
        <v>609.26947611000003</v>
      </c>
      <c r="G116" s="2237">
        <v>0</v>
      </c>
      <c r="H116" s="2237">
        <v>0</v>
      </c>
      <c r="I116" s="2237">
        <v>0</v>
      </c>
      <c r="J116" s="2237">
        <v>0</v>
      </c>
      <c r="K116" s="2237">
        <v>0</v>
      </c>
      <c r="L116" s="2237">
        <v>1339.0058583800001</v>
      </c>
      <c r="M116" s="2237">
        <v>80.719823319997886</v>
      </c>
      <c r="N116" s="2045">
        <f>C116-'[14]BOB Assets'!C148</f>
        <v>0</v>
      </c>
    </row>
    <row r="117" spans="1:16" hidden="1">
      <c r="A117" s="2019"/>
      <c r="B117" s="2036" t="s">
        <v>162</v>
      </c>
      <c r="C117" s="2028">
        <v>18077.497348139997</v>
      </c>
      <c r="D117" s="2237">
        <v>9610.1893311999993</v>
      </c>
      <c r="E117" s="2237">
        <v>5612.0344173599997</v>
      </c>
      <c r="F117" s="2237">
        <v>686.25415011000007</v>
      </c>
      <c r="G117" s="2237">
        <v>0</v>
      </c>
      <c r="H117" s="2237">
        <v>0</v>
      </c>
      <c r="I117" s="2237">
        <v>0</v>
      </c>
      <c r="J117" s="2237">
        <v>0</v>
      </c>
      <c r="K117" s="2237">
        <v>0</v>
      </c>
      <c r="L117" s="2237">
        <v>1459.9365539599999</v>
      </c>
      <c r="M117" s="2237">
        <v>709.08289551000053</v>
      </c>
      <c r="N117" s="2045">
        <f>C117-'[14]BOB Assets'!C149</f>
        <v>0</v>
      </c>
    </row>
    <row r="118" spans="1:16" hidden="1">
      <c r="A118" s="2019"/>
      <c r="B118" s="2036" t="s">
        <v>163</v>
      </c>
      <c r="C118" s="2028">
        <v>17587.528551120002</v>
      </c>
      <c r="D118" s="2237">
        <v>9764.3519020499989</v>
      </c>
      <c r="E118" s="2237">
        <v>4790.1248169100008</v>
      </c>
      <c r="F118" s="2237">
        <v>640.46636176999993</v>
      </c>
      <c r="G118" s="2237">
        <v>0</v>
      </c>
      <c r="H118" s="2237">
        <v>0</v>
      </c>
      <c r="I118" s="2237">
        <v>0</v>
      </c>
      <c r="J118" s="2237">
        <v>0</v>
      </c>
      <c r="K118" s="2237">
        <v>0</v>
      </c>
      <c r="L118" s="2237">
        <v>1487.2825938499998</v>
      </c>
      <c r="M118" s="2237">
        <v>905.30287654000131</v>
      </c>
      <c r="N118" s="2045">
        <f>C118-'[14]BOB Assets'!C150</f>
        <v>0</v>
      </c>
    </row>
    <row r="119" spans="1:16" hidden="1">
      <c r="A119" s="2019"/>
      <c r="B119" s="2036" t="s">
        <v>164</v>
      </c>
      <c r="C119" s="2028">
        <v>17187.12764852</v>
      </c>
      <c r="D119" s="2237">
        <v>10185.02445585</v>
      </c>
      <c r="E119" s="2237">
        <v>3982.94741646599</v>
      </c>
      <c r="F119" s="2237">
        <v>591.63600357000007</v>
      </c>
      <c r="G119" s="2237">
        <v>0</v>
      </c>
      <c r="H119" s="2237">
        <v>0</v>
      </c>
      <c r="I119" s="2237">
        <v>0</v>
      </c>
      <c r="J119" s="2237">
        <v>0</v>
      </c>
      <c r="K119" s="2237">
        <v>0</v>
      </c>
      <c r="L119" s="2237">
        <v>1491.71121526</v>
      </c>
      <c r="M119" s="2237">
        <v>935.80855737400816</v>
      </c>
      <c r="N119" s="2045">
        <f>C119-'[14]BOB Assets'!C151</f>
        <v>0</v>
      </c>
    </row>
    <row r="120" spans="1:16" hidden="1">
      <c r="A120" s="2019"/>
      <c r="B120" s="2036" t="s">
        <v>165</v>
      </c>
      <c r="C120" s="2028">
        <v>16670.25152292</v>
      </c>
      <c r="D120" s="2237">
        <v>10355.227396570001</v>
      </c>
      <c r="E120" s="2237">
        <v>3999.5568188300003</v>
      </c>
      <c r="F120" s="2237">
        <v>495.3586578</v>
      </c>
      <c r="G120" s="2237">
        <v>0</v>
      </c>
      <c r="H120" s="2237">
        <v>0</v>
      </c>
      <c r="I120" s="2237">
        <v>0</v>
      </c>
      <c r="J120" s="2237">
        <v>0</v>
      </c>
      <c r="K120" s="2237">
        <v>0</v>
      </c>
      <c r="L120" s="2237">
        <v>1492.8044418499999</v>
      </c>
      <c r="M120" s="2237">
        <v>327.30420786999821</v>
      </c>
      <c r="N120" s="2045">
        <f>C120-'[14]BOB Assets'!C152</f>
        <v>0</v>
      </c>
    </row>
    <row r="121" spans="1:16" hidden="1">
      <c r="A121" s="2019"/>
      <c r="B121" s="2036" t="s">
        <v>166</v>
      </c>
      <c r="C121" s="2028">
        <v>15337.512496190002</v>
      </c>
      <c r="D121" s="2237">
        <v>8310.6166508700007</v>
      </c>
      <c r="E121" s="2237">
        <v>4081.0277193199995</v>
      </c>
      <c r="F121" s="2237">
        <v>467.37696699999998</v>
      </c>
      <c r="G121" s="2237">
        <v>0</v>
      </c>
      <c r="H121" s="2237">
        <v>0</v>
      </c>
      <c r="I121" s="2237">
        <v>0</v>
      </c>
      <c r="J121" s="2237">
        <v>0</v>
      </c>
      <c r="K121" s="2237">
        <v>0</v>
      </c>
      <c r="L121" s="2237">
        <v>1573.9207321099998</v>
      </c>
      <c r="M121" s="2237">
        <v>904.57042689000082</v>
      </c>
      <c r="N121" s="2045">
        <f>C121-'[14]BOB Assets'!C153</f>
        <v>0</v>
      </c>
    </row>
    <row r="122" spans="1:16" hidden="1">
      <c r="A122" s="2019"/>
      <c r="B122" s="2036" t="s">
        <v>167</v>
      </c>
      <c r="C122" s="2028">
        <v>16966.060453710001</v>
      </c>
      <c r="D122" s="2237">
        <v>10148.246450160001</v>
      </c>
      <c r="E122" s="2237">
        <v>4070.6850936700002</v>
      </c>
      <c r="F122" s="2237">
        <v>635.79336109000008</v>
      </c>
      <c r="G122" s="2237">
        <v>0</v>
      </c>
      <c r="H122" s="2237">
        <v>0</v>
      </c>
      <c r="I122" s="2237">
        <v>0</v>
      </c>
      <c r="J122" s="2237">
        <v>0</v>
      </c>
      <c r="K122" s="2237">
        <v>0</v>
      </c>
      <c r="L122" s="2237">
        <v>1574.6238854399999</v>
      </c>
      <c r="M122" s="2237">
        <v>536.71166335000089</v>
      </c>
      <c r="N122" s="2045">
        <f>C122-'[14]BOB Assets'!C154</f>
        <v>0</v>
      </c>
      <c r="P122" s="2039"/>
    </row>
    <row r="123" spans="1:16" hidden="1">
      <c r="A123" s="2019"/>
      <c r="B123" s="2036" t="s">
        <v>168</v>
      </c>
      <c r="C123" s="2028">
        <v>16651.610282829999</v>
      </c>
      <c r="D123" s="2237">
        <v>9903.0504222399995</v>
      </c>
      <c r="E123" s="2237">
        <v>4081.1268123999998</v>
      </c>
      <c r="F123" s="2237">
        <v>620.89629883999999</v>
      </c>
      <c r="G123" s="2237">
        <v>0</v>
      </c>
      <c r="H123" s="2237">
        <v>0</v>
      </c>
      <c r="I123" s="2237">
        <v>0</v>
      </c>
      <c r="J123" s="2237">
        <v>0</v>
      </c>
      <c r="K123" s="2237">
        <v>0</v>
      </c>
      <c r="L123" s="2237">
        <v>1580.4986875699999</v>
      </c>
      <c r="M123" s="2237">
        <v>466.03806178000013</v>
      </c>
      <c r="N123" s="2045">
        <f>C123-'[14]BOB Assets'!C155</f>
        <v>0</v>
      </c>
    </row>
    <row r="124" spans="1:16" hidden="1">
      <c r="A124" s="2019"/>
      <c r="B124" s="2036" t="s">
        <v>169</v>
      </c>
      <c r="C124" s="2028">
        <v>17819.512641549998</v>
      </c>
      <c r="D124" s="2237">
        <v>13952.238414610001</v>
      </c>
      <c r="E124" s="2237">
        <v>4085.8958785299997</v>
      </c>
      <c r="F124" s="2237">
        <v>579.12218251000002</v>
      </c>
      <c r="G124" s="2237">
        <v>0</v>
      </c>
      <c r="H124" s="2237">
        <v>0</v>
      </c>
      <c r="I124" s="2237">
        <v>0</v>
      </c>
      <c r="J124" s="2237">
        <v>0</v>
      </c>
      <c r="K124" s="2237">
        <v>0</v>
      </c>
      <c r="L124" s="2237">
        <v>1687.95245746</v>
      </c>
      <c r="M124" s="2237">
        <v>-2485.6962915600016</v>
      </c>
      <c r="N124" s="2045">
        <f>C124-'[14]BOB Assets'!C156</f>
        <v>0</v>
      </c>
    </row>
    <row r="125" spans="1:16" hidden="1">
      <c r="A125" s="2019"/>
      <c r="B125" s="2036" t="s">
        <v>170</v>
      </c>
      <c r="C125" s="2028">
        <v>19083.970160150006</v>
      </c>
      <c r="D125" s="2237">
        <v>13412.068186100003</v>
      </c>
      <c r="E125" s="2237">
        <v>3926.0272138400001</v>
      </c>
      <c r="F125" s="2237">
        <v>517.62744725000005</v>
      </c>
      <c r="G125" s="2237">
        <v>0</v>
      </c>
      <c r="H125" s="2237">
        <v>0</v>
      </c>
      <c r="I125" s="2237">
        <v>0</v>
      </c>
      <c r="J125" s="2237">
        <v>0</v>
      </c>
      <c r="K125" s="2237">
        <v>0</v>
      </c>
      <c r="L125" s="2237">
        <v>1692.50340557</v>
      </c>
      <c r="M125" s="2237">
        <v>-464.25609261000136</v>
      </c>
      <c r="N125" s="2045">
        <f>C125-'[14]BOB Assets'!C157</f>
        <v>0</v>
      </c>
    </row>
    <row r="126" spans="1:16" hidden="1">
      <c r="A126" s="2019"/>
      <c r="B126" s="2036" t="s">
        <v>171</v>
      </c>
      <c r="C126" s="2028">
        <v>20177.882381550004</v>
      </c>
      <c r="D126" s="2237">
        <v>12148.976039030002</v>
      </c>
      <c r="E126" s="2237">
        <v>3903.14750276</v>
      </c>
      <c r="F126" s="2237">
        <v>829.59368638000001</v>
      </c>
      <c r="G126" s="2237">
        <v>0</v>
      </c>
      <c r="H126" s="2237">
        <v>0</v>
      </c>
      <c r="I126" s="2237">
        <v>0</v>
      </c>
      <c r="J126" s="2237">
        <v>0</v>
      </c>
      <c r="K126" s="2237">
        <v>0</v>
      </c>
      <c r="L126" s="2237">
        <v>1697.6328228</v>
      </c>
      <c r="M126" s="2237">
        <v>1598.5323305800011</v>
      </c>
      <c r="N126" s="2045">
        <f>C126-'[14]BOB Assets'!C158</f>
        <v>0</v>
      </c>
    </row>
    <row r="127" spans="1:16">
      <c r="A127" s="2019"/>
      <c r="B127" s="2026">
        <v>2008</v>
      </c>
      <c r="C127" s="2028">
        <v>19645.004529729998</v>
      </c>
      <c r="D127" s="2237">
        <v>9271.4470313300008</v>
      </c>
      <c r="E127" s="2237">
        <v>4218.54405167</v>
      </c>
      <c r="F127" s="2237">
        <v>810.09753840999997</v>
      </c>
      <c r="G127" s="2237">
        <v>0</v>
      </c>
      <c r="H127" s="2237">
        <v>0</v>
      </c>
      <c r="I127" s="2237">
        <v>0</v>
      </c>
      <c r="J127" s="2237">
        <v>0</v>
      </c>
      <c r="K127" s="2237">
        <v>0</v>
      </c>
      <c r="L127" s="2237">
        <v>1808.2494038999998</v>
      </c>
      <c r="M127" s="2237">
        <v>3536.6665044199981</v>
      </c>
      <c r="N127" s="2045"/>
    </row>
    <row r="128" spans="1:16" hidden="1">
      <c r="A128" s="2019"/>
      <c r="B128" s="2026">
        <v>2009</v>
      </c>
      <c r="C128" s="2028"/>
      <c r="D128" s="2237"/>
      <c r="E128" s="2237"/>
      <c r="F128" s="2237"/>
      <c r="G128" s="2237"/>
      <c r="H128" s="2237"/>
      <c r="I128" s="2237"/>
      <c r="J128" s="2237"/>
      <c r="K128" s="2237"/>
      <c r="L128" s="2237"/>
      <c r="M128" s="2237"/>
      <c r="N128" s="2045"/>
    </row>
    <row r="129" spans="1:19" ht="15.75" hidden="1" customHeight="1">
      <c r="A129" s="2019"/>
      <c r="B129" s="2035" t="s">
        <v>161</v>
      </c>
      <c r="C129" s="2028">
        <v>17363.039489350002</v>
      </c>
      <c r="D129" s="2237">
        <v>10328.814804700001</v>
      </c>
      <c r="E129" s="2237">
        <v>4201.9175919199997</v>
      </c>
      <c r="F129" s="2237">
        <v>841.98609698000007</v>
      </c>
      <c r="G129" s="2237">
        <v>0</v>
      </c>
      <c r="H129" s="2237">
        <v>0</v>
      </c>
      <c r="I129" s="2237">
        <v>0</v>
      </c>
      <c r="J129" s="2237">
        <v>0</v>
      </c>
      <c r="K129" s="2237">
        <v>0</v>
      </c>
      <c r="L129" s="2237">
        <v>1657.1960955499999</v>
      </c>
      <c r="M129" s="2237">
        <v>333.12490020000041</v>
      </c>
      <c r="N129" s="2045"/>
    </row>
    <row r="130" spans="1:19" hidden="1">
      <c r="A130" s="2019"/>
      <c r="B130" s="2035" t="s">
        <v>162</v>
      </c>
      <c r="C130" s="2028">
        <v>17571.941996660003</v>
      </c>
      <c r="D130" s="2237">
        <v>9908.1222805699999</v>
      </c>
      <c r="E130" s="2237">
        <v>3559.6770775599998</v>
      </c>
      <c r="F130" s="2237">
        <v>829.72874924999996</v>
      </c>
      <c r="G130" s="2237">
        <v>0</v>
      </c>
      <c r="H130" s="2237">
        <v>0</v>
      </c>
      <c r="I130" s="2237">
        <v>0</v>
      </c>
      <c r="J130" s="2237">
        <v>0</v>
      </c>
      <c r="K130" s="2237">
        <v>0</v>
      </c>
      <c r="L130" s="2237">
        <v>1678.8051257</v>
      </c>
      <c r="M130" s="2237">
        <v>1595.6087635800031</v>
      </c>
      <c r="N130" s="2045"/>
    </row>
    <row r="131" spans="1:19" hidden="1">
      <c r="A131" s="2019"/>
      <c r="B131" s="2035" t="s">
        <v>163</v>
      </c>
      <c r="C131" s="2028">
        <v>17663.723208300002</v>
      </c>
      <c r="D131" s="2237">
        <v>10438.83829646</v>
      </c>
      <c r="E131" s="2237">
        <v>3860.9256530900007</v>
      </c>
      <c r="F131" s="2237">
        <v>733.36339098999997</v>
      </c>
      <c r="G131" s="2237">
        <v>0</v>
      </c>
      <c r="H131" s="2237">
        <v>0</v>
      </c>
      <c r="I131" s="2237">
        <v>0</v>
      </c>
      <c r="J131" s="2237">
        <v>0</v>
      </c>
      <c r="K131" s="2237">
        <v>0</v>
      </c>
      <c r="L131" s="2237">
        <v>1768.0193054299998</v>
      </c>
      <c r="M131" s="2237">
        <v>862.57656232999943</v>
      </c>
      <c r="N131" s="2045"/>
    </row>
    <row r="132" spans="1:19" hidden="1">
      <c r="A132" s="2019"/>
      <c r="B132" s="2035" t="s">
        <v>164</v>
      </c>
      <c r="C132" s="2028">
        <v>18794.852158379999</v>
      </c>
      <c r="D132" s="2237">
        <v>11184.837994179999</v>
      </c>
      <c r="E132" s="2237">
        <v>3517.5352378600001</v>
      </c>
      <c r="F132" s="2237">
        <v>630.80805878000001</v>
      </c>
      <c r="G132" s="2237">
        <v>0</v>
      </c>
      <c r="H132" s="2237">
        <v>0</v>
      </c>
      <c r="I132" s="2237">
        <v>0</v>
      </c>
      <c r="J132" s="2237">
        <v>0</v>
      </c>
      <c r="K132" s="2237">
        <v>0</v>
      </c>
      <c r="L132" s="2237">
        <v>1807.6556045499999</v>
      </c>
      <c r="M132" s="2237">
        <v>1654.0152630100019</v>
      </c>
      <c r="N132" s="2045"/>
    </row>
    <row r="133" spans="1:19" ht="15.75" hidden="1" customHeight="1">
      <c r="A133" s="2019"/>
      <c r="B133" s="2035" t="s">
        <v>165</v>
      </c>
      <c r="C133" s="2028">
        <v>19135.505770800002</v>
      </c>
      <c r="D133" s="2237">
        <v>11138.33171817</v>
      </c>
      <c r="E133" s="2237">
        <v>3525.8442562100004</v>
      </c>
      <c r="F133" s="2237">
        <v>678.28530325999998</v>
      </c>
      <c r="G133" s="2237">
        <v>0</v>
      </c>
      <c r="H133" s="2237">
        <v>0</v>
      </c>
      <c r="I133" s="2237">
        <v>0</v>
      </c>
      <c r="J133" s="2237">
        <v>0</v>
      </c>
      <c r="K133" s="2237">
        <v>0</v>
      </c>
      <c r="L133" s="2237">
        <v>1850.9149606399999</v>
      </c>
      <c r="M133" s="2237">
        <v>1942.1295325200008</v>
      </c>
      <c r="N133" s="2045"/>
      <c r="S133" s="2038"/>
    </row>
    <row r="134" spans="1:19" hidden="1">
      <c r="A134" s="2019"/>
      <c r="B134" s="2035" t="s">
        <v>166</v>
      </c>
      <c r="C134" s="2028">
        <v>17906.711209569999</v>
      </c>
      <c r="D134" s="2237">
        <v>10438.28273592</v>
      </c>
      <c r="E134" s="2237">
        <v>3408.2653730099996</v>
      </c>
      <c r="F134" s="2237">
        <v>655.89108899999997</v>
      </c>
      <c r="G134" s="2237">
        <v>0</v>
      </c>
      <c r="H134" s="2237">
        <v>0</v>
      </c>
      <c r="I134" s="2237">
        <v>0</v>
      </c>
      <c r="J134" s="2237">
        <v>0</v>
      </c>
      <c r="K134" s="2237">
        <v>0</v>
      </c>
      <c r="L134" s="2237">
        <v>1941.4469581100004</v>
      </c>
      <c r="M134" s="2237">
        <v>1462.8250535299994</v>
      </c>
      <c r="N134" s="2045"/>
    </row>
    <row r="135" spans="1:19" hidden="1">
      <c r="A135" s="2019"/>
      <c r="B135" s="2035" t="s">
        <v>167</v>
      </c>
      <c r="C135" s="2028">
        <v>18746.457313900002</v>
      </c>
      <c r="D135" s="2237">
        <v>10653.242575330001</v>
      </c>
      <c r="E135" s="2237">
        <v>3628.2836312000004</v>
      </c>
      <c r="F135" s="2237">
        <v>833.48954141999991</v>
      </c>
      <c r="G135" s="2237">
        <v>0</v>
      </c>
      <c r="H135" s="2237">
        <v>0</v>
      </c>
      <c r="I135" s="2237">
        <v>0</v>
      </c>
      <c r="J135" s="2237">
        <v>0</v>
      </c>
      <c r="K135" s="2237">
        <v>0</v>
      </c>
      <c r="L135" s="2237">
        <v>2011.1718248</v>
      </c>
      <c r="M135" s="2237">
        <v>1620.2697411500012</v>
      </c>
      <c r="N135" s="2045"/>
    </row>
    <row r="136" spans="1:19" ht="18" hidden="1" customHeight="1">
      <c r="A136" s="2019"/>
      <c r="B136" s="2035" t="s">
        <v>168</v>
      </c>
      <c r="C136" s="2028">
        <v>21029.026278159999</v>
      </c>
      <c r="D136" s="2237">
        <v>11861.270879110001</v>
      </c>
      <c r="E136" s="2237">
        <v>3553.7543892599997</v>
      </c>
      <c r="F136" s="2237">
        <v>842.50137408000001</v>
      </c>
      <c r="G136" s="2237">
        <v>0</v>
      </c>
      <c r="H136" s="2237">
        <v>0</v>
      </c>
      <c r="I136" s="2237">
        <v>0</v>
      </c>
      <c r="J136" s="2237">
        <v>0</v>
      </c>
      <c r="K136" s="2237">
        <v>0</v>
      </c>
      <c r="L136" s="2237">
        <v>2010.4306726199998</v>
      </c>
      <c r="M136" s="2237">
        <v>2761.0689630899979</v>
      </c>
      <c r="N136" s="2045"/>
    </row>
    <row r="137" spans="1:19" hidden="1">
      <c r="A137" s="2019"/>
      <c r="B137" s="2035" t="s">
        <v>169</v>
      </c>
      <c r="C137" s="2028">
        <v>21874.41337948</v>
      </c>
      <c r="D137" s="2237">
        <v>11178.693354579998</v>
      </c>
      <c r="E137" s="2237">
        <v>4140.2120091899997</v>
      </c>
      <c r="F137" s="2237">
        <v>692.23734383999999</v>
      </c>
      <c r="G137" s="2237">
        <v>0</v>
      </c>
      <c r="H137" s="2237">
        <v>0</v>
      </c>
      <c r="I137" s="2237">
        <v>0</v>
      </c>
      <c r="J137" s="2237">
        <v>0</v>
      </c>
      <c r="K137" s="2237">
        <v>0</v>
      </c>
      <c r="L137" s="2237">
        <v>2107.1727099899999</v>
      </c>
      <c r="M137" s="2237">
        <v>3756.0979618800047</v>
      </c>
      <c r="N137" s="2045"/>
    </row>
    <row r="138" spans="1:19" hidden="1">
      <c r="A138" s="2019"/>
      <c r="B138" s="2035" t="s">
        <v>170</v>
      </c>
      <c r="C138" s="2028">
        <v>21874.41337948</v>
      </c>
      <c r="D138" s="2237">
        <v>11178.693354579998</v>
      </c>
      <c r="E138" s="2237">
        <v>4139.6720091899997</v>
      </c>
      <c r="F138" s="2237">
        <v>692.23734383999999</v>
      </c>
      <c r="G138" s="2237">
        <v>0</v>
      </c>
      <c r="H138" s="2237">
        <v>0</v>
      </c>
      <c r="I138" s="2237">
        <v>0</v>
      </c>
      <c r="J138" s="2237">
        <v>0</v>
      </c>
      <c r="K138" s="2237">
        <v>0</v>
      </c>
      <c r="L138" s="2237">
        <v>1890.5985435500002</v>
      </c>
      <c r="M138" s="2237">
        <v>3973.2121283200031</v>
      </c>
      <c r="N138" s="2045"/>
    </row>
    <row r="139" spans="1:19" hidden="1">
      <c r="A139" s="2019"/>
      <c r="B139" s="2035" t="s">
        <v>171</v>
      </c>
      <c r="C139" s="2028">
        <v>23850.559519270002</v>
      </c>
      <c r="D139" s="2237">
        <v>11674.897996410002</v>
      </c>
      <c r="E139" s="2237">
        <v>4280.3892717899998</v>
      </c>
      <c r="F139" s="2237">
        <v>834.76761330999989</v>
      </c>
      <c r="G139" s="2237">
        <v>0</v>
      </c>
      <c r="H139" s="2237">
        <v>0</v>
      </c>
      <c r="I139" s="2237">
        <v>0</v>
      </c>
      <c r="J139" s="2237">
        <v>0</v>
      </c>
      <c r="K139" s="2237">
        <v>0</v>
      </c>
      <c r="L139" s="2237">
        <v>2132.5914616599998</v>
      </c>
      <c r="M139" s="2237">
        <v>4927.9131761000026</v>
      </c>
      <c r="N139" s="2045"/>
    </row>
    <row r="140" spans="1:19">
      <c r="A140" s="2019"/>
      <c r="B140" s="2026">
        <v>2009</v>
      </c>
      <c r="C140" s="2028">
        <v>24905.373681059998</v>
      </c>
      <c r="D140" s="2237">
        <v>13774.397825399999</v>
      </c>
      <c r="E140" s="2237">
        <v>4352.2659995499998</v>
      </c>
      <c r="F140" s="2237">
        <v>654.73670685000002</v>
      </c>
      <c r="G140" s="2237">
        <v>0</v>
      </c>
      <c r="H140" s="2237">
        <v>0</v>
      </c>
      <c r="I140" s="2237">
        <v>0</v>
      </c>
      <c r="J140" s="2237">
        <v>0</v>
      </c>
      <c r="K140" s="2237">
        <v>0</v>
      </c>
      <c r="L140" s="2237">
        <v>2172.8083382699997</v>
      </c>
      <c r="M140" s="2237">
        <v>3951.1648109900016</v>
      </c>
      <c r="N140" s="2045"/>
    </row>
    <row r="141" spans="1:19" hidden="1">
      <c r="A141" s="2019"/>
      <c r="B141" s="2426">
        <v>2010</v>
      </c>
      <c r="C141" s="3512"/>
      <c r="D141" s="2238"/>
      <c r="E141" s="2238"/>
      <c r="F141" s="2238"/>
      <c r="G141" s="2238"/>
      <c r="H141" s="2238"/>
      <c r="I141" s="2238"/>
      <c r="J141" s="2238"/>
      <c r="K141" s="2238"/>
      <c r="L141" s="2238"/>
      <c r="M141" s="2238"/>
      <c r="N141" s="2045"/>
    </row>
    <row r="142" spans="1:19" hidden="1">
      <c r="A142" s="2019"/>
      <c r="B142" s="2427" t="s">
        <v>161</v>
      </c>
      <c r="C142" s="2598">
        <v>22942.81615907</v>
      </c>
      <c r="D142" s="2599">
        <v>11558.13784784</v>
      </c>
      <c r="E142" s="2599">
        <v>4329.0564497800005</v>
      </c>
      <c r="F142" s="2599">
        <v>795.72984980999991</v>
      </c>
      <c r="G142" s="2599">
        <v>0</v>
      </c>
      <c r="H142" s="2599">
        <v>0</v>
      </c>
      <c r="I142" s="2599">
        <v>0</v>
      </c>
      <c r="J142" s="2599">
        <v>0</v>
      </c>
      <c r="K142" s="2599">
        <v>0</v>
      </c>
      <c r="L142" s="2599">
        <v>2165.8562053399996</v>
      </c>
      <c r="M142" s="2599">
        <v>4094.0358063000022</v>
      </c>
      <c r="N142" s="2045"/>
    </row>
    <row r="143" spans="1:19" hidden="1">
      <c r="A143" s="2019"/>
      <c r="B143" s="2427" t="s">
        <v>162</v>
      </c>
      <c r="C143" s="2598">
        <v>26066.824156279996</v>
      </c>
      <c r="D143" s="2599">
        <v>14571.86400043</v>
      </c>
      <c r="E143" s="2599">
        <v>4256.2851073499996</v>
      </c>
      <c r="F143" s="2599">
        <v>835.40641177999998</v>
      </c>
      <c r="G143" s="2599">
        <v>0</v>
      </c>
      <c r="H143" s="2599">
        <v>0</v>
      </c>
      <c r="I143" s="2599">
        <v>0</v>
      </c>
      <c r="J143" s="2599">
        <v>0</v>
      </c>
      <c r="K143" s="2599">
        <v>0</v>
      </c>
      <c r="L143" s="2599">
        <v>2190.2232108499998</v>
      </c>
      <c r="M143" s="2599">
        <v>4213.0454258699974</v>
      </c>
      <c r="N143" s="2045"/>
    </row>
    <row r="144" spans="1:19" hidden="1">
      <c r="A144" s="2019"/>
      <c r="B144" s="2428" t="s">
        <v>163</v>
      </c>
      <c r="C144" s="2600">
        <v>23544.923411150001</v>
      </c>
      <c r="D144" s="2601">
        <v>11566.318738089998</v>
      </c>
      <c r="E144" s="2601">
        <v>4603.6405580200008</v>
      </c>
      <c r="F144" s="2601">
        <v>822.69666792999999</v>
      </c>
      <c r="G144" s="2601">
        <v>0</v>
      </c>
      <c r="H144" s="2601">
        <v>0</v>
      </c>
      <c r="I144" s="2602">
        <v>0</v>
      </c>
      <c r="J144" s="2603">
        <v>0</v>
      </c>
      <c r="K144" s="2601">
        <v>0</v>
      </c>
      <c r="L144" s="2601">
        <v>2329.1323789100002</v>
      </c>
      <c r="M144" s="2602">
        <v>4223.1350682000048</v>
      </c>
      <c r="N144" s="2045"/>
    </row>
    <row r="145" spans="1:17" hidden="1">
      <c r="A145" s="2019"/>
      <c r="B145" s="2428" t="s">
        <v>164</v>
      </c>
      <c r="C145" s="2600">
        <v>21025.483190670002</v>
      </c>
      <c r="D145" s="2601">
        <v>10959.842224299999</v>
      </c>
      <c r="E145" s="2601">
        <v>4451.2911239200002</v>
      </c>
      <c r="F145" s="2601">
        <v>799.05591414000003</v>
      </c>
      <c r="G145" s="2601">
        <v>0</v>
      </c>
      <c r="H145" s="2601">
        <v>0</v>
      </c>
      <c r="I145" s="2601">
        <v>0</v>
      </c>
      <c r="J145" s="2601">
        <v>0</v>
      </c>
      <c r="K145" s="2601">
        <v>0</v>
      </c>
      <c r="L145" s="2601">
        <v>2411.8263366700003</v>
      </c>
      <c r="M145" s="2602">
        <v>2403.467591640001</v>
      </c>
      <c r="N145" s="2045"/>
    </row>
    <row r="146" spans="1:17" hidden="1">
      <c r="A146" s="2019"/>
      <c r="B146" s="2428" t="s">
        <v>165</v>
      </c>
      <c r="C146" s="2600">
        <v>22299.635145750002</v>
      </c>
      <c r="D146" s="2601">
        <v>12981.15160707</v>
      </c>
      <c r="E146" s="2601">
        <v>4391.6095084799999</v>
      </c>
      <c r="F146" s="2601">
        <v>1025.5165418900001</v>
      </c>
      <c r="G146" s="2601">
        <v>0</v>
      </c>
      <c r="H146" s="2601">
        <v>0</v>
      </c>
      <c r="I146" s="2601">
        <v>0</v>
      </c>
      <c r="J146" s="2601">
        <v>0</v>
      </c>
      <c r="K146" s="2601">
        <v>0</v>
      </c>
      <c r="L146" s="2601">
        <v>2459.5784106599999</v>
      </c>
      <c r="M146" s="2602">
        <v>1441.7790776500042</v>
      </c>
      <c r="N146" s="2045"/>
    </row>
    <row r="147" spans="1:17" hidden="1">
      <c r="A147" s="2019"/>
      <c r="B147" s="2428" t="s">
        <v>166</v>
      </c>
      <c r="C147" s="2600">
        <v>21730.311719120004</v>
      </c>
      <c r="D147" s="2604">
        <v>11966.931985929999</v>
      </c>
      <c r="E147" s="2601">
        <v>4670.4443091799994</v>
      </c>
      <c r="F147" s="2601">
        <v>918.17415980999999</v>
      </c>
      <c r="G147" s="2604">
        <v>0</v>
      </c>
      <c r="H147" s="2604">
        <v>0</v>
      </c>
      <c r="I147" s="2604">
        <v>0</v>
      </c>
      <c r="J147" s="2601">
        <v>0</v>
      </c>
      <c r="K147" s="2604">
        <v>0</v>
      </c>
      <c r="L147" s="2604">
        <v>2516.81759556</v>
      </c>
      <c r="M147" s="2602">
        <v>1657.943668640004</v>
      </c>
      <c r="N147" s="2045"/>
    </row>
    <row r="148" spans="1:17" hidden="1">
      <c r="A148" s="2019"/>
      <c r="B148" s="2048" t="s">
        <v>167</v>
      </c>
      <c r="C148" s="2600">
        <v>22473.868493009999</v>
      </c>
      <c r="D148" s="2604">
        <v>13182.52784499</v>
      </c>
      <c r="E148" s="2601">
        <v>4815.28448733</v>
      </c>
      <c r="F148" s="2601">
        <v>928.52745849999997</v>
      </c>
      <c r="G148" s="2604">
        <v>0</v>
      </c>
      <c r="H148" s="2604">
        <v>0</v>
      </c>
      <c r="I148" s="2604">
        <v>0</v>
      </c>
      <c r="J148" s="2601">
        <v>0</v>
      </c>
      <c r="K148" s="2604">
        <v>0</v>
      </c>
      <c r="L148" s="2604">
        <v>2574.26381601</v>
      </c>
      <c r="M148" s="2602">
        <v>973.26488618000076</v>
      </c>
      <c r="N148" s="2045"/>
    </row>
    <row r="149" spans="1:17" hidden="1">
      <c r="A149" s="2019"/>
      <c r="B149" s="2048" t="s">
        <v>168</v>
      </c>
      <c r="C149" s="2600">
        <v>23773.960144120003</v>
      </c>
      <c r="D149" s="2604">
        <v>14398.37534246</v>
      </c>
      <c r="E149" s="2601">
        <v>4806.7537625599998</v>
      </c>
      <c r="F149" s="2601">
        <v>898.44667212000002</v>
      </c>
      <c r="G149" s="2604">
        <v>0</v>
      </c>
      <c r="H149" s="2604">
        <v>0</v>
      </c>
      <c r="I149" s="2604">
        <v>0</v>
      </c>
      <c r="J149" s="2601">
        <v>0</v>
      </c>
      <c r="K149" s="2604">
        <v>0</v>
      </c>
      <c r="L149" s="2604">
        <v>2634.86192132</v>
      </c>
      <c r="M149" s="2602">
        <v>1035.5224456600008</v>
      </c>
      <c r="N149" s="2045"/>
    </row>
    <row r="150" spans="1:17" hidden="1">
      <c r="A150" s="2019"/>
      <c r="B150" s="2048" t="s">
        <v>169</v>
      </c>
      <c r="C150" s="2600">
        <v>26879.352851550004</v>
      </c>
      <c r="D150" s="2604">
        <v>13749.880147</v>
      </c>
      <c r="E150" s="2601">
        <v>6615.2705819700004</v>
      </c>
      <c r="F150" s="2601">
        <v>795.8932441799999</v>
      </c>
      <c r="G150" s="2604">
        <v>0</v>
      </c>
      <c r="H150" s="2604">
        <v>0</v>
      </c>
      <c r="I150" s="2604">
        <v>0</v>
      </c>
      <c r="J150" s="2601">
        <v>0</v>
      </c>
      <c r="K150" s="2604">
        <v>0</v>
      </c>
      <c r="L150" s="2604">
        <v>2732.4447714899998</v>
      </c>
      <c r="M150" s="2602">
        <v>2985.8641069100013</v>
      </c>
      <c r="N150" s="2045"/>
    </row>
    <row r="151" spans="1:17" hidden="1">
      <c r="A151" s="2019"/>
      <c r="B151" s="2429" t="s">
        <v>170</v>
      </c>
      <c r="C151" s="2600">
        <v>26270.374363729999</v>
      </c>
      <c r="D151" s="2604">
        <v>13762.208591350001</v>
      </c>
      <c r="E151" s="2601">
        <v>6995.4537693999991</v>
      </c>
      <c r="F151" s="2601">
        <v>849.14190454999994</v>
      </c>
      <c r="G151" s="2604">
        <v>0</v>
      </c>
      <c r="H151" s="2604">
        <v>0</v>
      </c>
      <c r="I151" s="2604">
        <v>0</v>
      </c>
      <c r="J151" s="2601">
        <v>0</v>
      </c>
      <c r="K151" s="2604">
        <v>0</v>
      </c>
      <c r="L151" s="2604">
        <v>2737.6765668599996</v>
      </c>
      <c r="M151" s="2602">
        <v>1925.8935315700001</v>
      </c>
      <c r="N151" s="2045"/>
      <c r="Q151" s="2039"/>
    </row>
    <row r="152" spans="1:17" hidden="1">
      <c r="A152" s="2019"/>
      <c r="B152" s="2048" t="s">
        <v>171</v>
      </c>
      <c r="C152" s="2600">
        <v>27143.238839340003</v>
      </c>
      <c r="D152" s="2604">
        <v>14132.296846419998</v>
      </c>
      <c r="E152" s="2601">
        <v>6974.5889468699997</v>
      </c>
      <c r="F152" s="2601">
        <v>821.06698174999997</v>
      </c>
      <c r="G152" s="2604">
        <v>0</v>
      </c>
      <c r="H152" s="2604">
        <v>0</v>
      </c>
      <c r="I152" s="2604">
        <v>0</v>
      </c>
      <c r="J152" s="2601">
        <v>0</v>
      </c>
      <c r="K152" s="2604">
        <v>0</v>
      </c>
      <c r="L152" s="2604">
        <v>2789.94525475</v>
      </c>
      <c r="M152" s="2602">
        <v>2425.3408095500054</v>
      </c>
      <c r="N152" s="2045"/>
    </row>
    <row r="153" spans="1:17">
      <c r="A153" s="2019"/>
      <c r="B153" s="2431">
        <v>2010</v>
      </c>
      <c r="C153" s="2600">
        <v>27908.613687469999</v>
      </c>
      <c r="D153" s="2604">
        <v>14092.560359090001</v>
      </c>
      <c r="E153" s="2601">
        <v>4325.5601854400002</v>
      </c>
      <c r="F153" s="2601">
        <v>695.89678738999999</v>
      </c>
      <c r="G153" s="2604">
        <v>0</v>
      </c>
      <c r="H153" s="2604">
        <v>0</v>
      </c>
      <c r="I153" s="2604">
        <v>0</v>
      </c>
      <c r="J153" s="2601">
        <v>0</v>
      </c>
      <c r="K153" s="2604">
        <v>0</v>
      </c>
      <c r="L153" s="2604">
        <v>2596.5057594999998</v>
      </c>
      <c r="M153" s="2602">
        <v>6198.0905960499986</v>
      </c>
      <c r="N153" s="2045"/>
    </row>
    <row r="154" spans="1:17" hidden="1">
      <c r="A154" s="2038"/>
      <c r="B154" s="2430">
        <v>2011</v>
      </c>
      <c r="C154" s="2605"/>
      <c r="D154" s="2606"/>
      <c r="E154" s="2607"/>
      <c r="F154" s="2608"/>
      <c r="G154" s="2606"/>
      <c r="H154" s="2607"/>
      <c r="I154" s="2608"/>
      <c r="J154" s="2606"/>
      <c r="K154" s="2606"/>
      <c r="L154" s="2606"/>
      <c r="M154" s="2609"/>
      <c r="N154" s="2045"/>
      <c r="Q154" s="2039"/>
    </row>
    <row r="155" spans="1:17" hidden="1">
      <c r="A155" s="2038"/>
      <c r="B155" s="2428" t="s">
        <v>161</v>
      </c>
      <c r="C155" s="2600">
        <v>22184.131886709994</v>
      </c>
      <c r="D155" s="2604">
        <v>13501.073879879999</v>
      </c>
      <c r="E155" s="2601">
        <v>3933.0912410900005</v>
      </c>
      <c r="F155" s="2601">
        <v>488.81377787999998</v>
      </c>
      <c r="G155" s="2604">
        <v>0</v>
      </c>
      <c r="H155" s="2604">
        <v>0</v>
      </c>
      <c r="I155" s="2604">
        <v>0</v>
      </c>
      <c r="J155" s="2601">
        <v>0</v>
      </c>
      <c r="K155" s="2604">
        <v>0</v>
      </c>
      <c r="L155" s="2604">
        <v>2475.28114194</v>
      </c>
      <c r="M155" s="2602">
        <v>1785.8718459199954</v>
      </c>
      <c r="N155" s="2045"/>
      <c r="P155" s="2047"/>
    </row>
    <row r="156" spans="1:17" hidden="1">
      <c r="A156" s="2038"/>
      <c r="B156" s="2428" t="s">
        <v>162</v>
      </c>
      <c r="C156" s="2600">
        <v>22636.463494670003</v>
      </c>
      <c r="D156" s="2604">
        <v>14594.506950499999</v>
      </c>
      <c r="E156" s="2601">
        <v>3874.0533911900002</v>
      </c>
      <c r="F156" s="2601">
        <v>538.05723320000004</v>
      </c>
      <c r="G156" s="2604">
        <v>0</v>
      </c>
      <c r="H156" s="2604">
        <v>0</v>
      </c>
      <c r="I156" s="2604">
        <v>0</v>
      </c>
      <c r="J156" s="2601">
        <v>0</v>
      </c>
      <c r="K156" s="2604">
        <v>0</v>
      </c>
      <c r="L156" s="2604">
        <v>2517.0758892899999</v>
      </c>
      <c r="M156" s="2602">
        <v>1112.7700304900027</v>
      </c>
      <c r="N156" s="2045"/>
    </row>
    <row r="157" spans="1:17" hidden="1">
      <c r="A157" s="2038"/>
      <c r="B157" s="2428" t="s">
        <v>163</v>
      </c>
      <c r="C157" s="2600">
        <v>22392.59783191</v>
      </c>
      <c r="D157" s="2604">
        <v>13382.064101209999</v>
      </c>
      <c r="E157" s="2601">
        <v>3380.4345165899999</v>
      </c>
      <c r="F157" s="2601">
        <v>2227.97223678</v>
      </c>
      <c r="G157" s="2604">
        <v>0</v>
      </c>
      <c r="H157" s="2604">
        <v>0</v>
      </c>
      <c r="I157" s="2604">
        <v>0</v>
      </c>
      <c r="J157" s="2601">
        <v>0</v>
      </c>
      <c r="K157" s="2604">
        <v>0</v>
      </c>
      <c r="L157" s="2604">
        <v>2567.9814020700001</v>
      </c>
      <c r="M157" s="2602">
        <v>834.14557526000135</v>
      </c>
      <c r="N157" s="2045"/>
    </row>
    <row r="158" spans="1:17" hidden="1">
      <c r="A158" s="2038"/>
      <c r="B158" s="2428" t="s">
        <v>164</v>
      </c>
      <c r="C158" s="2600">
        <v>23531.299331480001</v>
      </c>
      <c r="D158" s="2604">
        <v>14544.09297109</v>
      </c>
      <c r="E158" s="2601">
        <v>3360.2311496299999</v>
      </c>
      <c r="F158" s="2610">
        <v>2094.50081907</v>
      </c>
      <c r="G158" s="2604">
        <v>0</v>
      </c>
      <c r="H158" s="2604">
        <v>0</v>
      </c>
      <c r="I158" s="2604">
        <v>0</v>
      </c>
      <c r="J158" s="2601">
        <v>0</v>
      </c>
      <c r="K158" s="2604">
        <v>0</v>
      </c>
      <c r="L158" s="2604">
        <v>2657.31411063</v>
      </c>
      <c r="M158" s="2602">
        <v>875.16028106000158</v>
      </c>
      <c r="N158" s="2045"/>
    </row>
    <row r="159" spans="1:17" hidden="1">
      <c r="A159" s="2038"/>
      <c r="B159" s="2428" t="s">
        <v>165</v>
      </c>
      <c r="C159" s="2600">
        <v>22474.644452330002</v>
      </c>
      <c r="D159" s="2604">
        <v>15710.289772659999</v>
      </c>
      <c r="E159" s="2601">
        <v>3363.3443924200001</v>
      </c>
      <c r="F159" s="2610">
        <v>2103.6328851400003</v>
      </c>
      <c r="G159" s="2604">
        <v>0</v>
      </c>
      <c r="H159" s="2604">
        <v>0</v>
      </c>
      <c r="I159" s="2604">
        <v>0</v>
      </c>
      <c r="J159" s="2601">
        <v>0</v>
      </c>
      <c r="K159" s="2604">
        <v>0</v>
      </c>
      <c r="L159" s="2604">
        <v>2710.9064891399998</v>
      </c>
      <c r="M159" s="2602">
        <v>-1413.5290870299978</v>
      </c>
      <c r="N159" s="2045"/>
      <c r="Q159" s="2039"/>
    </row>
    <row r="160" spans="1:17" hidden="1">
      <c r="A160" s="2038"/>
      <c r="B160" s="2428" t="s">
        <v>166</v>
      </c>
      <c r="C160" s="2600">
        <v>23108.410095579995</v>
      </c>
      <c r="D160" s="2604">
        <v>16519.712873214001</v>
      </c>
      <c r="E160" s="2601">
        <v>3166.8065238899999</v>
      </c>
      <c r="F160" s="2610">
        <v>2508.9698608000003</v>
      </c>
      <c r="G160" s="2604">
        <v>0</v>
      </c>
      <c r="H160" s="2604">
        <v>0</v>
      </c>
      <c r="I160" s="2604">
        <v>0</v>
      </c>
      <c r="J160" s="2601">
        <v>0</v>
      </c>
      <c r="K160" s="2604">
        <v>0</v>
      </c>
      <c r="L160" s="2604">
        <v>2803.1571821000002</v>
      </c>
      <c r="M160" s="2602">
        <v>-1890.2363444240036</v>
      </c>
      <c r="N160" s="2045"/>
    </row>
    <row r="161" spans="1:16" ht="17.25" hidden="1" customHeight="1">
      <c r="A161" s="2038"/>
      <c r="B161" s="2428" t="s">
        <v>167</v>
      </c>
      <c r="C161" s="2600">
        <v>24220.473587570003</v>
      </c>
      <c r="D161" s="2604">
        <v>15473.245300575998</v>
      </c>
      <c r="E161" s="2601">
        <v>3135.6345854179999</v>
      </c>
      <c r="F161" s="2604">
        <v>2447.5834182499998</v>
      </c>
      <c r="G161" s="2604">
        <v>0</v>
      </c>
      <c r="H161" s="2604">
        <v>0</v>
      </c>
      <c r="I161" s="2604">
        <v>0</v>
      </c>
      <c r="J161" s="2601">
        <v>0</v>
      </c>
      <c r="K161" s="2604">
        <v>0</v>
      </c>
      <c r="L161" s="2604">
        <v>2864.030364788</v>
      </c>
      <c r="M161" s="2602">
        <v>299.9799185380034</v>
      </c>
      <c r="N161" s="2045"/>
    </row>
    <row r="162" spans="1:16" ht="17.25" hidden="1" customHeight="1">
      <c r="A162" s="2038"/>
      <c r="B162" s="2428" t="s">
        <v>168</v>
      </c>
      <c r="C162" s="2600">
        <v>22330.461886030003</v>
      </c>
      <c r="D162" s="2604">
        <v>14366.381669464001</v>
      </c>
      <c r="E162" s="2601">
        <v>3152.442406818001</v>
      </c>
      <c r="F162" s="2604">
        <v>2240.1343275599997</v>
      </c>
      <c r="G162" s="2604">
        <v>0</v>
      </c>
      <c r="H162" s="2604">
        <v>0</v>
      </c>
      <c r="I162" s="2604">
        <v>0</v>
      </c>
      <c r="J162" s="2601">
        <v>0</v>
      </c>
      <c r="K162" s="2604">
        <v>0</v>
      </c>
      <c r="L162" s="2604">
        <v>2887.1751521830001</v>
      </c>
      <c r="M162" s="2602">
        <v>-315.67166999500114</v>
      </c>
      <c r="N162" s="2045"/>
    </row>
    <row r="163" spans="1:16" ht="17.25" hidden="1" customHeight="1">
      <c r="A163" s="2038"/>
      <c r="B163" s="2428" t="s">
        <v>169</v>
      </c>
      <c r="C163" s="2600">
        <v>24949.637541799995</v>
      </c>
      <c r="D163" s="2604">
        <v>16618.094094446002</v>
      </c>
      <c r="E163" s="2601">
        <v>3347.8699831200001</v>
      </c>
      <c r="F163" s="2604">
        <v>1211.27252647</v>
      </c>
      <c r="G163" s="2604">
        <v>0</v>
      </c>
      <c r="H163" s="2604">
        <v>0</v>
      </c>
      <c r="I163" s="2604">
        <v>0</v>
      </c>
      <c r="J163" s="2601">
        <v>0</v>
      </c>
      <c r="K163" s="2604">
        <v>0</v>
      </c>
      <c r="L163" s="2604">
        <v>2995.3994375889997</v>
      </c>
      <c r="M163" s="2602">
        <v>777.00150017499618</v>
      </c>
      <c r="N163" s="2045"/>
    </row>
    <row r="164" spans="1:16" ht="17.25" hidden="1" customHeight="1">
      <c r="A164" s="2038"/>
      <c r="B164" s="2048" t="s">
        <v>170</v>
      </c>
      <c r="C164" s="2611">
        <v>25883.816713120003</v>
      </c>
      <c r="D164" s="2607">
        <v>16691.396339936</v>
      </c>
      <c r="E164" s="2607">
        <v>3343.84471132</v>
      </c>
      <c r="F164" s="2607">
        <v>1288.9413783599998</v>
      </c>
      <c r="G164" s="2607">
        <v>0</v>
      </c>
      <c r="H164" s="2607">
        <v>0</v>
      </c>
      <c r="I164" s="2607">
        <v>0</v>
      </c>
      <c r="J164" s="2607">
        <v>0</v>
      </c>
      <c r="K164" s="2607">
        <v>0</v>
      </c>
      <c r="L164" s="2607">
        <v>3058.6615272900008</v>
      </c>
      <c r="M164" s="2609">
        <v>1500.9727562139997</v>
      </c>
      <c r="N164" s="2045"/>
    </row>
    <row r="165" spans="1:16" ht="17.25" hidden="1" customHeight="1">
      <c r="A165" s="2038"/>
      <c r="B165" s="2048" t="s">
        <v>171</v>
      </c>
      <c r="C165" s="2611">
        <v>27858.106714719997</v>
      </c>
      <c r="D165" s="2607">
        <v>18272.286855015998</v>
      </c>
      <c r="E165" s="2607">
        <v>3343.2099162000004</v>
      </c>
      <c r="F165" s="2607">
        <v>1027.87521631</v>
      </c>
      <c r="G165" s="2607">
        <v>0</v>
      </c>
      <c r="H165" s="2607">
        <v>0</v>
      </c>
      <c r="I165" s="2607">
        <v>0</v>
      </c>
      <c r="J165" s="2607">
        <v>0</v>
      </c>
      <c r="K165" s="2607">
        <v>0</v>
      </c>
      <c r="L165" s="2607">
        <v>3189.2988813270003</v>
      </c>
      <c r="M165" s="2609">
        <v>2025.4358458669994</v>
      </c>
      <c r="N165" s="2045"/>
    </row>
    <row r="166" spans="1:16" ht="17.25" customHeight="1">
      <c r="A166" s="2038"/>
      <c r="B166" s="2430">
        <v>2011</v>
      </c>
      <c r="C166" s="2611">
        <v>24766.03062646</v>
      </c>
      <c r="D166" s="2607">
        <v>16635.649636834998</v>
      </c>
      <c r="E166" s="2607">
        <v>3363.2061130500006</v>
      </c>
      <c r="F166" s="2607">
        <v>1016.4823914</v>
      </c>
      <c r="G166" s="2607">
        <v>0</v>
      </c>
      <c r="H166" s="2607">
        <v>0</v>
      </c>
      <c r="I166" s="2607">
        <v>0</v>
      </c>
      <c r="J166" s="2607">
        <v>0</v>
      </c>
      <c r="K166" s="2607">
        <v>0</v>
      </c>
      <c r="L166" s="2607">
        <v>3046.2435469400002</v>
      </c>
      <c r="M166" s="2609">
        <v>704.44893823500024</v>
      </c>
      <c r="N166" s="2045"/>
    </row>
    <row r="167" spans="1:16" ht="17.25" hidden="1" customHeight="1">
      <c r="A167" s="2038"/>
      <c r="B167" s="2431">
        <v>2012</v>
      </c>
      <c r="C167" s="2612"/>
      <c r="D167" s="2613"/>
      <c r="E167" s="2613"/>
      <c r="F167" s="2613"/>
      <c r="G167" s="2613"/>
      <c r="H167" s="2613"/>
      <c r="I167" s="2613"/>
      <c r="J167" s="2613"/>
      <c r="K167" s="2613"/>
      <c r="L167" s="2613"/>
      <c r="M167" s="2614"/>
    </row>
    <row r="168" spans="1:16" ht="17.25" hidden="1" customHeight="1">
      <c r="A168" s="2038"/>
      <c r="B168" s="2048" t="s">
        <v>161</v>
      </c>
      <c r="C168" s="2611">
        <v>25078.902576469998</v>
      </c>
      <c r="D168" s="2607">
        <v>17435.807027335002</v>
      </c>
      <c r="E168" s="2607">
        <v>3357.1965114100003</v>
      </c>
      <c r="F168" s="2607">
        <v>997.53606904999992</v>
      </c>
      <c r="G168" s="2607">
        <v>0</v>
      </c>
      <c r="H168" s="2607">
        <v>0</v>
      </c>
      <c r="I168" s="2607">
        <v>0</v>
      </c>
      <c r="J168" s="2607">
        <v>0</v>
      </c>
      <c r="K168" s="2607">
        <v>0</v>
      </c>
      <c r="L168" s="2607">
        <v>3086.5659100100002</v>
      </c>
      <c r="M168" s="2609">
        <v>201.79705866499717</v>
      </c>
      <c r="N168" s="2045"/>
    </row>
    <row r="169" spans="1:16" ht="17.25" hidden="1" customHeight="1">
      <c r="A169" s="2038"/>
      <c r="B169" s="2048" t="s">
        <v>162</v>
      </c>
      <c r="C169" s="2611">
        <v>27202.529053849998</v>
      </c>
      <c r="D169" s="2607">
        <v>15953.899442044996</v>
      </c>
      <c r="E169" s="2607">
        <v>3352.13273888</v>
      </c>
      <c r="F169" s="2607">
        <v>805.04131955999992</v>
      </c>
      <c r="G169" s="2607">
        <v>0</v>
      </c>
      <c r="H169" s="2607">
        <v>0</v>
      </c>
      <c r="I169" s="2607">
        <v>0</v>
      </c>
      <c r="J169" s="2607">
        <v>0</v>
      </c>
      <c r="K169" s="2607">
        <v>0</v>
      </c>
      <c r="L169" s="2607">
        <v>2924.9256601800002</v>
      </c>
      <c r="M169" s="2609">
        <v>4166.5298931850011</v>
      </c>
      <c r="N169" s="2045"/>
    </row>
    <row r="170" spans="1:16" ht="17.25" hidden="1" customHeight="1">
      <c r="A170" s="2038"/>
      <c r="B170" s="2048" t="s">
        <v>163</v>
      </c>
      <c r="C170" s="2611">
        <v>24107.720576180003</v>
      </c>
      <c r="D170" s="2607">
        <v>15424.543387655</v>
      </c>
      <c r="E170" s="2607">
        <v>3241.4141952000004</v>
      </c>
      <c r="F170" s="2607">
        <v>777.92175946000009</v>
      </c>
      <c r="G170" s="2607">
        <v>0</v>
      </c>
      <c r="H170" s="2607">
        <v>0</v>
      </c>
      <c r="I170" s="2607">
        <v>0</v>
      </c>
      <c r="J170" s="2607">
        <v>0</v>
      </c>
      <c r="K170" s="2607">
        <v>0</v>
      </c>
      <c r="L170" s="2607">
        <v>3174.17269502</v>
      </c>
      <c r="M170" s="2609">
        <v>1489.6685388450023</v>
      </c>
      <c r="N170" s="2045"/>
    </row>
    <row r="171" spans="1:16" ht="17.25" hidden="1" customHeight="1">
      <c r="A171" s="2038"/>
      <c r="B171" s="2048" t="s">
        <v>164</v>
      </c>
      <c r="C171" s="2611">
        <v>23111.603044289997</v>
      </c>
      <c r="D171" s="2607">
        <v>14653.152060840999</v>
      </c>
      <c r="E171" s="2607">
        <v>3193.76047066</v>
      </c>
      <c r="F171" s="2607">
        <v>749.2071746900001</v>
      </c>
      <c r="G171" s="2607">
        <v>0</v>
      </c>
      <c r="H171" s="2607">
        <v>0</v>
      </c>
      <c r="I171" s="2607">
        <v>0</v>
      </c>
      <c r="J171" s="2607">
        <v>0</v>
      </c>
      <c r="K171" s="2607">
        <v>0</v>
      </c>
      <c r="L171" s="2607">
        <v>3303.6315401199995</v>
      </c>
      <c r="M171" s="2609">
        <v>1211.8517979789976</v>
      </c>
      <c r="N171" s="2045"/>
      <c r="O171" s="3997"/>
      <c r="P171" s="2039"/>
    </row>
    <row r="172" spans="1:16" ht="17.25" hidden="1" customHeight="1">
      <c r="A172" s="2019"/>
      <c r="B172" s="2048" t="s">
        <v>165</v>
      </c>
      <c r="C172" s="2611">
        <v>25381.893310239997</v>
      </c>
      <c r="D172" s="2607">
        <v>17483.724551530999</v>
      </c>
      <c r="E172" s="2607">
        <v>3173.1192164100007</v>
      </c>
      <c r="F172" s="2607">
        <v>597.74744813999996</v>
      </c>
      <c r="G172" s="2607">
        <v>0</v>
      </c>
      <c r="H172" s="2607">
        <v>0</v>
      </c>
      <c r="I172" s="2607">
        <v>0</v>
      </c>
      <c r="J172" s="2607">
        <v>0</v>
      </c>
      <c r="K172" s="2607">
        <v>0</v>
      </c>
      <c r="L172" s="2607">
        <v>3338.9587407999998</v>
      </c>
      <c r="M172" s="2609">
        <v>788.34335335899959</v>
      </c>
      <c r="N172" s="2045"/>
      <c r="O172" s="3997"/>
    </row>
    <row r="173" spans="1:16" s="2019" customFormat="1" ht="17.25" hidden="1" customHeight="1">
      <c r="B173" s="2048" t="s">
        <v>166</v>
      </c>
      <c r="C173" s="2611">
        <v>25904.149835910001</v>
      </c>
      <c r="D173" s="2607">
        <v>16973.751847672</v>
      </c>
      <c r="E173" s="2607">
        <v>3233.6869013799997</v>
      </c>
      <c r="F173" s="2607">
        <v>593.95202850999999</v>
      </c>
      <c r="G173" s="2607">
        <v>0</v>
      </c>
      <c r="H173" s="2607">
        <v>0</v>
      </c>
      <c r="I173" s="2607">
        <v>0</v>
      </c>
      <c r="J173" s="2607">
        <v>0</v>
      </c>
      <c r="K173" s="2607">
        <v>0</v>
      </c>
      <c r="L173" s="2607">
        <v>3405.9601435599989</v>
      </c>
      <c r="M173" s="2609">
        <v>1696.7989147880035</v>
      </c>
      <c r="N173" s="2045"/>
      <c r="O173" s="3997"/>
    </row>
    <row r="174" spans="1:16" s="2019" customFormat="1" ht="17.25" hidden="1" customHeight="1">
      <c r="B174" s="2048" t="s">
        <v>167</v>
      </c>
      <c r="C174" s="2611">
        <v>25770.459216529995</v>
      </c>
      <c r="D174" s="2607">
        <v>16293.225427373001</v>
      </c>
      <c r="E174" s="2607">
        <v>3275.9848551599994</v>
      </c>
      <c r="F174" s="2607">
        <v>609.54448858000001</v>
      </c>
      <c r="G174" s="2607">
        <v>0</v>
      </c>
      <c r="H174" s="2607">
        <v>0</v>
      </c>
      <c r="I174" s="2607">
        <v>0</v>
      </c>
      <c r="J174" s="2607">
        <v>0</v>
      </c>
      <c r="K174" s="2607">
        <v>0</v>
      </c>
      <c r="L174" s="2607">
        <v>3053.6385388399999</v>
      </c>
      <c r="M174" s="2609">
        <v>2538.0659065769942</v>
      </c>
      <c r="N174" s="2045"/>
      <c r="O174" s="3997"/>
    </row>
    <row r="175" spans="1:16" s="2019" customFormat="1" ht="17.25" hidden="1" customHeight="1">
      <c r="B175" s="2048" t="s">
        <v>168</v>
      </c>
      <c r="C175" s="2611">
        <v>27640.875388789991</v>
      </c>
      <c r="D175" s="2607">
        <v>18391.246070042995</v>
      </c>
      <c r="E175" s="2607">
        <v>3275.8943359999994</v>
      </c>
      <c r="F175" s="2607">
        <v>561.23142189000009</v>
      </c>
      <c r="G175" s="2607">
        <v>0</v>
      </c>
      <c r="H175" s="2607">
        <v>0</v>
      </c>
      <c r="I175" s="2607">
        <v>0</v>
      </c>
      <c r="J175" s="2607">
        <v>0</v>
      </c>
      <c r="K175" s="2607">
        <v>0</v>
      </c>
      <c r="L175" s="2607">
        <v>3103.6617768999995</v>
      </c>
      <c r="M175" s="2609">
        <v>2308.8417839569993</v>
      </c>
      <c r="N175" s="2045"/>
      <c r="O175" s="3997"/>
    </row>
    <row r="176" spans="1:16" s="2019" customFormat="1" ht="17.25" hidden="1" customHeight="1">
      <c r="B176" s="2048" t="s">
        <v>169</v>
      </c>
      <c r="C176" s="2611">
        <v>27530.278604189993</v>
      </c>
      <c r="D176" s="2607">
        <v>17322.364118579004</v>
      </c>
      <c r="E176" s="2607">
        <v>3833.9535477399995</v>
      </c>
      <c r="F176" s="2607">
        <v>675.01828938999995</v>
      </c>
      <c r="G176" s="2607">
        <v>0</v>
      </c>
      <c r="H176" s="2607">
        <v>0</v>
      </c>
      <c r="I176" s="2607">
        <v>0</v>
      </c>
      <c r="J176" s="2607">
        <v>0</v>
      </c>
      <c r="K176" s="2607">
        <v>0</v>
      </c>
      <c r="L176" s="2607">
        <v>3450.6323252500001</v>
      </c>
      <c r="M176" s="2609">
        <v>2248.3103232309913</v>
      </c>
      <c r="N176" s="2045"/>
      <c r="O176" s="3997"/>
    </row>
    <row r="177" spans="1:15" s="2019" customFormat="1" ht="17.25" hidden="1" customHeight="1">
      <c r="B177" s="2048" t="s">
        <v>170</v>
      </c>
      <c r="C177" s="2611">
        <v>28417.622412880002</v>
      </c>
      <c r="D177" s="2607">
        <v>16967.556509156999</v>
      </c>
      <c r="E177" s="2607">
        <v>3871.7417201199996</v>
      </c>
      <c r="F177" s="2607">
        <v>724.15848670000003</v>
      </c>
      <c r="G177" s="2607">
        <v>0</v>
      </c>
      <c r="H177" s="2607">
        <v>0</v>
      </c>
      <c r="I177" s="2607">
        <v>0</v>
      </c>
      <c r="J177" s="2607">
        <v>0</v>
      </c>
      <c r="K177" s="2607">
        <v>0</v>
      </c>
      <c r="L177" s="2607">
        <v>3497.6745855099998</v>
      </c>
      <c r="M177" s="2609">
        <v>3356.4911113930066</v>
      </c>
      <c r="N177" s="2045"/>
      <c r="O177" s="3997"/>
    </row>
    <row r="178" spans="1:15" s="2019" customFormat="1" ht="17.25" hidden="1" customHeight="1">
      <c r="B178" s="2048" t="s">
        <v>171</v>
      </c>
      <c r="C178" s="2611">
        <v>29795.596598625998</v>
      </c>
      <c r="D178" s="2607">
        <v>18287.006003766997</v>
      </c>
      <c r="E178" s="2607">
        <v>3887.6956694300002</v>
      </c>
      <c r="F178" s="2607">
        <v>677.73929863000001</v>
      </c>
      <c r="G178" s="2607">
        <v>0</v>
      </c>
      <c r="H178" s="2607">
        <v>0</v>
      </c>
      <c r="I178" s="2607">
        <v>0</v>
      </c>
      <c r="J178" s="2607">
        <v>0</v>
      </c>
      <c r="K178" s="2607">
        <v>0</v>
      </c>
      <c r="L178" s="2607">
        <v>3291.5415071300004</v>
      </c>
      <c r="M178" s="2609">
        <v>3651.6141196690005</v>
      </c>
      <c r="N178" s="2045"/>
      <c r="O178" s="3997"/>
    </row>
    <row r="179" spans="1:15" s="2019" customFormat="1" ht="17.25" customHeight="1">
      <c r="B179" s="2431">
        <v>2012</v>
      </c>
      <c r="C179" s="2611">
        <v>27571.827341289998</v>
      </c>
      <c r="D179" s="2607">
        <v>17776.488690024999</v>
      </c>
      <c r="E179" s="2607">
        <v>3971.7578940399999</v>
      </c>
      <c r="F179" s="2607">
        <v>657.72437790999993</v>
      </c>
      <c r="G179" s="2607">
        <v>0</v>
      </c>
      <c r="H179" s="2607">
        <v>0</v>
      </c>
      <c r="I179" s="2607">
        <v>0</v>
      </c>
      <c r="J179" s="2607">
        <v>0</v>
      </c>
      <c r="K179" s="2607">
        <v>0</v>
      </c>
      <c r="L179" s="2607">
        <v>3451.4215110500004</v>
      </c>
      <c r="M179" s="2609">
        <v>1714.4348682650016</v>
      </c>
      <c r="N179" s="2045"/>
      <c r="O179" s="3997"/>
    </row>
    <row r="180" spans="1:15" ht="17.25" customHeight="1">
      <c r="A180" s="2019"/>
      <c r="B180" s="2426">
        <v>2013</v>
      </c>
      <c r="C180" s="2598"/>
      <c r="D180" s="2599"/>
      <c r="E180" s="2599"/>
      <c r="F180" s="2599"/>
      <c r="G180" s="2599"/>
      <c r="H180" s="2599"/>
      <c r="I180" s="2599"/>
      <c r="J180" s="2599"/>
      <c r="K180" s="2599"/>
      <c r="L180" s="2599"/>
      <c r="M180" s="2599"/>
      <c r="N180" s="2019"/>
      <c r="O180" s="3997"/>
    </row>
    <row r="181" spans="1:15" ht="17.25" customHeight="1">
      <c r="A181" s="2019"/>
      <c r="B181" s="2048" t="s">
        <v>161</v>
      </c>
      <c r="C181" s="2598">
        <v>26248.292524875993</v>
      </c>
      <c r="D181" s="2599">
        <v>15427.656774693001</v>
      </c>
      <c r="E181" s="2599">
        <v>4078.2828072499997</v>
      </c>
      <c r="F181" s="2599">
        <v>750.86343197999997</v>
      </c>
      <c r="G181" s="2599">
        <v>0</v>
      </c>
      <c r="H181" s="2599">
        <v>0</v>
      </c>
      <c r="I181" s="2599">
        <v>0</v>
      </c>
      <c r="J181" s="2599">
        <v>0</v>
      </c>
      <c r="K181" s="2599">
        <v>0</v>
      </c>
      <c r="L181" s="2599">
        <v>3687.0558726198997</v>
      </c>
      <c r="M181" s="2599">
        <v>2304.4336383330956</v>
      </c>
      <c r="N181" s="2019"/>
      <c r="O181" s="3997"/>
    </row>
    <row r="182" spans="1:15" ht="17.25" customHeight="1">
      <c r="A182" s="2019"/>
      <c r="B182" s="2048" t="s">
        <v>162</v>
      </c>
      <c r="C182" s="2598">
        <v>25299.767084465999</v>
      </c>
      <c r="D182" s="2599">
        <v>13868.656487150001</v>
      </c>
      <c r="E182" s="2599">
        <v>4112.4464866099997</v>
      </c>
      <c r="F182" s="2599">
        <v>684.89822430999993</v>
      </c>
      <c r="G182" s="2599">
        <v>0</v>
      </c>
      <c r="H182" s="2599">
        <v>0</v>
      </c>
      <c r="I182" s="2599">
        <v>0</v>
      </c>
      <c r="J182" s="2599">
        <v>0</v>
      </c>
      <c r="K182" s="2599">
        <v>0</v>
      </c>
      <c r="L182" s="2599">
        <v>3567.5656886721999</v>
      </c>
      <c r="M182" s="2599">
        <v>3066.2001977237996</v>
      </c>
      <c r="N182" s="2019"/>
      <c r="O182" s="3997"/>
    </row>
    <row r="183" spans="1:15" ht="17.25" customHeight="1">
      <c r="A183" s="2019"/>
      <c r="B183" s="2387" t="s">
        <v>163</v>
      </c>
      <c r="C183" s="2615">
        <v>28469.265423955996</v>
      </c>
      <c r="D183" s="2616">
        <v>16812.231833860998</v>
      </c>
      <c r="E183" s="2616">
        <v>3939.27344047</v>
      </c>
      <c r="F183" s="2616">
        <v>838.01499646000002</v>
      </c>
      <c r="G183" s="2616">
        <v>0</v>
      </c>
      <c r="H183" s="2616">
        <v>0</v>
      </c>
      <c r="I183" s="2616">
        <v>0</v>
      </c>
      <c r="J183" s="2616">
        <v>0</v>
      </c>
      <c r="K183" s="2616">
        <v>0</v>
      </c>
      <c r="L183" s="2616">
        <v>3716.1144715056002</v>
      </c>
      <c r="M183" s="2616">
        <v>3163.6306816594006</v>
      </c>
      <c r="N183" s="2019"/>
      <c r="O183" s="3997"/>
    </row>
    <row r="184" spans="1:15" ht="17.25" customHeight="1">
      <c r="A184" s="2019"/>
      <c r="B184" s="2387" t="s">
        <v>164</v>
      </c>
      <c r="C184" s="2615">
        <v>25395.46645863599</v>
      </c>
      <c r="D184" s="2616">
        <v>14956.074104934001</v>
      </c>
      <c r="E184" s="2616">
        <v>3821.0884746900001</v>
      </c>
      <c r="F184" s="2616">
        <v>877.28577435</v>
      </c>
      <c r="G184" s="2616">
        <v>0</v>
      </c>
      <c r="H184" s="2616">
        <v>0</v>
      </c>
      <c r="I184" s="2616">
        <v>0</v>
      </c>
      <c r="J184" s="2616">
        <v>0</v>
      </c>
      <c r="K184" s="2616">
        <v>0</v>
      </c>
      <c r="L184" s="2616">
        <v>3754.0729152699996</v>
      </c>
      <c r="M184" s="2616">
        <v>1986.9451893919904</v>
      </c>
      <c r="N184" s="2019"/>
      <c r="O184" s="3997"/>
    </row>
    <row r="185" spans="1:15" ht="17.25" customHeight="1">
      <c r="A185" s="2019"/>
      <c r="B185" s="2387" t="s">
        <v>165</v>
      </c>
      <c r="C185" s="2615">
        <v>26748.909099916</v>
      </c>
      <c r="D185" s="2616">
        <v>15753.828172973001</v>
      </c>
      <c r="E185" s="2616">
        <v>3844.7378203500002</v>
      </c>
      <c r="F185" s="2616">
        <v>849.45743027000003</v>
      </c>
      <c r="G185" s="2616">
        <v>0</v>
      </c>
      <c r="H185" s="2616">
        <v>0</v>
      </c>
      <c r="I185" s="2616">
        <v>0</v>
      </c>
      <c r="J185" s="2616">
        <v>0</v>
      </c>
      <c r="K185" s="2616">
        <v>0</v>
      </c>
      <c r="L185" s="2616">
        <v>3670.7833331331503</v>
      </c>
      <c r="M185" s="2616">
        <v>2630.1023431898502</v>
      </c>
      <c r="N185" s="2019"/>
      <c r="O185" s="3997"/>
    </row>
    <row r="186" spans="1:15" ht="17.25" customHeight="1">
      <c r="A186" s="2019"/>
      <c r="B186" s="2758" t="s">
        <v>166</v>
      </c>
      <c r="C186" s="2759">
        <v>33291.712624749998</v>
      </c>
      <c r="D186" s="2760">
        <v>22129.848397804999</v>
      </c>
      <c r="E186" s="2760">
        <v>3894.8597979799997</v>
      </c>
      <c r="F186" s="2760">
        <v>789.37405110999998</v>
      </c>
      <c r="G186" s="2760">
        <v>0</v>
      </c>
      <c r="H186" s="2760">
        <v>0</v>
      </c>
      <c r="I186" s="2760">
        <v>0</v>
      </c>
      <c r="J186" s="2760">
        <v>0</v>
      </c>
      <c r="K186" s="2760">
        <v>0</v>
      </c>
      <c r="L186" s="2760">
        <v>3783.5943399999996</v>
      </c>
      <c r="M186" s="2760">
        <v>2694.0360378549994</v>
      </c>
      <c r="N186" s="2019"/>
      <c r="O186" s="3997"/>
    </row>
    <row r="187" spans="1:15" ht="17.25" customHeight="1">
      <c r="A187" s="2019"/>
      <c r="B187" s="2758" t="s">
        <v>167</v>
      </c>
      <c r="C187" s="2759">
        <v>26979.269188049995</v>
      </c>
      <c r="D187" s="2760">
        <v>16923.672118316998</v>
      </c>
      <c r="E187" s="2760">
        <v>4578.9853632300001</v>
      </c>
      <c r="F187" s="2760">
        <v>597.83341333999999</v>
      </c>
      <c r="G187" s="2760">
        <v>0</v>
      </c>
      <c r="H187" s="2760">
        <v>0</v>
      </c>
      <c r="I187" s="2760">
        <v>0</v>
      </c>
      <c r="J187" s="2760">
        <v>0</v>
      </c>
      <c r="K187" s="2760">
        <v>0</v>
      </c>
      <c r="L187" s="2760">
        <v>3664.8673490000001</v>
      </c>
      <c r="M187" s="2760">
        <v>1213.9109441629989</v>
      </c>
      <c r="N187" s="2019"/>
      <c r="O187" s="3997"/>
    </row>
    <row r="188" spans="1:15" ht="17.25" customHeight="1">
      <c r="A188" s="2019"/>
      <c r="B188" s="2758" t="s">
        <v>168</v>
      </c>
      <c r="C188" s="2759">
        <v>28494.092035196001</v>
      </c>
      <c r="D188" s="2760">
        <v>16766.098209236996</v>
      </c>
      <c r="E188" s="2760">
        <v>4831.3498997000006</v>
      </c>
      <c r="F188" s="2760">
        <v>838.81489533999991</v>
      </c>
      <c r="G188" s="2760">
        <v>0</v>
      </c>
      <c r="H188" s="2760">
        <v>0</v>
      </c>
      <c r="I188" s="2760">
        <v>0</v>
      </c>
      <c r="J188" s="2760">
        <v>0</v>
      </c>
      <c r="K188" s="2760">
        <v>0</v>
      </c>
      <c r="L188" s="2760">
        <v>3755.21703333</v>
      </c>
      <c r="M188" s="2760">
        <v>2302.6119975890033</v>
      </c>
      <c r="N188" s="2019"/>
      <c r="O188" s="3997"/>
    </row>
    <row r="189" spans="1:15" ht="17.25" customHeight="1">
      <c r="A189" s="2019"/>
      <c r="B189" s="2758" t="s">
        <v>169</v>
      </c>
      <c r="C189" s="2759">
        <v>29932.863760635999</v>
      </c>
      <c r="D189" s="2760">
        <v>17931.172911324</v>
      </c>
      <c r="E189" s="2760">
        <v>4454.0729683800009</v>
      </c>
      <c r="F189" s="2760">
        <v>833.39480623999998</v>
      </c>
      <c r="G189" s="2760">
        <v>0</v>
      </c>
      <c r="H189" s="2760">
        <v>0</v>
      </c>
      <c r="I189" s="2760">
        <v>0</v>
      </c>
      <c r="J189" s="2760">
        <v>0</v>
      </c>
      <c r="K189" s="2760">
        <v>0</v>
      </c>
      <c r="L189" s="2760">
        <v>3737.5626661000001</v>
      </c>
      <c r="M189" s="2760">
        <v>2976.6604085919971</v>
      </c>
      <c r="N189" s="2019"/>
      <c r="O189" s="3997"/>
    </row>
    <row r="190" spans="1:15" ht="17.25" customHeight="1">
      <c r="A190" s="2019"/>
      <c r="B190" s="2758" t="s">
        <v>170</v>
      </c>
      <c r="C190" s="2759">
        <v>30000.810827096007</v>
      </c>
      <c r="D190" s="2760">
        <v>18701.602651403999</v>
      </c>
      <c r="E190" s="2760">
        <v>6174.7564058000016</v>
      </c>
      <c r="F190" s="2760">
        <v>784.12860368000008</v>
      </c>
      <c r="G190" s="2760">
        <v>0</v>
      </c>
      <c r="H190" s="2760">
        <v>0</v>
      </c>
      <c r="I190" s="2760">
        <v>0</v>
      </c>
      <c r="J190" s="2760">
        <v>0</v>
      </c>
      <c r="K190" s="2760">
        <v>0</v>
      </c>
      <c r="L190" s="2760">
        <v>3738.75604406</v>
      </c>
      <c r="M190" s="2760">
        <v>601.56712215200605</v>
      </c>
      <c r="N190" s="2019"/>
      <c r="O190" s="3997"/>
    </row>
    <row r="191" spans="1:15" ht="17.25" customHeight="1">
      <c r="A191" s="2019"/>
      <c r="B191" s="2758" t="s">
        <v>171</v>
      </c>
      <c r="C191" s="2759">
        <v>31260.172855650002</v>
      </c>
      <c r="D191" s="2760">
        <v>16105.845752071</v>
      </c>
      <c r="E191" s="2760">
        <v>7085.3035561199995</v>
      </c>
      <c r="F191" s="2760">
        <v>871.43378158000007</v>
      </c>
      <c r="G191" s="2760">
        <v>0</v>
      </c>
      <c r="H191" s="2760">
        <v>0</v>
      </c>
      <c r="I191" s="2760">
        <v>0</v>
      </c>
      <c r="J191" s="2760">
        <v>0</v>
      </c>
      <c r="K191" s="2760">
        <v>0</v>
      </c>
      <c r="L191" s="2760">
        <v>3850.1335658600001</v>
      </c>
      <c r="M191" s="2760">
        <v>3347.4562000190017</v>
      </c>
      <c r="N191" s="2019"/>
      <c r="O191" s="3997"/>
    </row>
    <row r="192" spans="1:15" ht="17.25" customHeight="1">
      <c r="A192" s="2019"/>
      <c r="B192" s="2758" t="s">
        <v>148</v>
      </c>
      <c r="C192" s="2759">
        <v>30367.154039999998</v>
      </c>
      <c r="D192" s="2760">
        <v>17453.851521002001</v>
      </c>
      <c r="E192" s="2760">
        <v>6666.380966409999</v>
      </c>
      <c r="F192" s="2760">
        <v>542.39662747</v>
      </c>
      <c r="G192" s="2760">
        <v>0</v>
      </c>
      <c r="H192" s="2760">
        <v>0</v>
      </c>
      <c r="I192" s="2760">
        <v>0</v>
      </c>
      <c r="J192" s="2760">
        <v>0</v>
      </c>
      <c r="K192" s="2760">
        <v>0</v>
      </c>
      <c r="L192" s="2760">
        <v>3776.9251497400001</v>
      </c>
      <c r="M192" s="2760">
        <v>1927.5997753779957</v>
      </c>
      <c r="N192" s="2019"/>
      <c r="O192" s="3997"/>
    </row>
    <row r="193" spans="1:15" ht="17.25" customHeight="1">
      <c r="A193" s="2019"/>
      <c r="B193" s="2916">
        <v>2014</v>
      </c>
      <c r="C193" s="2759"/>
      <c r="D193" s="2760"/>
      <c r="E193" s="2760"/>
      <c r="F193" s="2760"/>
      <c r="G193" s="2760"/>
      <c r="H193" s="2760"/>
      <c r="I193" s="2760"/>
      <c r="J193" s="2760"/>
      <c r="K193" s="2760"/>
      <c r="L193" s="2760"/>
      <c r="M193" s="2760"/>
      <c r="N193" s="2019"/>
      <c r="O193" s="3997"/>
    </row>
    <row r="194" spans="1:15" ht="17.25" customHeight="1">
      <c r="A194" s="2019"/>
      <c r="B194" s="2758" t="s">
        <v>161</v>
      </c>
      <c r="C194" s="2759">
        <v>33184.365325170002</v>
      </c>
      <c r="D194" s="2760">
        <v>19398.203366802001</v>
      </c>
      <c r="E194" s="2760">
        <v>6583.6978413100005</v>
      </c>
      <c r="F194" s="2760">
        <v>736.07231911000008</v>
      </c>
      <c r="G194" s="2760">
        <v>0</v>
      </c>
      <c r="H194" s="2760">
        <v>0</v>
      </c>
      <c r="I194" s="2760">
        <v>0</v>
      </c>
      <c r="J194" s="2760">
        <v>0</v>
      </c>
      <c r="K194" s="2760">
        <v>0</v>
      </c>
      <c r="L194" s="2760">
        <v>3521.0630704851669</v>
      </c>
      <c r="M194" s="2760">
        <v>2945.328727462831</v>
      </c>
      <c r="N194" s="2019"/>
      <c r="O194" s="3997"/>
    </row>
    <row r="195" spans="1:15" ht="17.25" customHeight="1">
      <c r="A195" s="2019"/>
      <c r="B195" s="2758" t="s">
        <v>162</v>
      </c>
      <c r="C195" s="2759">
        <v>32808.983123780003</v>
      </c>
      <c r="D195" s="2760">
        <v>17346.228890471997</v>
      </c>
      <c r="E195" s="2760">
        <v>6715.4150605879995</v>
      </c>
      <c r="F195" s="2760">
        <v>1421.24246425</v>
      </c>
      <c r="G195" s="2760">
        <v>0</v>
      </c>
      <c r="H195" s="2760">
        <v>0</v>
      </c>
      <c r="I195" s="2760">
        <v>0</v>
      </c>
      <c r="J195" s="2760">
        <v>0</v>
      </c>
      <c r="K195" s="2760">
        <v>0</v>
      </c>
      <c r="L195" s="2760">
        <v>3903.6084355988332</v>
      </c>
      <c r="M195" s="2760">
        <v>3422.4882728711746</v>
      </c>
      <c r="N195" s="2019"/>
      <c r="O195" s="3997"/>
    </row>
    <row r="196" spans="1:15" ht="17.25" customHeight="1">
      <c r="A196" s="2019"/>
      <c r="B196" s="2758" t="s">
        <v>163</v>
      </c>
      <c r="C196" s="2759">
        <v>30300.495850290001</v>
      </c>
      <c r="D196" s="2760">
        <v>16873.678839952001</v>
      </c>
      <c r="E196" s="2760">
        <v>5395.6840526280002</v>
      </c>
      <c r="F196" s="2760">
        <v>1228.7610814500001</v>
      </c>
      <c r="G196" s="2760">
        <v>0</v>
      </c>
      <c r="H196" s="2760">
        <v>0</v>
      </c>
      <c r="I196" s="2760">
        <v>0</v>
      </c>
      <c r="J196" s="2760">
        <v>0</v>
      </c>
      <c r="K196" s="2760">
        <v>0</v>
      </c>
      <c r="L196" s="2760">
        <v>3792.9268186262998</v>
      </c>
      <c r="M196" s="2760">
        <v>3009.4450576337003</v>
      </c>
      <c r="N196" s="2019"/>
      <c r="O196" s="3997"/>
    </row>
    <row r="197" spans="1:15" ht="17.25" customHeight="1">
      <c r="A197" s="2019"/>
      <c r="B197" s="2758" t="s">
        <v>164</v>
      </c>
      <c r="C197" s="2759">
        <v>31724.701749429994</v>
      </c>
      <c r="D197" s="2760">
        <v>17115.836192814</v>
      </c>
      <c r="E197" s="2760">
        <v>5787.9977424480003</v>
      </c>
      <c r="F197" s="2760">
        <v>1256.0947716600001</v>
      </c>
      <c r="G197" s="2760">
        <v>0</v>
      </c>
      <c r="H197" s="2760">
        <v>0</v>
      </c>
      <c r="I197" s="2760">
        <v>0</v>
      </c>
      <c r="J197" s="2760">
        <v>0</v>
      </c>
      <c r="K197" s="2760">
        <v>0</v>
      </c>
      <c r="L197" s="2760">
        <v>4470.0607718706669</v>
      </c>
      <c r="M197" s="2760">
        <v>3094.7122706373266</v>
      </c>
      <c r="N197" s="2019"/>
      <c r="O197" s="3997"/>
    </row>
    <row r="198" spans="1:15" ht="17.25" customHeight="1">
      <c r="A198" s="2019"/>
      <c r="B198" s="2758" t="s">
        <v>165</v>
      </c>
      <c r="C198" s="2759">
        <v>35223.115788229989</v>
      </c>
      <c r="D198" s="2760">
        <v>20744.269757449998</v>
      </c>
      <c r="E198" s="2760">
        <v>5821.608602719999</v>
      </c>
      <c r="F198" s="2760">
        <v>1164.1532623599999</v>
      </c>
      <c r="G198" s="2760">
        <v>0</v>
      </c>
      <c r="H198" s="2760">
        <v>0</v>
      </c>
      <c r="I198" s="2760">
        <v>0</v>
      </c>
      <c r="J198" s="2760">
        <v>0</v>
      </c>
      <c r="K198" s="2760">
        <v>0</v>
      </c>
      <c r="L198" s="2760">
        <v>4333.0781838000003</v>
      </c>
      <c r="M198" s="2760">
        <v>3160.0059818999907</v>
      </c>
      <c r="N198" s="2019"/>
      <c r="O198" s="3997"/>
    </row>
    <row r="199" spans="1:15" ht="17.25" customHeight="1">
      <c r="A199" s="2019"/>
      <c r="B199" s="2758" t="s">
        <v>166</v>
      </c>
      <c r="C199" s="2759">
        <v>37423.346829443995</v>
      </c>
      <c r="D199" s="2760">
        <v>20681.088347569999</v>
      </c>
      <c r="E199" s="2760">
        <v>5958.6011080299995</v>
      </c>
      <c r="F199" s="2760">
        <v>1135.6701176199999</v>
      </c>
      <c r="G199" s="2760">
        <v>0</v>
      </c>
      <c r="H199" s="2760">
        <v>0</v>
      </c>
      <c r="I199" s="2760">
        <v>0</v>
      </c>
      <c r="J199" s="2760">
        <v>0</v>
      </c>
      <c r="K199" s="2760">
        <v>0</v>
      </c>
      <c r="L199" s="2760">
        <v>4332.7905914500006</v>
      </c>
      <c r="M199" s="2760">
        <v>5315.1966647739973</v>
      </c>
      <c r="N199" s="2019"/>
      <c r="O199" s="3997"/>
    </row>
    <row r="200" spans="1:15" ht="17.25" customHeight="1">
      <c r="A200" s="2019"/>
      <c r="B200" s="2758" t="s">
        <v>167</v>
      </c>
      <c r="C200" s="2759">
        <v>37488.399967254467</v>
      </c>
      <c r="D200" s="2760">
        <v>21058.459549187999</v>
      </c>
      <c r="E200" s="2760">
        <v>7177.7836642579996</v>
      </c>
      <c r="F200" s="2760">
        <v>1183.0506375299999</v>
      </c>
      <c r="G200" s="2760">
        <v>0</v>
      </c>
      <c r="H200" s="2760">
        <v>0</v>
      </c>
      <c r="I200" s="2760">
        <v>0</v>
      </c>
      <c r="J200" s="2760">
        <v>0</v>
      </c>
      <c r="K200" s="2760">
        <v>0</v>
      </c>
      <c r="L200" s="2760">
        <v>4502.7463584824491</v>
      </c>
      <c r="M200" s="2760">
        <v>3566.3597577960172</v>
      </c>
      <c r="N200" s="2019"/>
      <c r="O200" s="3997"/>
    </row>
    <row r="201" spans="1:15">
      <c r="A201" s="2019"/>
      <c r="B201" s="2758" t="s">
        <v>168</v>
      </c>
      <c r="C201" s="2759">
        <v>35895.984455489997</v>
      </c>
      <c r="D201" s="2760">
        <v>20748.057491618012</v>
      </c>
      <c r="E201" s="2760">
        <v>7847.6804882180013</v>
      </c>
      <c r="F201" s="2760">
        <v>625.32162896999989</v>
      </c>
      <c r="G201" s="2760">
        <v>0</v>
      </c>
      <c r="H201" s="2760">
        <v>0</v>
      </c>
      <c r="I201" s="2760">
        <v>0</v>
      </c>
      <c r="J201" s="2760">
        <v>0</v>
      </c>
      <c r="K201" s="2760">
        <v>0</v>
      </c>
      <c r="L201" s="2760">
        <v>4576.7441307399995</v>
      </c>
      <c r="M201" s="2760">
        <v>2098.180715943985</v>
      </c>
      <c r="N201" s="2019"/>
      <c r="O201" s="3997"/>
    </row>
    <row r="202" spans="1:15">
      <c r="A202" s="2019"/>
      <c r="B202" s="2758" t="s">
        <v>169</v>
      </c>
      <c r="C202" s="2759">
        <v>41084.731755675501</v>
      </c>
      <c r="D202" s="2760">
        <v>23152.088398167994</v>
      </c>
      <c r="E202" s="2760">
        <v>7303.9009041980007</v>
      </c>
      <c r="F202" s="2760">
        <v>616.72172049000005</v>
      </c>
      <c r="G202" s="2760">
        <v>0</v>
      </c>
      <c r="H202" s="2760">
        <v>0</v>
      </c>
      <c r="I202" s="2760">
        <v>0</v>
      </c>
      <c r="J202" s="2760">
        <v>0</v>
      </c>
      <c r="K202" s="2760">
        <v>0</v>
      </c>
      <c r="L202" s="2760">
        <v>4562.0219954154991</v>
      </c>
      <c r="M202" s="2760">
        <v>5449.9987374040065</v>
      </c>
      <c r="N202" s="2019"/>
      <c r="O202" s="3997"/>
    </row>
    <row r="203" spans="1:15">
      <c r="A203" s="2019"/>
      <c r="B203" s="2758" t="s">
        <v>170</v>
      </c>
      <c r="C203" s="2759">
        <v>39430.29074655001</v>
      </c>
      <c r="D203" s="2760">
        <v>23254.802953509989</v>
      </c>
      <c r="E203" s="2760">
        <v>7726.4200370500002</v>
      </c>
      <c r="F203" s="2760">
        <v>0</v>
      </c>
      <c r="G203" s="2760">
        <v>0</v>
      </c>
      <c r="H203" s="2760">
        <v>0</v>
      </c>
      <c r="I203" s="2760">
        <v>0</v>
      </c>
      <c r="J203" s="2760">
        <v>0</v>
      </c>
      <c r="K203" s="2760">
        <v>0</v>
      </c>
      <c r="L203" s="2760">
        <v>4653.9340219900014</v>
      </c>
      <c r="M203" s="2760">
        <v>3795.1337340000173</v>
      </c>
      <c r="N203" s="2019"/>
      <c r="O203" s="3997"/>
    </row>
    <row r="204" spans="1:15">
      <c r="A204" s="2019"/>
      <c r="B204" s="2758" t="s">
        <v>171</v>
      </c>
      <c r="C204" s="2759">
        <v>42546.701779330004</v>
      </c>
      <c r="D204" s="2760">
        <v>25415.173621258</v>
      </c>
      <c r="E204" s="2760">
        <v>7690.7659610480005</v>
      </c>
      <c r="F204" s="2760">
        <v>0</v>
      </c>
      <c r="G204" s="2760">
        <v>0</v>
      </c>
      <c r="H204" s="2760">
        <v>0</v>
      </c>
      <c r="I204" s="2760">
        <v>0</v>
      </c>
      <c r="J204" s="2760">
        <v>0</v>
      </c>
      <c r="K204" s="2760">
        <v>0</v>
      </c>
      <c r="L204" s="2760">
        <v>4800.0114662473488</v>
      </c>
      <c r="M204" s="2760">
        <v>4640.75073077665</v>
      </c>
      <c r="N204" s="2019"/>
      <c r="O204" s="3997"/>
    </row>
    <row r="205" spans="1:15">
      <c r="A205" s="2019"/>
      <c r="B205" s="2758" t="s">
        <v>148</v>
      </c>
      <c r="C205" s="2759">
        <v>39496.058182879991</v>
      </c>
      <c r="D205" s="2760">
        <v>23364.322465368001</v>
      </c>
      <c r="E205" s="2760">
        <v>7778.6357029579995</v>
      </c>
      <c r="F205" s="2760">
        <v>676.29686678999997</v>
      </c>
      <c r="G205" s="2760">
        <v>0</v>
      </c>
      <c r="H205" s="2760">
        <v>0</v>
      </c>
      <c r="I205" s="2760">
        <v>0</v>
      </c>
      <c r="J205" s="2760">
        <v>0</v>
      </c>
      <c r="K205" s="2760">
        <v>0</v>
      </c>
      <c r="L205" s="2760">
        <v>4614.1718639771843</v>
      </c>
      <c r="M205" s="2760">
        <v>3062.6312837868099</v>
      </c>
      <c r="N205" s="2019"/>
      <c r="O205" s="3997"/>
    </row>
    <row r="206" spans="1:15">
      <c r="A206" s="2019"/>
      <c r="B206" s="2916">
        <v>2015</v>
      </c>
      <c r="C206" s="2759"/>
      <c r="D206" s="2760"/>
      <c r="E206" s="2760"/>
      <c r="F206" s="2760"/>
      <c r="G206" s="2760"/>
      <c r="H206" s="2760"/>
      <c r="I206" s="2760"/>
      <c r="J206" s="2760"/>
      <c r="K206" s="2760"/>
      <c r="L206" s="2760"/>
      <c r="M206" s="2760"/>
      <c r="N206" s="2019"/>
      <c r="O206" s="3997"/>
    </row>
    <row r="207" spans="1:15">
      <c r="A207" s="2019"/>
      <c r="B207" s="2758" t="s">
        <v>161</v>
      </c>
      <c r="C207" s="2759">
        <v>37542.347863700008</v>
      </c>
      <c r="D207" s="2760">
        <v>25449.125949307996</v>
      </c>
      <c r="E207" s="2760">
        <v>7813.7739185680002</v>
      </c>
      <c r="F207" s="2760">
        <v>692.50886861999993</v>
      </c>
      <c r="G207" s="2760">
        <v>0</v>
      </c>
      <c r="H207" s="2760">
        <v>0</v>
      </c>
      <c r="I207" s="2760">
        <v>0</v>
      </c>
      <c r="J207" s="2760">
        <v>0</v>
      </c>
      <c r="K207" s="2760">
        <v>0</v>
      </c>
      <c r="L207" s="2760">
        <v>4926.9718744207048</v>
      </c>
      <c r="M207" s="2760">
        <v>-1340.0327472166973</v>
      </c>
      <c r="N207" s="2019"/>
      <c r="O207" s="3997"/>
    </row>
    <row r="208" spans="1:15">
      <c r="A208" s="2019"/>
      <c r="B208" s="2758" t="s">
        <v>162</v>
      </c>
      <c r="C208" s="2759">
        <v>36667.794269419996</v>
      </c>
      <c r="D208" s="2760">
        <v>21154.668608968001</v>
      </c>
      <c r="E208" s="2760">
        <v>7734.3736399880008</v>
      </c>
      <c r="F208" s="2760">
        <v>668.38869831999989</v>
      </c>
      <c r="G208" s="2760">
        <v>0</v>
      </c>
      <c r="H208" s="2760">
        <v>0</v>
      </c>
      <c r="I208" s="2760">
        <v>0</v>
      </c>
      <c r="J208" s="2760">
        <v>0</v>
      </c>
      <c r="K208" s="2760">
        <v>0</v>
      </c>
      <c r="L208" s="2760">
        <v>4973.5152358663536</v>
      </c>
      <c r="M208" s="2760">
        <v>2136.8480862776414</v>
      </c>
      <c r="N208" s="2019"/>
      <c r="O208" s="3997"/>
    </row>
    <row r="209" spans="1:15">
      <c r="A209" s="2019"/>
      <c r="B209" s="2758" t="s">
        <v>163</v>
      </c>
      <c r="C209" s="2759">
        <v>35169.028466359996</v>
      </c>
      <c r="D209" s="2760">
        <v>19259.545212217989</v>
      </c>
      <c r="E209" s="2760">
        <v>7823.1545396379997</v>
      </c>
      <c r="F209" s="2760">
        <v>813.80143811999983</v>
      </c>
      <c r="G209" s="2760">
        <v>0</v>
      </c>
      <c r="H209" s="2760">
        <v>0</v>
      </c>
      <c r="I209" s="2760">
        <v>0</v>
      </c>
      <c r="J209" s="2760">
        <v>0</v>
      </c>
      <c r="K209" s="2760">
        <v>0</v>
      </c>
      <c r="L209" s="2760">
        <v>4495.8256242084481</v>
      </c>
      <c r="M209" s="2760">
        <v>2776.7016521755577</v>
      </c>
      <c r="N209" s="2019"/>
      <c r="O209" s="3997"/>
    </row>
    <row r="210" spans="1:15">
      <c r="A210" s="2019"/>
      <c r="B210" s="2758" t="s">
        <v>164</v>
      </c>
      <c r="C210" s="2759">
        <v>36171.327831770002</v>
      </c>
      <c r="D210" s="2760">
        <v>20747.67110292799</v>
      </c>
      <c r="E210" s="2760">
        <v>7977.0212470680008</v>
      </c>
      <c r="F210" s="2760">
        <v>762.47980438000002</v>
      </c>
      <c r="G210" s="2760">
        <v>0</v>
      </c>
      <c r="H210" s="2760">
        <v>0</v>
      </c>
      <c r="I210" s="2760">
        <v>0</v>
      </c>
      <c r="J210" s="2760">
        <v>0</v>
      </c>
      <c r="K210" s="2760">
        <v>0</v>
      </c>
      <c r="L210" s="2760">
        <v>4559.882550015891</v>
      </c>
      <c r="M210" s="2760">
        <v>2124.2731273781174</v>
      </c>
      <c r="N210" s="2019"/>
      <c r="O210" s="3997"/>
    </row>
    <row r="211" spans="1:15">
      <c r="A211" s="2019"/>
      <c r="B211" s="2758" t="s">
        <v>165</v>
      </c>
      <c r="C211" s="2759">
        <v>36720.428043410007</v>
      </c>
      <c r="D211" s="2760">
        <v>21123.243299057998</v>
      </c>
      <c r="E211" s="2760">
        <v>7930.1916668580006</v>
      </c>
      <c r="F211" s="2760">
        <v>798.1050994499999</v>
      </c>
      <c r="G211" s="2760">
        <v>0</v>
      </c>
      <c r="H211" s="2760">
        <v>0</v>
      </c>
      <c r="I211" s="2760">
        <v>0</v>
      </c>
      <c r="J211" s="2760">
        <v>0</v>
      </c>
      <c r="K211" s="2760">
        <v>0</v>
      </c>
      <c r="L211" s="2760">
        <v>4660.6024785474401</v>
      </c>
      <c r="M211" s="2760">
        <v>2208.2854994965674</v>
      </c>
      <c r="N211" s="2019"/>
      <c r="O211" s="3997"/>
    </row>
    <row r="212" spans="1:15">
      <c r="A212" s="2019"/>
      <c r="B212" s="2758" t="s">
        <v>166</v>
      </c>
      <c r="C212" s="2759">
        <v>37761.788121700003</v>
      </c>
      <c r="D212" s="2760">
        <v>21462.647012628</v>
      </c>
      <c r="E212" s="2760">
        <v>8236.2434591379988</v>
      </c>
      <c r="F212" s="2760">
        <v>794.54196969000009</v>
      </c>
      <c r="G212" s="2760">
        <v>0</v>
      </c>
      <c r="H212" s="2760">
        <v>0</v>
      </c>
      <c r="I212" s="2760">
        <v>0</v>
      </c>
      <c r="J212" s="2760">
        <v>0</v>
      </c>
      <c r="K212" s="2760">
        <v>0</v>
      </c>
      <c r="L212" s="2760">
        <v>4818.5938280058581</v>
      </c>
      <c r="M212" s="2760">
        <v>2449.7618522381454</v>
      </c>
      <c r="N212" s="2019"/>
      <c r="O212" s="3997"/>
    </row>
    <row r="213" spans="1:15">
      <c r="A213" s="2019"/>
      <c r="B213" s="2758" t="s">
        <v>167</v>
      </c>
      <c r="C213" s="2759">
        <v>34939.168117830006</v>
      </c>
      <c r="D213" s="2760">
        <v>20254.53421948</v>
      </c>
      <c r="E213" s="2760">
        <v>7673.1342023480001</v>
      </c>
      <c r="F213" s="2760">
        <v>722.37036341999999</v>
      </c>
      <c r="G213" s="2760">
        <v>0</v>
      </c>
      <c r="H213" s="2760">
        <v>0</v>
      </c>
      <c r="I213" s="2760">
        <v>0</v>
      </c>
      <c r="J213" s="2760">
        <v>0</v>
      </c>
      <c r="K213" s="2760">
        <v>0</v>
      </c>
      <c r="L213" s="2760">
        <v>4881.9332058325635</v>
      </c>
      <c r="M213" s="2760">
        <v>1407.196126749448</v>
      </c>
      <c r="N213" s="2019"/>
      <c r="O213" s="3997"/>
    </row>
    <row r="214" spans="1:15">
      <c r="A214" s="2019"/>
      <c r="B214" s="2758" t="s">
        <v>168</v>
      </c>
      <c r="C214" s="2759">
        <v>35298.693384139995</v>
      </c>
      <c r="D214" s="2760">
        <v>20348.282449908002</v>
      </c>
      <c r="E214" s="2760">
        <v>7692.7246007479998</v>
      </c>
      <c r="F214" s="2760">
        <v>768.28797741999995</v>
      </c>
      <c r="G214" s="2760">
        <v>0</v>
      </c>
      <c r="H214" s="2760">
        <v>0</v>
      </c>
      <c r="I214" s="2760">
        <v>0</v>
      </c>
      <c r="J214" s="2760">
        <v>0</v>
      </c>
      <c r="K214" s="2760">
        <v>0</v>
      </c>
      <c r="L214" s="2760">
        <v>4976.1785533280499</v>
      </c>
      <c r="M214" s="2760">
        <v>1513.2198027359409</v>
      </c>
      <c r="N214" s="2019"/>
      <c r="O214" s="3997"/>
    </row>
    <row r="215" spans="1:15">
      <c r="A215" s="2019"/>
      <c r="B215" s="2758" t="s">
        <v>169</v>
      </c>
      <c r="C215" s="2759">
        <v>35752.065686029993</v>
      </c>
      <c r="D215" s="2760">
        <v>20624.558097708003</v>
      </c>
      <c r="E215" s="2760">
        <v>7807.918029548</v>
      </c>
      <c r="F215" s="2760">
        <v>792.14521505999994</v>
      </c>
      <c r="G215" s="2760">
        <v>0</v>
      </c>
      <c r="H215" s="2760">
        <v>0</v>
      </c>
      <c r="I215" s="2760">
        <v>0</v>
      </c>
      <c r="J215" s="2760">
        <v>0</v>
      </c>
      <c r="K215" s="2760">
        <v>0</v>
      </c>
      <c r="L215" s="2760">
        <v>4994.4012453415471</v>
      </c>
      <c r="M215" s="2760">
        <v>1533.0430983724436</v>
      </c>
      <c r="N215" s="2019"/>
      <c r="O215" s="3997"/>
    </row>
    <row r="216" spans="1:15">
      <c r="A216" s="2019"/>
      <c r="B216" s="2758" t="s">
        <v>170</v>
      </c>
      <c r="C216" s="2759">
        <v>38492.115545429988</v>
      </c>
      <c r="D216" s="2760">
        <v>22998.437739608002</v>
      </c>
      <c r="E216" s="2760">
        <v>8389.6002216279994</v>
      </c>
      <c r="F216" s="2760">
        <v>789.30080075000001</v>
      </c>
      <c r="G216" s="2760">
        <v>0</v>
      </c>
      <c r="H216" s="2760">
        <v>0</v>
      </c>
      <c r="I216" s="2760">
        <v>0</v>
      </c>
      <c r="J216" s="2760">
        <v>0</v>
      </c>
      <c r="K216" s="2760">
        <v>0</v>
      </c>
      <c r="L216" s="2760">
        <v>5020.2487870526556</v>
      </c>
      <c r="M216" s="2760">
        <v>1294.5279963913345</v>
      </c>
      <c r="N216" s="2021"/>
      <c r="O216" s="3997"/>
    </row>
    <row r="217" spans="1:15">
      <c r="A217" s="2019"/>
      <c r="B217" s="4185" t="s">
        <v>171</v>
      </c>
      <c r="C217" s="4186">
        <v>40030.919056470004</v>
      </c>
      <c r="D217" s="4187">
        <v>24103.505495948</v>
      </c>
      <c r="E217" s="4187">
        <v>8425.2040643279997</v>
      </c>
      <c r="F217" s="4187">
        <v>829.88756001000002</v>
      </c>
      <c r="G217" s="4187">
        <v>0</v>
      </c>
      <c r="H217" s="4187">
        <v>0</v>
      </c>
      <c r="I217" s="4187">
        <v>0</v>
      </c>
      <c r="J217" s="4187">
        <v>0</v>
      </c>
      <c r="K217" s="4187">
        <v>0</v>
      </c>
      <c r="L217" s="4187">
        <v>5106.5306535814416</v>
      </c>
      <c r="M217" s="4187">
        <v>1565.791282602564</v>
      </c>
      <c r="N217" s="2021"/>
      <c r="O217" s="3997"/>
    </row>
    <row r="218" spans="1:15">
      <c r="A218" s="2019"/>
      <c r="B218" s="4185" t="s">
        <v>148</v>
      </c>
      <c r="C218" s="4186">
        <v>37759.882839180005</v>
      </c>
      <c r="D218" s="4187">
        <v>22189.242591718001</v>
      </c>
      <c r="E218" s="4187">
        <v>8307.750112908001</v>
      </c>
      <c r="F218" s="4187">
        <v>832.59588155000006</v>
      </c>
      <c r="G218" s="4187">
        <v>0</v>
      </c>
      <c r="H218" s="4187">
        <v>0</v>
      </c>
      <c r="I218" s="4187">
        <v>0</v>
      </c>
      <c r="J218" s="4187">
        <v>0</v>
      </c>
      <c r="K218" s="4187">
        <v>0</v>
      </c>
      <c r="L218" s="4187">
        <v>5451.1538108301665</v>
      </c>
      <c r="M218" s="4187">
        <v>979.14044217383343</v>
      </c>
      <c r="N218" s="2021"/>
      <c r="O218" s="3997"/>
    </row>
    <row r="219" spans="1:15">
      <c r="A219" s="2019"/>
      <c r="B219" s="4303">
        <v>2016</v>
      </c>
      <c r="C219" s="4186"/>
      <c r="D219" s="4187"/>
      <c r="E219" s="4187"/>
      <c r="F219" s="4187"/>
      <c r="G219" s="4187"/>
      <c r="H219" s="4187"/>
      <c r="I219" s="4187"/>
      <c r="J219" s="4187"/>
      <c r="K219" s="4187"/>
      <c r="L219" s="4187"/>
      <c r="M219" s="4187"/>
      <c r="N219" s="2021"/>
      <c r="O219" s="3997"/>
    </row>
    <row r="220" spans="1:15">
      <c r="A220" s="2019"/>
      <c r="B220" s="4185" t="s">
        <v>161</v>
      </c>
      <c r="C220" s="4186">
        <v>39350.784199939997</v>
      </c>
      <c r="D220" s="4187">
        <v>23460.940171079994</v>
      </c>
      <c r="E220" s="4187">
        <v>8310.5371493099992</v>
      </c>
      <c r="F220" s="4187">
        <v>866.80376189000015</v>
      </c>
      <c r="G220" s="4187">
        <v>0</v>
      </c>
      <c r="H220" s="4187">
        <v>0</v>
      </c>
      <c r="I220" s="4187">
        <v>0</v>
      </c>
      <c r="J220" s="4187">
        <v>0</v>
      </c>
      <c r="K220" s="4187">
        <v>0</v>
      </c>
      <c r="L220" s="4187">
        <v>5308.1330595040918</v>
      </c>
      <c r="M220" s="4187">
        <v>1404.3700581559096</v>
      </c>
      <c r="N220" s="2021"/>
      <c r="O220" s="3997"/>
    </row>
    <row r="221" spans="1:15">
      <c r="A221" s="2019"/>
      <c r="B221" s="4304" t="s">
        <v>162</v>
      </c>
      <c r="C221" s="4305">
        <v>41705.116704970002</v>
      </c>
      <c r="D221" s="4306">
        <v>23616.418092047999</v>
      </c>
      <c r="E221" s="4306">
        <v>9043.3974715780005</v>
      </c>
      <c r="F221" s="4306">
        <v>0</v>
      </c>
      <c r="G221" s="4306">
        <v>0</v>
      </c>
      <c r="H221" s="4306">
        <v>0</v>
      </c>
      <c r="I221" s="4306">
        <v>0</v>
      </c>
      <c r="J221" s="4306">
        <v>0</v>
      </c>
      <c r="K221" s="4306">
        <v>0</v>
      </c>
      <c r="L221" s="4306">
        <v>5314.2417506325191</v>
      </c>
      <c r="M221" s="4306">
        <v>3731.0593907114817</v>
      </c>
      <c r="N221" s="2021"/>
      <c r="O221" s="3997"/>
    </row>
    <row r="222" spans="1:15">
      <c r="A222" s="2019"/>
      <c r="B222" s="2019"/>
      <c r="C222" s="3513"/>
      <c r="D222" s="2226"/>
      <c r="E222" s="2226"/>
      <c r="F222" s="2226"/>
      <c r="G222" s="2226"/>
      <c r="H222" s="2226"/>
      <c r="I222" s="2226"/>
      <c r="J222" s="2226"/>
      <c r="K222" s="2226"/>
      <c r="L222" s="2226"/>
      <c r="M222" s="2226"/>
      <c r="N222" s="2021"/>
      <c r="O222" s="3997"/>
    </row>
    <row r="223" spans="1:15">
      <c r="A223" s="2019"/>
      <c r="B223" s="2019"/>
      <c r="C223" s="3513"/>
      <c r="D223" s="2226"/>
      <c r="E223" s="2226"/>
      <c r="F223" s="2226"/>
      <c r="G223" s="2226"/>
      <c r="H223" s="2226"/>
      <c r="I223" s="2226"/>
      <c r="J223" s="2226"/>
      <c r="K223" s="2226"/>
      <c r="L223" s="2226"/>
      <c r="M223" s="2226"/>
      <c r="N223" s="2021"/>
      <c r="O223" s="3997"/>
    </row>
    <row r="224" spans="1:15">
      <c r="A224" s="2019"/>
      <c r="B224" s="2019"/>
      <c r="C224" s="3513"/>
      <c r="D224" s="2226"/>
      <c r="E224" s="2226"/>
      <c r="F224" s="2226"/>
      <c r="G224" s="2226"/>
      <c r="H224" s="2226"/>
      <c r="I224" s="2226"/>
      <c r="J224" s="2226"/>
      <c r="K224" s="2226"/>
      <c r="L224" s="2226"/>
      <c r="M224" s="2226"/>
      <c r="N224" s="2021"/>
      <c r="O224" s="3997"/>
    </row>
    <row r="225" spans="1:15">
      <c r="A225" s="2019"/>
      <c r="B225" s="2019"/>
      <c r="C225" s="3513"/>
      <c r="D225" s="2226"/>
      <c r="E225" s="2226"/>
      <c r="F225" s="2226"/>
      <c r="G225" s="2226"/>
      <c r="H225" s="2226"/>
      <c r="I225" s="2226"/>
      <c r="J225" s="2226"/>
      <c r="K225" s="2226"/>
      <c r="L225" s="2226"/>
      <c r="M225" s="2226"/>
      <c r="N225" s="2021"/>
      <c r="O225" s="3997"/>
    </row>
    <row r="226" spans="1:15">
      <c r="A226" s="2019"/>
      <c r="B226" s="2019"/>
      <c r="C226" s="3513"/>
      <c r="D226" s="2226"/>
      <c r="E226" s="2226"/>
      <c r="F226" s="2226"/>
      <c r="G226" s="2226"/>
      <c r="H226" s="2226"/>
      <c r="I226" s="2226"/>
      <c r="J226" s="2226"/>
      <c r="K226" s="2226"/>
      <c r="L226" s="2226"/>
      <c r="M226" s="2226"/>
      <c r="N226" s="2021"/>
      <c r="O226" s="3997"/>
    </row>
    <row r="227" spans="1:15">
      <c r="A227" s="2019"/>
      <c r="B227" s="2019"/>
      <c r="C227" s="3513"/>
      <c r="D227" s="2226"/>
      <c r="E227" s="2226"/>
      <c r="F227" s="2226"/>
      <c r="G227" s="2226"/>
      <c r="H227" s="2226"/>
      <c r="I227" s="2226"/>
      <c r="J227" s="2226"/>
      <c r="K227" s="2226"/>
      <c r="L227" s="2226"/>
      <c r="M227" s="2226"/>
      <c r="N227" s="2021"/>
      <c r="O227" s="3997"/>
    </row>
    <row r="228" spans="1:15">
      <c r="A228" s="2019"/>
      <c r="B228" s="2019"/>
      <c r="C228" s="3513"/>
      <c r="D228" s="2226"/>
      <c r="E228" s="2226"/>
      <c r="F228" s="2226"/>
      <c r="G228" s="2226"/>
      <c r="H228" s="2226"/>
      <c r="I228" s="2226"/>
      <c r="J228" s="2226"/>
      <c r="K228" s="2226"/>
      <c r="L228" s="2226"/>
      <c r="M228" s="2226"/>
      <c r="N228" s="2021"/>
      <c r="O228" s="3997"/>
    </row>
    <row r="229" spans="1:15">
      <c r="A229" s="2019"/>
      <c r="B229" s="2019"/>
      <c r="C229" s="3513"/>
      <c r="D229" s="2226"/>
      <c r="E229" s="2226"/>
      <c r="F229" s="2226"/>
      <c r="G229" s="2226"/>
      <c r="H229" s="2226"/>
      <c r="I229" s="2226"/>
      <c r="J229" s="2226"/>
      <c r="K229" s="2226"/>
      <c r="L229" s="2226"/>
      <c r="M229" s="2226"/>
      <c r="N229" s="2021"/>
      <c r="O229" s="3997"/>
    </row>
    <row r="230" spans="1:15">
      <c r="A230" s="2019"/>
      <c r="B230" s="2019"/>
      <c r="C230" s="3513"/>
      <c r="D230" s="2226"/>
      <c r="E230" s="2226"/>
      <c r="F230" s="2226"/>
      <c r="G230" s="2226"/>
      <c r="H230" s="2226"/>
      <c r="I230" s="2226"/>
      <c r="J230" s="2226"/>
      <c r="K230" s="2226"/>
      <c r="L230" s="2226"/>
      <c r="M230" s="2226"/>
      <c r="N230" s="2021"/>
      <c r="O230" s="3997"/>
    </row>
    <row r="231" spans="1:15">
      <c r="A231" s="2019"/>
      <c r="B231" s="2019"/>
      <c r="C231" s="3513"/>
      <c r="D231" s="2226"/>
      <c r="E231" s="2226"/>
      <c r="F231" s="2226"/>
      <c r="G231" s="2226"/>
      <c r="H231" s="2226"/>
      <c r="I231" s="2226"/>
      <c r="J231" s="2226"/>
      <c r="K231" s="2226"/>
      <c r="L231" s="2226"/>
      <c r="M231" s="2226"/>
      <c r="N231" s="2021"/>
      <c r="O231" s="3997"/>
    </row>
    <row r="232" spans="1:15">
      <c r="A232" s="2019"/>
      <c r="B232" s="2019"/>
      <c r="C232" s="3513"/>
      <c r="D232" s="2226"/>
      <c r="E232" s="2226"/>
      <c r="F232" s="2226"/>
      <c r="G232" s="2226"/>
      <c r="H232" s="2226"/>
      <c r="I232" s="2226"/>
      <c r="J232" s="2226"/>
      <c r="K232" s="2226"/>
      <c r="L232" s="2226"/>
      <c r="M232" s="2226"/>
      <c r="N232" s="2021"/>
      <c r="O232" s="3997"/>
    </row>
    <row r="233" spans="1:15">
      <c r="A233" s="2019"/>
      <c r="B233" s="2019"/>
      <c r="C233" s="3513"/>
      <c r="D233" s="2226"/>
      <c r="E233" s="2226"/>
      <c r="F233" s="2226"/>
      <c r="G233" s="2226"/>
      <c r="H233" s="2226"/>
      <c r="I233" s="2226"/>
      <c r="J233" s="2226"/>
      <c r="K233" s="2226"/>
      <c r="L233" s="2226"/>
      <c r="M233" s="2226"/>
      <c r="N233" s="2021"/>
      <c r="O233" s="3997"/>
    </row>
    <row r="234" spans="1:15">
      <c r="A234" s="2019"/>
      <c r="B234" s="2019"/>
      <c r="C234" s="3513"/>
      <c r="D234" s="2226"/>
      <c r="E234" s="2226"/>
      <c r="F234" s="2226"/>
      <c r="G234" s="2226"/>
      <c r="H234" s="2226"/>
      <c r="I234" s="2226"/>
      <c r="J234" s="2226"/>
      <c r="K234" s="2226"/>
      <c r="L234" s="2226"/>
      <c r="M234" s="2226"/>
      <c r="N234" s="2021"/>
      <c r="O234" s="3997"/>
    </row>
    <row r="235" spans="1:15">
      <c r="A235" s="2019"/>
      <c r="B235" s="2019"/>
      <c r="C235" s="3513"/>
      <c r="D235" s="2226"/>
      <c r="E235" s="2226"/>
      <c r="F235" s="2226"/>
      <c r="G235" s="2226"/>
      <c r="H235" s="2226"/>
      <c r="I235" s="2226"/>
      <c r="J235" s="2226"/>
      <c r="K235" s="2226"/>
      <c r="L235" s="2226"/>
      <c r="M235" s="2226"/>
      <c r="N235" s="2021"/>
      <c r="O235" s="3997"/>
    </row>
    <row r="236" spans="1:15">
      <c r="A236" s="2019"/>
      <c r="B236" s="2019"/>
      <c r="C236" s="3513"/>
      <c r="D236" s="2226"/>
      <c r="E236" s="2226"/>
      <c r="F236" s="2226"/>
      <c r="G236" s="2226"/>
      <c r="H236" s="2226"/>
      <c r="I236" s="2226"/>
      <c r="J236" s="2226"/>
      <c r="K236" s="2226"/>
      <c r="L236" s="2226"/>
      <c r="M236" s="2226"/>
      <c r="N236" s="2021"/>
      <c r="O236" s="3997"/>
    </row>
    <row r="237" spans="1:15">
      <c r="A237" s="2019"/>
      <c r="B237" s="2019"/>
      <c r="C237" s="3513"/>
      <c r="D237" s="2226"/>
      <c r="E237" s="2226"/>
      <c r="F237" s="2226"/>
      <c r="G237" s="2226"/>
      <c r="H237" s="2226"/>
      <c r="I237" s="2226"/>
      <c r="J237" s="2226"/>
      <c r="K237" s="2226"/>
      <c r="L237" s="2226"/>
      <c r="M237" s="2226"/>
      <c r="N237" s="2021"/>
      <c r="O237" s="3997"/>
    </row>
    <row r="238" spans="1:15">
      <c r="A238" s="2019"/>
      <c r="B238" s="2019"/>
      <c r="C238" s="3513"/>
      <c r="D238" s="2226"/>
      <c r="E238" s="2226"/>
      <c r="F238" s="2226"/>
      <c r="G238" s="2226"/>
      <c r="H238" s="2226"/>
      <c r="I238" s="2226"/>
      <c r="J238" s="2226"/>
      <c r="K238" s="2226"/>
      <c r="L238" s="2226"/>
      <c r="M238" s="2226"/>
      <c r="N238" s="2021"/>
      <c r="O238" s="3997"/>
    </row>
    <row r="239" spans="1:15">
      <c r="A239" s="2019"/>
      <c r="B239" s="2019"/>
      <c r="C239" s="3513"/>
      <c r="D239" s="2226"/>
      <c r="E239" s="2226"/>
      <c r="F239" s="2226"/>
      <c r="G239" s="2226"/>
      <c r="H239" s="2226"/>
      <c r="I239" s="2226"/>
      <c r="J239" s="2226"/>
      <c r="K239" s="2226"/>
      <c r="L239" s="2226"/>
      <c r="M239" s="2226"/>
      <c r="N239" s="2021"/>
      <c r="O239" s="3997"/>
    </row>
    <row r="240" spans="1:15">
      <c r="A240" s="2019"/>
      <c r="N240" s="2022"/>
      <c r="O240" s="3997"/>
    </row>
    <row r="241" spans="14:15">
      <c r="N241" s="2022"/>
      <c r="O241" s="3997"/>
    </row>
    <row r="242" spans="14:15">
      <c r="N242" s="2022"/>
      <c r="O242" s="3997"/>
    </row>
    <row r="243" spans="14:15">
      <c r="N243" s="2022"/>
      <c r="O243" s="3997"/>
    </row>
    <row r="244" spans="14:15">
      <c r="N244" s="2022"/>
      <c r="O244" s="3997"/>
    </row>
    <row r="245" spans="14:15">
      <c r="N245" s="2022"/>
      <c r="O245" s="3997"/>
    </row>
    <row r="246" spans="14:15">
      <c r="N246" s="2022"/>
      <c r="O246" s="3997"/>
    </row>
    <row r="247" spans="14:15">
      <c r="N247" s="2022"/>
      <c r="O247" s="3997"/>
    </row>
    <row r="248" spans="14:15">
      <c r="N248" s="2022"/>
      <c r="O248" s="3997"/>
    </row>
    <row r="249" spans="14:15">
      <c r="N249" s="2022"/>
      <c r="O249" s="3997"/>
    </row>
    <row r="250" spans="14:15">
      <c r="N250" s="2022"/>
      <c r="O250" s="3997"/>
    </row>
    <row r="251" spans="14:15">
      <c r="N251" s="2022"/>
      <c r="O251" s="3997"/>
    </row>
    <row r="252" spans="14:15">
      <c r="N252" s="2022"/>
      <c r="O252" s="3997"/>
    </row>
    <row r="253" spans="14:15">
      <c r="N253" s="2022"/>
      <c r="O253" s="3997"/>
    </row>
    <row r="254" spans="14:15">
      <c r="N254" s="2022"/>
      <c r="O254" s="3997"/>
    </row>
    <row r="255" spans="14:15">
      <c r="N255" s="2022"/>
      <c r="O255" s="3997"/>
    </row>
    <row r="256" spans="14:15">
      <c r="N256" s="2022"/>
      <c r="O256" s="3997"/>
    </row>
    <row r="257" spans="14:15">
      <c r="N257" s="2022"/>
      <c r="O257" s="3997"/>
    </row>
    <row r="258" spans="14:15">
      <c r="N258" s="2022"/>
      <c r="O258" s="3997"/>
    </row>
    <row r="259" spans="14:15">
      <c r="N259" s="2022"/>
      <c r="O259" s="3997"/>
    </row>
    <row r="260" spans="14:15">
      <c r="N260" s="2022"/>
      <c r="O260" s="3997"/>
    </row>
  </sheetData>
  <mergeCells count="2">
    <mergeCell ref="G6:I6"/>
    <mergeCell ref="B1:M1"/>
  </mergeCells>
  <pageMargins left="0.62" right="0.17" top="0.71" bottom="0.61" header="0.49" footer="0.5"/>
  <pageSetup paperSize="9" scale="60" orientation="portrait" r:id="rId1"/>
  <headerFooter alignWithMargins="0"/>
</worksheet>
</file>

<file path=xl/worksheets/sheet31.xml><?xml version="1.0" encoding="utf-8"?>
<worksheet xmlns="http://schemas.openxmlformats.org/spreadsheetml/2006/main" xmlns:r="http://schemas.openxmlformats.org/officeDocument/2006/relationships">
  <dimension ref="A1:AC225"/>
  <sheetViews>
    <sheetView zoomScale="70" zoomScaleNormal="70" zoomScaleSheetLayoutView="50" workbookViewId="0">
      <pane ySplit="10" topLeftCell="A11" activePane="bottomLeft" state="frozen"/>
      <selection activeCell="K31" sqref="K31"/>
      <selection pane="bottomLeft" activeCell="N220" sqref="N220"/>
    </sheetView>
  </sheetViews>
  <sheetFormatPr defaultColWidth="11" defaultRowHeight="16.5"/>
  <cols>
    <col min="1" max="1" width="11" style="4001"/>
    <col min="2" max="2" width="9.85546875" style="2052" customWidth="1"/>
    <col min="3" max="3" width="14.5703125" style="3518" customWidth="1"/>
    <col min="4" max="4" width="13.28515625" style="2254" customWidth="1"/>
    <col min="5" max="8" width="11.5703125" style="2254" customWidth="1"/>
    <col min="9" max="9" width="9.7109375" style="2254" customWidth="1"/>
    <col min="10" max="10" width="12" style="2254" customWidth="1"/>
    <col min="11" max="11" width="12.85546875" style="2268" customWidth="1"/>
    <col min="12" max="12" width="10.42578125" style="2254" customWidth="1"/>
    <col min="13" max="13" width="8.7109375" style="4001" customWidth="1"/>
    <col min="14" max="14" width="12.28515625" style="2052" bestFit="1" customWidth="1"/>
    <col min="15" max="15" width="8.7109375" style="2052" customWidth="1"/>
    <col min="16" max="16" width="9.85546875" style="2052" customWidth="1"/>
    <col min="17" max="19" width="7.5703125" style="2052" customWidth="1"/>
    <col min="20" max="20" width="8.7109375" style="2052" customWidth="1"/>
    <col min="21" max="21" width="7.5703125" style="2052" customWidth="1"/>
    <col min="22" max="22" width="9.85546875" style="2052" customWidth="1"/>
    <col min="23" max="23" width="7.5703125" style="2052" customWidth="1"/>
    <col min="24" max="255" width="11" style="2052"/>
    <col min="256" max="256" width="9.85546875" style="2052" customWidth="1"/>
    <col min="257" max="257" width="12.5703125" style="2052" customWidth="1"/>
    <col min="258" max="258" width="13.28515625" style="2052" customWidth="1"/>
    <col min="259" max="262" width="11.5703125" style="2052" customWidth="1"/>
    <col min="263" max="263" width="13.42578125" style="2052" customWidth="1"/>
    <col min="264" max="265" width="0" style="2052" hidden="1" customWidth="1"/>
    <col min="266" max="266" width="13.42578125" style="2052" customWidth="1"/>
    <col min="267" max="268" width="0" style="2052" hidden="1" customWidth="1"/>
    <col min="269" max="271" width="8.7109375" style="2052" customWidth="1"/>
    <col min="272" max="272" width="9.85546875" style="2052" customWidth="1"/>
    <col min="273" max="275" width="7.5703125" style="2052" customWidth="1"/>
    <col min="276" max="276" width="8.7109375" style="2052" customWidth="1"/>
    <col min="277" max="277" width="7.5703125" style="2052" customWidth="1"/>
    <col min="278" max="278" width="9.85546875" style="2052" customWidth="1"/>
    <col min="279" max="279" width="7.5703125" style="2052" customWidth="1"/>
    <col min="280" max="511" width="11" style="2052"/>
    <col min="512" max="512" width="9.85546875" style="2052" customWidth="1"/>
    <col min="513" max="513" width="12.5703125" style="2052" customWidth="1"/>
    <col min="514" max="514" width="13.28515625" style="2052" customWidth="1"/>
    <col min="515" max="518" width="11.5703125" style="2052" customWidth="1"/>
    <col min="519" max="519" width="13.42578125" style="2052" customWidth="1"/>
    <col min="520" max="521" width="0" style="2052" hidden="1" customWidth="1"/>
    <col min="522" max="522" width="13.42578125" style="2052" customWidth="1"/>
    <col min="523" max="524" width="0" style="2052" hidden="1" customWidth="1"/>
    <col min="525" max="527" width="8.7109375" style="2052" customWidth="1"/>
    <col min="528" max="528" width="9.85546875" style="2052" customWidth="1"/>
    <col min="529" max="531" width="7.5703125" style="2052" customWidth="1"/>
    <col min="532" max="532" width="8.7109375" style="2052" customWidth="1"/>
    <col min="533" max="533" width="7.5703125" style="2052" customWidth="1"/>
    <col min="534" max="534" width="9.85546875" style="2052" customWidth="1"/>
    <col min="535" max="535" width="7.5703125" style="2052" customWidth="1"/>
    <col min="536" max="767" width="11" style="2052"/>
    <col min="768" max="768" width="9.85546875" style="2052" customWidth="1"/>
    <col min="769" max="769" width="12.5703125" style="2052" customWidth="1"/>
    <col min="770" max="770" width="13.28515625" style="2052" customWidth="1"/>
    <col min="771" max="774" width="11.5703125" style="2052" customWidth="1"/>
    <col min="775" max="775" width="13.42578125" style="2052" customWidth="1"/>
    <col min="776" max="777" width="0" style="2052" hidden="1" customWidth="1"/>
    <col min="778" max="778" width="13.42578125" style="2052" customWidth="1"/>
    <col min="779" max="780" width="0" style="2052" hidden="1" customWidth="1"/>
    <col min="781" max="783" width="8.7109375" style="2052" customWidth="1"/>
    <col min="784" max="784" width="9.85546875" style="2052" customWidth="1"/>
    <col min="785" max="787" width="7.5703125" style="2052" customWidth="1"/>
    <col min="788" max="788" width="8.7109375" style="2052" customWidth="1"/>
    <col min="789" max="789" width="7.5703125" style="2052" customWidth="1"/>
    <col min="790" max="790" width="9.85546875" style="2052" customWidth="1"/>
    <col min="791" max="791" width="7.5703125" style="2052" customWidth="1"/>
    <col min="792" max="1023" width="11" style="2052"/>
    <col min="1024" max="1024" width="9.85546875" style="2052" customWidth="1"/>
    <col min="1025" max="1025" width="12.5703125" style="2052" customWidth="1"/>
    <col min="1026" max="1026" width="13.28515625" style="2052" customWidth="1"/>
    <col min="1027" max="1030" width="11.5703125" style="2052" customWidth="1"/>
    <col min="1031" max="1031" width="13.42578125" style="2052" customWidth="1"/>
    <col min="1032" max="1033" width="0" style="2052" hidden="1" customWidth="1"/>
    <col min="1034" max="1034" width="13.42578125" style="2052" customWidth="1"/>
    <col min="1035" max="1036" width="0" style="2052" hidden="1" customWidth="1"/>
    <col min="1037" max="1039" width="8.7109375" style="2052" customWidth="1"/>
    <col min="1040" max="1040" width="9.85546875" style="2052" customWidth="1"/>
    <col min="1041" max="1043" width="7.5703125" style="2052" customWidth="1"/>
    <col min="1044" max="1044" width="8.7109375" style="2052" customWidth="1"/>
    <col min="1045" max="1045" width="7.5703125" style="2052" customWidth="1"/>
    <col min="1046" max="1046" width="9.85546875" style="2052" customWidth="1"/>
    <col min="1047" max="1047" width="7.5703125" style="2052" customWidth="1"/>
    <col min="1048" max="1279" width="11" style="2052"/>
    <col min="1280" max="1280" width="9.85546875" style="2052" customWidth="1"/>
    <col min="1281" max="1281" width="12.5703125" style="2052" customWidth="1"/>
    <col min="1282" max="1282" width="13.28515625" style="2052" customWidth="1"/>
    <col min="1283" max="1286" width="11.5703125" style="2052" customWidth="1"/>
    <col min="1287" max="1287" width="13.42578125" style="2052" customWidth="1"/>
    <col min="1288" max="1289" width="0" style="2052" hidden="1" customWidth="1"/>
    <col min="1290" max="1290" width="13.42578125" style="2052" customWidth="1"/>
    <col min="1291" max="1292" width="0" style="2052" hidden="1" customWidth="1"/>
    <col min="1293" max="1295" width="8.7109375" style="2052" customWidth="1"/>
    <col min="1296" max="1296" width="9.85546875" style="2052" customWidth="1"/>
    <col min="1297" max="1299" width="7.5703125" style="2052" customWidth="1"/>
    <col min="1300" max="1300" width="8.7109375" style="2052" customWidth="1"/>
    <col min="1301" max="1301" width="7.5703125" style="2052" customWidth="1"/>
    <col min="1302" max="1302" width="9.85546875" style="2052" customWidth="1"/>
    <col min="1303" max="1303" width="7.5703125" style="2052" customWidth="1"/>
    <col min="1304" max="1535" width="11" style="2052"/>
    <col min="1536" max="1536" width="9.85546875" style="2052" customWidth="1"/>
    <col min="1537" max="1537" width="12.5703125" style="2052" customWidth="1"/>
    <col min="1538" max="1538" width="13.28515625" style="2052" customWidth="1"/>
    <col min="1539" max="1542" width="11.5703125" style="2052" customWidth="1"/>
    <col min="1543" max="1543" width="13.42578125" style="2052" customWidth="1"/>
    <col min="1544" max="1545" width="0" style="2052" hidden="1" customWidth="1"/>
    <col min="1546" max="1546" width="13.42578125" style="2052" customWidth="1"/>
    <col min="1547" max="1548" width="0" style="2052" hidden="1" customWidth="1"/>
    <col min="1549" max="1551" width="8.7109375" style="2052" customWidth="1"/>
    <col min="1552" max="1552" width="9.85546875" style="2052" customWidth="1"/>
    <col min="1553" max="1555" width="7.5703125" style="2052" customWidth="1"/>
    <col min="1556" max="1556" width="8.7109375" style="2052" customWidth="1"/>
    <col min="1557" max="1557" width="7.5703125" style="2052" customWidth="1"/>
    <col min="1558" max="1558" width="9.85546875" style="2052" customWidth="1"/>
    <col min="1559" max="1559" width="7.5703125" style="2052" customWidth="1"/>
    <col min="1560" max="1791" width="11" style="2052"/>
    <col min="1792" max="1792" width="9.85546875" style="2052" customWidth="1"/>
    <col min="1793" max="1793" width="12.5703125" style="2052" customWidth="1"/>
    <col min="1794" max="1794" width="13.28515625" style="2052" customWidth="1"/>
    <col min="1795" max="1798" width="11.5703125" style="2052" customWidth="1"/>
    <col min="1799" max="1799" width="13.42578125" style="2052" customWidth="1"/>
    <col min="1800" max="1801" width="0" style="2052" hidden="1" customWidth="1"/>
    <col min="1802" max="1802" width="13.42578125" style="2052" customWidth="1"/>
    <col min="1803" max="1804" width="0" style="2052" hidden="1" customWidth="1"/>
    <col min="1805" max="1807" width="8.7109375" style="2052" customWidth="1"/>
    <col min="1808" max="1808" width="9.85546875" style="2052" customWidth="1"/>
    <col min="1809" max="1811" width="7.5703125" style="2052" customWidth="1"/>
    <col min="1812" max="1812" width="8.7109375" style="2052" customWidth="1"/>
    <col min="1813" max="1813" width="7.5703125" style="2052" customWidth="1"/>
    <col min="1814" max="1814" width="9.85546875" style="2052" customWidth="1"/>
    <col min="1815" max="1815" width="7.5703125" style="2052" customWidth="1"/>
    <col min="1816" max="2047" width="11" style="2052"/>
    <col min="2048" max="2048" width="9.85546875" style="2052" customWidth="1"/>
    <col min="2049" max="2049" width="12.5703125" style="2052" customWidth="1"/>
    <col min="2050" max="2050" width="13.28515625" style="2052" customWidth="1"/>
    <col min="2051" max="2054" width="11.5703125" style="2052" customWidth="1"/>
    <col min="2055" max="2055" width="13.42578125" style="2052" customWidth="1"/>
    <col min="2056" max="2057" width="0" style="2052" hidden="1" customWidth="1"/>
    <col min="2058" max="2058" width="13.42578125" style="2052" customWidth="1"/>
    <col min="2059" max="2060" width="0" style="2052" hidden="1" customWidth="1"/>
    <col min="2061" max="2063" width="8.7109375" style="2052" customWidth="1"/>
    <col min="2064" max="2064" width="9.85546875" style="2052" customWidth="1"/>
    <col min="2065" max="2067" width="7.5703125" style="2052" customWidth="1"/>
    <col min="2068" max="2068" width="8.7109375" style="2052" customWidth="1"/>
    <col min="2069" max="2069" width="7.5703125" style="2052" customWidth="1"/>
    <col min="2070" max="2070" width="9.85546875" style="2052" customWidth="1"/>
    <col min="2071" max="2071" width="7.5703125" style="2052" customWidth="1"/>
    <col min="2072" max="2303" width="11" style="2052"/>
    <col min="2304" max="2304" width="9.85546875" style="2052" customWidth="1"/>
    <col min="2305" max="2305" width="12.5703125" style="2052" customWidth="1"/>
    <col min="2306" max="2306" width="13.28515625" style="2052" customWidth="1"/>
    <col min="2307" max="2310" width="11.5703125" style="2052" customWidth="1"/>
    <col min="2311" max="2311" width="13.42578125" style="2052" customWidth="1"/>
    <col min="2312" max="2313" width="0" style="2052" hidden="1" customWidth="1"/>
    <col min="2314" max="2314" width="13.42578125" style="2052" customWidth="1"/>
    <col min="2315" max="2316" width="0" style="2052" hidden="1" customWidth="1"/>
    <col min="2317" max="2319" width="8.7109375" style="2052" customWidth="1"/>
    <col min="2320" max="2320" width="9.85546875" style="2052" customWidth="1"/>
    <col min="2321" max="2323" width="7.5703125" style="2052" customWidth="1"/>
    <col min="2324" max="2324" width="8.7109375" style="2052" customWidth="1"/>
    <col min="2325" max="2325" width="7.5703125" style="2052" customWidth="1"/>
    <col min="2326" max="2326" width="9.85546875" style="2052" customWidth="1"/>
    <col min="2327" max="2327" width="7.5703125" style="2052" customWidth="1"/>
    <col min="2328" max="2559" width="11" style="2052"/>
    <col min="2560" max="2560" width="9.85546875" style="2052" customWidth="1"/>
    <col min="2561" max="2561" width="12.5703125" style="2052" customWidth="1"/>
    <col min="2562" max="2562" width="13.28515625" style="2052" customWidth="1"/>
    <col min="2563" max="2566" width="11.5703125" style="2052" customWidth="1"/>
    <col min="2567" max="2567" width="13.42578125" style="2052" customWidth="1"/>
    <col min="2568" max="2569" width="0" style="2052" hidden="1" customWidth="1"/>
    <col min="2570" max="2570" width="13.42578125" style="2052" customWidth="1"/>
    <col min="2571" max="2572" width="0" style="2052" hidden="1" customWidth="1"/>
    <col min="2573" max="2575" width="8.7109375" style="2052" customWidth="1"/>
    <col min="2576" max="2576" width="9.85546875" style="2052" customWidth="1"/>
    <col min="2577" max="2579" width="7.5703125" style="2052" customWidth="1"/>
    <col min="2580" max="2580" width="8.7109375" style="2052" customWidth="1"/>
    <col min="2581" max="2581" width="7.5703125" style="2052" customWidth="1"/>
    <col min="2582" max="2582" width="9.85546875" style="2052" customWidth="1"/>
    <col min="2583" max="2583" width="7.5703125" style="2052" customWidth="1"/>
    <col min="2584" max="2815" width="11" style="2052"/>
    <col min="2816" max="2816" width="9.85546875" style="2052" customWidth="1"/>
    <col min="2817" max="2817" width="12.5703125" style="2052" customWidth="1"/>
    <col min="2818" max="2818" width="13.28515625" style="2052" customWidth="1"/>
    <col min="2819" max="2822" width="11.5703125" style="2052" customWidth="1"/>
    <col min="2823" max="2823" width="13.42578125" style="2052" customWidth="1"/>
    <col min="2824" max="2825" width="0" style="2052" hidden="1" customWidth="1"/>
    <col min="2826" max="2826" width="13.42578125" style="2052" customWidth="1"/>
    <col min="2827" max="2828" width="0" style="2052" hidden="1" customWidth="1"/>
    <col min="2829" max="2831" width="8.7109375" style="2052" customWidth="1"/>
    <col min="2832" max="2832" width="9.85546875" style="2052" customWidth="1"/>
    <col min="2833" max="2835" width="7.5703125" style="2052" customWidth="1"/>
    <col min="2836" max="2836" width="8.7109375" style="2052" customWidth="1"/>
    <col min="2837" max="2837" width="7.5703125" style="2052" customWidth="1"/>
    <col min="2838" max="2838" width="9.85546875" style="2052" customWidth="1"/>
    <col min="2839" max="2839" width="7.5703125" style="2052" customWidth="1"/>
    <col min="2840" max="3071" width="11" style="2052"/>
    <col min="3072" max="3072" width="9.85546875" style="2052" customWidth="1"/>
    <col min="3073" max="3073" width="12.5703125" style="2052" customWidth="1"/>
    <col min="3074" max="3074" width="13.28515625" style="2052" customWidth="1"/>
    <col min="3075" max="3078" width="11.5703125" style="2052" customWidth="1"/>
    <col min="3079" max="3079" width="13.42578125" style="2052" customWidth="1"/>
    <col min="3080" max="3081" width="0" style="2052" hidden="1" customWidth="1"/>
    <col min="3082" max="3082" width="13.42578125" style="2052" customWidth="1"/>
    <col min="3083" max="3084" width="0" style="2052" hidden="1" customWidth="1"/>
    <col min="3085" max="3087" width="8.7109375" style="2052" customWidth="1"/>
    <col min="3088" max="3088" width="9.85546875" style="2052" customWidth="1"/>
    <col min="3089" max="3091" width="7.5703125" style="2052" customWidth="1"/>
    <col min="3092" max="3092" width="8.7109375" style="2052" customWidth="1"/>
    <col min="3093" max="3093" width="7.5703125" style="2052" customWidth="1"/>
    <col min="3094" max="3094" width="9.85546875" style="2052" customWidth="1"/>
    <col min="3095" max="3095" width="7.5703125" style="2052" customWidth="1"/>
    <col min="3096" max="3327" width="11" style="2052"/>
    <col min="3328" max="3328" width="9.85546875" style="2052" customWidth="1"/>
    <col min="3329" max="3329" width="12.5703125" style="2052" customWidth="1"/>
    <col min="3330" max="3330" width="13.28515625" style="2052" customWidth="1"/>
    <col min="3331" max="3334" width="11.5703125" style="2052" customWidth="1"/>
    <col min="3335" max="3335" width="13.42578125" style="2052" customWidth="1"/>
    <col min="3336" max="3337" width="0" style="2052" hidden="1" customWidth="1"/>
    <col min="3338" max="3338" width="13.42578125" style="2052" customWidth="1"/>
    <col min="3339" max="3340" width="0" style="2052" hidden="1" customWidth="1"/>
    <col min="3341" max="3343" width="8.7109375" style="2052" customWidth="1"/>
    <col min="3344" max="3344" width="9.85546875" style="2052" customWidth="1"/>
    <col min="3345" max="3347" width="7.5703125" style="2052" customWidth="1"/>
    <col min="3348" max="3348" width="8.7109375" style="2052" customWidth="1"/>
    <col min="3349" max="3349" width="7.5703125" style="2052" customWidth="1"/>
    <col min="3350" max="3350" width="9.85546875" style="2052" customWidth="1"/>
    <col min="3351" max="3351" width="7.5703125" style="2052" customWidth="1"/>
    <col min="3352" max="3583" width="11" style="2052"/>
    <col min="3584" max="3584" width="9.85546875" style="2052" customWidth="1"/>
    <col min="3585" max="3585" width="12.5703125" style="2052" customWidth="1"/>
    <col min="3586" max="3586" width="13.28515625" style="2052" customWidth="1"/>
    <col min="3587" max="3590" width="11.5703125" style="2052" customWidth="1"/>
    <col min="3591" max="3591" width="13.42578125" style="2052" customWidth="1"/>
    <col min="3592" max="3593" width="0" style="2052" hidden="1" customWidth="1"/>
    <col min="3594" max="3594" width="13.42578125" style="2052" customWidth="1"/>
    <col min="3595" max="3596" width="0" style="2052" hidden="1" customWidth="1"/>
    <col min="3597" max="3599" width="8.7109375" style="2052" customWidth="1"/>
    <col min="3600" max="3600" width="9.85546875" style="2052" customWidth="1"/>
    <col min="3601" max="3603" width="7.5703125" style="2052" customWidth="1"/>
    <col min="3604" max="3604" width="8.7109375" style="2052" customWidth="1"/>
    <col min="3605" max="3605" width="7.5703125" style="2052" customWidth="1"/>
    <col min="3606" max="3606" width="9.85546875" style="2052" customWidth="1"/>
    <col min="3607" max="3607" width="7.5703125" style="2052" customWidth="1"/>
    <col min="3608" max="3839" width="11" style="2052"/>
    <col min="3840" max="3840" width="9.85546875" style="2052" customWidth="1"/>
    <col min="3841" max="3841" width="12.5703125" style="2052" customWidth="1"/>
    <col min="3842" max="3842" width="13.28515625" style="2052" customWidth="1"/>
    <col min="3843" max="3846" width="11.5703125" style="2052" customWidth="1"/>
    <col min="3847" max="3847" width="13.42578125" style="2052" customWidth="1"/>
    <col min="3848" max="3849" width="0" style="2052" hidden="1" customWidth="1"/>
    <col min="3850" max="3850" width="13.42578125" style="2052" customWidth="1"/>
    <col min="3851" max="3852" width="0" style="2052" hidden="1" customWidth="1"/>
    <col min="3853" max="3855" width="8.7109375" style="2052" customWidth="1"/>
    <col min="3856" max="3856" width="9.85546875" style="2052" customWidth="1"/>
    <col min="3857" max="3859" width="7.5703125" style="2052" customWidth="1"/>
    <col min="3860" max="3860" width="8.7109375" style="2052" customWidth="1"/>
    <col min="3861" max="3861" width="7.5703125" style="2052" customWidth="1"/>
    <col min="3862" max="3862" width="9.85546875" style="2052" customWidth="1"/>
    <col min="3863" max="3863" width="7.5703125" style="2052" customWidth="1"/>
    <col min="3864" max="4095" width="11" style="2052"/>
    <col min="4096" max="4096" width="9.85546875" style="2052" customWidth="1"/>
    <col min="4097" max="4097" width="12.5703125" style="2052" customWidth="1"/>
    <col min="4098" max="4098" width="13.28515625" style="2052" customWidth="1"/>
    <col min="4099" max="4102" width="11.5703125" style="2052" customWidth="1"/>
    <col min="4103" max="4103" width="13.42578125" style="2052" customWidth="1"/>
    <col min="4104" max="4105" width="0" style="2052" hidden="1" customWidth="1"/>
    <col min="4106" max="4106" width="13.42578125" style="2052" customWidth="1"/>
    <col min="4107" max="4108" width="0" style="2052" hidden="1" customWidth="1"/>
    <col min="4109" max="4111" width="8.7109375" style="2052" customWidth="1"/>
    <col min="4112" max="4112" width="9.85546875" style="2052" customWidth="1"/>
    <col min="4113" max="4115" width="7.5703125" style="2052" customWidth="1"/>
    <col min="4116" max="4116" width="8.7109375" style="2052" customWidth="1"/>
    <col min="4117" max="4117" width="7.5703125" style="2052" customWidth="1"/>
    <col min="4118" max="4118" width="9.85546875" style="2052" customWidth="1"/>
    <col min="4119" max="4119" width="7.5703125" style="2052" customWidth="1"/>
    <col min="4120" max="4351" width="11" style="2052"/>
    <col min="4352" max="4352" width="9.85546875" style="2052" customWidth="1"/>
    <col min="4353" max="4353" width="12.5703125" style="2052" customWidth="1"/>
    <col min="4354" max="4354" width="13.28515625" style="2052" customWidth="1"/>
    <col min="4355" max="4358" width="11.5703125" style="2052" customWidth="1"/>
    <col min="4359" max="4359" width="13.42578125" style="2052" customWidth="1"/>
    <col min="4360" max="4361" width="0" style="2052" hidden="1" customWidth="1"/>
    <col min="4362" max="4362" width="13.42578125" style="2052" customWidth="1"/>
    <col min="4363" max="4364" width="0" style="2052" hidden="1" customWidth="1"/>
    <col min="4365" max="4367" width="8.7109375" style="2052" customWidth="1"/>
    <col min="4368" max="4368" width="9.85546875" style="2052" customWidth="1"/>
    <col min="4369" max="4371" width="7.5703125" style="2052" customWidth="1"/>
    <col min="4372" max="4372" width="8.7109375" style="2052" customWidth="1"/>
    <col min="4373" max="4373" width="7.5703125" style="2052" customWidth="1"/>
    <col min="4374" max="4374" width="9.85546875" style="2052" customWidth="1"/>
    <col min="4375" max="4375" width="7.5703125" style="2052" customWidth="1"/>
    <col min="4376" max="4607" width="11" style="2052"/>
    <col min="4608" max="4608" width="9.85546875" style="2052" customWidth="1"/>
    <col min="4609" max="4609" width="12.5703125" style="2052" customWidth="1"/>
    <col min="4610" max="4610" width="13.28515625" style="2052" customWidth="1"/>
    <col min="4611" max="4614" width="11.5703125" style="2052" customWidth="1"/>
    <col min="4615" max="4615" width="13.42578125" style="2052" customWidth="1"/>
    <col min="4616" max="4617" width="0" style="2052" hidden="1" customWidth="1"/>
    <col min="4618" max="4618" width="13.42578125" style="2052" customWidth="1"/>
    <col min="4619" max="4620" width="0" style="2052" hidden="1" customWidth="1"/>
    <col min="4621" max="4623" width="8.7109375" style="2052" customWidth="1"/>
    <col min="4624" max="4624" width="9.85546875" style="2052" customWidth="1"/>
    <col min="4625" max="4627" width="7.5703125" style="2052" customWidth="1"/>
    <col min="4628" max="4628" width="8.7109375" style="2052" customWidth="1"/>
    <col min="4629" max="4629" width="7.5703125" style="2052" customWidth="1"/>
    <col min="4630" max="4630" width="9.85546875" style="2052" customWidth="1"/>
    <col min="4631" max="4631" width="7.5703125" style="2052" customWidth="1"/>
    <col min="4632" max="4863" width="11" style="2052"/>
    <col min="4864" max="4864" width="9.85546875" style="2052" customWidth="1"/>
    <col min="4865" max="4865" width="12.5703125" style="2052" customWidth="1"/>
    <col min="4866" max="4866" width="13.28515625" style="2052" customWidth="1"/>
    <col min="4867" max="4870" width="11.5703125" style="2052" customWidth="1"/>
    <col min="4871" max="4871" width="13.42578125" style="2052" customWidth="1"/>
    <col min="4872" max="4873" width="0" style="2052" hidden="1" customWidth="1"/>
    <col min="4874" max="4874" width="13.42578125" style="2052" customWidth="1"/>
    <col min="4875" max="4876" width="0" style="2052" hidden="1" customWidth="1"/>
    <col min="4877" max="4879" width="8.7109375" style="2052" customWidth="1"/>
    <col min="4880" max="4880" width="9.85546875" style="2052" customWidth="1"/>
    <col min="4881" max="4883" width="7.5703125" style="2052" customWidth="1"/>
    <col min="4884" max="4884" width="8.7109375" style="2052" customWidth="1"/>
    <col min="4885" max="4885" width="7.5703125" style="2052" customWidth="1"/>
    <col min="4886" max="4886" width="9.85546875" style="2052" customWidth="1"/>
    <col min="4887" max="4887" width="7.5703125" style="2052" customWidth="1"/>
    <col min="4888" max="5119" width="11" style="2052"/>
    <col min="5120" max="5120" width="9.85546875" style="2052" customWidth="1"/>
    <col min="5121" max="5121" width="12.5703125" style="2052" customWidth="1"/>
    <col min="5122" max="5122" width="13.28515625" style="2052" customWidth="1"/>
    <col min="5123" max="5126" width="11.5703125" style="2052" customWidth="1"/>
    <col min="5127" max="5127" width="13.42578125" style="2052" customWidth="1"/>
    <col min="5128" max="5129" width="0" style="2052" hidden="1" customWidth="1"/>
    <col min="5130" max="5130" width="13.42578125" style="2052" customWidth="1"/>
    <col min="5131" max="5132" width="0" style="2052" hidden="1" customWidth="1"/>
    <col min="5133" max="5135" width="8.7109375" style="2052" customWidth="1"/>
    <col min="5136" max="5136" width="9.85546875" style="2052" customWidth="1"/>
    <col min="5137" max="5139" width="7.5703125" style="2052" customWidth="1"/>
    <col min="5140" max="5140" width="8.7109375" style="2052" customWidth="1"/>
    <col min="5141" max="5141" width="7.5703125" style="2052" customWidth="1"/>
    <col min="5142" max="5142" width="9.85546875" style="2052" customWidth="1"/>
    <col min="5143" max="5143" width="7.5703125" style="2052" customWidth="1"/>
    <col min="5144" max="5375" width="11" style="2052"/>
    <col min="5376" max="5376" width="9.85546875" style="2052" customWidth="1"/>
    <col min="5377" max="5377" width="12.5703125" style="2052" customWidth="1"/>
    <col min="5378" max="5378" width="13.28515625" style="2052" customWidth="1"/>
    <col min="5379" max="5382" width="11.5703125" style="2052" customWidth="1"/>
    <col min="5383" max="5383" width="13.42578125" style="2052" customWidth="1"/>
    <col min="5384" max="5385" width="0" style="2052" hidden="1" customWidth="1"/>
    <col min="5386" max="5386" width="13.42578125" style="2052" customWidth="1"/>
    <col min="5387" max="5388" width="0" style="2052" hidden="1" customWidth="1"/>
    <col min="5389" max="5391" width="8.7109375" style="2052" customWidth="1"/>
    <col min="5392" max="5392" width="9.85546875" style="2052" customWidth="1"/>
    <col min="5393" max="5395" width="7.5703125" style="2052" customWidth="1"/>
    <col min="5396" max="5396" width="8.7109375" style="2052" customWidth="1"/>
    <col min="5397" max="5397" width="7.5703125" style="2052" customWidth="1"/>
    <col min="5398" max="5398" width="9.85546875" style="2052" customWidth="1"/>
    <col min="5399" max="5399" width="7.5703125" style="2052" customWidth="1"/>
    <col min="5400" max="5631" width="11" style="2052"/>
    <col min="5632" max="5632" width="9.85546875" style="2052" customWidth="1"/>
    <col min="5633" max="5633" width="12.5703125" style="2052" customWidth="1"/>
    <col min="5634" max="5634" width="13.28515625" style="2052" customWidth="1"/>
    <col min="5635" max="5638" width="11.5703125" style="2052" customWidth="1"/>
    <col min="5639" max="5639" width="13.42578125" style="2052" customWidth="1"/>
    <col min="5640" max="5641" width="0" style="2052" hidden="1" customWidth="1"/>
    <col min="5642" max="5642" width="13.42578125" style="2052" customWidth="1"/>
    <col min="5643" max="5644" width="0" style="2052" hidden="1" customWidth="1"/>
    <col min="5645" max="5647" width="8.7109375" style="2052" customWidth="1"/>
    <col min="5648" max="5648" width="9.85546875" style="2052" customWidth="1"/>
    <col min="5649" max="5651" width="7.5703125" style="2052" customWidth="1"/>
    <col min="5652" max="5652" width="8.7109375" style="2052" customWidth="1"/>
    <col min="5653" max="5653" width="7.5703125" style="2052" customWidth="1"/>
    <col min="5654" max="5654" width="9.85546875" style="2052" customWidth="1"/>
    <col min="5655" max="5655" width="7.5703125" style="2052" customWidth="1"/>
    <col min="5656" max="5887" width="11" style="2052"/>
    <col min="5888" max="5888" width="9.85546875" style="2052" customWidth="1"/>
    <col min="5889" max="5889" width="12.5703125" style="2052" customWidth="1"/>
    <col min="5890" max="5890" width="13.28515625" style="2052" customWidth="1"/>
    <col min="5891" max="5894" width="11.5703125" style="2052" customWidth="1"/>
    <col min="5895" max="5895" width="13.42578125" style="2052" customWidth="1"/>
    <col min="5896" max="5897" width="0" style="2052" hidden="1" customWidth="1"/>
    <col min="5898" max="5898" width="13.42578125" style="2052" customWidth="1"/>
    <col min="5899" max="5900" width="0" style="2052" hidden="1" customWidth="1"/>
    <col min="5901" max="5903" width="8.7109375" style="2052" customWidth="1"/>
    <col min="5904" max="5904" width="9.85546875" style="2052" customWidth="1"/>
    <col min="5905" max="5907" width="7.5703125" style="2052" customWidth="1"/>
    <col min="5908" max="5908" width="8.7109375" style="2052" customWidth="1"/>
    <col min="5909" max="5909" width="7.5703125" style="2052" customWidth="1"/>
    <col min="5910" max="5910" width="9.85546875" style="2052" customWidth="1"/>
    <col min="5911" max="5911" width="7.5703125" style="2052" customWidth="1"/>
    <col min="5912" max="6143" width="11" style="2052"/>
    <col min="6144" max="6144" width="9.85546875" style="2052" customWidth="1"/>
    <col min="6145" max="6145" width="12.5703125" style="2052" customWidth="1"/>
    <col min="6146" max="6146" width="13.28515625" style="2052" customWidth="1"/>
    <col min="6147" max="6150" width="11.5703125" style="2052" customWidth="1"/>
    <col min="6151" max="6151" width="13.42578125" style="2052" customWidth="1"/>
    <col min="6152" max="6153" width="0" style="2052" hidden="1" customWidth="1"/>
    <col min="6154" max="6154" width="13.42578125" style="2052" customWidth="1"/>
    <col min="6155" max="6156" width="0" style="2052" hidden="1" customWidth="1"/>
    <col min="6157" max="6159" width="8.7109375" style="2052" customWidth="1"/>
    <col min="6160" max="6160" width="9.85546875" style="2052" customWidth="1"/>
    <col min="6161" max="6163" width="7.5703125" style="2052" customWidth="1"/>
    <col min="6164" max="6164" width="8.7109375" style="2052" customWidth="1"/>
    <col min="6165" max="6165" width="7.5703125" style="2052" customWidth="1"/>
    <col min="6166" max="6166" width="9.85546875" style="2052" customWidth="1"/>
    <col min="6167" max="6167" width="7.5703125" style="2052" customWidth="1"/>
    <col min="6168" max="6399" width="11" style="2052"/>
    <col min="6400" max="6400" width="9.85546875" style="2052" customWidth="1"/>
    <col min="6401" max="6401" width="12.5703125" style="2052" customWidth="1"/>
    <col min="6402" max="6402" width="13.28515625" style="2052" customWidth="1"/>
    <col min="6403" max="6406" width="11.5703125" style="2052" customWidth="1"/>
    <col min="6407" max="6407" width="13.42578125" style="2052" customWidth="1"/>
    <col min="6408" max="6409" width="0" style="2052" hidden="1" customWidth="1"/>
    <col min="6410" max="6410" width="13.42578125" style="2052" customWidth="1"/>
    <col min="6411" max="6412" width="0" style="2052" hidden="1" customWidth="1"/>
    <col min="6413" max="6415" width="8.7109375" style="2052" customWidth="1"/>
    <col min="6416" max="6416" width="9.85546875" style="2052" customWidth="1"/>
    <col min="6417" max="6419" width="7.5703125" style="2052" customWidth="1"/>
    <col min="6420" max="6420" width="8.7109375" style="2052" customWidth="1"/>
    <col min="6421" max="6421" width="7.5703125" style="2052" customWidth="1"/>
    <col min="6422" max="6422" width="9.85546875" style="2052" customWidth="1"/>
    <col min="6423" max="6423" width="7.5703125" style="2052" customWidth="1"/>
    <col min="6424" max="6655" width="11" style="2052"/>
    <col min="6656" max="6656" width="9.85546875" style="2052" customWidth="1"/>
    <col min="6657" max="6657" width="12.5703125" style="2052" customWidth="1"/>
    <col min="6658" max="6658" width="13.28515625" style="2052" customWidth="1"/>
    <col min="6659" max="6662" width="11.5703125" style="2052" customWidth="1"/>
    <col min="6663" max="6663" width="13.42578125" style="2052" customWidth="1"/>
    <col min="6664" max="6665" width="0" style="2052" hidden="1" customWidth="1"/>
    <col min="6666" max="6666" width="13.42578125" style="2052" customWidth="1"/>
    <col min="6667" max="6668" width="0" style="2052" hidden="1" customWidth="1"/>
    <col min="6669" max="6671" width="8.7109375" style="2052" customWidth="1"/>
    <col min="6672" max="6672" width="9.85546875" style="2052" customWidth="1"/>
    <col min="6673" max="6675" width="7.5703125" style="2052" customWidth="1"/>
    <col min="6676" max="6676" width="8.7109375" style="2052" customWidth="1"/>
    <col min="6677" max="6677" width="7.5703125" style="2052" customWidth="1"/>
    <col min="6678" max="6678" width="9.85546875" style="2052" customWidth="1"/>
    <col min="6679" max="6679" width="7.5703125" style="2052" customWidth="1"/>
    <col min="6680" max="6911" width="11" style="2052"/>
    <col min="6912" max="6912" width="9.85546875" style="2052" customWidth="1"/>
    <col min="6913" max="6913" width="12.5703125" style="2052" customWidth="1"/>
    <col min="6914" max="6914" width="13.28515625" style="2052" customWidth="1"/>
    <col min="6915" max="6918" width="11.5703125" style="2052" customWidth="1"/>
    <col min="6919" max="6919" width="13.42578125" style="2052" customWidth="1"/>
    <col min="6920" max="6921" width="0" style="2052" hidden="1" customWidth="1"/>
    <col min="6922" max="6922" width="13.42578125" style="2052" customWidth="1"/>
    <col min="6923" max="6924" width="0" style="2052" hidden="1" customWidth="1"/>
    <col min="6925" max="6927" width="8.7109375" style="2052" customWidth="1"/>
    <col min="6928" max="6928" width="9.85546875" style="2052" customWidth="1"/>
    <col min="6929" max="6931" width="7.5703125" style="2052" customWidth="1"/>
    <col min="6932" max="6932" width="8.7109375" style="2052" customWidth="1"/>
    <col min="6933" max="6933" width="7.5703125" style="2052" customWidth="1"/>
    <col min="6934" max="6934" width="9.85546875" style="2052" customWidth="1"/>
    <col min="6935" max="6935" width="7.5703125" style="2052" customWidth="1"/>
    <col min="6936" max="7167" width="11" style="2052"/>
    <col min="7168" max="7168" width="9.85546875" style="2052" customWidth="1"/>
    <col min="7169" max="7169" width="12.5703125" style="2052" customWidth="1"/>
    <col min="7170" max="7170" width="13.28515625" style="2052" customWidth="1"/>
    <col min="7171" max="7174" width="11.5703125" style="2052" customWidth="1"/>
    <col min="7175" max="7175" width="13.42578125" style="2052" customWidth="1"/>
    <col min="7176" max="7177" width="0" style="2052" hidden="1" customWidth="1"/>
    <col min="7178" max="7178" width="13.42578125" style="2052" customWidth="1"/>
    <col min="7179" max="7180" width="0" style="2052" hidden="1" customWidth="1"/>
    <col min="7181" max="7183" width="8.7109375" style="2052" customWidth="1"/>
    <col min="7184" max="7184" width="9.85546875" style="2052" customWidth="1"/>
    <col min="7185" max="7187" width="7.5703125" style="2052" customWidth="1"/>
    <col min="7188" max="7188" width="8.7109375" style="2052" customWidth="1"/>
    <col min="7189" max="7189" width="7.5703125" style="2052" customWidth="1"/>
    <col min="7190" max="7190" width="9.85546875" style="2052" customWidth="1"/>
    <col min="7191" max="7191" width="7.5703125" style="2052" customWidth="1"/>
    <col min="7192" max="7423" width="11" style="2052"/>
    <col min="7424" max="7424" width="9.85546875" style="2052" customWidth="1"/>
    <col min="7425" max="7425" width="12.5703125" style="2052" customWidth="1"/>
    <col min="7426" max="7426" width="13.28515625" style="2052" customWidth="1"/>
    <col min="7427" max="7430" width="11.5703125" style="2052" customWidth="1"/>
    <col min="7431" max="7431" width="13.42578125" style="2052" customWidth="1"/>
    <col min="7432" max="7433" width="0" style="2052" hidden="1" customWidth="1"/>
    <col min="7434" max="7434" width="13.42578125" style="2052" customWidth="1"/>
    <col min="7435" max="7436" width="0" style="2052" hidden="1" customWidth="1"/>
    <col min="7437" max="7439" width="8.7109375" style="2052" customWidth="1"/>
    <col min="7440" max="7440" width="9.85546875" style="2052" customWidth="1"/>
    <col min="7441" max="7443" width="7.5703125" style="2052" customWidth="1"/>
    <col min="7444" max="7444" width="8.7109375" style="2052" customWidth="1"/>
    <col min="7445" max="7445" width="7.5703125" style="2052" customWidth="1"/>
    <col min="7446" max="7446" width="9.85546875" style="2052" customWidth="1"/>
    <col min="7447" max="7447" width="7.5703125" style="2052" customWidth="1"/>
    <col min="7448" max="7679" width="11" style="2052"/>
    <col min="7680" max="7680" width="9.85546875" style="2052" customWidth="1"/>
    <col min="7681" max="7681" width="12.5703125" style="2052" customWidth="1"/>
    <col min="7682" max="7682" width="13.28515625" style="2052" customWidth="1"/>
    <col min="7683" max="7686" width="11.5703125" style="2052" customWidth="1"/>
    <col min="7687" max="7687" width="13.42578125" style="2052" customWidth="1"/>
    <col min="7688" max="7689" width="0" style="2052" hidden="1" customWidth="1"/>
    <col min="7690" max="7690" width="13.42578125" style="2052" customWidth="1"/>
    <col min="7691" max="7692" width="0" style="2052" hidden="1" customWidth="1"/>
    <col min="7693" max="7695" width="8.7109375" style="2052" customWidth="1"/>
    <col min="7696" max="7696" width="9.85546875" style="2052" customWidth="1"/>
    <col min="7697" max="7699" width="7.5703125" style="2052" customWidth="1"/>
    <col min="7700" max="7700" width="8.7109375" style="2052" customWidth="1"/>
    <col min="7701" max="7701" width="7.5703125" style="2052" customWidth="1"/>
    <col min="7702" max="7702" width="9.85546875" style="2052" customWidth="1"/>
    <col min="7703" max="7703" width="7.5703125" style="2052" customWidth="1"/>
    <col min="7704" max="7935" width="11" style="2052"/>
    <col min="7936" max="7936" width="9.85546875" style="2052" customWidth="1"/>
    <col min="7937" max="7937" width="12.5703125" style="2052" customWidth="1"/>
    <col min="7938" max="7938" width="13.28515625" style="2052" customWidth="1"/>
    <col min="7939" max="7942" width="11.5703125" style="2052" customWidth="1"/>
    <col min="7943" max="7943" width="13.42578125" style="2052" customWidth="1"/>
    <col min="7944" max="7945" width="0" style="2052" hidden="1" customWidth="1"/>
    <col min="7946" max="7946" width="13.42578125" style="2052" customWidth="1"/>
    <col min="7947" max="7948" width="0" style="2052" hidden="1" customWidth="1"/>
    <col min="7949" max="7951" width="8.7109375" style="2052" customWidth="1"/>
    <col min="7952" max="7952" width="9.85546875" style="2052" customWidth="1"/>
    <col min="7953" max="7955" width="7.5703125" style="2052" customWidth="1"/>
    <col min="7956" max="7956" width="8.7109375" style="2052" customWidth="1"/>
    <col min="7957" max="7957" width="7.5703125" style="2052" customWidth="1"/>
    <col min="7958" max="7958" width="9.85546875" style="2052" customWidth="1"/>
    <col min="7959" max="7959" width="7.5703125" style="2052" customWidth="1"/>
    <col min="7960" max="8191" width="11" style="2052"/>
    <col min="8192" max="8192" width="9.85546875" style="2052" customWidth="1"/>
    <col min="8193" max="8193" width="12.5703125" style="2052" customWidth="1"/>
    <col min="8194" max="8194" width="13.28515625" style="2052" customWidth="1"/>
    <col min="8195" max="8198" width="11.5703125" style="2052" customWidth="1"/>
    <col min="8199" max="8199" width="13.42578125" style="2052" customWidth="1"/>
    <col min="8200" max="8201" width="0" style="2052" hidden="1" customWidth="1"/>
    <col min="8202" max="8202" width="13.42578125" style="2052" customWidth="1"/>
    <col min="8203" max="8204" width="0" style="2052" hidden="1" customWidth="1"/>
    <col min="8205" max="8207" width="8.7109375" style="2052" customWidth="1"/>
    <col min="8208" max="8208" width="9.85546875" style="2052" customWidth="1"/>
    <col min="8209" max="8211" width="7.5703125" style="2052" customWidth="1"/>
    <col min="8212" max="8212" width="8.7109375" style="2052" customWidth="1"/>
    <col min="8213" max="8213" width="7.5703125" style="2052" customWidth="1"/>
    <col min="8214" max="8214" width="9.85546875" style="2052" customWidth="1"/>
    <col min="8215" max="8215" width="7.5703125" style="2052" customWidth="1"/>
    <col min="8216" max="8447" width="11" style="2052"/>
    <col min="8448" max="8448" width="9.85546875" style="2052" customWidth="1"/>
    <col min="8449" max="8449" width="12.5703125" style="2052" customWidth="1"/>
    <col min="8450" max="8450" width="13.28515625" style="2052" customWidth="1"/>
    <col min="8451" max="8454" width="11.5703125" style="2052" customWidth="1"/>
    <col min="8455" max="8455" width="13.42578125" style="2052" customWidth="1"/>
    <col min="8456" max="8457" width="0" style="2052" hidden="1" customWidth="1"/>
    <col min="8458" max="8458" width="13.42578125" style="2052" customWidth="1"/>
    <col min="8459" max="8460" width="0" style="2052" hidden="1" customWidth="1"/>
    <col min="8461" max="8463" width="8.7109375" style="2052" customWidth="1"/>
    <col min="8464" max="8464" width="9.85546875" style="2052" customWidth="1"/>
    <col min="8465" max="8467" width="7.5703125" style="2052" customWidth="1"/>
    <col min="8468" max="8468" width="8.7109375" style="2052" customWidth="1"/>
    <col min="8469" max="8469" width="7.5703125" style="2052" customWidth="1"/>
    <col min="8470" max="8470" width="9.85546875" style="2052" customWidth="1"/>
    <col min="8471" max="8471" width="7.5703125" style="2052" customWidth="1"/>
    <col min="8472" max="8703" width="11" style="2052"/>
    <col min="8704" max="8704" width="9.85546875" style="2052" customWidth="1"/>
    <col min="8705" max="8705" width="12.5703125" style="2052" customWidth="1"/>
    <col min="8706" max="8706" width="13.28515625" style="2052" customWidth="1"/>
    <col min="8707" max="8710" width="11.5703125" style="2052" customWidth="1"/>
    <col min="8711" max="8711" width="13.42578125" style="2052" customWidth="1"/>
    <col min="8712" max="8713" width="0" style="2052" hidden="1" customWidth="1"/>
    <col min="8714" max="8714" width="13.42578125" style="2052" customWidth="1"/>
    <col min="8715" max="8716" width="0" style="2052" hidden="1" customWidth="1"/>
    <col min="8717" max="8719" width="8.7109375" style="2052" customWidth="1"/>
    <col min="8720" max="8720" width="9.85546875" style="2052" customWidth="1"/>
    <col min="8721" max="8723" width="7.5703125" style="2052" customWidth="1"/>
    <col min="8724" max="8724" width="8.7109375" style="2052" customWidth="1"/>
    <col min="8725" max="8725" width="7.5703125" style="2052" customWidth="1"/>
    <col min="8726" max="8726" width="9.85546875" style="2052" customWidth="1"/>
    <col min="8727" max="8727" width="7.5703125" style="2052" customWidth="1"/>
    <col min="8728" max="8959" width="11" style="2052"/>
    <col min="8960" max="8960" width="9.85546875" style="2052" customWidth="1"/>
    <col min="8961" max="8961" width="12.5703125" style="2052" customWidth="1"/>
    <col min="8962" max="8962" width="13.28515625" style="2052" customWidth="1"/>
    <col min="8963" max="8966" width="11.5703125" style="2052" customWidth="1"/>
    <col min="8967" max="8967" width="13.42578125" style="2052" customWidth="1"/>
    <col min="8968" max="8969" width="0" style="2052" hidden="1" customWidth="1"/>
    <col min="8970" max="8970" width="13.42578125" style="2052" customWidth="1"/>
    <col min="8971" max="8972" width="0" style="2052" hidden="1" customWidth="1"/>
    <col min="8973" max="8975" width="8.7109375" style="2052" customWidth="1"/>
    <col min="8976" max="8976" width="9.85546875" style="2052" customWidth="1"/>
    <col min="8977" max="8979" width="7.5703125" style="2052" customWidth="1"/>
    <col min="8980" max="8980" width="8.7109375" style="2052" customWidth="1"/>
    <col min="8981" max="8981" width="7.5703125" style="2052" customWidth="1"/>
    <col min="8982" max="8982" width="9.85546875" style="2052" customWidth="1"/>
    <col min="8983" max="8983" width="7.5703125" style="2052" customWidth="1"/>
    <col min="8984" max="9215" width="11" style="2052"/>
    <col min="9216" max="9216" width="9.85546875" style="2052" customWidth="1"/>
    <col min="9217" max="9217" width="12.5703125" style="2052" customWidth="1"/>
    <col min="9218" max="9218" width="13.28515625" style="2052" customWidth="1"/>
    <col min="9219" max="9222" width="11.5703125" style="2052" customWidth="1"/>
    <col min="9223" max="9223" width="13.42578125" style="2052" customWidth="1"/>
    <col min="9224" max="9225" width="0" style="2052" hidden="1" customWidth="1"/>
    <col min="9226" max="9226" width="13.42578125" style="2052" customWidth="1"/>
    <col min="9227" max="9228" width="0" style="2052" hidden="1" customWidth="1"/>
    <col min="9229" max="9231" width="8.7109375" style="2052" customWidth="1"/>
    <col min="9232" max="9232" width="9.85546875" style="2052" customWidth="1"/>
    <col min="9233" max="9235" width="7.5703125" style="2052" customWidth="1"/>
    <col min="9236" max="9236" width="8.7109375" style="2052" customWidth="1"/>
    <col min="9237" max="9237" width="7.5703125" style="2052" customWidth="1"/>
    <col min="9238" max="9238" width="9.85546875" style="2052" customWidth="1"/>
    <col min="9239" max="9239" width="7.5703125" style="2052" customWidth="1"/>
    <col min="9240" max="9471" width="11" style="2052"/>
    <col min="9472" max="9472" width="9.85546875" style="2052" customWidth="1"/>
    <col min="9473" max="9473" width="12.5703125" style="2052" customWidth="1"/>
    <col min="9474" max="9474" width="13.28515625" style="2052" customWidth="1"/>
    <col min="9475" max="9478" width="11.5703125" style="2052" customWidth="1"/>
    <col min="9479" max="9479" width="13.42578125" style="2052" customWidth="1"/>
    <col min="9480" max="9481" width="0" style="2052" hidden="1" customWidth="1"/>
    <col min="9482" max="9482" width="13.42578125" style="2052" customWidth="1"/>
    <col min="9483" max="9484" width="0" style="2052" hidden="1" customWidth="1"/>
    <col min="9485" max="9487" width="8.7109375" style="2052" customWidth="1"/>
    <col min="9488" max="9488" width="9.85546875" style="2052" customWidth="1"/>
    <col min="9489" max="9491" width="7.5703125" style="2052" customWidth="1"/>
    <col min="9492" max="9492" width="8.7109375" style="2052" customWidth="1"/>
    <col min="9493" max="9493" width="7.5703125" style="2052" customWidth="1"/>
    <col min="9494" max="9494" width="9.85546875" style="2052" customWidth="1"/>
    <col min="9495" max="9495" width="7.5703125" style="2052" customWidth="1"/>
    <col min="9496" max="9727" width="11" style="2052"/>
    <col min="9728" max="9728" width="9.85546875" style="2052" customWidth="1"/>
    <col min="9729" max="9729" width="12.5703125" style="2052" customWidth="1"/>
    <col min="9730" max="9730" width="13.28515625" style="2052" customWidth="1"/>
    <col min="9731" max="9734" width="11.5703125" style="2052" customWidth="1"/>
    <col min="9735" max="9735" width="13.42578125" style="2052" customWidth="1"/>
    <col min="9736" max="9737" width="0" style="2052" hidden="1" customWidth="1"/>
    <col min="9738" max="9738" width="13.42578125" style="2052" customWidth="1"/>
    <col min="9739" max="9740" width="0" style="2052" hidden="1" customWidth="1"/>
    <col min="9741" max="9743" width="8.7109375" style="2052" customWidth="1"/>
    <col min="9744" max="9744" width="9.85546875" style="2052" customWidth="1"/>
    <col min="9745" max="9747" width="7.5703125" style="2052" customWidth="1"/>
    <col min="9748" max="9748" width="8.7109375" style="2052" customWidth="1"/>
    <col min="9749" max="9749" width="7.5703125" style="2052" customWidth="1"/>
    <col min="9750" max="9750" width="9.85546875" style="2052" customWidth="1"/>
    <col min="9751" max="9751" width="7.5703125" style="2052" customWidth="1"/>
    <col min="9752" max="9983" width="11" style="2052"/>
    <col min="9984" max="9984" width="9.85546875" style="2052" customWidth="1"/>
    <col min="9985" max="9985" width="12.5703125" style="2052" customWidth="1"/>
    <col min="9986" max="9986" width="13.28515625" style="2052" customWidth="1"/>
    <col min="9987" max="9990" width="11.5703125" style="2052" customWidth="1"/>
    <col min="9991" max="9991" width="13.42578125" style="2052" customWidth="1"/>
    <col min="9992" max="9993" width="0" style="2052" hidden="1" customWidth="1"/>
    <col min="9994" max="9994" width="13.42578125" style="2052" customWidth="1"/>
    <col min="9995" max="9996" width="0" style="2052" hidden="1" customWidth="1"/>
    <col min="9997" max="9999" width="8.7109375" style="2052" customWidth="1"/>
    <col min="10000" max="10000" width="9.85546875" style="2052" customWidth="1"/>
    <col min="10001" max="10003" width="7.5703125" style="2052" customWidth="1"/>
    <col min="10004" max="10004" width="8.7109375" style="2052" customWidth="1"/>
    <col min="10005" max="10005" width="7.5703125" style="2052" customWidth="1"/>
    <col min="10006" max="10006" width="9.85546875" style="2052" customWidth="1"/>
    <col min="10007" max="10007" width="7.5703125" style="2052" customWidth="1"/>
    <col min="10008" max="10239" width="11" style="2052"/>
    <col min="10240" max="10240" width="9.85546875" style="2052" customWidth="1"/>
    <col min="10241" max="10241" width="12.5703125" style="2052" customWidth="1"/>
    <col min="10242" max="10242" width="13.28515625" style="2052" customWidth="1"/>
    <col min="10243" max="10246" width="11.5703125" style="2052" customWidth="1"/>
    <col min="10247" max="10247" width="13.42578125" style="2052" customWidth="1"/>
    <col min="10248" max="10249" width="0" style="2052" hidden="1" customWidth="1"/>
    <col min="10250" max="10250" width="13.42578125" style="2052" customWidth="1"/>
    <col min="10251" max="10252" width="0" style="2052" hidden="1" customWidth="1"/>
    <col min="10253" max="10255" width="8.7109375" style="2052" customWidth="1"/>
    <col min="10256" max="10256" width="9.85546875" style="2052" customWidth="1"/>
    <col min="10257" max="10259" width="7.5703125" style="2052" customWidth="1"/>
    <col min="10260" max="10260" width="8.7109375" style="2052" customWidth="1"/>
    <col min="10261" max="10261" width="7.5703125" style="2052" customWidth="1"/>
    <col min="10262" max="10262" width="9.85546875" style="2052" customWidth="1"/>
    <col min="10263" max="10263" width="7.5703125" style="2052" customWidth="1"/>
    <col min="10264" max="10495" width="11" style="2052"/>
    <col min="10496" max="10496" width="9.85546875" style="2052" customWidth="1"/>
    <col min="10497" max="10497" width="12.5703125" style="2052" customWidth="1"/>
    <col min="10498" max="10498" width="13.28515625" style="2052" customWidth="1"/>
    <col min="10499" max="10502" width="11.5703125" style="2052" customWidth="1"/>
    <col min="10503" max="10503" width="13.42578125" style="2052" customWidth="1"/>
    <col min="10504" max="10505" width="0" style="2052" hidden="1" customWidth="1"/>
    <col min="10506" max="10506" width="13.42578125" style="2052" customWidth="1"/>
    <col min="10507" max="10508" width="0" style="2052" hidden="1" customWidth="1"/>
    <col min="10509" max="10511" width="8.7109375" style="2052" customWidth="1"/>
    <col min="10512" max="10512" width="9.85546875" style="2052" customWidth="1"/>
    <col min="10513" max="10515" width="7.5703125" style="2052" customWidth="1"/>
    <col min="10516" max="10516" width="8.7109375" style="2052" customWidth="1"/>
    <col min="10517" max="10517" width="7.5703125" style="2052" customWidth="1"/>
    <col min="10518" max="10518" width="9.85546875" style="2052" customWidth="1"/>
    <col min="10519" max="10519" width="7.5703125" style="2052" customWidth="1"/>
    <col min="10520" max="10751" width="11" style="2052"/>
    <col min="10752" max="10752" width="9.85546875" style="2052" customWidth="1"/>
    <col min="10753" max="10753" width="12.5703125" style="2052" customWidth="1"/>
    <col min="10754" max="10754" width="13.28515625" style="2052" customWidth="1"/>
    <col min="10755" max="10758" width="11.5703125" style="2052" customWidth="1"/>
    <col min="10759" max="10759" width="13.42578125" style="2052" customWidth="1"/>
    <col min="10760" max="10761" width="0" style="2052" hidden="1" customWidth="1"/>
    <col min="10762" max="10762" width="13.42578125" style="2052" customWidth="1"/>
    <col min="10763" max="10764" width="0" style="2052" hidden="1" customWidth="1"/>
    <col min="10765" max="10767" width="8.7109375" style="2052" customWidth="1"/>
    <col min="10768" max="10768" width="9.85546875" style="2052" customWidth="1"/>
    <col min="10769" max="10771" width="7.5703125" style="2052" customWidth="1"/>
    <col min="10772" max="10772" width="8.7109375" style="2052" customWidth="1"/>
    <col min="10773" max="10773" width="7.5703125" style="2052" customWidth="1"/>
    <col min="10774" max="10774" width="9.85546875" style="2052" customWidth="1"/>
    <col min="10775" max="10775" width="7.5703125" style="2052" customWidth="1"/>
    <col min="10776" max="11007" width="11" style="2052"/>
    <col min="11008" max="11008" width="9.85546875" style="2052" customWidth="1"/>
    <col min="11009" max="11009" width="12.5703125" style="2052" customWidth="1"/>
    <col min="11010" max="11010" width="13.28515625" style="2052" customWidth="1"/>
    <col min="11011" max="11014" width="11.5703125" style="2052" customWidth="1"/>
    <col min="11015" max="11015" width="13.42578125" style="2052" customWidth="1"/>
    <col min="11016" max="11017" width="0" style="2052" hidden="1" customWidth="1"/>
    <col min="11018" max="11018" width="13.42578125" style="2052" customWidth="1"/>
    <col min="11019" max="11020" width="0" style="2052" hidden="1" customWidth="1"/>
    <col min="11021" max="11023" width="8.7109375" style="2052" customWidth="1"/>
    <col min="11024" max="11024" width="9.85546875" style="2052" customWidth="1"/>
    <col min="11025" max="11027" width="7.5703125" style="2052" customWidth="1"/>
    <col min="11028" max="11028" width="8.7109375" style="2052" customWidth="1"/>
    <col min="11029" max="11029" width="7.5703125" style="2052" customWidth="1"/>
    <col min="11030" max="11030" width="9.85546875" style="2052" customWidth="1"/>
    <col min="11031" max="11031" width="7.5703125" style="2052" customWidth="1"/>
    <col min="11032" max="11263" width="11" style="2052"/>
    <col min="11264" max="11264" width="9.85546875" style="2052" customWidth="1"/>
    <col min="11265" max="11265" width="12.5703125" style="2052" customWidth="1"/>
    <col min="11266" max="11266" width="13.28515625" style="2052" customWidth="1"/>
    <col min="11267" max="11270" width="11.5703125" style="2052" customWidth="1"/>
    <col min="11271" max="11271" width="13.42578125" style="2052" customWidth="1"/>
    <col min="11272" max="11273" width="0" style="2052" hidden="1" customWidth="1"/>
    <col min="11274" max="11274" width="13.42578125" style="2052" customWidth="1"/>
    <col min="11275" max="11276" width="0" style="2052" hidden="1" customWidth="1"/>
    <col min="11277" max="11279" width="8.7109375" style="2052" customWidth="1"/>
    <col min="11280" max="11280" width="9.85546875" style="2052" customWidth="1"/>
    <col min="11281" max="11283" width="7.5703125" style="2052" customWidth="1"/>
    <col min="11284" max="11284" width="8.7109375" style="2052" customWidth="1"/>
    <col min="11285" max="11285" width="7.5703125" style="2052" customWidth="1"/>
    <col min="11286" max="11286" width="9.85546875" style="2052" customWidth="1"/>
    <col min="11287" max="11287" width="7.5703125" style="2052" customWidth="1"/>
    <col min="11288" max="11519" width="11" style="2052"/>
    <col min="11520" max="11520" width="9.85546875" style="2052" customWidth="1"/>
    <col min="11521" max="11521" width="12.5703125" style="2052" customWidth="1"/>
    <col min="11522" max="11522" width="13.28515625" style="2052" customWidth="1"/>
    <col min="11523" max="11526" width="11.5703125" style="2052" customWidth="1"/>
    <col min="11527" max="11527" width="13.42578125" style="2052" customWidth="1"/>
    <col min="11528" max="11529" width="0" style="2052" hidden="1" customWidth="1"/>
    <col min="11530" max="11530" width="13.42578125" style="2052" customWidth="1"/>
    <col min="11531" max="11532" width="0" style="2052" hidden="1" customWidth="1"/>
    <col min="11533" max="11535" width="8.7109375" style="2052" customWidth="1"/>
    <col min="11536" max="11536" width="9.85546875" style="2052" customWidth="1"/>
    <col min="11537" max="11539" width="7.5703125" style="2052" customWidth="1"/>
    <col min="11540" max="11540" width="8.7109375" style="2052" customWidth="1"/>
    <col min="11541" max="11541" width="7.5703125" style="2052" customWidth="1"/>
    <col min="11542" max="11542" width="9.85546875" style="2052" customWidth="1"/>
    <col min="11543" max="11543" width="7.5703125" style="2052" customWidth="1"/>
    <col min="11544" max="11775" width="11" style="2052"/>
    <col min="11776" max="11776" width="9.85546875" style="2052" customWidth="1"/>
    <col min="11777" max="11777" width="12.5703125" style="2052" customWidth="1"/>
    <col min="11778" max="11778" width="13.28515625" style="2052" customWidth="1"/>
    <col min="11779" max="11782" width="11.5703125" style="2052" customWidth="1"/>
    <col min="11783" max="11783" width="13.42578125" style="2052" customWidth="1"/>
    <col min="11784" max="11785" width="0" style="2052" hidden="1" customWidth="1"/>
    <col min="11786" max="11786" width="13.42578125" style="2052" customWidth="1"/>
    <col min="11787" max="11788" width="0" style="2052" hidden="1" customWidth="1"/>
    <col min="11789" max="11791" width="8.7109375" style="2052" customWidth="1"/>
    <col min="11792" max="11792" width="9.85546875" style="2052" customWidth="1"/>
    <col min="11793" max="11795" width="7.5703125" style="2052" customWidth="1"/>
    <col min="11796" max="11796" width="8.7109375" style="2052" customWidth="1"/>
    <col min="11797" max="11797" width="7.5703125" style="2052" customWidth="1"/>
    <col min="11798" max="11798" width="9.85546875" style="2052" customWidth="1"/>
    <col min="11799" max="11799" width="7.5703125" style="2052" customWidth="1"/>
    <col min="11800" max="12031" width="11" style="2052"/>
    <col min="12032" max="12032" width="9.85546875" style="2052" customWidth="1"/>
    <col min="12033" max="12033" width="12.5703125" style="2052" customWidth="1"/>
    <col min="12034" max="12034" width="13.28515625" style="2052" customWidth="1"/>
    <col min="12035" max="12038" width="11.5703125" style="2052" customWidth="1"/>
    <col min="12039" max="12039" width="13.42578125" style="2052" customWidth="1"/>
    <col min="12040" max="12041" width="0" style="2052" hidden="1" customWidth="1"/>
    <col min="12042" max="12042" width="13.42578125" style="2052" customWidth="1"/>
    <col min="12043" max="12044" width="0" style="2052" hidden="1" customWidth="1"/>
    <col min="12045" max="12047" width="8.7109375" style="2052" customWidth="1"/>
    <col min="12048" max="12048" width="9.85546875" style="2052" customWidth="1"/>
    <col min="12049" max="12051" width="7.5703125" style="2052" customWidth="1"/>
    <col min="12052" max="12052" width="8.7109375" style="2052" customWidth="1"/>
    <col min="12053" max="12053" width="7.5703125" style="2052" customWidth="1"/>
    <col min="12054" max="12054" width="9.85546875" style="2052" customWidth="1"/>
    <col min="12055" max="12055" width="7.5703125" style="2052" customWidth="1"/>
    <col min="12056" max="12287" width="11" style="2052"/>
    <col min="12288" max="12288" width="9.85546875" style="2052" customWidth="1"/>
    <col min="12289" max="12289" width="12.5703125" style="2052" customWidth="1"/>
    <col min="12290" max="12290" width="13.28515625" style="2052" customWidth="1"/>
    <col min="12291" max="12294" width="11.5703125" style="2052" customWidth="1"/>
    <col min="12295" max="12295" width="13.42578125" style="2052" customWidth="1"/>
    <col min="12296" max="12297" width="0" style="2052" hidden="1" customWidth="1"/>
    <col min="12298" max="12298" width="13.42578125" style="2052" customWidth="1"/>
    <col min="12299" max="12300" width="0" style="2052" hidden="1" customWidth="1"/>
    <col min="12301" max="12303" width="8.7109375" style="2052" customWidth="1"/>
    <col min="12304" max="12304" width="9.85546875" style="2052" customWidth="1"/>
    <col min="12305" max="12307" width="7.5703125" style="2052" customWidth="1"/>
    <col min="12308" max="12308" width="8.7109375" style="2052" customWidth="1"/>
    <col min="12309" max="12309" width="7.5703125" style="2052" customWidth="1"/>
    <col min="12310" max="12310" width="9.85546875" style="2052" customWidth="1"/>
    <col min="12311" max="12311" width="7.5703125" style="2052" customWidth="1"/>
    <col min="12312" max="12543" width="11" style="2052"/>
    <col min="12544" max="12544" width="9.85546875" style="2052" customWidth="1"/>
    <col min="12545" max="12545" width="12.5703125" style="2052" customWidth="1"/>
    <col min="12546" max="12546" width="13.28515625" style="2052" customWidth="1"/>
    <col min="12547" max="12550" width="11.5703125" style="2052" customWidth="1"/>
    <col min="12551" max="12551" width="13.42578125" style="2052" customWidth="1"/>
    <col min="12552" max="12553" width="0" style="2052" hidden="1" customWidth="1"/>
    <col min="12554" max="12554" width="13.42578125" style="2052" customWidth="1"/>
    <col min="12555" max="12556" width="0" style="2052" hidden="1" customWidth="1"/>
    <col min="12557" max="12559" width="8.7109375" style="2052" customWidth="1"/>
    <col min="12560" max="12560" width="9.85546875" style="2052" customWidth="1"/>
    <col min="12561" max="12563" width="7.5703125" style="2052" customWidth="1"/>
    <col min="12564" max="12564" width="8.7109375" style="2052" customWidth="1"/>
    <col min="12565" max="12565" width="7.5703125" style="2052" customWidth="1"/>
    <col min="12566" max="12566" width="9.85546875" style="2052" customWidth="1"/>
    <col min="12567" max="12567" width="7.5703125" style="2052" customWidth="1"/>
    <col min="12568" max="12799" width="11" style="2052"/>
    <col min="12800" max="12800" width="9.85546875" style="2052" customWidth="1"/>
    <col min="12801" max="12801" width="12.5703125" style="2052" customWidth="1"/>
    <col min="12802" max="12802" width="13.28515625" style="2052" customWidth="1"/>
    <col min="12803" max="12806" width="11.5703125" style="2052" customWidth="1"/>
    <col min="12807" max="12807" width="13.42578125" style="2052" customWidth="1"/>
    <col min="12808" max="12809" width="0" style="2052" hidden="1" customWidth="1"/>
    <col min="12810" max="12810" width="13.42578125" style="2052" customWidth="1"/>
    <col min="12811" max="12812" width="0" style="2052" hidden="1" customWidth="1"/>
    <col min="12813" max="12815" width="8.7109375" style="2052" customWidth="1"/>
    <col min="12816" max="12816" width="9.85546875" style="2052" customWidth="1"/>
    <col min="12817" max="12819" width="7.5703125" style="2052" customWidth="1"/>
    <col min="12820" max="12820" width="8.7109375" style="2052" customWidth="1"/>
    <col min="12821" max="12821" width="7.5703125" style="2052" customWidth="1"/>
    <col min="12822" max="12822" width="9.85546875" style="2052" customWidth="1"/>
    <col min="12823" max="12823" width="7.5703125" style="2052" customWidth="1"/>
    <col min="12824" max="13055" width="11" style="2052"/>
    <col min="13056" max="13056" width="9.85546875" style="2052" customWidth="1"/>
    <col min="13057" max="13057" width="12.5703125" style="2052" customWidth="1"/>
    <col min="13058" max="13058" width="13.28515625" style="2052" customWidth="1"/>
    <col min="13059" max="13062" width="11.5703125" style="2052" customWidth="1"/>
    <col min="13063" max="13063" width="13.42578125" style="2052" customWidth="1"/>
    <col min="13064" max="13065" width="0" style="2052" hidden="1" customWidth="1"/>
    <col min="13066" max="13066" width="13.42578125" style="2052" customWidth="1"/>
    <col min="13067" max="13068" width="0" style="2052" hidden="1" customWidth="1"/>
    <col min="13069" max="13071" width="8.7109375" style="2052" customWidth="1"/>
    <col min="13072" max="13072" width="9.85546875" style="2052" customWidth="1"/>
    <col min="13073" max="13075" width="7.5703125" style="2052" customWidth="1"/>
    <col min="13076" max="13076" width="8.7109375" style="2052" customWidth="1"/>
    <col min="13077" max="13077" width="7.5703125" style="2052" customWidth="1"/>
    <col min="13078" max="13078" width="9.85546875" style="2052" customWidth="1"/>
    <col min="13079" max="13079" width="7.5703125" style="2052" customWidth="1"/>
    <col min="13080" max="13311" width="11" style="2052"/>
    <col min="13312" max="13312" width="9.85546875" style="2052" customWidth="1"/>
    <col min="13313" max="13313" width="12.5703125" style="2052" customWidth="1"/>
    <col min="13314" max="13314" width="13.28515625" style="2052" customWidth="1"/>
    <col min="13315" max="13318" width="11.5703125" style="2052" customWidth="1"/>
    <col min="13319" max="13319" width="13.42578125" style="2052" customWidth="1"/>
    <col min="13320" max="13321" width="0" style="2052" hidden="1" customWidth="1"/>
    <col min="13322" max="13322" width="13.42578125" style="2052" customWidth="1"/>
    <col min="13323" max="13324" width="0" style="2052" hidden="1" customWidth="1"/>
    <col min="13325" max="13327" width="8.7109375" style="2052" customWidth="1"/>
    <col min="13328" max="13328" width="9.85546875" style="2052" customWidth="1"/>
    <col min="13329" max="13331" width="7.5703125" style="2052" customWidth="1"/>
    <col min="13332" max="13332" width="8.7109375" style="2052" customWidth="1"/>
    <col min="13333" max="13333" width="7.5703125" style="2052" customWidth="1"/>
    <col min="13334" max="13334" width="9.85546875" style="2052" customWidth="1"/>
    <col min="13335" max="13335" width="7.5703125" style="2052" customWidth="1"/>
    <col min="13336" max="13567" width="11" style="2052"/>
    <col min="13568" max="13568" width="9.85546875" style="2052" customWidth="1"/>
    <col min="13569" max="13569" width="12.5703125" style="2052" customWidth="1"/>
    <col min="13570" max="13570" width="13.28515625" style="2052" customWidth="1"/>
    <col min="13571" max="13574" width="11.5703125" style="2052" customWidth="1"/>
    <col min="13575" max="13575" width="13.42578125" style="2052" customWidth="1"/>
    <col min="13576" max="13577" width="0" style="2052" hidden="1" customWidth="1"/>
    <col min="13578" max="13578" width="13.42578125" style="2052" customWidth="1"/>
    <col min="13579" max="13580" width="0" style="2052" hidden="1" customWidth="1"/>
    <col min="13581" max="13583" width="8.7109375" style="2052" customWidth="1"/>
    <col min="13584" max="13584" width="9.85546875" style="2052" customWidth="1"/>
    <col min="13585" max="13587" width="7.5703125" style="2052" customWidth="1"/>
    <col min="13588" max="13588" width="8.7109375" style="2052" customWidth="1"/>
    <col min="13589" max="13589" width="7.5703125" style="2052" customWidth="1"/>
    <col min="13590" max="13590" width="9.85546875" style="2052" customWidth="1"/>
    <col min="13591" max="13591" width="7.5703125" style="2052" customWidth="1"/>
    <col min="13592" max="13823" width="11" style="2052"/>
    <col min="13824" max="13824" width="9.85546875" style="2052" customWidth="1"/>
    <col min="13825" max="13825" width="12.5703125" style="2052" customWidth="1"/>
    <col min="13826" max="13826" width="13.28515625" style="2052" customWidth="1"/>
    <col min="13827" max="13830" width="11.5703125" style="2052" customWidth="1"/>
    <col min="13831" max="13831" width="13.42578125" style="2052" customWidth="1"/>
    <col min="13832" max="13833" width="0" style="2052" hidden="1" customWidth="1"/>
    <col min="13834" max="13834" width="13.42578125" style="2052" customWidth="1"/>
    <col min="13835" max="13836" width="0" style="2052" hidden="1" customWidth="1"/>
    <col min="13837" max="13839" width="8.7109375" style="2052" customWidth="1"/>
    <col min="13840" max="13840" width="9.85546875" style="2052" customWidth="1"/>
    <col min="13841" max="13843" width="7.5703125" style="2052" customWidth="1"/>
    <col min="13844" max="13844" width="8.7109375" style="2052" customWidth="1"/>
    <col min="13845" max="13845" width="7.5703125" style="2052" customWidth="1"/>
    <col min="13846" max="13846" width="9.85546875" style="2052" customWidth="1"/>
    <col min="13847" max="13847" width="7.5703125" style="2052" customWidth="1"/>
    <col min="13848" max="14079" width="11" style="2052"/>
    <col min="14080" max="14080" width="9.85546875" style="2052" customWidth="1"/>
    <col min="14081" max="14081" width="12.5703125" style="2052" customWidth="1"/>
    <col min="14082" max="14082" width="13.28515625" style="2052" customWidth="1"/>
    <col min="14083" max="14086" width="11.5703125" style="2052" customWidth="1"/>
    <col min="14087" max="14087" width="13.42578125" style="2052" customWidth="1"/>
    <col min="14088" max="14089" width="0" style="2052" hidden="1" customWidth="1"/>
    <col min="14090" max="14090" width="13.42578125" style="2052" customWidth="1"/>
    <col min="14091" max="14092" width="0" style="2052" hidden="1" customWidth="1"/>
    <col min="14093" max="14095" width="8.7109375" style="2052" customWidth="1"/>
    <col min="14096" max="14096" width="9.85546875" style="2052" customWidth="1"/>
    <col min="14097" max="14099" width="7.5703125" style="2052" customWidth="1"/>
    <col min="14100" max="14100" width="8.7109375" style="2052" customWidth="1"/>
    <col min="14101" max="14101" width="7.5703125" style="2052" customWidth="1"/>
    <col min="14102" max="14102" width="9.85546875" style="2052" customWidth="1"/>
    <col min="14103" max="14103" width="7.5703125" style="2052" customWidth="1"/>
    <col min="14104" max="14335" width="11" style="2052"/>
    <col min="14336" max="14336" width="9.85546875" style="2052" customWidth="1"/>
    <col min="14337" max="14337" width="12.5703125" style="2052" customWidth="1"/>
    <col min="14338" max="14338" width="13.28515625" style="2052" customWidth="1"/>
    <col min="14339" max="14342" width="11.5703125" style="2052" customWidth="1"/>
    <col min="14343" max="14343" width="13.42578125" style="2052" customWidth="1"/>
    <col min="14344" max="14345" width="0" style="2052" hidden="1" customWidth="1"/>
    <col min="14346" max="14346" width="13.42578125" style="2052" customWidth="1"/>
    <col min="14347" max="14348" width="0" style="2052" hidden="1" customWidth="1"/>
    <col min="14349" max="14351" width="8.7109375" style="2052" customWidth="1"/>
    <col min="14352" max="14352" width="9.85546875" style="2052" customWidth="1"/>
    <col min="14353" max="14355" width="7.5703125" style="2052" customWidth="1"/>
    <col min="14356" max="14356" width="8.7109375" style="2052" customWidth="1"/>
    <col min="14357" max="14357" width="7.5703125" style="2052" customWidth="1"/>
    <col min="14358" max="14358" width="9.85546875" style="2052" customWidth="1"/>
    <col min="14359" max="14359" width="7.5703125" style="2052" customWidth="1"/>
    <col min="14360" max="14591" width="11" style="2052"/>
    <col min="14592" max="14592" width="9.85546875" style="2052" customWidth="1"/>
    <col min="14593" max="14593" width="12.5703125" style="2052" customWidth="1"/>
    <col min="14594" max="14594" width="13.28515625" style="2052" customWidth="1"/>
    <col min="14595" max="14598" width="11.5703125" style="2052" customWidth="1"/>
    <col min="14599" max="14599" width="13.42578125" style="2052" customWidth="1"/>
    <col min="14600" max="14601" width="0" style="2052" hidden="1" customWidth="1"/>
    <col min="14602" max="14602" width="13.42578125" style="2052" customWidth="1"/>
    <col min="14603" max="14604" width="0" style="2052" hidden="1" customWidth="1"/>
    <col min="14605" max="14607" width="8.7109375" style="2052" customWidth="1"/>
    <col min="14608" max="14608" width="9.85546875" style="2052" customWidth="1"/>
    <col min="14609" max="14611" width="7.5703125" style="2052" customWidth="1"/>
    <col min="14612" max="14612" width="8.7109375" style="2052" customWidth="1"/>
    <col min="14613" max="14613" width="7.5703125" style="2052" customWidth="1"/>
    <col min="14614" max="14614" width="9.85546875" style="2052" customWidth="1"/>
    <col min="14615" max="14615" width="7.5703125" style="2052" customWidth="1"/>
    <col min="14616" max="14847" width="11" style="2052"/>
    <col min="14848" max="14848" width="9.85546875" style="2052" customWidth="1"/>
    <col min="14849" max="14849" width="12.5703125" style="2052" customWidth="1"/>
    <col min="14850" max="14850" width="13.28515625" style="2052" customWidth="1"/>
    <col min="14851" max="14854" width="11.5703125" style="2052" customWidth="1"/>
    <col min="14855" max="14855" width="13.42578125" style="2052" customWidth="1"/>
    <col min="14856" max="14857" width="0" style="2052" hidden="1" customWidth="1"/>
    <col min="14858" max="14858" width="13.42578125" style="2052" customWidth="1"/>
    <col min="14859" max="14860" width="0" style="2052" hidden="1" customWidth="1"/>
    <col min="14861" max="14863" width="8.7109375" style="2052" customWidth="1"/>
    <col min="14864" max="14864" width="9.85546875" style="2052" customWidth="1"/>
    <col min="14865" max="14867" width="7.5703125" style="2052" customWidth="1"/>
    <col min="14868" max="14868" width="8.7109375" style="2052" customWidth="1"/>
    <col min="14869" max="14869" width="7.5703125" style="2052" customWidth="1"/>
    <col min="14870" max="14870" width="9.85546875" style="2052" customWidth="1"/>
    <col min="14871" max="14871" width="7.5703125" style="2052" customWidth="1"/>
    <col min="14872" max="15103" width="11" style="2052"/>
    <col min="15104" max="15104" width="9.85546875" style="2052" customWidth="1"/>
    <col min="15105" max="15105" width="12.5703125" style="2052" customWidth="1"/>
    <col min="15106" max="15106" width="13.28515625" style="2052" customWidth="1"/>
    <col min="15107" max="15110" width="11.5703125" style="2052" customWidth="1"/>
    <col min="15111" max="15111" width="13.42578125" style="2052" customWidth="1"/>
    <col min="15112" max="15113" width="0" style="2052" hidden="1" customWidth="1"/>
    <col min="15114" max="15114" width="13.42578125" style="2052" customWidth="1"/>
    <col min="15115" max="15116" width="0" style="2052" hidden="1" customWidth="1"/>
    <col min="15117" max="15119" width="8.7109375" style="2052" customWidth="1"/>
    <col min="15120" max="15120" width="9.85546875" style="2052" customWidth="1"/>
    <col min="15121" max="15123" width="7.5703125" style="2052" customWidth="1"/>
    <col min="15124" max="15124" width="8.7109375" style="2052" customWidth="1"/>
    <col min="15125" max="15125" width="7.5703125" style="2052" customWidth="1"/>
    <col min="15126" max="15126" width="9.85546875" style="2052" customWidth="1"/>
    <col min="15127" max="15127" width="7.5703125" style="2052" customWidth="1"/>
    <col min="15128" max="15359" width="11" style="2052"/>
    <col min="15360" max="15360" width="9.85546875" style="2052" customWidth="1"/>
    <col min="15361" max="15361" width="12.5703125" style="2052" customWidth="1"/>
    <col min="15362" max="15362" width="13.28515625" style="2052" customWidth="1"/>
    <col min="15363" max="15366" width="11.5703125" style="2052" customWidth="1"/>
    <col min="15367" max="15367" width="13.42578125" style="2052" customWidth="1"/>
    <col min="15368" max="15369" width="0" style="2052" hidden="1" customWidth="1"/>
    <col min="15370" max="15370" width="13.42578125" style="2052" customWidth="1"/>
    <col min="15371" max="15372" width="0" style="2052" hidden="1" customWidth="1"/>
    <col min="15373" max="15375" width="8.7109375" style="2052" customWidth="1"/>
    <col min="15376" max="15376" width="9.85546875" style="2052" customWidth="1"/>
    <col min="15377" max="15379" width="7.5703125" style="2052" customWidth="1"/>
    <col min="15380" max="15380" width="8.7109375" style="2052" customWidth="1"/>
    <col min="15381" max="15381" width="7.5703125" style="2052" customWidth="1"/>
    <col min="15382" max="15382" width="9.85546875" style="2052" customWidth="1"/>
    <col min="15383" max="15383" width="7.5703125" style="2052" customWidth="1"/>
    <col min="15384" max="15615" width="11" style="2052"/>
    <col min="15616" max="15616" width="9.85546875" style="2052" customWidth="1"/>
    <col min="15617" max="15617" width="12.5703125" style="2052" customWidth="1"/>
    <col min="15618" max="15618" width="13.28515625" style="2052" customWidth="1"/>
    <col min="15619" max="15622" width="11.5703125" style="2052" customWidth="1"/>
    <col min="15623" max="15623" width="13.42578125" style="2052" customWidth="1"/>
    <col min="15624" max="15625" width="0" style="2052" hidden="1" customWidth="1"/>
    <col min="15626" max="15626" width="13.42578125" style="2052" customWidth="1"/>
    <col min="15627" max="15628" width="0" style="2052" hidden="1" customWidth="1"/>
    <col min="15629" max="15631" width="8.7109375" style="2052" customWidth="1"/>
    <col min="15632" max="15632" width="9.85546875" style="2052" customWidth="1"/>
    <col min="15633" max="15635" width="7.5703125" style="2052" customWidth="1"/>
    <col min="15636" max="15636" width="8.7109375" style="2052" customWidth="1"/>
    <col min="15637" max="15637" width="7.5703125" style="2052" customWidth="1"/>
    <col min="15638" max="15638" width="9.85546875" style="2052" customWidth="1"/>
    <col min="15639" max="15639" width="7.5703125" style="2052" customWidth="1"/>
    <col min="15640" max="15871" width="11" style="2052"/>
    <col min="15872" max="15872" width="9.85546875" style="2052" customWidth="1"/>
    <col min="15873" max="15873" width="12.5703125" style="2052" customWidth="1"/>
    <col min="15874" max="15874" width="13.28515625" style="2052" customWidth="1"/>
    <col min="15875" max="15878" width="11.5703125" style="2052" customWidth="1"/>
    <col min="15879" max="15879" width="13.42578125" style="2052" customWidth="1"/>
    <col min="15880" max="15881" width="0" style="2052" hidden="1" customWidth="1"/>
    <col min="15882" max="15882" width="13.42578125" style="2052" customWidth="1"/>
    <col min="15883" max="15884" width="0" style="2052" hidden="1" customWidth="1"/>
    <col min="15885" max="15887" width="8.7109375" style="2052" customWidth="1"/>
    <col min="15888" max="15888" width="9.85546875" style="2052" customWidth="1"/>
    <col min="15889" max="15891" width="7.5703125" style="2052" customWidth="1"/>
    <col min="15892" max="15892" width="8.7109375" style="2052" customWidth="1"/>
    <col min="15893" max="15893" width="7.5703125" style="2052" customWidth="1"/>
    <col min="15894" max="15894" width="9.85546875" style="2052" customWidth="1"/>
    <col min="15895" max="15895" width="7.5703125" style="2052" customWidth="1"/>
    <col min="15896" max="16127" width="11" style="2052"/>
    <col min="16128" max="16128" width="9.85546875" style="2052" customWidth="1"/>
    <col min="16129" max="16129" width="12.5703125" style="2052" customWidth="1"/>
    <col min="16130" max="16130" width="13.28515625" style="2052" customWidth="1"/>
    <col min="16131" max="16134" width="11.5703125" style="2052" customWidth="1"/>
    <col min="16135" max="16135" width="13.42578125" style="2052" customWidth="1"/>
    <col min="16136" max="16137" width="0" style="2052" hidden="1" customWidth="1"/>
    <col min="16138" max="16138" width="13.42578125" style="2052" customWidth="1"/>
    <col min="16139" max="16140" width="0" style="2052" hidden="1" customWidth="1"/>
    <col min="16141" max="16143" width="8.7109375" style="2052" customWidth="1"/>
    <col min="16144" max="16144" width="9.85546875" style="2052" customWidth="1"/>
    <col min="16145" max="16147" width="7.5703125" style="2052" customWidth="1"/>
    <col min="16148" max="16148" width="8.7109375" style="2052" customWidth="1"/>
    <col min="16149" max="16149" width="7.5703125" style="2052" customWidth="1"/>
    <col min="16150" max="16150" width="9.85546875" style="2052" customWidth="1"/>
    <col min="16151" max="16151" width="7.5703125" style="2052" customWidth="1"/>
    <col min="16152" max="16384" width="11" style="2052"/>
  </cols>
  <sheetData>
    <row r="1" spans="1:29" ht="18">
      <c r="A1" s="2049"/>
      <c r="B1" s="4628" t="s">
        <v>2021</v>
      </c>
      <c r="C1" s="4628"/>
      <c r="D1" s="4628"/>
      <c r="E1" s="4628"/>
      <c r="F1" s="4628"/>
      <c r="G1" s="4628"/>
      <c r="H1" s="4628"/>
      <c r="I1" s="4628"/>
      <c r="J1" s="4628"/>
      <c r="K1" s="4628"/>
      <c r="L1" s="4628"/>
      <c r="M1" s="2050"/>
      <c r="N1" s="2051"/>
      <c r="O1" s="2051"/>
      <c r="Q1" s="2051"/>
      <c r="R1" s="2051"/>
      <c r="S1" s="2051"/>
      <c r="T1" s="2051"/>
      <c r="U1" s="2051"/>
      <c r="V1" s="2051"/>
      <c r="W1" s="2051"/>
      <c r="X1" s="2051"/>
      <c r="Y1" s="2051"/>
      <c r="Z1" s="2051"/>
      <c r="AA1" s="2051"/>
      <c r="AB1" s="2051"/>
      <c r="AC1" s="2051"/>
    </row>
    <row r="2" spans="1:29">
      <c r="A2" s="2049"/>
      <c r="B2" s="3148" t="s">
        <v>1757</v>
      </c>
      <c r="C2" s="3146"/>
      <c r="D2" s="3146"/>
      <c r="E2" s="3146"/>
      <c r="F2" s="2064"/>
      <c r="G2" s="2064"/>
      <c r="H2" s="2064"/>
      <c r="I2" s="2064"/>
      <c r="J2" s="2064"/>
      <c r="K2" s="2264"/>
      <c r="L2" s="2261"/>
      <c r="M2" s="2055"/>
      <c r="N2" s="2051"/>
      <c r="O2" s="2051"/>
      <c r="Q2" s="2051"/>
      <c r="R2" s="2051"/>
      <c r="S2" s="2051"/>
      <c r="T2" s="2051"/>
      <c r="U2" s="2051"/>
      <c r="V2" s="2051"/>
      <c r="W2" s="2051"/>
      <c r="X2" s="2051"/>
      <c r="Y2" s="2051"/>
      <c r="Z2" s="2051"/>
      <c r="AA2" s="2051"/>
      <c r="AB2" s="2051"/>
      <c r="AC2" s="2051"/>
    </row>
    <row r="3" spans="1:29" ht="12" customHeight="1">
      <c r="A3" s="2049"/>
      <c r="B3" s="2168"/>
      <c r="C3" s="3515"/>
      <c r="D3" s="2255"/>
      <c r="E3" s="2255"/>
      <c r="F3" s="2255"/>
      <c r="G3" s="2255"/>
      <c r="H3" s="2255"/>
      <c r="I3" s="2255"/>
      <c r="J3" s="2255"/>
      <c r="K3" s="2265"/>
      <c r="L3" s="2262"/>
      <c r="M3" s="2053"/>
      <c r="N3" s="2051"/>
      <c r="O3" s="2051"/>
      <c r="Q3" s="2051"/>
      <c r="R3" s="2051"/>
      <c r="S3" s="2051"/>
      <c r="T3" s="2051"/>
      <c r="U3" s="2051"/>
      <c r="V3" s="2051"/>
      <c r="W3" s="2051"/>
      <c r="X3" s="2051"/>
      <c r="Y3" s="2051"/>
      <c r="Z3" s="2051"/>
      <c r="AA3" s="2051"/>
      <c r="AB3" s="2051"/>
      <c r="AC3" s="2051"/>
    </row>
    <row r="4" spans="1:29">
      <c r="A4" s="2049"/>
      <c r="B4" s="2056"/>
      <c r="C4" s="2547" t="s">
        <v>172</v>
      </c>
      <c r="D4" s="2192"/>
      <c r="E4" s="2192"/>
      <c r="F4" s="2192"/>
      <c r="G4" s="2192"/>
      <c r="H4" s="2192"/>
      <c r="I4" s="2192"/>
      <c r="J4" s="2192"/>
      <c r="K4" s="2266"/>
      <c r="L4" s="2263"/>
      <c r="M4" s="2053"/>
      <c r="N4" s="2051"/>
      <c r="O4" s="2051"/>
      <c r="Q4" s="2051"/>
      <c r="R4" s="2051"/>
      <c r="S4" s="2051"/>
      <c r="T4" s="2051"/>
      <c r="U4" s="2051"/>
      <c r="V4" s="2051"/>
      <c r="W4" s="2051"/>
      <c r="X4" s="2051"/>
      <c r="Y4" s="2051"/>
      <c r="Z4" s="2051"/>
      <c r="AA4" s="2051"/>
      <c r="AB4" s="2051"/>
      <c r="AC4" s="2051"/>
    </row>
    <row r="5" spans="1:29" ht="12" customHeight="1">
      <c r="A5" s="2049"/>
      <c r="B5" s="2056"/>
      <c r="C5" s="2169"/>
      <c r="D5" s="2169"/>
      <c r="E5" s="2258"/>
      <c r="F5" s="2259"/>
      <c r="G5" s="2260"/>
      <c r="H5" s="2169"/>
      <c r="I5" s="2169" t="s">
        <v>142</v>
      </c>
      <c r="J5" s="2169"/>
      <c r="K5" s="2267"/>
      <c r="L5" s="2257"/>
      <c r="M5" s="2053"/>
      <c r="N5" s="2051"/>
      <c r="Q5" s="2051"/>
      <c r="R5" s="2051"/>
      <c r="S5" s="2051"/>
      <c r="T5" s="2051"/>
      <c r="U5" s="2051"/>
      <c r="V5" s="2051"/>
      <c r="W5" s="2051"/>
      <c r="X5" s="2051"/>
      <c r="Y5" s="2051"/>
      <c r="Z5" s="2051"/>
      <c r="AA5" s="2051"/>
      <c r="AB5" s="2051"/>
      <c r="AC5" s="2051"/>
    </row>
    <row r="6" spans="1:29">
      <c r="A6" s="2049"/>
      <c r="B6" s="2057" t="s">
        <v>142</v>
      </c>
      <c r="C6" s="2169"/>
      <c r="D6" s="2169"/>
      <c r="E6" s="4621" t="s">
        <v>421</v>
      </c>
      <c r="F6" s="4622"/>
      <c r="G6" s="4623"/>
      <c r="H6" s="2169"/>
      <c r="I6" s="2169"/>
      <c r="J6" s="2169"/>
      <c r="K6" s="2823"/>
      <c r="L6" s="2257"/>
      <c r="M6" s="2053"/>
      <c r="N6" s="2051"/>
      <c r="Q6" s="2051"/>
      <c r="R6" s="2051"/>
      <c r="S6" s="2051"/>
      <c r="T6" s="2051"/>
      <c r="U6" s="2051"/>
      <c r="V6" s="2051"/>
      <c r="W6" s="2051"/>
      <c r="X6" s="2051"/>
      <c r="Y6" s="2051"/>
      <c r="Z6" s="2051"/>
      <c r="AA6" s="2051"/>
      <c r="AB6" s="2051"/>
      <c r="AC6" s="2051"/>
    </row>
    <row r="7" spans="1:29" ht="16.5" customHeight="1">
      <c r="A7" s="2049"/>
      <c r="B7" s="2058"/>
      <c r="C7" s="2169"/>
      <c r="D7" s="2169"/>
      <c r="E7" s="2169"/>
      <c r="F7" s="2169"/>
      <c r="G7" s="2169"/>
      <c r="H7" s="2545"/>
      <c r="I7" s="2545" t="s">
        <v>428</v>
      </c>
      <c r="J7" s="4626" t="s">
        <v>1611</v>
      </c>
      <c r="K7" s="4624" t="s">
        <v>1610</v>
      </c>
      <c r="L7" s="2434"/>
      <c r="M7" s="2053"/>
      <c r="N7" s="2051"/>
      <c r="Q7" s="2051"/>
      <c r="R7" s="2051"/>
      <c r="S7" s="2051"/>
      <c r="T7" s="2051"/>
      <c r="U7" s="2051"/>
      <c r="V7" s="2051"/>
      <c r="W7" s="2051"/>
      <c r="X7" s="2051"/>
      <c r="Y7" s="2051"/>
      <c r="Z7" s="2051"/>
      <c r="AA7" s="2051"/>
      <c r="AB7" s="2051"/>
      <c r="AC7" s="2051"/>
    </row>
    <row r="8" spans="1:29">
      <c r="A8" s="2049"/>
      <c r="B8" s="2058"/>
      <c r="C8" s="2169"/>
      <c r="D8" s="2169"/>
      <c r="E8" s="2169"/>
      <c r="F8" s="2169"/>
      <c r="G8" s="2169"/>
      <c r="H8" s="2545" t="s">
        <v>173</v>
      </c>
      <c r="I8" s="2545" t="s">
        <v>200</v>
      </c>
      <c r="J8" s="4626"/>
      <c r="K8" s="4624"/>
      <c r="L8" s="2546" t="s">
        <v>428</v>
      </c>
      <c r="M8" s="2054"/>
      <c r="N8" s="2051"/>
      <c r="O8" s="2051"/>
      <c r="Q8" s="2051"/>
      <c r="R8" s="2051"/>
      <c r="S8" s="2051"/>
      <c r="U8" s="2051"/>
      <c r="V8" s="2051"/>
      <c r="W8" s="2051"/>
      <c r="X8" s="2051"/>
      <c r="Y8" s="2051"/>
      <c r="Z8" s="2051"/>
      <c r="AA8" s="2051"/>
      <c r="AB8" s="2051"/>
      <c r="AC8" s="2051"/>
    </row>
    <row r="9" spans="1:29">
      <c r="A9" s="2049"/>
      <c r="B9" s="2549" t="s">
        <v>175</v>
      </c>
      <c r="C9" s="2169"/>
      <c r="D9" s="2256"/>
      <c r="E9" s="2169"/>
      <c r="F9" s="2169"/>
      <c r="G9" s="2169"/>
      <c r="H9" s="2545" t="s">
        <v>200</v>
      </c>
      <c r="I9" s="2545" t="s">
        <v>177</v>
      </c>
      <c r="J9" s="4626"/>
      <c r="K9" s="4624"/>
      <c r="L9" s="2824" t="s">
        <v>174</v>
      </c>
      <c r="M9" s="2053"/>
      <c r="N9" s="2051"/>
      <c r="O9" s="2051"/>
      <c r="Q9" s="2051"/>
      <c r="R9" s="2051"/>
      <c r="S9" s="2051"/>
      <c r="T9" s="2051"/>
      <c r="U9" s="2051"/>
      <c r="V9" s="2051"/>
      <c r="W9" s="2051"/>
      <c r="X9" s="2051"/>
      <c r="Y9" s="2051"/>
      <c r="Z9" s="2051"/>
      <c r="AA9" s="2051"/>
      <c r="AB9" s="2051"/>
      <c r="AC9" s="2051"/>
    </row>
    <row r="10" spans="1:29" ht="12.75" customHeight="1">
      <c r="A10" s="2049"/>
      <c r="B10" s="2548" t="s">
        <v>140</v>
      </c>
      <c r="C10" s="2825" t="s">
        <v>152</v>
      </c>
      <c r="D10" s="2825" t="s">
        <v>429</v>
      </c>
      <c r="E10" s="2825" t="s">
        <v>152</v>
      </c>
      <c r="F10" s="2825" t="s">
        <v>141</v>
      </c>
      <c r="G10" s="2825" t="s">
        <v>431</v>
      </c>
      <c r="H10" s="2825" t="s">
        <v>177</v>
      </c>
      <c r="I10" s="2825" t="s">
        <v>181</v>
      </c>
      <c r="J10" s="4627"/>
      <c r="K10" s="4625"/>
      <c r="L10" s="2826" t="s">
        <v>935</v>
      </c>
      <c r="M10" s="2053"/>
      <c r="O10" s="2051"/>
      <c r="Q10" s="2051"/>
      <c r="R10" s="2060"/>
      <c r="S10" s="2051"/>
      <c r="T10" s="2051"/>
      <c r="U10" s="2051"/>
      <c r="V10" s="2051"/>
      <c r="W10" s="2051"/>
      <c r="X10" s="2051"/>
      <c r="Y10" s="2051"/>
      <c r="Z10" s="2051"/>
      <c r="AA10" s="2051"/>
      <c r="AB10" s="2051"/>
      <c r="AC10" s="2051"/>
    </row>
    <row r="11" spans="1:29" ht="1.5" customHeight="1">
      <c r="A11" s="2049"/>
      <c r="B11" s="2061"/>
      <c r="C11" s="2059"/>
      <c r="D11" s="2169"/>
      <c r="E11" s="2169"/>
      <c r="F11" s="2169"/>
      <c r="G11" s="2169"/>
      <c r="H11" s="2169"/>
      <c r="I11" s="2169"/>
      <c r="J11" s="2169"/>
      <c r="K11" s="2533"/>
      <c r="L11" s="2532"/>
      <c r="M11" s="2053"/>
      <c r="O11" s="2051"/>
      <c r="Q11" s="2051"/>
      <c r="R11" s="2051"/>
      <c r="S11" s="2051"/>
      <c r="T11" s="2051"/>
      <c r="U11" s="2051"/>
      <c r="V11" s="2051"/>
      <c r="W11" s="2051"/>
      <c r="X11" s="2051"/>
      <c r="Y11" s="2051"/>
      <c r="Z11" s="2051"/>
      <c r="AA11" s="2051"/>
      <c r="AB11" s="2051"/>
      <c r="AC11" s="2051"/>
    </row>
    <row r="12" spans="1:29" hidden="1">
      <c r="A12" s="2049"/>
      <c r="B12" s="2536">
        <v>2000</v>
      </c>
      <c r="C12" s="2534"/>
      <c r="D12" s="2535"/>
      <c r="E12" s="2535"/>
      <c r="F12" s="2535"/>
      <c r="G12" s="2535"/>
      <c r="H12" s="2535"/>
      <c r="I12" s="2535"/>
      <c r="J12" s="2535"/>
      <c r="K12" s="2543"/>
      <c r="L12" s="2435"/>
      <c r="M12" s="2053"/>
      <c r="N12" s="2051"/>
      <c r="P12" s="2062"/>
      <c r="Q12" s="2060"/>
      <c r="R12" s="2062"/>
      <c r="S12" s="2062"/>
      <c r="T12" s="2062"/>
      <c r="U12" s="2062"/>
      <c r="V12" s="2062"/>
      <c r="W12" s="2062"/>
      <c r="X12" s="2062"/>
    </row>
    <row r="13" spans="1:29" hidden="1">
      <c r="A13" s="2049"/>
      <c r="B13" s="2537" t="s">
        <v>161</v>
      </c>
      <c r="C13" s="2534">
        <v>2697.46</v>
      </c>
      <c r="D13" s="2535">
        <v>231.78</v>
      </c>
      <c r="E13" s="2535">
        <v>1633.3400000000001</v>
      </c>
      <c r="F13" s="2535">
        <v>1239.42</v>
      </c>
      <c r="G13" s="2535">
        <v>393.92</v>
      </c>
      <c r="H13" s="2535">
        <v>0</v>
      </c>
      <c r="I13" s="2535">
        <v>0</v>
      </c>
      <c r="J13" s="2535">
        <v>4.96</v>
      </c>
      <c r="K13" s="2543">
        <v>827.38</v>
      </c>
      <c r="L13" s="2435"/>
      <c r="M13" s="2053"/>
      <c r="N13" s="2051"/>
      <c r="P13" s="2062"/>
      <c r="Q13" s="2060"/>
      <c r="R13" s="2062"/>
      <c r="S13" s="2062"/>
      <c r="T13" s="2062"/>
      <c r="U13" s="2062"/>
      <c r="V13" s="2062"/>
      <c r="W13" s="2062"/>
      <c r="X13" s="2062"/>
    </row>
    <row r="14" spans="1:29" hidden="1">
      <c r="A14" s="2049"/>
      <c r="B14" s="2537" t="s">
        <v>162</v>
      </c>
      <c r="C14" s="2534">
        <v>2875.62</v>
      </c>
      <c r="D14" s="2535">
        <v>308.35000000000002</v>
      </c>
      <c r="E14" s="2535">
        <v>1735.8799999999999</v>
      </c>
      <c r="F14" s="2535">
        <v>1261.83</v>
      </c>
      <c r="G14" s="2535">
        <v>474.05</v>
      </c>
      <c r="H14" s="2535">
        <v>0</v>
      </c>
      <c r="I14" s="2535">
        <v>0</v>
      </c>
      <c r="J14" s="2535">
        <v>4.96</v>
      </c>
      <c r="K14" s="2543">
        <v>826.43</v>
      </c>
      <c r="L14" s="2435"/>
      <c r="M14" s="2053"/>
      <c r="N14" s="2051"/>
      <c r="P14" s="2062"/>
      <c r="Q14" s="2062"/>
      <c r="R14" s="2062"/>
      <c r="S14" s="2062"/>
      <c r="T14" s="2062"/>
      <c r="U14" s="2062"/>
      <c r="V14" s="2062"/>
      <c r="W14" s="2062"/>
      <c r="X14" s="2062"/>
    </row>
    <row r="15" spans="1:29" hidden="1">
      <c r="A15" s="2049"/>
      <c r="B15" s="2537" t="s">
        <v>163</v>
      </c>
      <c r="C15" s="2534">
        <v>2898.3500000000004</v>
      </c>
      <c r="D15" s="2535">
        <v>300.67</v>
      </c>
      <c r="E15" s="2535">
        <v>1764.98</v>
      </c>
      <c r="F15" s="2535">
        <v>1223.5899999999999</v>
      </c>
      <c r="G15" s="2535">
        <v>541.39</v>
      </c>
      <c r="H15" s="2535">
        <v>0</v>
      </c>
      <c r="I15" s="2535">
        <v>0</v>
      </c>
      <c r="J15" s="2535">
        <v>4.96</v>
      </c>
      <c r="K15" s="2543">
        <v>827.74</v>
      </c>
      <c r="L15" s="2435"/>
      <c r="M15" s="2053"/>
      <c r="N15" s="2051"/>
      <c r="P15" s="2062"/>
      <c r="Q15" s="2060"/>
      <c r="R15" s="2062"/>
      <c r="S15" s="2062"/>
      <c r="T15" s="2062"/>
      <c r="U15" s="2062"/>
      <c r="V15" s="2062"/>
      <c r="W15" s="2062"/>
      <c r="X15" s="2062"/>
    </row>
    <row r="16" spans="1:29" hidden="1">
      <c r="A16" s="2049"/>
      <c r="B16" s="2537" t="s">
        <v>164</v>
      </c>
      <c r="C16" s="2534">
        <v>2850.08</v>
      </c>
      <c r="D16" s="2535">
        <v>308.07</v>
      </c>
      <c r="E16" s="2535">
        <v>1703.29</v>
      </c>
      <c r="F16" s="2535">
        <v>1153.8699999999999</v>
      </c>
      <c r="G16" s="2535">
        <v>549.41999999999996</v>
      </c>
      <c r="H16" s="2535">
        <v>0</v>
      </c>
      <c r="I16" s="2535">
        <v>0</v>
      </c>
      <c r="J16" s="2535">
        <v>4.96</v>
      </c>
      <c r="K16" s="2543">
        <v>833.76</v>
      </c>
      <c r="L16" s="2435"/>
      <c r="M16" s="2053"/>
      <c r="N16" s="2051"/>
      <c r="P16" s="2062"/>
      <c r="Q16" s="2062"/>
      <c r="R16" s="2062"/>
      <c r="S16" s="2062"/>
      <c r="T16" s="2062"/>
      <c r="U16" s="2062"/>
      <c r="V16" s="2062"/>
      <c r="W16" s="2062"/>
      <c r="X16" s="2062"/>
    </row>
    <row r="17" spans="1:24" hidden="1">
      <c r="A17" s="2049"/>
      <c r="B17" s="2537" t="s">
        <v>165</v>
      </c>
      <c r="C17" s="2534">
        <v>2889.31</v>
      </c>
      <c r="D17" s="2535">
        <v>299.27999999999997</v>
      </c>
      <c r="E17" s="2535">
        <v>1737.24</v>
      </c>
      <c r="F17" s="2535">
        <v>1189.94</v>
      </c>
      <c r="G17" s="2535">
        <v>547.29999999999995</v>
      </c>
      <c r="H17" s="2535">
        <v>0</v>
      </c>
      <c r="I17" s="2535">
        <v>0</v>
      </c>
      <c r="J17" s="2535">
        <v>4.96</v>
      </c>
      <c r="K17" s="2543">
        <v>847.83</v>
      </c>
      <c r="L17" s="2435"/>
      <c r="M17" s="2053"/>
      <c r="N17" s="2051"/>
      <c r="P17" s="2062"/>
      <c r="Q17" s="2062"/>
      <c r="R17" s="2062"/>
      <c r="S17" s="2062"/>
      <c r="T17" s="2062"/>
      <c r="U17" s="2062"/>
      <c r="V17" s="2062"/>
      <c r="W17" s="2062"/>
      <c r="X17" s="2062"/>
    </row>
    <row r="18" spans="1:24" hidden="1">
      <c r="A18" s="2049"/>
      <c r="B18" s="2537" t="s">
        <v>166</v>
      </c>
      <c r="C18" s="2534">
        <v>2928.2</v>
      </c>
      <c r="D18" s="2535">
        <v>319.26</v>
      </c>
      <c r="E18" s="2535">
        <v>1756.4499999999998</v>
      </c>
      <c r="F18" s="2535">
        <v>1191.8599999999999</v>
      </c>
      <c r="G18" s="2535">
        <v>564.59</v>
      </c>
      <c r="H18" s="2535">
        <v>0</v>
      </c>
      <c r="I18" s="2535">
        <v>0</v>
      </c>
      <c r="J18" s="2535">
        <v>4.96</v>
      </c>
      <c r="K18" s="2543">
        <v>847.53</v>
      </c>
      <c r="L18" s="2435"/>
      <c r="M18" s="2053"/>
      <c r="N18" s="2051"/>
      <c r="P18" s="2062"/>
      <c r="Q18" s="2062"/>
      <c r="R18" s="2062"/>
      <c r="S18" s="2062"/>
      <c r="T18" s="2062"/>
      <c r="U18" s="2062"/>
      <c r="V18" s="2062"/>
      <c r="W18" s="2062"/>
      <c r="X18" s="2062"/>
    </row>
    <row r="19" spans="1:24" hidden="1">
      <c r="A19" s="2049"/>
      <c r="B19" s="2537" t="s">
        <v>167</v>
      </c>
      <c r="C19" s="2534">
        <v>3018.71</v>
      </c>
      <c r="D19" s="2535">
        <v>292.35000000000002</v>
      </c>
      <c r="E19" s="2535">
        <v>1852.1100000000001</v>
      </c>
      <c r="F19" s="2535">
        <v>1320.76</v>
      </c>
      <c r="G19" s="2535">
        <v>531.35</v>
      </c>
      <c r="H19" s="2535">
        <v>0</v>
      </c>
      <c r="I19" s="2535">
        <v>0</v>
      </c>
      <c r="J19" s="2535">
        <v>4.96</v>
      </c>
      <c r="K19" s="2543">
        <v>869.29</v>
      </c>
      <c r="L19" s="2435"/>
      <c r="M19" s="2053"/>
      <c r="N19" s="2051"/>
      <c r="P19" s="2062"/>
      <c r="Q19" s="2062"/>
      <c r="R19" s="2062"/>
      <c r="S19" s="2062"/>
      <c r="T19" s="2062"/>
      <c r="U19" s="2062"/>
      <c r="V19" s="2062"/>
      <c r="W19" s="2062"/>
      <c r="X19" s="2062"/>
    </row>
    <row r="20" spans="1:24" hidden="1">
      <c r="A20" s="2049"/>
      <c r="B20" s="2537" t="s">
        <v>168</v>
      </c>
      <c r="C20" s="2534">
        <v>3225.76</v>
      </c>
      <c r="D20" s="2535">
        <v>295.11</v>
      </c>
      <c r="E20" s="2535">
        <v>2044.4099999999999</v>
      </c>
      <c r="F20" s="2535">
        <v>1489.48</v>
      </c>
      <c r="G20" s="2535">
        <v>554.92999999999995</v>
      </c>
      <c r="H20" s="2535">
        <v>0</v>
      </c>
      <c r="I20" s="2535">
        <v>0</v>
      </c>
      <c r="J20" s="2535">
        <v>4.96</v>
      </c>
      <c r="K20" s="2543">
        <v>881.28</v>
      </c>
      <c r="L20" s="2435"/>
      <c r="M20" s="2053"/>
      <c r="N20" s="2051"/>
      <c r="P20" s="2062"/>
      <c r="Q20" s="2062"/>
      <c r="R20" s="2062"/>
      <c r="S20" s="2062"/>
      <c r="T20" s="2062"/>
      <c r="U20" s="2062"/>
      <c r="V20" s="2062"/>
      <c r="W20" s="2062"/>
      <c r="X20" s="2062"/>
    </row>
    <row r="21" spans="1:24" hidden="1">
      <c r="A21" s="2049"/>
      <c r="B21" s="2537" t="s">
        <v>183</v>
      </c>
      <c r="C21" s="2534">
        <v>3484.2499999999995</v>
      </c>
      <c r="D21" s="2535">
        <v>483.35</v>
      </c>
      <c r="E21" s="2535">
        <v>2094.8199999999997</v>
      </c>
      <c r="F21" s="2535">
        <v>1473.85</v>
      </c>
      <c r="G21" s="2535">
        <v>620.97</v>
      </c>
      <c r="H21" s="2535">
        <v>0</v>
      </c>
      <c r="I21" s="2535">
        <v>0</v>
      </c>
      <c r="J21" s="2535">
        <v>4.96</v>
      </c>
      <c r="K21" s="2543">
        <v>901.12</v>
      </c>
      <c r="L21" s="2435"/>
      <c r="M21" s="2053"/>
      <c r="N21" s="2051"/>
      <c r="P21" s="2062"/>
      <c r="Q21" s="2062"/>
      <c r="R21" s="2062"/>
      <c r="S21" s="2062"/>
      <c r="T21" s="2062"/>
      <c r="U21" s="2062"/>
      <c r="V21" s="2062"/>
      <c r="W21" s="2062"/>
      <c r="X21" s="2062"/>
    </row>
    <row r="22" spans="1:24" hidden="1">
      <c r="A22" s="2049"/>
      <c r="B22" s="2537" t="s">
        <v>673</v>
      </c>
      <c r="C22" s="2534">
        <v>3452.08</v>
      </c>
      <c r="D22" s="2535">
        <v>357.43</v>
      </c>
      <c r="E22" s="2535">
        <v>2159.58</v>
      </c>
      <c r="F22" s="2535">
        <v>1492.93</v>
      </c>
      <c r="G22" s="2535">
        <v>666.65</v>
      </c>
      <c r="H22" s="2535">
        <v>0</v>
      </c>
      <c r="I22" s="2535">
        <v>0</v>
      </c>
      <c r="J22" s="2535">
        <v>4.96</v>
      </c>
      <c r="K22" s="2543">
        <v>930.11</v>
      </c>
      <c r="L22" s="2435"/>
      <c r="M22" s="2053"/>
      <c r="N22" s="2051"/>
      <c r="P22" s="2062"/>
      <c r="Q22" s="2062"/>
      <c r="R22" s="2062"/>
      <c r="S22" s="2062"/>
      <c r="T22" s="2062"/>
      <c r="U22" s="2062"/>
      <c r="V22" s="2062"/>
      <c r="W22" s="2062"/>
      <c r="X22" s="2062"/>
    </row>
    <row r="23" spans="1:24" hidden="1">
      <c r="A23" s="2049"/>
      <c r="B23" s="2537" t="s">
        <v>171</v>
      </c>
      <c r="C23" s="2534">
        <v>3488.29</v>
      </c>
      <c r="D23" s="2535">
        <v>386.71</v>
      </c>
      <c r="E23" s="2535">
        <v>2151.89</v>
      </c>
      <c r="F23" s="2535">
        <v>1518.96</v>
      </c>
      <c r="G23" s="2535">
        <v>632.92999999999995</v>
      </c>
      <c r="H23" s="2535">
        <v>0</v>
      </c>
      <c r="I23" s="2535">
        <v>0</v>
      </c>
      <c r="J23" s="2535">
        <v>4.96</v>
      </c>
      <c r="K23" s="2543">
        <v>944.73</v>
      </c>
      <c r="L23" s="2435"/>
      <c r="M23" s="2053"/>
      <c r="N23" s="2051"/>
      <c r="P23" s="2062"/>
      <c r="Q23" s="2062"/>
      <c r="R23" s="2062"/>
      <c r="S23" s="2062"/>
      <c r="T23" s="2062"/>
      <c r="U23" s="2062"/>
      <c r="V23" s="2062"/>
      <c r="W23" s="2062"/>
      <c r="X23" s="2062"/>
    </row>
    <row r="24" spans="1:24" s="2062" customFormat="1" hidden="1">
      <c r="A24" s="2063"/>
      <c r="B24" s="2536">
        <v>2000</v>
      </c>
      <c r="C24" s="2534">
        <v>3705.2600000000007</v>
      </c>
      <c r="D24" s="2535">
        <v>535.51</v>
      </c>
      <c r="E24" s="2535">
        <v>2220.9700000000003</v>
      </c>
      <c r="F24" s="2535">
        <v>1552.89</v>
      </c>
      <c r="G24" s="2535">
        <v>668.08</v>
      </c>
      <c r="H24" s="2535">
        <v>0</v>
      </c>
      <c r="I24" s="2535">
        <v>0</v>
      </c>
      <c r="J24" s="2535">
        <v>4.96</v>
      </c>
      <c r="K24" s="2543">
        <v>943.82</v>
      </c>
      <c r="L24" s="2435"/>
      <c r="M24" s="2054"/>
      <c r="N24" s="2051"/>
    </row>
    <row r="25" spans="1:24" hidden="1">
      <c r="A25" s="2049"/>
      <c r="B25" s="2536">
        <v>2001</v>
      </c>
      <c r="C25" s="2534"/>
      <c r="D25" s="2535"/>
      <c r="E25" s="2535"/>
      <c r="F25" s="2535"/>
      <c r="G25" s="2535"/>
      <c r="H25" s="2535"/>
      <c r="I25" s="2535"/>
      <c r="J25" s="2535"/>
      <c r="K25" s="2543"/>
      <c r="L25" s="2435"/>
      <c r="M25" s="2053"/>
      <c r="N25" s="2051"/>
      <c r="P25" s="2062"/>
      <c r="Q25" s="2062"/>
      <c r="R25" s="2062"/>
      <c r="S25" s="2062"/>
      <c r="T25" s="2062"/>
      <c r="U25" s="2062"/>
      <c r="V25" s="2062"/>
      <c r="W25" s="2062"/>
      <c r="X25" s="2062"/>
    </row>
    <row r="26" spans="1:24" hidden="1">
      <c r="A26" s="2049"/>
      <c r="B26" s="2537" t="s">
        <v>161</v>
      </c>
      <c r="C26" s="2534">
        <v>3366.5699999999997</v>
      </c>
      <c r="D26" s="2535">
        <v>357.93</v>
      </c>
      <c r="E26" s="2535">
        <v>2040.21</v>
      </c>
      <c r="F26" s="2535">
        <v>1526.24</v>
      </c>
      <c r="G26" s="2535">
        <v>513.97</v>
      </c>
      <c r="H26" s="2535">
        <v>0</v>
      </c>
      <c r="I26" s="2535">
        <v>0</v>
      </c>
      <c r="J26" s="2535">
        <v>4.96</v>
      </c>
      <c r="K26" s="2543">
        <v>963.47</v>
      </c>
      <c r="L26" s="2435"/>
      <c r="M26" s="2053"/>
      <c r="N26" s="2051"/>
      <c r="P26" s="2062"/>
      <c r="Q26" s="2062"/>
      <c r="R26" s="2062"/>
      <c r="S26" s="2062"/>
      <c r="T26" s="2062"/>
      <c r="U26" s="2062"/>
      <c r="V26" s="2062"/>
      <c r="W26" s="2062"/>
      <c r="X26" s="2062"/>
    </row>
    <row r="27" spans="1:24" hidden="1">
      <c r="A27" s="2049"/>
      <c r="B27" s="2537" t="s">
        <v>162</v>
      </c>
      <c r="C27" s="2534">
        <v>3434.9400000000005</v>
      </c>
      <c r="D27" s="2535">
        <v>428.27</v>
      </c>
      <c r="E27" s="2535">
        <v>2029.32</v>
      </c>
      <c r="F27" s="2535">
        <v>1499.79</v>
      </c>
      <c r="G27" s="2535">
        <v>529.53</v>
      </c>
      <c r="H27" s="2535">
        <v>0</v>
      </c>
      <c r="I27" s="2535">
        <v>0</v>
      </c>
      <c r="J27" s="2535">
        <v>5.8</v>
      </c>
      <c r="K27" s="2543">
        <v>971.55</v>
      </c>
      <c r="L27" s="2435"/>
      <c r="M27" s="2054"/>
      <c r="N27" s="2051"/>
      <c r="O27" s="2062"/>
      <c r="P27" s="2062"/>
      <c r="Q27" s="2062"/>
      <c r="R27" s="2062"/>
      <c r="S27" s="2062"/>
      <c r="T27" s="2062"/>
      <c r="U27" s="2062"/>
      <c r="V27" s="2062"/>
      <c r="W27" s="2062"/>
      <c r="X27" s="2062"/>
    </row>
    <row r="28" spans="1:24" hidden="1">
      <c r="A28" s="2049"/>
      <c r="B28" s="2537" t="s">
        <v>163</v>
      </c>
      <c r="C28" s="2534">
        <v>3527.04</v>
      </c>
      <c r="D28" s="2535">
        <v>415.99</v>
      </c>
      <c r="E28" s="2535">
        <v>2111.6800000000003</v>
      </c>
      <c r="F28" s="2535">
        <v>1510.96</v>
      </c>
      <c r="G28" s="2535">
        <v>600.72</v>
      </c>
      <c r="H28" s="2535">
        <v>0</v>
      </c>
      <c r="I28" s="2535">
        <v>0</v>
      </c>
      <c r="J28" s="2535">
        <v>7.11</v>
      </c>
      <c r="K28" s="2543">
        <v>992.26</v>
      </c>
      <c r="L28" s="2435"/>
      <c r="M28" s="2054"/>
      <c r="N28" s="2051"/>
      <c r="O28" s="2062"/>
      <c r="P28" s="2062"/>
      <c r="Q28" s="2062"/>
      <c r="R28" s="2062"/>
      <c r="S28" s="2062"/>
      <c r="T28" s="2062"/>
      <c r="U28" s="2062"/>
      <c r="V28" s="2062"/>
      <c r="W28" s="2062"/>
      <c r="X28" s="2062"/>
    </row>
    <row r="29" spans="1:24" hidden="1">
      <c r="A29" s="2049"/>
      <c r="B29" s="2537" t="s">
        <v>164</v>
      </c>
      <c r="C29" s="2534">
        <v>3697.01</v>
      </c>
      <c r="D29" s="2535">
        <v>454.34</v>
      </c>
      <c r="E29" s="2535">
        <v>2204.96</v>
      </c>
      <c r="F29" s="2535">
        <v>1531.51</v>
      </c>
      <c r="G29" s="2535">
        <v>673.45</v>
      </c>
      <c r="H29" s="2535">
        <v>0</v>
      </c>
      <c r="I29" s="2535">
        <v>0</v>
      </c>
      <c r="J29" s="2535">
        <v>7.16</v>
      </c>
      <c r="K29" s="2543">
        <v>1030.55</v>
      </c>
      <c r="L29" s="2435"/>
      <c r="M29" s="2054"/>
      <c r="N29" s="2051"/>
      <c r="O29" s="2062"/>
      <c r="P29" s="2062"/>
      <c r="Q29" s="2062"/>
      <c r="R29" s="2062"/>
      <c r="S29" s="2062"/>
      <c r="T29" s="2062"/>
      <c r="U29" s="2062"/>
      <c r="V29" s="2062"/>
      <c r="W29" s="2062"/>
      <c r="X29" s="2062"/>
    </row>
    <row r="30" spans="1:24" hidden="1">
      <c r="A30" s="2049"/>
      <c r="B30" s="2537" t="s">
        <v>165</v>
      </c>
      <c r="C30" s="2534">
        <v>3743.1299999999997</v>
      </c>
      <c r="D30" s="2535">
        <v>635.26</v>
      </c>
      <c r="E30" s="2535">
        <v>2044.3799999999999</v>
      </c>
      <c r="F30" s="2535">
        <v>1354.82</v>
      </c>
      <c r="G30" s="2535">
        <v>689.56</v>
      </c>
      <c r="H30" s="2535">
        <v>0</v>
      </c>
      <c r="I30" s="2535">
        <v>0</v>
      </c>
      <c r="J30" s="2535">
        <v>7.16</v>
      </c>
      <c r="K30" s="2543">
        <v>1056.33</v>
      </c>
      <c r="L30" s="2435"/>
      <c r="M30" s="2053"/>
      <c r="N30" s="2051"/>
      <c r="P30" s="2062"/>
      <c r="Q30" s="2062"/>
      <c r="R30" s="2062"/>
      <c r="S30" s="2062"/>
      <c r="T30" s="2062"/>
      <c r="U30" s="2062"/>
      <c r="V30" s="2062"/>
      <c r="W30" s="2062"/>
      <c r="X30" s="2062"/>
    </row>
    <row r="31" spans="1:24" hidden="1">
      <c r="A31" s="2049"/>
      <c r="B31" s="2537" t="s">
        <v>166</v>
      </c>
      <c r="C31" s="2534">
        <v>3764.2199999999993</v>
      </c>
      <c r="D31" s="2535">
        <v>666.78</v>
      </c>
      <c r="E31" s="2535">
        <v>2024.17</v>
      </c>
      <c r="F31" s="2535">
        <v>1328.26</v>
      </c>
      <c r="G31" s="2535">
        <v>695.91</v>
      </c>
      <c r="H31" s="2535">
        <v>0</v>
      </c>
      <c r="I31" s="2535">
        <v>0</v>
      </c>
      <c r="J31" s="2535">
        <v>7.16</v>
      </c>
      <c r="K31" s="2543">
        <v>1066.1099999999999</v>
      </c>
      <c r="L31" s="2435"/>
      <c r="M31" s="2053"/>
      <c r="N31" s="2051"/>
      <c r="O31" s="2062"/>
      <c r="P31" s="2062"/>
      <c r="Q31" s="2060"/>
      <c r="R31" s="2062"/>
      <c r="S31" s="2062"/>
      <c r="T31" s="2062"/>
      <c r="U31" s="2062"/>
      <c r="V31" s="2062"/>
      <c r="W31" s="2062"/>
      <c r="X31" s="2062"/>
    </row>
    <row r="32" spans="1:24" hidden="1">
      <c r="A32" s="2049"/>
      <c r="B32" s="2537" t="s">
        <v>167</v>
      </c>
      <c r="C32" s="2534">
        <v>3933.2499999999995</v>
      </c>
      <c r="D32" s="2535">
        <v>660.74</v>
      </c>
      <c r="E32" s="2535">
        <v>2166.29</v>
      </c>
      <c r="F32" s="2535">
        <v>1431.13</v>
      </c>
      <c r="G32" s="2535">
        <v>735.16</v>
      </c>
      <c r="H32" s="2535">
        <v>0</v>
      </c>
      <c r="I32" s="2535">
        <v>0</v>
      </c>
      <c r="J32" s="2535">
        <v>7.16</v>
      </c>
      <c r="K32" s="2543">
        <v>1099.06</v>
      </c>
      <c r="L32" s="2435"/>
      <c r="M32" s="2053"/>
      <c r="N32" s="2051"/>
      <c r="O32" s="2062"/>
      <c r="P32" s="2062"/>
      <c r="Q32" s="2062"/>
      <c r="R32" s="2062"/>
      <c r="S32" s="2062"/>
      <c r="T32" s="2062"/>
      <c r="U32" s="2062"/>
      <c r="V32" s="2062"/>
      <c r="W32" s="2062"/>
      <c r="X32" s="2062"/>
    </row>
    <row r="33" spans="1:24" hidden="1">
      <c r="A33" s="2049"/>
      <c r="B33" s="2537" t="s">
        <v>168</v>
      </c>
      <c r="C33" s="2534">
        <v>3899.6200000000008</v>
      </c>
      <c r="D33" s="2535">
        <v>593.59</v>
      </c>
      <c r="E33" s="2535">
        <v>2168.6400000000003</v>
      </c>
      <c r="F33" s="2535">
        <v>1439.2</v>
      </c>
      <c r="G33" s="2535">
        <v>729.44</v>
      </c>
      <c r="H33" s="2535">
        <v>0</v>
      </c>
      <c r="I33" s="2535">
        <v>0</v>
      </c>
      <c r="J33" s="2535">
        <v>7.36</v>
      </c>
      <c r="K33" s="2543">
        <v>1130.03</v>
      </c>
      <c r="L33" s="2435"/>
      <c r="M33" s="2053"/>
      <c r="N33" s="2051"/>
      <c r="O33" s="2062"/>
      <c r="P33" s="2062"/>
      <c r="Q33" s="2062"/>
      <c r="R33" s="2062"/>
      <c r="S33" s="2062"/>
      <c r="T33" s="2062"/>
      <c r="U33" s="2062"/>
      <c r="V33" s="2062"/>
      <c r="W33" s="2062"/>
      <c r="X33" s="2062"/>
    </row>
    <row r="34" spans="1:24" s="2062" customFormat="1" hidden="1">
      <c r="A34" s="2063"/>
      <c r="B34" s="2537" t="s">
        <v>169</v>
      </c>
      <c r="C34" s="2534">
        <v>3698.7400000000007</v>
      </c>
      <c r="D34" s="2434">
        <v>615.96</v>
      </c>
      <c r="E34" s="2434">
        <v>1923.18</v>
      </c>
      <c r="F34" s="2434">
        <v>1127.9000000000001</v>
      </c>
      <c r="G34" s="2434">
        <v>795.28</v>
      </c>
      <c r="H34" s="2434">
        <v>0</v>
      </c>
      <c r="I34" s="2434">
        <v>0</v>
      </c>
      <c r="J34" s="2434">
        <v>7.36</v>
      </c>
      <c r="K34" s="2543">
        <v>1152.24</v>
      </c>
      <c r="L34" s="2435"/>
      <c r="M34" s="2054"/>
      <c r="N34" s="2051"/>
    </row>
    <row r="35" spans="1:24" hidden="1">
      <c r="A35" s="2049"/>
      <c r="B35" s="2537" t="s">
        <v>170</v>
      </c>
      <c r="C35" s="2534">
        <v>4139.66</v>
      </c>
      <c r="D35" s="2434">
        <v>707.75</v>
      </c>
      <c r="E35" s="2434">
        <v>2122.04</v>
      </c>
      <c r="F35" s="2434">
        <v>1212.8</v>
      </c>
      <c r="G35" s="2434">
        <v>909.24</v>
      </c>
      <c r="H35" s="2434">
        <v>120</v>
      </c>
      <c r="I35" s="2434">
        <v>0</v>
      </c>
      <c r="J35" s="2434">
        <v>7.36</v>
      </c>
      <c r="K35" s="2543">
        <v>1182.51</v>
      </c>
      <c r="L35" s="2435"/>
      <c r="M35" s="2053"/>
      <c r="N35" s="2051"/>
      <c r="O35" s="2062"/>
      <c r="P35" s="2062"/>
      <c r="Q35" s="2062"/>
      <c r="R35" s="2062"/>
      <c r="S35" s="2062"/>
      <c r="T35" s="2062"/>
      <c r="U35" s="2062"/>
      <c r="V35" s="2062"/>
      <c r="W35" s="2062"/>
      <c r="X35" s="2062"/>
    </row>
    <row r="36" spans="1:24" hidden="1">
      <c r="A36" s="2049"/>
      <c r="B36" s="2537" t="s">
        <v>171</v>
      </c>
      <c r="C36" s="2534">
        <v>4055.6000000000004</v>
      </c>
      <c r="D36" s="2434">
        <v>479.77</v>
      </c>
      <c r="E36" s="2434">
        <v>2237.48</v>
      </c>
      <c r="F36" s="2434">
        <v>1301.1500000000001</v>
      </c>
      <c r="G36" s="2434">
        <v>936.33</v>
      </c>
      <c r="H36" s="2434">
        <v>120</v>
      </c>
      <c r="I36" s="2434">
        <v>0</v>
      </c>
      <c r="J36" s="2434">
        <v>7.36</v>
      </c>
      <c r="K36" s="2543">
        <v>1210.99</v>
      </c>
      <c r="L36" s="2435"/>
      <c r="M36" s="2049"/>
      <c r="N36" s="2051"/>
      <c r="P36" s="2062"/>
      <c r="Q36" s="2062"/>
      <c r="R36" s="2062"/>
      <c r="S36" s="2062"/>
      <c r="T36" s="2062"/>
      <c r="U36" s="2062"/>
      <c r="V36" s="2062"/>
      <c r="W36" s="2062"/>
      <c r="X36" s="2062"/>
    </row>
    <row r="37" spans="1:24" hidden="1">
      <c r="A37" s="2049"/>
      <c r="B37" s="2536">
        <v>2001</v>
      </c>
      <c r="C37" s="2538">
        <v>3975.18</v>
      </c>
      <c r="D37" s="2434">
        <v>581.09</v>
      </c>
      <c r="E37" s="2434">
        <v>2053.6099999999997</v>
      </c>
      <c r="F37" s="2434">
        <v>1088.31</v>
      </c>
      <c r="G37" s="2434">
        <v>965.3</v>
      </c>
      <c r="H37" s="2434">
        <v>120</v>
      </c>
      <c r="I37" s="2434">
        <v>0</v>
      </c>
      <c r="J37" s="2434">
        <v>7.37</v>
      </c>
      <c r="K37" s="2543">
        <v>1213.1100000000001</v>
      </c>
      <c r="L37" s="2435"/>
      <c r="M37" s="2049"/>
      <c r="N37" s="2051"/>
      <c r="P37" s="2062"/>
      <c r="Q37" s="2062"/>
      <c r="R37" s="2062"/>
      <c r="S37" s="2062"/>
      <c r="T37" s="2062"/>
      <c r="U37" s="2062"/>
      <c r="V37" s="2062"/>
      <c r="W37" s="2062"/>
      <c r="X37" s="2062"/>
    </row>
    <row r="38" spans="1:24" hidden="1">
      <c r="A38" s="2049"/>
      <c r="B38" s="2536">
        <v>2002</v>
      </c>
      <c r="C38" s="2538"/>
      <c r="D38" s="2435"/>
      <c r="E38" s="2434"/>
      <c r="F38" s="2435"/>
      <c r="G38" s="2435"/>
      <c r="H38" s="2435"/>
      <c r="I38" s="2435"/>
      <c r="J38" s="2435"/>
      <c r="K38" s="2504"/>
      <c r="L38" s="2435"/>
      <c r="M38" s="2049"/>
      <c r="N38" s="2051"/>
      <c r="P38" s="2062"/>
      <c r="Q38" s="2062"/>
      <c r="R38" s="2062"/>
      <c r="S38" s="2062"/>
      <c r="T38" s="2062"/>
      <c r="U38" s="2062"/>
      <c r="V38" s="2062"/>
      <c r="W38" s="2062"/>
      <c r="X38" s="2062"/>
    </row>
    <row r="39" spans="1:24" hidden="1">
      <c r="A39" s="2049"/>
      <c r="B39" s="2537" t="s">
        <v>161</v>
      </c>
      <c r="C39" s="2538">
        <v>3967.57</v>
      </c>
      <c r="D39" s="2434">
        <v>588.59</v>
      </c>
      <c r="E39" s="2434">
        <v>2002.39</v>
      </c>
      <c r="F39" s="2434">
        <v>1037.1300000000001</v>
      </c>
      <c r="G39" s="2434">
        <v>965.26</v>
      </c>
      <c r="H39" s="2434">
        <v>120</v>
      </c>
      <c r="I39" s="2434">
        <v>0</v>
      </c>
      <c r="J39" s="2434">
        <v>7.36</v>
      </c>
      <c r="K39" s="2543">
        <v>1249.23</v>
      </c>
      <c r="L39" s="2435"/>
      <c r="M39" s="2049"/>
      <c r="N39" s="2051"/>
      <c r="P39" s="2062"/>
      <c r="Q39" s="2062"/>
      <c r="R39" s="2062"/>
      <c r="S39" s="2062"/>
      <c r="T39" s="2062"/>
      <c r="U39" s="2062"/>
      <c r="V39" s="2062"/>
      <c r="W39" s="2062"/>
      <c r="X39" s="2062"/>
    </row>
    <row r="40" spans="1:24" hidden="1">
      <c r="A40" s="2049"/>
      <c r="B40" s="2537" t="s">
        <v>162</v>
      </c>
      <c r="C40" s="2538">
        <v>3960.57</v>
      </c>
      <c r="D40" s="2434">
        <v>562.29999999999995</v>
      </c>
      <c r="E40" s="2434">
        <v>1961.05</v>
      </c>
      <c r="F40" s="2434">
        <v>996.27</v>
      </c>
      <c r="G40" s="2434">
        <v>964.78</v>
      </c>
      <c r="H40" s="2434">
        <v>120</v>
      </c>
      <c r="I40" s="2434">
        <v>0</v>
      </c>
      <c r="J40" s="2434">
        <v>7.36</v>
      </c>
      <c r="K40" s="2543">
        <v>1309.8600000000001</v>
      </c>
      <c r="L40" s="2435"/>
      <c r="M40" s="2049"/>
      <c r="N40" s="2051"/>
      <c r="P40" s="2062"/>
      <c r="Q40" s="2062"/>
      <c r="R40" s="2062"/>
      <c r="S40" s="2062"/>
      <c r="T40" s="2062"/>
      <c r="U40" s="2062"/>
      <c r="V40" s="2062"/>
      <c r="W40" s="2062"/>
      <c r="X40" s="2062"/>
    </row>
    <row r="41" spans="1:24" hidden="1">
      <c r="A41" s="2049"/>
      <c r="B41" s="2537" t="s">
        <v>163</v>
      </c>
      <c r="C41" s="2538">
        <v>4093.5</v>
      </c>
      <c r="D41" s="2434">
        <v>626.24</v>
      </c>
      <c r="E41" s="2434">
        <v>1984.71</v>
      </c>
      <c r="F41" s="2434">
        <v>1010.86</v>
      </c>
      <c r="G41" s="2434">
        <v>973.85</v>
      </c>
      <c r="H41" s="2434">
        <v>120</v>
      </c>
      <c r="I41" s="2434">
        <v>0</v>
      </c>
      <c r="J41" s="2434">
        <v>7.36</v>
      </c>
      <c r="K41" s="2543">
        <v>1355.19</v>
      </c>
      <c r="L41" s="2435"/>
      <c r="M41" s="2049"/>
      <c r="N41" s="2051"/>
      <c r="P41" s="2062"/>
      <c r="Q41" s="2062"/>
      <c r="R41" s="2062"/>
      <c r="S41" s="2062"/>
      <c r="T41" s="2062"/>
      <c r="U41" s="2062"/>
      <c r="V41" s="2062"/>
      <c r="W41" s="2062"/>
      <c r="X41" s="2062"/>
    </row>
    <row r="42" spans="1:24" hidden="1">
      <c r="A42" s="2049"/>
      <c r="B42" s="2537" t="s">
        <v>164</v>
      </c>
      <c r="C42" s="2538">
        <v>4107.29</v>
      </c>
      <c r="D42" s="2434">
        <v>576.67999999999995</v>
      </c>
      <c r="E42" s="2434">
        <v>2028.77</v>
      </c>
      <c r="F42" s="2434">
        <v>978.09</v>
      </c>
      <c r="G42" s="2434">
        <v>1050.68</v>
      </c>
      <c r="H42" s="2434">
        <v>120</v>
      </c>
      <c r="I42" s="2434">
        <v>0</v>
      </c>
      <c r="J42" s="2434">
        <v>7.36</v>
      </c>
      <c r="K42" s="2543">
        <v>1374.48</v>
      </c>
      <c r="L42" s="2435"/>
      <c r="M42" s="2049"/>
      <c r="N42" s="2051"/>
      <c r="P42" s="2062"/>
      <c r="Q42" s="2062"/>
      <c r="R42" s="2062"/>
      <c r="S42" s="2062"/>
      <c r="T42" s="2062"/>
      <c r="U42" s="2062"/>
      <c r="V42" s="2062"/>
      <c r="W42" s="2062"/>
      <c r="X42" s="2062"/>
    </row>
    <row r="43" spans="1:24" hidden="1">
      <c r="A43" s="2049"/>
      <c r="B43" s="2537" t="s">
        <v>165</v>
      </c>
      <c r="C43" s="2538">
        <v>4074.6900000000005</v>
      </c>
      <c r="D43" s="2434">
        <v>534.23</v>
      </c>
      <c r="E43" s="2434">
        <v>2005.42</v>
      </c>
      <c r="F43" s="2434">
        <v>1022.07</v>
      </c>
      <c r="G43" s="2434">
        <v>983.35</v>
      </c>
      <c r="H43" s="2434">
        <v>120</v>
      </c>
      <c r="I43" s="2434">
        <v>0</v>
      </c>
      <c r="J43" s="2434">
        <v>7.36</v>
      </c>
      <c r="K43" s="2543">
        <v>1407.68</v>
      </c>
      <c r="L43" s="2435"/>
      <c r="M43" s="2049"/>
      <c r="N43" s="2051"/>
      <c r="P43" s="2062"/>
      <c r="Q43" s="2062"/>
      <c r="R43" s="2062"/>
      <c r="S43" s="2062"/>
      <c r="T43" s="2062"/>
      <c r="U43" s="2062"/>
      <c r="V43" s="2062"/>
      <c r="W43" s="2062"/>
      <c r="X43" s="2062"/>
    </row>
    <row r="44" spans="1:24" hidden="1">
      <c r="A44" s="2049"/>
      <c r="B44" s="2537" t="s">
        <v>166</v>
      </c>
      <c r="C44" s="2538">
        <v>4159.9799999999996</v>
      </c>
      <c r="D44" s="2434">
        <v>546.64</v>
      </c>
      <c r="E44" s="2434">
        <v>2019.71</v>
      </c>
      <c r="F44" s="2434">
        <v>1064.05</v>
      </c>
      <c r="G44" s="2434">
        <v>955.66</v>
      </c>
      <c r="H44" s="2434">
        <v>120</v>
      </c>
      <c r="I44" s="2434">
        <v>0</v>
      </c>
      <c r="J44" s="2434">
        <v>7.36</v>
      </c>
      <c r="K44" s="2543">
        <v>1466.27</v>
      </c>
      <c r="L44" s="2435"/>
      <c r="M44" s="2049"/>
      <c r="N44" s="2051"/>
      <c r="P44" s="2062"/>
      <c r="Q44" s="2062"/>
      <c r="R44" s="2062"/>
      <c r="S44" s="2062"/>
      <c r="T44" s="2062"/>
      <c r="U44" s="2062"/>
      <c r="V44" s="2062"/>
      <c r="W44" s="2062"/>
      <c r="X44" s="2062"/>
    </row>
    <row r="45" spans="1:24" hidden="1">
      <c r="A45" s="2049"/>
      <c r="B45" s="2537" t="s">
        <v>167</v>
      </c>
      <c r="C45" s="2538">
        <v>4211.8700000000008</v>
      </c>
      <c r="D45" s="2434">
        <v>786.4</v>
      </c>
      <c r="E45" s="2434">
        <v>1809.25</v>
      </c>
      <c r="F45" s="2434">
        <v>936.92</v>
      </c>
      <c r="G45" s="2434">
        <v>872.33</v>
      </c>
      <c r="H45" s="2434">
        <v>120</v>
      </c>
      <c r="I45" s="2434">
        <v>0</v>
      </c>
      <c r="J45" s="2434">
        <v>7.36</v>
      </c>
      <c r="K45" s="2543">
        <v>1488.8600000000001</v>
      </c>
      <c r="L45" s="2435"/>
      <c r="M45" s="2049"/>
      <c r="N45" s="2051"/>
      <c r="P45" s="2062"/>
      <c r="Q45" s="2062"/>
      <c r="R45" s="2062"/>
      <c r="S45" s="2062"/>
      <c r="T45" s="2062"/>
      <c r="U45" s="2062"/>
      <c r="V45" s="2062"/>
      <c r="W45" s="2062"/>
      <c r="X45" s="2062"/>
    </row>
    <row r="46" spans="1:24" hidden="1">
      <c r="A46" s="2049"/>
      <c r="B46" s="2537" t="s">
        <v>168</v>
      </c>
      <c r="C46" s="2538">
        <v>4186.7299999999996</v>
      </c>
      <c r="D46" s="2434">
        <v>852.08</v>
      </c>
      <c r="E46" s="2434">
        <v>1699.04</v>
      </c>
      <c r="F46" s="2434">
        <v>792.36</v>
      </c>
      <c r="G46" s="2434">
        <v>906.68</v>
      </c>
      <c r="H46" s="2434">
        <v>120</v>
      </c>
      <c r="I46" s="2434">
        <v>0</v>
      </c>
      <c r="J46" s="2434">
        <v>7.36</v>
      </c>
      <c r="K46" s="2543">
        <v>1508.25</v>
      </c>
      <c r="L46" s="2435"/>
      <c r="M46" s="2049"/>
      <c r="N46" s="2051"/>
      <c r="P46" s="2062"/>
      <c r="Q46" s="2062"/>
      <c r="R46" s="2062"/>
      <c r="S46" s="2062"/>
      <c r="T46" s="2062"/>
      <c r="U46" s="2062"/>
      <c r="V46" s="2062"/>
      <c r="W46" s="2062"/>
      <c r="X46" s="2062"/>
    </row>
    <row r="47" spans="1:24" hidden="1">
      <c r="A47" s="2049"/>
      <c r="B47" s="2537" t="s">
        <v>169</v>
      </c>
      <c r="C47" s="2538">
        <v>4407.03</v>
      </c>
      <c r="D47" s="2434">
        <v>863.67</v>
      </c>
      <c r="E47" s="2434">
        <v>1865.82</v>
      </c>
      <c r="F47" s="2434">
        <v>923.53</v>
      </c>
      <c r="G47" s="2434">
        <v>942.29</v>
      </c>
      <c r="H47" s="2434">
        <v>120</v>
      </c>
      <c r="I47" s="2434">
        <v>0</v>
      </c>
      <c r="J47" s="2434">
        <v>7.36</v>
      </c>
      <c r="K47" s="2543">
        <v>1550.18</v>
      </c>
      <c r="L47" s="2435"/>
      <c r="M47" s="2049"/>
      <c r="N47" s="2051"/>
      <c r="P47" s="2062"/>
      <c r="Q47" s="2062"/>
      <c r="R47" s="2062"/>
      <c r="S47" s="2062"/>
      <c r="T47" s="2062"/>
      <c r="U47" s="2062"/>
      <c r="V47" s="2062"/>
      <c r="W47" s="2062"/>
      <c r="X47" s="2062"/>
    </row>
    <row r="48" spans="1:24" hidden="1">
      <c r="A48" s="2049"/>
      <c r="B48" s="2537" t="s">
        <v>170</v>
      </c>
      <c r="C48" s="2538">
        <v>4662.37</v>
      </c>
      <c r="D48" s="2434">
        <v>968.37</v>
      </c>
      <c r="E48" s="2434">
        <v>1970.54</v>
      </c>
      <c r="F48" s="2434">
        <v>1144.25</v>
      </c>
      <c r="G48" s="2434">
        <v>826.29</v>
      </c>
      <c r="H48" s="2434">
        <v>120</v>
      </c>
      <c r="I48" s="2434">
        <v>0</v>
      </c>
      <c r="J48" s="2434">
        <v>7.58</v>
      </c>
      <c r="K48" s="2543">
        <v>1595.88</v>
      </c>
      <c r="L48" s="2435"/>
      <c r="M48" s="2049"/>
      <c r="N48" s="2051"/>
      <c r="P48" s="2062"/>
      <c r="Q48" s="2062"/>
      <c r="R48" s="2062"/>
      <c r="S48" s="2062"/>
      <c r="T48" s="2062"/>
      <c r="U48" s="2062"/>
      <c r="V48" s="2062"/>
      <c r="W48" s="2062"/>
      <c r="X48" s="2062"/>
    </row>
    <row r="49" spans="1:24" hidden="1">
      <c r="A49" s="2049"/>
      <c r="B49" s="2537" t="s">
        <v>171</v>
      </c>
      <c r="C49" s="2538">
        <v>4697.8599999999997</v>
      </c>
      <c r="D49" s="2434">
        <v>1260.0999999999999</v>
      </c>
      <c r="E49" s="2434">
        <v>1685.69</v>
      </c>
      <c r="F49" s="2434">
        <v>991.1</v>
      </c>
      <c r="G49" s="2434">
        <v>694.59</v>
      </c>
      <c r="H49" s="2434">
        <v>120</v>
      </c>
      <c r="I49" s="2434">
        <v>0</v>
      </c>
      <c r="J49" s="2434">
        <v>7.58</v>
      </c>
      <c r="K49" s="2543">
        <v>1624.49</v>
      </c>
      <c r="L49" s="2435"/>
      <c r="M49" s="2049"/>
      <c r="N49" s="2051"/>
      <c r="P49" s="2062"/>
      <c r="Q49" s="2062"/>
      <c r="R49" s="2062"/>
      <c r="S49" s="2062"/>
      <c r="T49" s="2062"/>
      <c r="U49" s="2062"/>
      <c r="V49" s="2062"/>
      <c r="W49" s="2062"/>
      <c r="X49" s="2062"/>
    </row>
    <row r="50" spans="1:24" hidden="1">
      <c r="A50" s="2049"/>
      <c r="B50" s="2536">
        <v>2002</v>
      </c>
      <c r="C50" s="2538">
        <v>4854.71</v>
      </c>
      <c r="D50" s="2435">
        <v>1917.83</v>
      </c>
      <c r="E50" s="2434">
        <v>1115.22</v>
      </c>
      <c r="F50" s="2435">
        <v>650.97</v>
      </c>
      <c r="G50" s="2435">
        <v>464.25</v>
      </c>
      <c r="H50" s="2434">
        <v>120</v>
      </c>
      <c r="I50" s="2434">
        <v>0</v>
      </c>
      <c r="J50" s="2435">
        <v>7.58</v>
      </c>
      <c r="K50" s="2504">
        <v>1694.08</v>
      </c>
      <c r="L50" s="2435"/>
      <c r="M50" s="2049"/>
      <c r="N50" s="2051"/>
      <c r="P50" s="2062"/>
      <c r="Q50" s="2062"/>
      <c r="R50" s="2062"/>
      <c r="S50" s="2062"/>
      <c r="T50" s="2062"/>
      <c r="U50" s="2062"/>
      <c r="V50" s="2062"/>
      <c r="W50" s="2062"/>
      <c r="X50" s="2062"/>
    </row>
    <row r="51" spans="1:24" hidden="1">
      <c r="A51" s="2049"/>
      <c r="B51" s="2536">
        <v>2003</v>
      </c>
      <c r="C51" s="2539"/>
      <c r="D51" s="2540"/>
      <c r="E51" s="2540"/>
      <c r="F51" s="2540"/>
      <c r="G51" s="2540"/>
      <c r="H51" s="2540"/>
      <c r="I51" s="2540"/>
      <c r="J51" s="2540"/>
      <c r="K51" s="2544"/>
      <c r="L51" s="2540"/>
      <c r="M51" s="2049"/>
      <c r="N51" s="2051"/>
      <c r="O51" s="2065"/>
      <c r="P51" s="2062"/>
      <c r="Q51" s="2062"/>
      <c r="R51" s="2062"/>
      <c r="S51" s="2062"/>
      <c r="T51" s="2062"/>
      <c r="U51" s="2062"/>
      <c r="V51" s="2062"/>
      <c r="W51" s="2062"/>
      <c r="X51" s="2062"/>
    </row>
    <row r="52" spans="1:24" hidden="1">
      <c r="A52" s="2049"/>
      <c r="B52" s="2537" t="s">
        <v>161</v>
      </c>
      <c r="C52" s="2538">
        <v>4876.1398853900009</v>
      </c>
      <c r="D52" s="2435">
        <v>1840.0901927899999</v>
      </c>
      <c r="E52" s="2434">
        <v>1174.14730747</v>
      </c>
      <c r="F52" s="2435">
        <v>681.63218623</v>
      </c>
      <c r="G52" s="2435">
        <v>492.51512123999998</v>
      </c>
      <c r="H52" s="2434">
        <v>120</v>
      </c>
      <c r="I52" s="2434">
        <v>0</v>
      </c>
      <c r="J52" s="2435">
        <v>25.086628510000001</v>
      </c>
      <c r="K52" s="2504">
        <v>1713.0827996200003</v>
      </c>
      <c r="L52" s="2435">
        <v>3.7329569999999999</v>
      </c>
      <c r="M52" s="2049"/>
      <c r="N52" s="2051"/>
      <c r="P52" s="2062"/>
      <c r="Q52" s="2062"/>
      <c r="R52" s="2062"/>
      <c r="S52" s="2062"/>
      <c r="T52" s="2062"/>
      <c r="U52" s="2062"/>
      <c r="V52" s="2062"/>
      <c r="W52" s="2062"/>
      <c r="X52" s="2062"/>
    </row>
    <row r="53" spans="1:24" hidden="1">
      <c r="A53" s="2049"/>
      <c r="B53" s="2537" t="s">
        <v>162</v>
      </c>
      <c r="C53" s="2538">
        <v>4984.2104545400007</v>
      </c>
      <c r="D53" s="2435">
        <v>1814.3720816299999</v>
      </c>
      <c r="E53" s="2434">
        <v>1265.1143703600001</v>
      </c>
      <c r="F53" s="2435">
        <v>688.84443829999998</v>
      </c>
      <c r="G53" s="2435">
        <v>576.26993205999997</v>
      </c>
      <c r="H53" s="2434">
        <v>120</v>
      </c>
      <c r="I53" s="2434">
        <v>0</v>
      </c>
      <c r="J53" s="2435">
        <v>25.650557199999998</v>
      </c>
      <c r="K53" s="2504">
        <v>1755.3404883500002</v>
      </c>
      <c r="L53" s="2435">
        <v>3.7329569999999999</v>
      </c>
      <c r="M53" s="2049"/>
      <c r="N53" s="2051"/>
      <c r="P53" s="2062"/>
      <c r="Q53" s="2062"/>
      <c r="R53" s="2062"/>
      <c r="S53" s="2062"/>
      <c r="T53" s="2062"/>
      <c r="U53" s="2062"/>
      <c r="V53" s="2062"/>
      <c r="W53" s="2062"/>
      <c r="X53" s="2062"/>
    </row>
    <row r="54" spans="1:24" hidden="1">
      <c r="A54" s="2049"/>
      <c r="B54" s="2537" t="s">
        <v>163</v>
      </c>
      <c r="C54" s="2538">
        <v>5135.0707358400005</v>
      </c>
      <c r="D54" s="2435">
        <v>1823.39941836</v>
      </c>
      <c r="E54" s="2434">
        <v>1367.3493315300002</v>
      </c>
      <c r="F54" s="2435">
        <v>738.14109829000006</v>
      </c>
      <c r="G54" s="2435">
        <v>629.20823324000003</v>
      </c>
      <c r="H54" s="2434">
        <v>122.27990108</v>
      </c>
      <c r="I54" s="2434">
        <v>0.19033847000000001</v>
      </c>
      <c r="J54" s="2435">
        <v>21.047012670000001</v>
      </c>
      <c r="K54" s="2504">
        <v>1797.07177673</v>
      </c>
      <c r="L54" s="2435">
        <v>3.7329569999999999</v>
      </c>
      <c r="M54" s="2049"/>
      <c r="N54" s="2051"/>
      <c r="P54" s="2062"/>
      <c r="Q54" s="2062"/>
      <c r="R54" s="2062"/>
      <c r="S54" s="2062"/>
      <c r="T54" s="2062"/>
      <c r="U54" s="2062"/>
      <c r="V54" s="2062"/>
      <c r="W54" s="2062"/>
      <c r="X54" s="2062"/>
    </row>
    <row r="55" spans="1:24" hidden="1">
      <c r="A55" s="2049"/>
      <c r="B55" s="2537" t="s">
        <v>164</v>
      </c>
      <c r="C55" s="2538">
        <v>5073.3957862300003</v>
      </c>
      <c r="D55" s="2435">
        <v>1642.6085777600001</v>
      </c>
      <c r="E55" s="2434">
        <v>1441.1899739999999</v>
      </c>
      <c r="F55" s="2435">
        <v>739.78967876000002</v>
      </c>
      <c r="G55" s="2435">
        <v>701.40029523999999</v>
      </c>
      <c r="H55" s="2434">
        <v>122.30055879</v>
      </c>
      <c r="I55" s="2434">
        <v>0.18535241</v>
      </c>
      <c r="J55" s="2435">
        <v>70.062584130000005</v>
      </c>
      <c r="K55" s="2504">
        <v>1793.31578214</v>
      </c>
      <c r="L55" s="2435">
        <v>3.7329569999999999</v>
      </c>
      <c r="M55" s="2049"/>
      <c r="N55" s="2051"/>
      <c r="P55" s="2062"/>
      <c r="Q55" s="2062"/>
      <c r="R55" s="2062"/>
      <c r="S55" s="2062"/>
      <c r="T55" s="2062"/>
      <c r="U55" s="2062"/>
      <c r="V55" s="2062"/>
      <c r="W55" s="2062"/>
      <c r="X55" s="2062"/>
    </row>
    <row r="56" spans="1:24" hidden="1">
      <c r="A56" s="2049"/>
      <c r="B56" s="2537" t="s">
        <v>165</v>
      </c>
      <c r="C56" s="2538">
        <v>5359.3539510200007</v>
      </c>
      <c r="D56" s="2435">
        <v>1641.1475142199999</v>
      </c>
      <c r="E56" s="2434">
        <v>1597.96733866</v>
      </c>
      <c r="F56" s="2435">
        <v>704.53583129000003</v>
      </c>
      <c r="G56" s="2435">
        <v>893.43150736999996</v>
      </c>
      <c r="H56" s="2434">
        <v>122.17070617</v>
      </c>
      <c r="I56" s="2434">
        <v>100.52640547</v>
      </c>
      <c r="J56" s="2435">
        <v>78.100394690000002</v>
      </c>
      <c r="K56" s="2504">
        <v>1815.7086348100001</v>
      </c>
      <c r="L56" s="2435">
        <v>3.7329569999999999</v>
      </c>
      <c r="M56" s="2049"/>
      <c r="N56" s="2051"/>
      <c r="P56" s="2062"/>
      <c r="Q56" s="2062"/>
      <c r="R56" s="2062"/>
      <c r="S56" s="2062"/>
      <c r="T56" s="2062"/>
      <c r="U56" s="2062"/>
      <c r="V56" s="2062"/>
      <c r="W56" s="2062"/>
      <c r="X56" s="2062"/>
    </row>
    <row r="57" spans="1:24" hidden="1">
      <c r="A57" s="2049"/>
      <c r="B57" s="2537" t="s">
        <v>166</v>
      </c>
      <c r="C57" s="2538">
        <v>5310.4233118299999</v>
      </c>
      <c r="D57" s="2435">
        <v>1603.5728244100001</v>
      </c>
      <c r="E57" s="2434">
        <v>1572.3005504500002</v>
      </c>
      <c r="F57" s="2435">
        <v>732.20224761000009</v>
      </c>
      <c r="G57" s="2435">
        <v>840.09830284000009</v>
      </c>
      <c r="H57" s="2434">
        <v>122.06731041</v>
      </c>
      <c r="I57" s="2434">
        <v>0.15421842000000002</v>
      </c>
      <c r="J57" s="2435">
        <v>78.193838110000002</v>
      </c>
      <c r="K57" s="2504">
        <v>1829.48106508</v>
      </c>
      <c r="L57" s="2435">
        <v>104.65350495</v>
      </c>
      <c r="M57" s="2049"/>
      <c r="N57" s="2051"/>
      <c r="P57" s="2062"/>
      <c r="Q57" s="2062"/>
      <c r="R57" s="2062"/>
      <c r="S57" s="2062"/>
      <c r="T57" s="2062"/>
      <c r="U57" s="2062"/>
      <c r="V57" s="2062"/>
      <c r="W57" s="2062"/>
      <c r="X57" s="2062"/>
    </row>
    <row r="58" spans="1:24" hidden="1">
      <c r="A58" s="2049"/>
      <c r="B58" s="2537" t="s">
        <v>167</v>
      </c>
      <c r="C58" s="2538">
        <v>5115.0096630600001</v>
      </c>
      <c r="D58" s="2435">
        <v>1462.5307241599999</v>
      </c>
      <c r="E58" s="2434">
        <v>1396.0999237599999</v>
      </c>
      <c r="F58" s="2435">
        <v>704.91678182999999</v>
      </c>
      <c r="G58" s="2435">
        <v>691.18314193000003</v>
      </c>
      <c r="H58" s="2434">
        <v>122.10692904</v>
      </c>
      <c r="I58" s="2434">
        <v>14.631817359999999</v>
      </c>
      <c r="J58" s="2435">
        <v>78.093255830000004</v>
      </c>
      <c r="K58" s="2504">
        <v>1936.29898742</v>
      </c>
      <c r="L58" s="2435">
        <v>105.24802548999999</v>
      </c>
      <c r="M58" s="2049"/>
      <c r="N58" s="2051"/>
      <c r="P58" s="2062"/>
      <c r="Q58" s="2062"/>
      <c r="R58" s="2062"/>
      <c r="S58" s="2062"/>
      <c r="T58" s="2062"/>
      <c r="U58" s="2062"/>
      <c r="V58" s="2062"/>
      <c r="W58" s="2062"/>
      <c r="X58" s="2062"/>
    </row>
    <row r="59" spans="1:24" hidden="1">
      <c r="A59" s="2049"/>
      <c r="B59" s="2537" t="s">
        <v>168</v>
      </c>
      <c r="C59" s="2538">
        <v>5143.7757958099992</v>
      </c>
      <c r="D59" s="2435">
        <v>1560.7706780199999</v>
      </c>
      <c r="E59" s="2434">
        <v>1268.67557272</v>
      </c>
      <c r="F59" s="2435">
        <v>669.36996636000003</v>
      </c>
      <c r="G59" s="2435">
        <v>599.30560635999996</v>
      </c>
      <c r="H59" s="2434">
        <v>122.09006221</v>
      </c>
      <c r="I59" s="2434">
        <v>18.629757229999999</v>
      </c>
      <c r="J59" s="2435">
        <v>78.798736510000012</v>
      </c>
      <c r="K59" s="2504">
        <v>1988.9876211600003</v>
      </c>
      <c r="L59" s="2435">
        <v>105.82336796</v>
      </c>
      <c r="M59" s="2049"/>
      <c r="N59" s="2051"/>
      <c r="P59" s="2062"/>
      <c r="Q59" s="2062"/>
      <c r="R59" s="2062"/>
      <c r="S59" s="2062"/>
      <c r="T59" s="2062"/>
      <c r="U59" s="2062"/>
      <c r="V59" s="2062"/>
      <c r="W59" s="2062"/>
      <c r="X59" s="2062"/>
    </row>
    <row r="60" spans="1:24" hidden="1">
      <c r="A60" s="2049"/>
      <c r="B60" s="2537" t="s">
        <v>169</v>
      </c>
      <c r="C60" s="2538">
        <v>4886.9507555999999</v>
      </c>
      <c r="D60" s="2435">
        <v>1301.1054211799999</v>
      </c>
      <c r="E60" s="2434">
        <v>1207.0204886900001</v>
      </c>
      <c r="F60" s="2435">
        <v>639.96511870999996</v>
      </c>
      <c r="G60" s="2435">
        <v>567.05536998000002</v>
      </c>
      <c r="H60" s="2434">
        <v>122.02518458</v>
      </c>
      <c r="I60" s="2434">
        <v>36.033585450000004</v>
      </c>
      <c r="J60" s="2435">
        <v>77.869081960000003</v>
      </c>
      <c r="K60" s="2504">
        <v>2036.4791052300002</v>
      </c>
      <c r="L60" s="2435">
        <v>106.41788851</v>
      </c>
      <c r="M60" s="2049"/>
      <c r="N60" s="2051"/>
      <c r="P60" s="2062"/>
      <c r="Q60" s="2062"/>
      <c r="R60" s="2062"/>
      <c r="S60" s="2062"/>
      <c r="T60" s="2062"/>
      <c r="U60" s="2062"/>
      <c r="V60" s="2062"/>
      <c r="W60" s="2062"/>
      <c r="X60" s="2062"/>
    </row>
    <row r="61" spans="1:24" hidden="1">
      <c r="A61" s="2049"/>
      <c r="B61" s="2537" t="s">
        <v>170</v>
      </c>
      <c r="C61" s="2538">
        <v>5212.7878524799999</v>
      </c>
      <c r="D61" s="2435">
        <v>1433.3240034399998</v>
      </c>
      <c r="E61" s="2434">
        <v>987.79237679000005</v>
      </c>
      <c r="F61" s="2435">
        <v>605.89543259000004</v>
      </c>
      <c r="G61" s="2435">
        <v>381.89694420000001</v>
      </c>
      <c r="H61" s="2434">
        <v>502.83726175999999</v>
      </c>
      <c r="I61" s="2434">
        <v>41.558651070000003</v>
      </c>
      <c r="J61" s="2435">
        <v>77.345470120000016</v>
      </c>
      <c r="K61" s="2504">
        <v>2062.9176802500001</v>
      </c>
      <c r="L61" s="2435">
        <v>107.01240905</v>
      </c>
      <c r="M61" s="2049"/>
      <c r="N61" s="2051"/>
      <c r="P61" s="2062"/>
      <c r="Q61" s="2062"/>
      <c r="R61" s="2062"/>
      <c r="S61" s="2062"/>
      <c r="T61" s="2062"/>
      <c r="U61" s="2062"/>
      <c r="V61" s="2062"/>
      <c r="W61" s="2062"/>
      <c r="X61" s="2062"/>
    </row>
    <row r="62" spans="1:24" hidden="1">
      <c r="A62" s="2049"/>
      <c r="B62" s="2537" t="s">
        <v>171</v>
      </c>
      <c r="C62" s="2538">
        <v>4949.5714810400004</v>
      </c>
      <c r="D62" s="2435">
        <v>1510.3008795799999</v>
      </c>
      <c r="E62" s="2434">
        <v>943.19656474999999</v>
      </c>
      <c r="F62" s="2435">
        <v>579.49605607000001</v>
      </c>
      <c r="G62" s="2435">
        <v>363.70050867999998</v>
      </c>
      <c r="H62" s="2434">
        <v>121.98380674000001</v>
      </c>
      <c r="I62" s="2434">
        <v>49.143101139999999</v>
      </c>
      <c r="J62" s="2435">
        <v>77.767315470000014</v>
      </c>
      <c r="K62" s="2504">
        <v>2139.6112399200001</v>
      </c>
      <c r="L62" s="2435">
        <v>107.56857343999999</v>
      </c>
      <c r="M62" s="2049"/>
      <c r="N62" s="2051"/>
      <c r="P62" s="2062"/>
      <c r="Q62" s="2062"/>
      <c r="R62" s="2062"/>
      <c r="S62" s="2062"/>
      <c r="T62" s="2062"/>
      <c r="U62" s="2062"/>
      <c r="V62" s="2062"/>
      <c r="W62" s="2062"/>
      <c r="X62" s="2062"/>
    </row>
    <row r="63" spans="1:24">
      <c r="A63" s="2049"/>
      <c r="B63" s="2536">
        <v>2003</v>
      </c>
      <c r="C63" s="2437">
        <v>5361.6952964400007</v>
      </c>
      <c r="D63" s="2435">
        <v>1441.75143256</v>
      </c>
      <c r="E63" s="2434">
        <v>965.99915061999991</v>
      </c>
      <c r="F63" s="2435">
        <v>609.7782982299999</v>
      </c>
      <c r="G63" s="2435">
        <v>356.22085239</v>
      </c>
      <c r="H63" s="2434">
        <v>543.5497312</v>
      </c>
      <c r="I63" s="2434">
        <v>49.435257759999999</v>
      </c>
      <c r="J63" s="2435">
        <v>73.814157690000016</v>
      </c>
      <c r="K63" s="2504">
        <v>2178.9632945400003</v>
      </c>
      <c r="L63" s="2435">
        <v>108.18227207</v>
      </c>
      <c r="M63" s="2049"/>
      <c r="N63" s="2051"/>
      <c r="P63" s="2062"/>
      <c r="Q63" s="2062"/>
      <c r="R63" s="2062"/>
      <c r="S63" s="2062"/>
      <c r="T63" s="2062"/>
      <c r="U63" s="2062"/>
      <c r="V63" s="2062"/>
      <c r="W63" s="2062"/>
      <c r="X63" s="2062"/>
    </row>
    <row r="64" spans="1:24" hidden="1">
      <c r="A64" s="2049"/>
      <c r="B64" s="2541">
        <v>2004</v>
      </c>
      <c r="C64" s="2437"/>
      <c r="D64" s="2542"/>
      <c r="E64" s="2440"/>
      <c r="F64" s="2441"/>
      <c r="G64" s="2441"/>
      <c r="H64" s="2440"/>
      <c r="I64" s="2440"/>
      <c r="J64" s="2441"/>
      <c r="K64" s="2504"/>
      <c r="L64" s="2441"/>
      <c r="M64" s="2049"/>
      <c r="N64" s="2051"/>
      <c r="P64" s="2062"/>
      <c r="Q64" s="2062"/>
      <c r="R64" s="2062"/>
      <c r="S64" s="2062"/>
      <c r="T64" s="2062"/>
      <c r="U64" s="2062"/>
      <c r="V64" s="2062"/>
      <c r="W64" s="2062"/>
      <c r="X64" s="2062"/>
    </row>
    <row r="65" spans="1:24" hidden="1">
      <c r="A65" s="2049"/>
      <c r="B65" s="2438" t="s">
        <v>161</v>
      </c>
      <c r="C65" s="2437">
        <v>5405.1234289699996</v>
      </c>
      <c r="D65" s="2433">
        <v>1441.13913149</v>
      </c>
      <c r="E65" s="2434">
        <v>950.0875812999999</v>
      </c>
      <c r="F65" s="2435">
        <v>604.52150010999992</v>
      </c>
      <c r="G65" s="2435">
        <v>345.56608118999998</v>
      </c>
      <c r="H65" s="2434">
        <v>543.58404769999993</v>
      </c>
      <c r="I65" s="2434">
        <v>50.983145139999998</v>
      </c>
      <c r="J65" s="2435">
        <v>76.057714610000005</v>
      </c>
      <c r="K65" s="2504">
        <v>2239.1956924599999</v>
      </c>
      <c r="L65" s="2435">
        <v>104.07611627</v>
      </c>
      <c r="M65" s="2049"/>
      <c r="N65" s="2051"/>
      <c r="P65" s="2062"/>
      <c r="Q65" s="2062"/>
      <c r="R65" s="2062"/>
      <c r="S65" s="2062"/>
      <c r="T65" s="2062"/>
      <c r="U65" s="2062"/>
      <c r="V65" s="2062"/>
      <c r="W65" s="2062"/>
      <c r="X65" s="2062"/>
    </row>
    <row r="66" spans="1:24" hidden="1">
      <c r="A66" s="2049"/>
      <c r="B66" s="2438" t="s">
        <v>162</v>
      </c>
      <c r="C66" s="2437">
        <v>5831.3708060499994</v>
      </c>
      <c r="D66" s="2433">
        <v>1780.1035207100001</v>
      </c>
      <c r="E66" s="2434">
        <v>999.21804198999996</v>
      </c>
      <c r="F66" s="2435">
        <v>592.30026642999997</v>
      </c>
      <c r="G66" s="2435">
        <v>406.91777556</v>
      </c>
      <c r="H66" s="2434">
        <v>544.64088391999996</v>
      </c>
      <c r="I66" s="2434">
        <v>51.211017779999999</v>
      </c>
      <c r="J66" s="2435">
        <v>76.153939520000009</v>
      </c>
      <c r="K66" s="2504">
        <v>2275.4322802500001</v>
      </c>
      <c r="L66" s="2435">
        <v>104.61112188</v>
      </c>
      <c r="M66" s="2049"/>
      <c r="N66" s="2051"/>
      <c r="P66" s="2062"/>
      <c r="Q66" s="2062"/>
      <c r="R66" s="2062"/>
      <c r="S66" s="2062"/>
      <c r="T66" s="2062"/>
      <c r="U66" s="2062"/>
      <c r="V66" s="2062"/>
      <c r="W66" s="2062"/>
      <c r="X66" s="2062"/>
    </row>
    <row r="67" spans="1:24" hidden="1">
      <c r="A67" s="2049"/>
      <c r="B67" s="2438" t="s">
        <v>163</v>
      </c>
      <c r="C67" s="2437">
        <v>5938.5365876699998</v>
      </c>
      <c r="D67" s="2433">
        <v>1844.7565368100002</v>
      </c>
      <c r="E67" s="2434">
        <v>935.63595379000003</v>
      </c>
      <c r="F67" s="2435">
        <v>495.08681246999998</v>
      </c>
      <c r="G67" s="2435">
        <v>440.54914131999999</v>
      </c>
      <c r="H67" s="2434">
        <v>543.57762314000001</v>
      </c>
      <c r="I67" s="2434">
        <v>79.032982689999997</v>
      </c>
      <c r="J67" s="2435">
        <v>18.361002190000001</v>
      </c>
      <c r="K67" s="2504">
        <v>2411.9499321799999</v>
      </c>
      <c r="L67" s="2435">
        <v>105.22255687000001</v>
      </c>
      <c r="M67" s="2049"/>
      <c r="N67" s="2051"/>
      <c r="P67" s="2062"/>
      <c r="Q67" s="2062"/>
      <c r="R67" s="2062"/>
      <c r="S67" s="2062"/>
      <c r="T67" s="2062"/>
      <c r="U67" s="2062"/>
      <c r="V67" s="2062"/>
      <c r="W67" s="2062"/>
      <c r="X67" s="2062"/>
    </row>
    <row r="68" spans="1:24" hidden="1">
      <c r="A68" s="2049"/>
      <c r="B68" s="2438" t="s">
        <v>164</v>
      </c>
      <c r="C68" s="2437">
        <v>6050.7734312400007</v>
      </c>
      <c r="D68" s="2433">
        <v>1814.4748219600001</v>
      </c>
      <c r="E68" s="2434">
        <v>1003.52315478</v>
      </c>
      <c r="F68" s="2435">
        <v>529.49573967000003</v>
      </c>
      <c r="G68" s="2435">
        <v>474.02741510999999</v>
      </c>
      <c r="H68" s="2434">
        <v>541.63099999999997</v>
      </c>
      <c r="I68" s="2434">
        <v>79.457636790000009</v>
      </c>
      <c r="J68" s="2435">
        <v>17.19652769</v>
      </c>
      <c r="K68" s="2504">
        <v>2488.7136201900003</v>
      </c>
      <c r="L68" s="2435">
        <v>105.77666983</v>
      </c>
      <c r="M68" s="2049"/>
      <c r="N68" s="2051"/>
      <c r="P68" s="2062"/>
      <c r="Q68" s="2062"/>
      <c r="R68" s="2062"/>
      <c r="S68" s="2062"/>
      <c r="T68" s="2062"/>
      <c r="U68" s="2062"/>
      <c r="V68" s="2062"/>
      <c r="W68" s="2062"/>
      <c r="X68" s="2062"/>
    </row>
    <row r="69" spans="1:24" hidden="1">
      <c r="A69" s="2049"/>
      <c r="B69" s="2438" t="s">
        <v>165</v>
      </c>
      <c r="C69" s="2437">
        <v>6073.577983350001</v>
      </c>
      <c r="D69" s="2433">
        <v>1992.7582516999998</v>
      </c>
      <c r="E69" s="2434">
        <v>819.78022334999991</v>
      </c>
      <c r="F69" s="2435">
        <v>491.01290607999999</v>
      </c>
      <c r="G69" s="2435">
        <v>328.76731726999998</v>
      </c>
      <c r="H69" s="2434">
        <v>541.63099999999997</v>
      </c>
      <c r="I69" s="2434">
        <v>76.986354359999993</v>
      </c>
      <c r="J69" s="2435">
        <v>17.286532340000001</v>
      </c>
      <c r="K69" s="2504">
        <v>2518.7475167900006</v>
      </c>
      <c r="L69" s="2435">
        <v>106.38810481</v>
      </c>
      <c r="M69" s="2049"/>
      <c r="N69" s="2051"/>
      <c r="P69" s="2062"/>
      <c r="Q69" s="2062"/>
      <c r="R69" s="2062"/>
      <c r="S69" s="2062"/>
      <c r="T69" s="2062"/>
      <c r="U69" s="2062"/>
      <c r="V69" s="2062"/>
      <c r="W69" s="2062"/>
      <c r="X69" s="2062"/>
    </row>
    <row r="70" spans="1:24" hidden="1">
      <c r="A70" s="2049"/>
      <c r="B70" s="2438" t="s">
        <v>166</v>
      </c>
      <c r="C70" s="2437">
        <v>6200.1051895499995</v>
      </c>
      <c r="D70" s="2433">
        <v>2002.3490224499999</v>
      </c>
      <c r="E70" s="2434">
        <v>888.77660008999999</v>
      </c>
      <c r="F70" s="2435">
        <v>552.15771776999998</v>
      </c>
      <c r="G70" s="2435">
        <v>336.61888232000001</v>
      </c>
      <c r="H70" s="2434">
        <v>569.51800000000003</v>
      </c>
      <c r="I70" s="2434">
        <v>77.062143250000005</v>
      </c>
      <c r="J70" s="2435">
        <v>17.725081889999998</v>
      </c>
      <c r="K70" s="2504">
        <v>2540.3502668399997</v>
      </c>
      <c r="L70" s="2435">
        <v>104.32407503</v>
      </c>
      <c r="M70" s="2049"/>
      <c r="N70" s="2051"/>
      <c r="P70" s="2062"/>
      <c r="Q70" s="2062"/>
      <c r="R70" s="2062"/>
      <c r="S70" s="2062"/>
      <c r="T70" s="2062"/>
      <c r="U70" s="2062"/>
      <c r="V70" s="2062"/>
      <c r="W70" s="2062"/>
      <c r="X70" s="2062"/>
    </row>
    <row r="71" spans="1:24" hidden="1">
      <c r="A71" s="2049"/>
      <c r="B71" s="2438" t="s">
        <v>167</v>
      </c>
      <c r="C71" s="2437">
        <v>6137.7254129100002</v>
      </c>
      <c r="D71" s="2433">
        <v>1998.81150819</v>
      </c>
      <c r="E71" s="2434">
        <v>742.12991057999989</v>
      </c>
      <c r="F71" s="2435">
        <v>488.18237981999994</v>
      </c>
      <c r="G71" s="2435">
        <v>253.94753076000001</v>
      </c>
      <c r="H71" s="2434">
        <v>569.51800000000003</v>
      </c>
      <c r="I71" s="2434">
        <v>71.154499370000011</v>
      </c>
      <c r="J71" s="2435">
        <v>16.202212970000001</v>
      </c>
      <c r="K71" s="2504">
        <v>2642.0240412600001</v>
      </c>
      <c r="L71" s="2435">
        <v>97.885240540000012</v>
      </c>
      <c r="M71" s="2049"/>
      <c r="N71" s="2051"/>
      <c r="P71" s="2062"/>
      <c r="Q71" s="2062"/>
      <c r="R71" s="2062"/>
      <c r="S71" s="2062"/>
      <c r="T71" s="2062"/>
      <c r="U71" s="2062"/>
      <c r="V71" s="2062"/>
      <c r="W71" s="2062"/>
      <c r="X71" s="2062"/>
    </row>
    <row r="72" spans="1:24" hidden="1">
      <c r="A72" s="2049"/>
      <c r="B72" s="2438" t="s">
        <v>168</v>
      </c>
      <c r="C72" s="2437">
        <v>6593.8558271099992</v>
      </c>
      <c r="D72" s="2433">
        <v>2480.6605886499997</v>
      </c>
      <c r="E72" s="2434">
        <v>659.16938701000004</v>
      </c>
      <c r="F72" s="2435">
        <v>403.98791390999997</v>
      </c>
      <c r="G72" s="2435">
        <v>255.18147310000001</v>
      </c>
      <c r="H72" s="2434">
        <v>569.51800000000003</v>
      </c>
      <c r="I72" s="2434">
        <v>71.573805430000007</v>
      </c>
      <c r="J72" s="2435">
        <v>11.24901225</v>
      </c>
      <c r="K72" s="2504">
        <v>2703.2449636199999</v>
      </c>
      <c r="L72" s="2435">
        <v>98.440070150000011</v>
      </c>
      <c r="M72" s="2049"/>
      <c r="N72" s="2051"/>
      <c r="P72" s="2062"/>
      <c r="Q72" s="2062"/>
      <c r="R72" s="2062"/>
      <c r="S72" s="2062"/>
      <c r="T72" s="2062"/>
      <c r="U72" s="2062"/>
      <c r="V72" s="2062"/>
      <c r="W72" s="2062"/>
      <c r="X72" s="2062"/>
    </row>
    <row r="73" spans="1:24" hidden="1">
      <c r="A73" s="2049"/>
      <c r="B73" s="2438" t="s">
        <v>169</v>
      </c>
      <c r="C73" s="2437">
        <v>6353.8860584499998</v>
      </c>
      <c r="D73" s="2433">
        <v>2097.9221447</v>
      </c>
      <c r="E73" s="2434">
        <v>711.74785636999991</v>
      </c>
      <c r="F73" s="2435">
        <v>439.22658533999999</v>
      </c>
      <c r="G73" s="2435">
        <v>272.52127102999998</v>
      </c>
      <c r="H73" s="2434">
        <v>569.51800000000003</v>
      </c>
      <c r="I73" s="2434">
        <v>71.979585489999991</v>
      </c>
      <c r="J73" s="2435">
        <v>11.28483014</v>
      </c>
      <c r="K73" s="2504">
        <v>2792.4566397200001</v>
      </c>
      <c r="L73" s="2435">
        <v>98.977002029999994</v>
      </c>
      <c r="M73" s="2049"/>
      <c r="N73" s="2051"/>
      <c r="P73" s="2062"/>
      <c r="Q73" s="2062"/>
      <c r="R73" s="2062"/>
      <c r="S73" s="2062"/>
      <c r="T73" s="2062"/>
      <c r="U73" s="2062"/>
      <c r="V73" s="2062"/>
      <c r="W73" s="2062"/>
      <c r="X73" s="2062"/>
    </row>
    <row r="74" spans="1:24" hidden="1">
      <c r="A74" s="2049"/>
      <c r="B74" s="2438" t="s">
        <v>170</v>
      </c>
      <c r="C74" s="2437">
        <v>6637.27368854</v>
      </c>
      <c r="D74" s="2433">
        <v>1680.2865168799999</v>
      </c>
      <c r="E74" s="2434">
        <v>1041.33499347</v>
      </c>
      <c r="F74" s="2435">
        <v>586.35122758</v>
      </c>
      <c r="G74" s="2435">
        <v>454.98376588999997</v>
      </c>
      <c r="H74" s="2434">
        <v>888.05595130999995</v>
      </c>
      <c r="I74" s="2434">
        <v>72.385365550000003</v>
      </c>
      <c r="J74" s="2435">
        <v>11.25481965</v>
      </c>
      <c r="K74" s="2504">
        <v>2844.4421077700003</v>
      </c>
      <c r="L74" s="2435">
        <v>99.513933909999992</v>
      </c>
      <c r="M74" s="2049"/>
      <c r="N74" s="2051"/>
      <c r="P74" s="2062"/>
      <c r="Q74" s="2062"/>
      <c r="R74" s="2062"/>
      <c r="S74" s="2062"/>
      <c r="T74" s="2062"/>
      <c r="U74" s="2062"/>
      <c r="V74" s="2062"/>
      <c r="W74" s="2062"/>
      <c r="X74" s="2062"/>
    </row>
    <row r="75" spans="1:24" hidden="1">
      <c r="A75" s="2049"/>
      <c r="B75" s="2438" t="s">
        <v>171</v>
      </c>
      <c r="C75" s="2437">
        <v>6672.9406051099995</v>
      </c>
      <c r="D75" s="2433">
        <v>1666.1751496999998</v>
      </c>
      <c r="E75" s="2434">
        <v>1027.1779109300001</v>
      </c>
      <c r="F75" s="2435">
        <v>580.07682370000009</v>
      </c>
      <c r="G75" s="2435">
        <v>447.10108723000002</v>
      </c>
      <c r="H75" s="2434">
        <v>888.81834918999994</v>
      </c>
      <c r="I75" s="2434">
        <v>72.80467161</v>
      </c>
      <c r="J75" s="2435">
        <v>7.5812891499999999</v>
      </c>
      <c r="K75" s="2504">
        <v>2910.3144710099996</v>
      </c>
      <c r="L75" s="2435">
        <v>100.06876351999999</v>
      </c>
      <c r="M75" s="2049"/>
      <c r="N75" s="2051"/>
      <c r="P75" s="2062"/>
      <c r="Q75" s="2062"/>
      <c r="R75" s="2062"/>
      <c r="S75" s="2062"/>
      <c r="T75" s="2062"/>
      <c r="U75" s="2062"/>
      <c r="V75" s="2062"/>
      <c r="W75" s="2062"/>
      <c r="X75" s="2062"/>
    </row>
    <row r="76" spans="1:24">
      <c r="A76" s="2049"/>
      <c r="B76" s="2541">
        <v>2004</v>
      </c>
      <c r="C76" s="2437">
        <v>6519.0738974100004</v>
      </c>
      <c r="D76" s="2433">
        <v>1221.9396249099998</v>
      </c>
      <c r="E76" s="2434">
        <v>773.88515298000004</v>
      </c>
      <c r="F76" s="2435">
        <v>540.43698539000002</v>
      </c>
      <c r="G76" s="2435">
        <v>233.44816759</v>
      </c>
      <c r="H76" s="2434">
        <v>1391.42209968</v>
      </c>
      <c r="I76" s="2434">
        <v>63.685519329999998</v>
      </c>
      <c r="J76" s="2435">
        <v>7.5776779999999997</v>
      </c>
      <c r="K76" s="2504">
        <v>2966.7629301000002</v>
      </c>
      <c r="L76" s="2435">
        <v>93.800892409999989</v>
      </c>
      <c r="M76" s="2049"/>
      <c r="N76" s="2051"/>
      <c r="P76" s="2062"/>
      <c r="Q76" s="2062"/>
      <c r="R76" s="2062"/>
      <c r="S76" s="2062"/>
      <c r="T76" s="2062"/>
      <c r="U76" s="2062"/>
      <c r="V76" s="2062"/>
      <c r="W76" s="2062"/>
      <c r="X76" s="2062"/>
    </row>
    <row r="77" spans="1:24" hidden="1">
      <c r="A77" s="2049"/>
      <c r="B77" s="2541">
        <v>2005</v>
      </c>
      <c r="C77" s="2437"/>
      <c r="D77" s="2433"/>
      <c r="E77" s="2440"/>
      <c r="F77" s="2435"/>
      <c r="G77" s="2435"/>
      <c r="H77" s="2434"/>
      <c r="I77" s="2434"/>
      <c r="J77" s="2435"/>
      <c r="K77" s="2504"/>
      <c r="L77" s="2435"/>
      <c r="M77" s="2049"/>
      <c r="N77" s="2051"/>
      <c r="P77" s="2062"/>
      <c r="Q77" s="2062"/>
      <c r="R77" s="2062"/>
      <c r="S77" s="2062"/>
      <c r="T77" s="2062"/>
      <c r="U77" s="2062"/>
      <c r="V77" s="2062"/>
      <c r="W77" s="2062"/>
      <c r="X77" s="2062"/>
    </row>
    <row r="78" spans="1:24" hidden="1">
      <c r="A78" s="2049"/>
      <c r="B78" s="2438" t="s">
        <v>161</v>
      </c>
      <c r="C78" s="2437">
        <v>6441.7129192000002</v>
      </c>
      <c r="D78" s="2433">
        <v>1156.36095183</v>
      </c>
      <c r="E78" s="2434">
        <v>731.1115699500001</v>
      </c>
      <c r="F78" s="2435">
        <v>463.37407431000008</v>
      </c>
      <c r="G78" s="2435">
        <v>267.73749564000002</v>
      </c>
      <c r="H78" s="2434">
        <v>1389.21311894</v>
      </c>
      <c r="I78" s="2434">
        <v>64.059366969999999</v>
      </c>
      <c r="J78" s="2435">
        <v>7.5776779999999997</v>
      </c>
      <c r="K78" s="2504">
        <v>2999.0555359399996</v>
      </c>
      <c r="L78" s="2435">
        <v>94.334697569999989</v>
      </c>
      <c r="M78" s="2049"/>
      <c r="N78" s="2051"/>
      <c r="P78" s="2062"/>
      <c r="Q78" s="2062"/>
      <c r="R78" s="2062"/>
      <c r="S78" s="2062"/>
      <c r="T78" s="2062"/>
      <c r="U78" s="2062"/>
      <c r="V78" s="2062"/>
      <c r="W78" s="2062"/>
      <c r="X78" s="2062"/>
    </row>
    <row r="79" spans="1:24" hidden="1">
      <c r="A79" s="2049"/>
      <c r="B79" s="2438" t="s">
        <v>162</v>
      </c>
      <c r="C79" s="2437">
        <v>6574.3854652700002</v>
      </c>
      <c r="D79" s="2433">
        <v>1158.43254024</v>
      </c>
      <c r="E79" s="2434">
        <v>769.44149654</v>
      </c>
      <c r="F79" s="2435">
        <v>411.80323750000002</v>
      </c>
      <c r="G79" s="2435">
        <v>357.63825903999998</v>
      </c>
      <c r="H79" s="2434">
        <v>1391.5083657599998</v>
      </c>
      <c r="I79" s="2434">
        <v>64.400330359999998</v>
      </c>
      <c r="J79" s="2435">
        <v>7.5776779999999997</v>
      </c>
      <c r="K79" s="2504">
        <v>3088.2082102100003</v>
      </c>
      <c r="L79" s="2435">
        <v>94.816844160000002</v>
      </c>
      <c r="M79" s="2049"/>
      <c r="N79" s="2051"/>
      <c r="P79" s="2062"/>
      <c r="Q79" s="2062"/>
      <c r="R79" s="2062"/>
      <c r="S79" s="2062"/>
      <c r="T79" s="2062"/>
      <c r="U79" s="2062"/>
      <c r="V79" s="2062"/>
      <c r="W79" s="2062"/>
      <c r="X79" s="2062"/>
    </row>
    <row r="80" spans="1:24" hidden="1">
      <c r="A80" s="2049"/>
      <c r="B80" s="2438" t="s">
        <v>163</v>
      </c>
      <c r="C80" s="2437">
        <v>6662.9702710700003</v>
      </c>
      <c r="D80" s="2433">
        <v>975.27089286</v>
      </c>
      <c r="E80" s="2434">
        <v>938.51415739000004</v>
      </c>
      <c r="F80" s="2435">
        <v>503.19680546000006</v>
      </c>
      <c r="G80" s="2435">
        <v>435.31735193000003</v>
      </c>
      <c r="H80" s="2434">
        <v>1393.8605744699998</v>
      </c>
      <c r="I80" s="2434">
        <v>64.78157988000001</v>
      </c>
      <c r="J80" s="2435">
        <v>7.5776779999999997</v>
      </c>
      <c r="K80" s="2504">
        <v>3187.6147391499999</v>
      </c>
      <c r="L80" s="2435">
        <v>95.350649319999988</v>
      </c>
      <c r="M80" s="2049"/>
      <c r="N80" s="2051"/>
      <c r="P80" s="2062"/>
      <c r="Q80" s="2062"/>
      <c r="R80" s="2062"/>
      <c r="S80" s="2062"/>
      <c r="T80" s="2062"/>
      <c r="U80" s="2062"/>
      <c r="V80" s="2062"/>
      <c r="W80" s="2062"/>
      <c r="X80" s="2062"/>
    </row>
    <row r="81" spans="1:24" hidden="1">
      <c r="A81" s="2049"/>
      <c r="B81" s="2438" t="s">
        <v>164</v>
      </c>
      <c r="C81" s="2437">
        <v>6745.8639148500015</v>
      </c>
      <c r="D81" s="2433">
        <v>1009.93319037</v>
      </c>
      <c r="E81" s="2434">
        <v>937.50247251000008</v>
      </c>
      <c r="F81" s="2435">
        <v>567.42447676000006</v>
      </c>
      <c r="G81" s="2435">
        <v>370.07799575000001</v>
      </c>
      <c r="H81" s="2434">
        <v>1389.2415685999999</v>
      </c>
      <c r="I81" s="2434">
        <v>65.143143460000005</v>
      </c>
      <c r="J81" s="2435">
        <v>7.5776779999999997</v>
      </c>
      <c r="K81" s="2504">
        <v>3240.5986269600007</v>
      </c>
      <c r="L81" s="2435">
        <v>95.867234949999997</v>
      </c>
      <c r="M81" s="2049"/>
      <c r="N81" s="2051"/>
      <c r="P81" s="2062"/>
      <c r="Q81" s="2062"/>
      <c r="R81" s="2062"/>
      <c r="S81" s="2062"/>
      <c r="T81" s="2062"/>
      <c r="U81" s="2062"/>
      <c r="V81" s="2062"/>
      <c r="W81" s="2062"/>
      <c r="X81" s="2062"/>
    </row>
    <row r="82" spans="1:24" hidden="1">
      <c r="A82" s="2049"/>
      <c r="B82" s="2438" t="s">
        <v>165</v>
      </c>
      <c r="C82" s="2437">
        <v>6934.39380342</v>
      </c>
      <c r="D82" s="2433">
        <v>1195.4601631099999</v>
      </c>
      <c r="E82" s="2434">
        <v>929.48589564999997</v>
      </c>
      <c r="F82" s="2435">
        <v>515.07768621000002</v>
      </c>
      <c r="G82" s="2435">
        <v>414.40820944000001</v>
      </c>
      <c r="H82" s="2434">
        <v>1391.59394002</v>
      </c>
      <c r="I82" s="2434">
        <v>65.520638640000001</v>
      </c>
      <c r="J82" s="2435">
        <v>7.5776779999999997</v>
      </c>
      <c r="K82" s="2504">
        <v>3248.3544478899998</v>
      </c>
      <c r="L82" s="2435">
        <v>96.401040109999997</v>
      </c>
      <c r="M82" s="2049"/>
      <c r="N82" s="2051"/>
      <c r="P82" s="2062"/>
      <c r="Q82" s="2062"/>
      <c r="R82" s="2062"/>
      <c r="S82" s="2062"/>
      <c r="T82" s="2062"/>
      <c r="U82" s="2062"/>
      <c r="V82" s="2062"/>
      <c r="W82" s="2062"/>
      <c r="X82" s="2062"/>
    </row>
    <row r="83" spans="1:24" hidden="1">
      <c r="A83" s="2049"/>
      <c r="B83" s="2438" t="s">
        <v>166</v>
      </c>
      <c r="C83" s="2437">
        <v>6836.8190812500006</v>
      </c>
      <c r="D83" s="2433">
        <v>1092.8243167399999</v>
      </c>
      <c r="E83" s="2434">
        <v>880.60785754999995</v>
      </c>
      <c r="F83" s="2435">
        <v>438.06164345000002</v>
      </c>
      <c r="G83" s="2435">
        <v>442.54621409999993</v>
      </c>
      <c r="H83" s="2434">
        <v>1393.8698330499999</v>
      </c>
      <c r="I83" s="2434">
        <v>56.349832119999995</v>
      </c>
      <c r="J83" s="2435">
        <v>7.5776779999999997</v>
      </c>
      <c r="K83" s="2504">
        <v>3315.4854488900005</v>
      </c>
      <c r="L83" s="2435">
        <v>90.104114899999999</v>
      </c>
      <c r="M83" s="2049"/>
      <c r="N83" s="2051"/>
      <c r="P83" s="2062"/>
      <c r="Q83" s="2062"/>
      <c r="R83" s="2062"/>
      <c r="S83" s="2062"/>
      <c r="T83" s="2062"/>
      <c r="U83" s="2062"/>
      <c r="V83" s="2062"/>
      <c r="W83" s="2062"/>
      <c r="X83" s="2062"/>
    </row>
    <row r="84" spans="1:24" hidden="1">
      <c r="A84" s="2049"/>
      <c r="B84" s="2438" t="s">
        <v>167</v>
      </c>
      <c r="C84" s="2437">
        <v>6567.6268882700006</v>
      </c>
      <c r="D84" s="2433">
        <v>1432.9122678699998</v>
      </c>
      <c r="E84" s="2434">
        <v>945.79902375999995</v>
      </c>
      <c r="F84" s="2435">
        <v>434.61489440999998</v>
      </c>
      <c r="G84" s="2435">
        <v>511.18412934999998</v>
      </c>
      <c r="H84" s="2434">
        <v>647.00199999999995</v>
      </c>
      <c r="I84" s="2434">
        <v>56.735093689999999</v>
      </c>
      <c r="J84" s="2435">
        <v>7.5776779999999997</v>
      </c>
      <c r="K84" s="2504">
        <v>3386.9667530800002</v>
      </c>
      <c r="L84" s="2435">
        <v>90.63407187</v>
      </c>
      <c r="M84" s="2049"/>
      <c r="N84" s="2051"/>
      <c r="P84" s="2062"/>
      <c r="Q84" s="2062"/>
      <c r="R84" s="2062"/>
      <c r="S84" s="2062"/>
      <c r="T84" s="2062"/>
      <c r="U84" s="2062"/>
      <c r="V84" s="2062"/>
      <c r="W84" s="2062"/>
      <c r="X84" s="2062"/>
    </row>
    <row r="85" spans="1:24" ht="15" hidden="1" customHeight="1">
      <c r="A85" s="2049"/>
      <c r="B85" s="2438" t="s">
        <v>168</v>
      </c>
      <c r="C85" s="2437">
        <v>6664.0965471300005</v>
      </c>
      <c r="D85" s="2433">
        <v>1399.0958028499999</v>
      </c>
      <c r="E85" s="2434">
        <v>985.88701937999997</v>
      </c>
      <c r="F85" s="2435">
        <v>372.98361520000003</v>
      </c>
      <c r="G85" s="2435">
        <v>612.90340417999994</v>
      </c>
      <c r="H85" s="2434">
        <v>647.00199999999995</v>
      </c>
      <c r="I85" s="2434">
        <v>57.0396985</v>
      </c>
      <c r="J85" s="2435">
        <v>7.5776779999999997</v>
      </c>
      <c r="K85" s="2504">
        <v>3476.36344186</v>
      </c>
      <c r="L85" s="2435">
        <v>91.130906540000012</v>
      </c>
      <c r="M85" s="2066"/>
      <c r="N85" s="2051"/>
      <c r="P85" s="2062"/>
      <c r="Q85" s="2062"/>
      <c r="R85" s="2062"/>
      <c r="S85" s="2062"/>
      <c r="T85" s="2062"/>
      <c r="U85" s="2062"/>
      <c r="V85" s="2062"/>
      <c r="W85" s="2062"/>
      <c r="X85" s="2062"/>
    </row>
    <row r="86" spans="1:24" hidden="1">
      <c r="A86" s="2049"/>
      <c r="B86" s="2438" t="s">
        <v>169</v>
      </c>
      <c r="C86" s="2437">
        <v>6878.53341602</v>
      </c>
      <c r="D86" s="2433">
        <v>1339.84388128</v>
      </c>
      <c r="E86" s="2434">
        <v>1186.3275255399999</v>
      </c>
      <c r="F86" s="2435">
        <v>407.08649888999997</v>
      </c>
      <c r="G86" s="2435">
        <v>779.24102664999998</v>
      </c>
      <c r="H86" s="2434">
        <v>647.00199999999995</v>
      </c>
      <c r="I86" s="2434">
        <v>57.343868659999998</v>
      </c>
      <c r="J86" s="2435">
        <v>7.5776779999999997</v>
      </c>
      <c r="K86" s="2504">
        <v>3548.8107213300004</v>
      </c>
      <c r="L86" s="2435">
        <v>91.627741209999996</v>
      </c>
      <c r="M86" s="2066"/>
      <c r="N86" s="2051"/>
      <c r="P86" s="2062"/>
      <c r="Q86" s="2062"/>
      <c r="R86" s="2062"/>
      <c r="S86" s="2062"/>
      <c r="T86" s="2062"/>
      <c r="U86" s="2062"/>
      <c r="V86" s="2062"/>
      <c r="W86" s="2062"/>
      <c r="X86" s="2062"/>
    </row>
    <row r="87" spans="1:24" ht="15" hidden="1" customHeight="1">
      <c r="A87" s="2049"/>
      <c r="B87" s="2438" t="s">
        <v>170</v>
      </c>
      <c r="C87" s="2437">
        <v>7301.4586543699997</v>
      </c>
      <c r="D87" s="2433">
        <v>1897.1781509899999</v>
      </c>
      <c r="E87" s="2434">
        <v>961.26054083999998</v>
      </c>
      <c r="F87" s="2435">
        <v>395.42522242000001</v>
      </c>
      <c r="G87" s="2435">
        <v>565.83531842000002</v>
      </c>
      <c r="H87" s="2434">
        <v>647.00199999999995</v>
      </c>
      <c r="I87" s="2434">
        <v>57.678815759999999</v>
      </c>
      <c r="J87" s="2435">
        <v>7.5776779999999997</v>
      </c>
      <c r="K87" s="2504">
        <v>3638.6203317499999</v>
      </c>
      <c r="L87" s="2435">
        <v>92.141137029999996</v>
      </c>
      <c r="M87" s="2066"/>
      <c r="N87" s="2051"/>
      <c r="P87" s="2062"/>
      <c r="Q87" s="2062"/>
      <c r="R87" s="2062"/>
      <c r="S87" s="2062"/>
      <c r="T87" s="2062"/>
      <c r="U87" s="2062"/>
      <c r="V87" s="2062"/>
      <c r="W87" s="2062"/>
      <c r="X87" s="2062"/>
    </row>
    <row r="88" spans="1:24" hidden="1">
      <c r="A88" s="2049"/>
      <c r="B88" s="2438" t="s">
        <v>171</v>
      </c>
      <c r="C88" s="2437">
        <v>7664.9320276999997</v>
      </c>
      <c r="D88" s="2433">
        <v>2139.7314864100003</v>
      </c>
      <c r="E88" s="2434">
        <v>1008.7133685700001</v>
      </c>
      <c r="F88" s="2435">
        <v>365.64169864000002</v>
      </c>
      <c r="G88" s="2435">
        <v>643.07166992999998</v>
      </c>
      <c r="H88" s="2434">
        <v>647.00199999999995</v>
      </c>
      <c r="I88" s="2434">
        <v>58.002958110000002</v>
      </c>
      <c r="J88" s="2435">
        <v>7.5776779999999997</v>
      </c>
      <c r="K88" s="2504">
        <v>3711.2665649199994</v>
      </c>
      <c r="L88" s="2435">
        <v>92.637971690000001</v>
      </c>
      <c r="M88" s="2049"/>
      <c r="N88" s="2051"/>
      <c r="P88" s="2062"/>
      <c r="Q88" s="2062"/>
      <c r="R88" s="2062"/>
      <c r="S88" s="2062"/>
      <c r="T88" s="2062"/>
      <c r="U88" s="2062"/>
      <c r="V88" s="2062"/>
      <c r="W88" s="2062"/>
      <c r="X88" s="2062"/>
    </row>
    <row r="89" spans="1:24">
      <c r="A89" s="2049"/>
      <c r="B89" s="2541">
        <v>2005</v>
      </c>
      <c r="C89" s="2437">
        <v>7474.6551349199999</v>
      </c>
      <c r="D89" s="2433">
        <v>1857.9274127399999</v>
      </c>
      <c r="E89" s="2434">
        <v>1007.5705990099999</v>
      </c>
      <c r="F89" s="2435">
        <v>370.07351725000001</v>
      </c>
      <c r="G89" s="2435">
        <v>637.4970817599999</v>
      </c>
      <c r="H89" s="2434">
        <v>647.00199999999995</v>
      </c>
      <c r="I89" s="2434">
        <v>49.098056479999997</v>
      </c>
      <c r="J89" s="2435">
        <v>7.5776779999999997</v>
      </c>
      <c r="K89" s="2504">
        <v>3818.60068323</v>
      </c>
      <c r="L89" s="2435">
        <v>86.878705459999992</v>
      </c>
      <c r="M89" s="2049"/>
      <c r="N89" s="2051"/>
      <c r="P89" s="2062"/>
      <c r="Q89" s="2062"/>
      <c r="R89" s="2062"/>
      <c r="S89" s="2062"/>
      <c r="T89" s="2062"/>
      <c r="U89" s="2062"/>
      <c r="V89" s="2062"/>
      <c r="W89" s="2062"/>
      <c r="X89" s="2062"/>
    </row>
    <row r="90" spans="1:24" hidden="1">
      <c r="A90" s="2049"/>
      <c r="B90" s="2541">
        <v>2006</v>
      </c>
      <c r="C90" s="2437"/>
      <c r="D90" s="2433"/>
      <c r="E90" s="2440"/>
      <c r="F90" s="2435"/>
      <c r="G90" s="2435"/>
      <c r="H90" s="2434"/>
      <c r="I90" s="2434"/>
      <c r="J90" s="2435"/>
      <c r="K90" s="2504"/>
      <c r="L90" s="2435"/>
      <c r="M90" s="2049"/>
      <c r="N90" s="2051"/>
    </row>
    <row r="91" spans="1:24" hidden="1">
      <c r="A91" s="2049"/>
      <c r="B91" s="2438" t="s">
        <v>161</v>
      </c>
      <c r="C91" s="2437">
        <v>7487.6937969800001</v>
      </c>
      <c r="D91" s="2433">
        <v>1659.37134866</v>
      </c>
      <c r="E91" s="2434">
        <v>1134.24847862</v>
      </c>
      <c r="F91" s="2435">
        <v>504.63385127000004</v>
      </c>
      <c r="G91" s="2435">
        <v>629.61462734999998</v>
      </c>
      <c r="H91" s="2434">
        <v>647.00199999999995</v>
      </c>
      <c r="I91" s="2434">
        <v>49.388243939999995</v>
      </c>
      <c r="J91" s="2435">
        <v>7.5776779999999997</v>
      </c>
      <c r="K91" s="2504">
        <v>3903.2866188900002</v>
      </c>
      <c r="L91" s="2435">
        <v>86.81942887000001</v>
      </c>
      <c r="M91" s="2049"/>
      <c r="N91" s="2051"/>
    </row>
    <row r="92" spans="1:24" hidden="1">
      <c r="A92" s="2049"/>
      <c r="B92" s="2438" t="s">
        <v>162</v>
      </c>
      <c r="C92" s="2437">
        <v>7566.5627691400005</v>
      </c>
      <c r="D92" s="2433">
        <v>1587.0493916299997</v>
      </c>
      <c r="E92" s="2434">
        <v>1357.0323036899999</v>
      </c>
      <c r="F92" s="2435">
        <v>602.29259471</v>
      </c>
      <c r="G92" s="2435">
        <v>754.73970897999993</v>
      </c>
      <c r="H92" s="2434">
        <v>527.00199999999995</v>
      </c>
      <c r="I92" s="2434">
        <v>49.786339460000001</v>
      </c>
      <c r="J92" s="2435">
        <v>7.5776779999999997</v>
      </c>
      <c r="K92" s="2504">
        <v>3950.8522704200004</v>
      </c>
      <c r="L92" s="2435">
        <v>87.262785940000001</v>
      </c>
      <c r="M92" s="2049"/>
      <c r="N92" s="2051"/>
    </row>
    <row r="93" spans="1:24" hidden="1">
      <c r="A93" s="2049"/>
      <c r="B93" s="2438" t="s">
        <v>163</v>
      </c>
      <c r="C93" s="2437">
        <v>7739.8896578900003</v>
      </c>
      <c r="D93" s="2433">
        <v>1547.7372105899999</v>
      </c>
      <c r="E93" s="2434">
        <v>1425.8675518800001</v>
      </c>
      <c r="F93" s="2435">
        <v>529.14412899000001</v>
      </c>
      <c r="G93" s="2435">
        <v>896.72342289000005</v>
      </c>
      <c r="H93" s="2434">
        <v>527.00199999999995</v>
      </c>
      <c r="I93" s="2434">
        <v>134.15251841</v>
      </c>
      <c r="J93" s="2435">
        <v>7.5776779999999997</v>
      </c>
      <c r="K93" s="2504">
        <v>4093.8197420099996</v>
      </c>
      <c r="L93" s="2435">
        <v>3.7329569999999999</v>
      </c>
      <c r="M93" s="2049"/>
      <c r="N93" s="2051"/>
      <c r="U93" s="2062"/>
    </row>
    <row r="94" spans="1:24" hidden="1">
      <c r="A94" s="2049"/>
      <c r="B94" s="2438" t="s">
        <v>164</v>
      </c>
      <c r="C94" s="2437">
        <v>7917.5815546899994</v>
      </c>
      <c r="D94" s="2433">
        <v>1640.5442773999998</v>
      </c>
      <c r="E94" s="2434">
        <v>1413.93186621</v>
      </c>
      <c r="F94" s="2435">
        <v>539.56581112000003</v>
      </c>
      <c r="G94" s="2435">
        <v>874.36605509000003</v>
      </c>
      <c r="H94" s="2434">
        <v>527.00199999999995</v>
      </c>
      <c r="I94" s="2434">
        <v>134.90858539999999</v>
      </c>
      <c r="J94" s="2435">
        <v>7.5776779999999997</v>
      </c>
      <c r="K94" s="2504">
        <v>4189.8841906799998</v>
      </c>
      <c r="L94" s="2435">
        <v>3.7329569999999999</v>
      </c>
      <c r="M94" s="2049"/>
      <c r="N94" s="2051"/>
    </row>
    <row r="95" spans="1:24" hidden="1">
      <c r="A95" s="2049"/>
      <c r="B95" s="2438" t="s">
        <v>165</v>
      </c>
      <c r="C95" s="2437">
        <v>7986.5304224599995</v>
      </c>
      <c r="D95" s="2433">
        <v>1719.7144629299999</v>
      </c>
      <c r="E95" s="2434">
        <v>1298.0445937899999</v>
      </c>
      <c r="F95" s="2435">
        <v>582.05181468000001</v>
      </c>
      <c r="G95" s="2435">
        <v>715.9927791099999</v>
      </c>
      <c r="H95" s="2434">
        <v>527.00199999999995</v>
      </c>
      <c r="I95" s="2434">
        <v>135.68221955000001</v>
      </c>
      <c r="J95" s="2435">
        <v>7.5776779999999997</v>
      </c>
      <c r="K95" s="2504">
        <v>4294.7765111899998</v>
      </c>
      <c r="L95" s="2435">
        <v>3.7329569999999999</v>
      </c>
      <c r="M95" s="2049"/>
      <c r="N95" s="2051"/>
    </row>
    <row r="96" spans="1:24" hidden="1">
      <c r="A96" s="2049"/>
      <c r="B96" s="2438" t="s">
        <v>166</v>
      </c>
      <c r="C96" s="2437">
        <v>8221.8315516500006</v>
      </c>
      <c r="D96" s="2433">
        <v>1742.5615818599999</v>
      </c>
      <c r="E96" s="2434">
        <v>1473.75102038</v>
      </c>
      <c r="F96" s="2435">
        <v>693.09656367999992</v>
      </c>
      <c r="G96" s="2435">
        <v>780.65445670000008</v>
      </c>
      <c r="H96" s="2434">
        <v>527.00199999999995</v>
      </c>
      <c r="I96" s="2434">
        <v>120.05349040999999</v>
      </c>
      <c r="J96" s="2435">
        <v>7.5776779999999997</v>
      </c>
      <c r="K96" s="2504">
        <v>4347.1528239999998</v>
      </c>
      <c r="L96" s="2435">
        <v>3.7329569999999999</v>
      </c>
      <c r="M96" s="2049"/>
      <c r="N96" s="2051"/>
    </row>
    <row r="97" spans="1:14" hidden="1">
      <c r="A97" s="2049"/>
      <c r="B97" s="2438" t="s">
        <v>167</v>
      </c>
      <c r="C97" s="2437">
        <v>8235.4091949000012</v>
      </c>
      <c r="D97" s="2433">
        <v>1637.01734719</v>
      </c>
      <c r="E97" s="2434">
        <v>1502.3500643900002</v>
      </c>
      <c r="F97" s="2435">
        <v>524.59152214000005</v>
      </c>
      <c r="G97" s="2435">
        <v>977.75854225000012</v>
      </c>
      <c r="H97" s="2434">
        <v>527.00199999999995</v>
      </c>
      <c r="I97" s="2434">
        <v>121.06175734</v>
      </c>
      <c r="J97" s="2435">
        <v>7.5776779999999997</v>
      </c>
      <c r="K97" s="2504">
        <v>4436.6673909800002</v>
      </c>
      <c r="L97" s="2435">
        <v>3.7329569999999999</v>
      </c>
      <c r="M97" s="2049"/>
      <c r="N97" s="2051"/>
    </row>
    <row r="98" spans="1:14" hidden="1">
      <c r="A98" s="2049"/>
      <c r="B98" s="2438" t="s">
        <v>168</v>
      </c>
      <c r="C98" s="2437">
        <v>8450.2936541500003</v>
      </c>
      <c r="D98" s="2433">
        <v>1699.2983428200002</v>
      </c>
      <c r="E98" s="2434">
        <v>1609.9013654400001</v>
      </c>
      <c r="F98" s="2435">
        <v>489.91044628000003</v>
      </c>
      <c r="G98" s="2435">
        <v>1119.99091916</v>
      </c>
      <c r="H98" s="2434">
        <v>527.00199999999995</v>
      </c>
      <c r="I98" s="2434">
        <v>121.71312093</v>
      </c>
      <c r="J98" s="2435">
        <v>7.5776779999999997</v>
      </c>
      <c r="K98" s="2504">
        <v>4481.0681899600004</v>
      </c>
      <c r="L98" s="2435">
        <v>3.7329569999999999</v>
      </c>
      <c r="M98" s="2049"/>
      <c r="N98" s="2051"/>
    </row>
    <row r="99" spans="1:14" hidden="1">
      <c r="A99" s="2049"/>
      <c r="B99" s="2438" t="s">
        <v>169</v>
      </c>
      <c r="C99" s="2437">
        <v>8556.2085846699993</v>
      </c>
      <c r="D99" s="2433">
        <v>1339.41207588</v>
      </c>
      <c r="E99" s="2434">
        <v>1916.6419118499998</v>
      </c>
      <c r="F99" s="2435">
        <v>586.28535918</v>
      </c>
      <c r="G99" s="2435">
        <v>1330.3565526699999</v>
      </c>
      <c r="H99" s="2434">
        <v>527.00199999999995</v>
      </c>
      <c r="I99" s="2434">
        <v>122.401813</v>
      </c>
      <c r="J99" s="2435">
        <v>7.5776779999999997</v>
      </c>
      <c r="K99" s="2504">
        <v>4639.4401489399997</v>
      </c>
      <c r="L99" s="2435">
        <v>3.7329569999999999</v>
      </c>
      <c r="M99" s="2049"/>
      <c r="N99" s="2051"/>
    </row>
    <row r="100" spans="1:14" ht="15" hidden="1" customHeight="1">
      <c r="A100" s="2049"/>
      <c r="B100" s="2438" t="s">
        <v>170</v>
      </c>
      <c r="C100" s="2437">
        <v>9444.7739895699997</v>
      </c>
      <c r="D100" s="2433">
        <v>2147.3396153899998</v>
      </c>
      <c r="E100" s="2434">
        <v>1921.99156844</v>
      </c>
      <c r="F100" s="2435">
        <v>473.60293387000002</v>
      </c>
      <c r="G100" s="2435">
        <v>1448.38863457</v>
      </c>
      <c r="H100" s="2434">
        <v>527.00199999999995</v>
      </c>
      <c r="I100" s="2434">
        <v>123.11296433</v>
      </c>
      <c r="J100" s="2435">
        <v>7.5776779999999997</v>
      </c>
      <c r="K100" s="2504">
        <v>4714.0172064099997</v>
      </c>
      <c r="L100" s="2435">
        <v>3.7329569999999999</v>
      </c>
      <c r="M100" s="2049"/>
      <c r="N100" s="2051"/>
    </row>
    <row r="101" spans="1:14" hidden="1">
      <c r="A101" s="2049"/>
      <c r="B101" s="2438" t="s">
        <v>171</v>
      </c>
      <c r="C101" s="2437">
        <v>9521.8293384999997</v>
      </c>
      <c r="D101" s="2433">
        <v>2062.2736892300004</v>
      </c>
      <c r="E101" s="2434">
        <v>1961.9822331</v>
      </c>
      <c r="F101" s="2435">
        <v>355.79764635000004</v>
      </c>
      <c r="G101" s="2435">
        <v>1606.1845867500001</v>
      </c>
      <c r="H101" s="2434">
        <v>527.00199999999995</v>
      </c>
      <c r="I101" s="2434">
        <v>123.90196614</v>
      </c>
      <c r="J101" s="2435">
        <v>7.5776779999999997</v>
      </c>
      <c r="K101" s="2504">
        <v>4835.3588150299993</v>
      </c>
      <c r="L101" s="2435">
        <v>3.7329569999999999</v>
      </c>
      <c r="M101" s="2049"/>
      <c r="N101" s="2051"/>
    </row>
    <row r="102" spans="1:14">
      <c r="A102" s="2049"/>
      <c r="B102" s="2541">
        <v>2006</v>
      </c>
      <c r="C102" s="2437">
        <v>9553.086024870001</v>
      </c>
      <c r="D102" s="2433">
        <v>2210.8866524800001</v>
      </c>
      <c r="E102" s="2434">
        <v>1707.6436151099999</v>
      </c>
      <c r="F102" s="2435">
        <v>448.9454068</v>
      </c>
      <c r="G102" s="2435">
        <v>1258.6982083099999</v>
      </c>
      <c r="H102" s="2434">
        <v>527.00199999999995</v>
      </c>
      <c r="I102" s="2434">
        <v>108.22237276999999</v>
      </c>
      <c r="J102" s="2435">
        <v>7.5776779999999997</v>
      </c>
      <c r="K102" s="2504">
        <v>4988.0207495099994</v>
      </c>
      <c r="L102" s="2435">
        <v>3.7329569999999999</v>
      </c>
      <c r="M102" s="2049"/>
      <c r="N102" s="2051"/>
    </row>
    <row r="103" spans="1:14" hidden="1">
      <c r="A103" s="2049"/>
      <c r="B103" s="2541">
        <v>2007</v>
      </c>
      <c r="C103" s="2437"/>
      <c r="D103" s="2433"/>
      <c r="E103" s="2440"/>
      <c r="F103" s="2435"/>
      <c r="G103" s="2435"/>
      <c r="H103" s="2434"/>
      <c r="I103" s="2434"/>
      <c r="J103" s="2435"/>
      <c r="K103" s="2504"/>
      <c r="L103" s="2435"/>
      <c r="M103" s="2049"/>
      <c r="N103" s="2051"/>
    </row>
    <row r="104" spans="1:14" hidden="1">
      <c r="A104" s="2049"/>
      <c r="B104" s="2438" t="s">
        <v>161</v>
      </c>
      <c r="C104" s="2437">
        <v>9599.6243208300002</v>
      </c>
      <c r="D104" s="2433">
        <v>2017.5463237499998</v>
      </c>
      <c r="E104" s="2434">
        <v>1834.0010446599999</v>
      </c>
      <c r="F104" s="2435">
        <v>512.00021821000007</v>
      </c>
      <c r="G104" s="2435">
        <v>1322.00082645</v>
      </c>
      <c r="H104" s="2434">
        <v>527.00199999999995</v>
      </c>
      <c r="I104" s="2434">
        <v>108.85674339000001</v>
      </c>
      <c r="J104" s="2435">
        <v>7.5776779999999997</v>
      </c>
      <c r="K104" s="2504">
        <v>5100.9075740299995</v>
      </c>
      <c r="L104" s="2435">
        <v>3.7329569999999999</v>
      </c>
      <c r="M104" s="2049"/>
      <c r="N104" s="2051"/>
    </row>
    <row r="105" spans="1:14" hidden="1">
      <c r="A105" s="2049"/>
      <c r="B105" s="2438" t="s">
        <v>162</v>
      </c>
      <c r="C105" s="2437">
        <v>9832.5739740999998</v>
      </c>
      <c r="D105" s="2433">
        <v>1978.2122977399997</v>
      </c>
      <c r="E105" s="2434">
        <v>1947.1746217500001</v>
      </c>
      <c r="F105" s="2435">
        <v>488.74471259000001</v>
      </c>
      <c r="G105" s="2435">
        <v>1458.4299091600001</v>
      </c>
      <c r="H105" s="2434">
        <v>527.00199999999995</v>
      </c>
      <c r="I105" s="2434">
        <v>109.43655387000001</v>
      </c>
      <c r="J105" s="2435">
        <v>7.5776779999999997</v>
      </c>
      <c r="K105" s="2504">
        <v>5259.4378657400002</v>
      </c>
      <c r="L105" s="2435">
        <v>3.7329569999999999</v>
      </c>
      <c r="M105" s="2049"/>
      <c r="N105" s="2051"/>
    </row>
    <row r="106" spans="1:14" hidden="1">
      <c r="A106" s="2049"/>
      <c r="B106" s="2438" t="s">
        <v>163</v>
      </c>
      <c r="C106" s="2437">
        <v>10035.291810940002</v>
      </c>
      <c r="D106" s="2433">
        <v>1911.0500004499997</v>
      </c>
      <c r="E106" s="2434">
        <v>2117.6955846999999</v>
      </c>
      <c r="F106" s="2435">
        <v>671.57703498000001</v>
      </c>
      <c r="G106" s="2435">
        <v>1446.1185497199999</v>
      </c>
      <c r="H106" s="2434">
        <v>527.00199999999995</v>
      </c>
      <c r="I106" s="2434">
        <v>110.07082254000001</v>
      </c>
      <c r="J106" s="2435">
        <v>7.5776779999999997</v>
      </c>
      <c r="K106" s="2504">
        <v>5358.1627682500002</v>
      </c>
      <c r="L106" s="2435">
        <v>3.7329569999999999</v>
      </c>
      <c r="M106" s="2049"/>
      <c r="N106" s="2051"/>
    </row>
    <row r="107" spans="1:14" hidden="1">
      <c r="A107" s="2049"/>
      <c r="B107" s="2438" t="s">
        <v>164</v>
      </c>
      <c r="C107" s="2437">
        <v>9833.810376999998</v>
      </c>
      <c r="D107" s="2433">
        <v>1440.80493809</v>
      </c>
      <c r="E107" s="2434">
        <v>2100.1691621499999</v>
      </c>
      <c r="F107" s="2435">
        <v>579.14206582999998</v>
      </c>
      <c r="G107" s="2435">
        <v>1521.0270963200001</v>
      </c>
      <c r="H107" s="2434">
        <v>527.00199999999995</v>
      </c>
      <c r="I107" s="2434">
        <v>110.68658201999999</v>
      </c>
      <c r="J107" s="2435">
        <v>7.5776779999999997</v>
      </c>
      <c r="K107" s="2504">
        <v>5643.8370597399989</v>
      </c>
      <c r="L107" s="2435">
        <v>3.7329569999999999</v>
      </c>
      <c r="M107" s="2049"/>
      <c r="N107" s="2051"/>
    </row>
    <row r="108" spans="1:14" hidden="1">
      <c r="A108" s="2049"/>
      <c r="B108" s="2438" t="s">
        <v>165</v>
      </c>
      <c r="C108" s="2437">
        <v>9806.3368339699991</v>
      </c>
      <c r="D108" s="2433">
        <v>1411.59377599</v>
      </c>
      <c r="E108" s="2434">
        <v>1929.6916400099999</v>
      </c>
      <c r="F108" s="2435">
        <v>422.37070933000001</v>
      </c>
      <c r="G108" s="2435">
        <v>1507.3209306799999</v>
      </c>
      <c r="H108" s="2434">
        <v>527.00199999999995</v>
      </c>
      <c r="I108" s="2434">
        <v>111.32116721</v>
      </c>
      <c r="J108" s="2435">
        <v>7.5776779999999997</v>
      </c>
      <c r="K108" s="2504">
        <v>5815.4176157599986</v>
      </c>
      <c r="L108" s="2435">
        <v>3.7329569999999999</v>
      </c>
      <c r="M108" s="2049"/>
      <c r="N108" s="2051"/>
    </row>
    <row r="109" spans="1:14" hidden="1">
      <c r="A109" s="2049"/>
      <c r="B109" s="2438" t="s">
        <v>166</v>
      </c>
      <c r="C109" s="2437">
        <v>9637.0878815800006</v>
      </c>
      <c r="D109" s="2433">
        <v>1522.7421203000001</v>
      </c>
      <c r="E109" s="2434">
        <v>1548.5856971399999</v>
      </c>
      <c r="F109" s="2435">
        <v>250.52268838999998</v>
      </c>
      <c r="G109" s="2435">
        <v>1298.0630087499999</v>
      </c>
      <c r="H109" s="2434">
        <v>527.00199999999995</v>
      </c>
      <c r="I109" s="2434">
        <v>98.954117599999989</v>
      </c>
      <c r="J109" s="2435">
        <v>7.5776779999999997</v>
      </c>
      <c r="K109" s="2504">
        <v>5928.4933115399999</v>
      </c>
      <c r="L109" s="2435">
        <v>3.7329569999999999</v>
      </c>
      <c r="M109" s="2049"/>
      <c r="N109" s="2051"/>
    </row>
    <row r="110" spans="1:14" hidden="1">
      <c r="A110" s="2049"/>
      <c r="B110" s="2438" t="s">
        <v>167</v>
      </c>
      <c r="C110" s="2437">
        <v>9720.8013198299996</v>
      </c>
      <c r="D110" s="2433">
        <v>1586.5327899500001</v>
      </c>
      <c r="E110" s="2434">
        <v>1431.04894498</v>
      </c>
      <c r="F110" s="2435">
        <v>171.02654130000002</v>
      </c>
      <c r="G110" s="2435">
        <v>1260.02240368</v>
      </c>
      <c r="H110" s="2434">
        <v>527.00199999999995</v>
      </c>
      <c r="I110" s="2434">
        <v>90.651803470000004</v>
      </c>
      <c r="J110" s="2435">
        <v>7.5776779999999997</v>
      </c>
      <c r="K110" s="2504">
        <v>6074.2551464299986</v>
      </c>
      <c r="L110" s="2435">
        <v>3.7329569999999999</v>
      </c>
      <c r="M110" s="2049"/>
      <c r="N110" s="2051"/>
    </row>
    <row r="111" spans="1:14" hidden="1">
      <c r="A111" s="2049"/>
      <c r="B111" s="2438" t="s">
        <v>168</v>
      </c>
      <c r="C111" s="2437">
        <v>9914.607182329999</v>
      </c>
      <c r="D111" s="2433">
        <v>1983.2106063599999</v>
      </c>
      <c r="E111" s="2434">
        <v>1007.5925095099999</v>
      </c>
      <c r="F111" s="2435">
        <v>181.50371428</v>
      </c>
      <c r="G111" s="2435">
        <v>826.08879522999996</v>
      </c>
      <c r="H111" s="2434">
        <v>527.00199999999995</v>
      </c>
      <c r="I111" s="2434">
        <v>91.181044720000003</v>
      </c>
      <c r="J111" s="2435">
        <v>7.5776779999999997</v>
      </c>
      <c r="K111" s="2504">
        <v>6294.3103867399996</v>
      </c>
      <c r="L111" s="2435">
        <v>3.7329569999999999</v>
      </c>
      <c r="M111" s="2049"/>
      <c r="N111" s="2051"/>
    </row>
    <row r="112" spans="1:14" hidden="1">
      <c r="A112" s="2049"/>
      <c r="B112" s="2438" t="s">
        <v>169</v>
      </c>
      <c r="C112" s="2437">
        <v>9795.279855230001</v>
      </c>
      <c r="D112" s="2433">
        <v>1800.2692424699999</v>
      </c>
      <c r="E112" s="2434">
        <v>869.37967305000006</v>
      </c>
      <c r="F112" s="2435">
        <v>225.91808513000001</v>
      </c>
      <c r="G112" s="2435">
        <v>643.46158792000006</v>
      </c>
      <c r="H112" s="2434">
        <v>527.00199999999995</v>
      </c>
      <c r="I112" s="2434">
        <v>91.691806079999992</v>
      </c>
      <c r="J112" s="2435">
        <v>7.5776779999999997</v>
      </c>
      <c r="K112" s="2504">
        <v>6495.6264986300002</v>
      </c>
      <c r="L112" s="2435">
        <v>3.7329569999999999</v>
      </c>
      <c r="M112" s="2049"/>
      <c r="N112" s="2051"/>
    </row>
    <row r="113" spans="1:28" hidden="1">
      <c r="A113" s="2049"/>
      <c r="B113" s="2438" t="s">
        <v>170</v>
      </c>
      <c r="C113" s="2437">
        <v>10101.10902</v>
      </c>
      <c r="D113" s="2433">
        <v>1845.5083304999998</v>
      </c>
      <c r="E113" s="2434">
        <v>864.40727076999997</v>
      </c>
      <c r="F113" s="2435">
        <v>164.73945992</v>
      </c>
      <c r="G113" s="2435">
        <v>699.66781085000002</v>
      </c>
      <c r="H113" s="2434">
        <v>527.00199999999995</v>
      </c>
      <c r="I113" s="2434">
        <v>92.228515779999995</v>
      </c>
      <c r="J113" s="2435">
        <v>7.5776779999999997</v>
      </c>
      <c r="K113" s="2504">
        <v>6760.6522679499994</v>
      </c>
      <c r="L113" s="2435">
        <v>3.7329569999999999</v>
      </c>
      <c r="M113" s="2049"/>
      <c r="N113" s="2051"/>
    </row>
    <row r="114" spans="1:28" hidden="1">
      <c r="A114" s="2049"/>
      <c r="B114" s="2438" t="s">
        <v>171</v>
      </c>
      <c r="C114" s="2437">
        <v>10233.965353979998</v>
      </c>
      <c r="D114" s="2433">
        <v>1818.6096514199999</v>
      </c>
      <c r="E114" s="2434">
        <v>839.48106304000009</v>
      </c>
      <c r="F114" s="2435">
        <v>220.12808656000001</v>
      </c>
      <c r="G114" s="2435">
        <v>619.35297648000005</v>
      </c>
      <c r="H114" s="2434">
        <v>527.00199999999995</v>
      </c>
      <c r="I114" s="2434">
        <v>92.739707440000004</v>
      </c>
      <c r="J114" s="2435">
        <v>7.5776779999999997</v>
      </c>
      <c r="K114" s="2504">
        <v>6944.8222970799989</v>
      </c>
      <c r="L114" s="2435">
        <v>3.7329569999999999</v>
      </c>
      <c r="M114" s="2049"/>
      <c r="N114" s="2051"/>
    </row>
    <row r="115" spans="1:28">
      <c r="A115" s="2049"/>
      <c r="B115" s="2541">
        <v>2007</v>
      </c>
      <c r="C115" s="2437">
        <v>10189.773113500001</v>
      </c>
      <c r="D115" s="2433">
        <v>1595.5385173100001</v>
      </c>
      <c r="E115" s="2434">
        <v>790.84350480000001</v>
      </c>
      <c r="F115" s="2435">
        <v>265.08926592</v>
      </c>
      <c r="G115" s="2435">
        <v>525.75423888</v>
      </c>
      <c r="H115" s="2434">
        <v>527.00199999999995</v>
      </c>
      <c r="I115" s="2434">
        <v>81.514883060000003</v>
      </c>
      <c r="J115" s="2435">
        <v>7.5776779999999997</v>
      </c>
      <c r="K115" s="2504">
        <v>7183.5635733300005</v>
      </c>
      <c r="L115" s="2435">
        <v>3.7329569999999999</v>
      </c>
      <c r="M115" s="2049"/>
      <c r="N115" s="2051"/>
    </row>
    <row r="116" spans="1:28" hidden="1">
      <c r="A116" s="2049"/>
      <c r="B116" s="2432">
        <v>2008</v>
      </c>
      <c r="C116" s="2437"/>
      <c r="D116" s="2433"/>
      <c r="E116" s="2434"/>
      <c r="F116" s="2435"/>
      <c r="G116" s="2435"/>
      <c r="H116" s="2434"/>
      <c r="I116" s="2434"/>
      <c r="J116" s="2435"/>
      <c r="K116" s="2504"/>
      <c r="L116" s="2435"/>
      <c r="M116" s="2049"/>
      <c r="N116" s="2051"/>
    </row>
    <row r="117" spans="1:28" hidden="1">
      <c r="A117" s="2049"/>
      <c r="B117" s="2436" t="s">
        <v>161</v>
      </c>
      <c r="C117" s="2437">
        <v>10556.67671494</v>
      </c>
      <c r="D117" s="2433">
        <v>1941.9849693799999</v>
      </c>
      <c r="E117" s="2434">
        <v>595.86436368</v>
      </c>
      <c r="F117" s="2435">
        <v>248.63389552999999</v>
      </c>
      <c r="G117" s="2435">
        <v>347.23046814999998</v>
      </c>
      <c r="H117" s="2434">
        <v>527.00199999999995</v>
      </c>
      <c r="I117" s="2434">
        <v>81.961505650000007</v>
      </c>
      <c r="J117" s="2435">
        <v>7.5776779999999997</v>
      </c>
      <c r="K117" s="2504">
        <v>7398.553241229999</v>
      </c>
      <c r="L117" s="2435">
        <v>3.7329569999999999</v>
      </c>
      <c r="M117" s="2049"/>
      <c r="N117" s="2051"/>
    </row>
    <row r="118" spans="1:28" hidden="1">
      <c r="A118" s="2049"/>
      <c r="B118" s="2438" t="s">
        <v>162</v>
      </c>
      <c r="C118" s="2437">
        <v>10700.10748024</v>
      </c>
      <c r="D118" s="2433">
        <v>1824.2473046</v>
      </c>
      <c r="E118" s="2434">
        <v>593.05753467</v>
      </c>
      <c r="F118" s="2435">
        <v>250.80921338000002</v>
      </c>
      <c r="G118" s="2435">
        <v>342.24832129000004</v>
      </c>
      <c r="H118" s="2434">
        <v>527.00199999999995</v>
      </c>
      <c r="I118" s="2434">
        <v>82.407039810000001</v>
      </c>
      <c r="J118" s="2435">
        <v>7.5776779999999997</v>
      </c>
      <c r="K118" s="2504">
        <v>7662.0829661600001</v>
      </c>
      <c r="L118" s="2435">
        <v>3.7329569999999999</v>
      </c>
      <c r="M118" s="2049"/>
      <c r="N118" s="2051"/>
    </row>
    <row r="119" spans="1:28" hidden="1">
      <c r="A119" s="2049"/>
      <c r="B119" s="2438" t="s">
        <v>163</v>
      </c>
      <c r="C119" s="2437">
        <v>10716.573968340001</v>
      </c>
      <c r="D119" s="2433">
        <v>1360.96109471</v>
      </c>
      <c r="E119" s="2434">
        <v>850.91803660000005</v>
      </c>
      <c r="F119" s="2435">
        <v>446.87249832000003</v>
      </c>
      <c r="G119" s="2435">
        <v>404.04553827999996</v>
      </c>
      <c r="H119" s="2434">
        <v>527.00199999999995</v>
      </c>
      <c r="I119" s="2434">
        <v>82.883198980000003</v>
      </c>
      <c r="J119" s="2435">
        <v>7.5776779999999997</v>
      </c>
      <c r="K119" s="2504">
        <v>7883.4990030500003</v>
      </c>
      <c r="L119" s="2435">
        <v>3.7329569999999999</v>
      </c>
      <c r="M119" s="2049"/>
      <c r="N119" s="2051"/>
    </row>
    <row r="120" spans="1:28" hidden="1">
      <c r="A120" s="2049"/>
      <c r="B120" s="2438" t="s">
        <v>164</v>
      </c>
      <c r="C120" s="2437">
        <v>11230.726223760001</v>
      </c>
      <c r="D120" s="2433">
        <v>1778.0451403699999</v>
      </c>
      <c r="E120" s="2434">
        <v>721.20219279000003</v>
      </c>
      <c r="F120" s="2435">
        <v>389.47491487999997</v>
      </c>
      <c r="G120" s="2435">
        <v>331.72727791</v>
      </c>
      <c r="H120" s="2434">
        <v>527.00199999999995</v>
      </c>
      <c r="I120" s="2434">
        <v>134.09530303</v>
      </c>
      <c r="J120" s="2435">
        <v>7.5776779999999997</v>
      </c>
      <c r="K120" s="2504">
        <v>8059.0709525699995</v>
      </c>
      <c r="L120" s="2435">
        <v>3.7329569999999999</v>
      </c>
      <c r="M120" s="2049"/>
      <c r="N120" s="2051"/>
    </row>
    <row r="121" spans="1:28" hidden="1">
      <c r="A121" s="2049"/>
      <c r="B121" s="2438" t="s">
        <v>165</v>
      </c>
      <c r="C121" s="2437">
        <v>11163.841880209999</v>
      </c>
      <c r="D121" s="2433">
        <v>1671.0130752600001</v>
      </c>
      <c r="E121" s="2434">
        <v>680.81237355000007</v>
      </c>
      <c r="F121" s="2435">
        <v>329.12558734999999</v>
      </c>
      <c r="G121" s="2435">
        <v>351.68678620000003</v>
      </c>
      <c r="H121" s="2434">
        <v>527.00199999999995</v>
      </c>
      <c r="I121" s="2434">
        <v>83.820474450000006</v>
      </c>
      <c r="J121" s="2435">
        <v>7.5776779999999997</v>
      </c>
      <c r="K121" s="2504">
        <v>8189.8833219499993</v>
      </c>
      <c r="L121" s="2435">
        <v>3.7329569999999999</v>
      </c>
      <c r="M121" s="2049"/>
      <c r="N121" s="2051"/>
      <c r="Q121" s="2062"/>
      <c r="R121" s="2062"/>
      <c r="S121" s="2062"/>
      <c r="T121" s="2062"/>
      <c r="U121" s="2062"/>
      <c r="V121" s="2062"/>
      <c r="W121" s="2062"/>
      <c r="X121" s="2062"/>
      <c r="Y121" s="2062"/>
      <c r="Z121" s="2062"/>
      <c r="AA121" s="2062"/>
      <c r="AB121" s="2062"/>
    </row>
    <row r="122" spans="1:28" hidden="1">
      <c r="A122" s="2049"/>
      <c r="B122" s="2438" t="s">
        <v>166</v>
      </c>
      <c r="C122" s="2437">
        <v>11942.40906738</v>
      </c>
      <c r="D122" s="2433">
        <v>2248.0963523800001</v>
      </c>
      <c r="E122" s="2434">
        <v>828.57134467000003</v>
      </c>
      <c r="F122" s="2435">
        <v>297.37215213000002</v>
      </c>
      <c r="G122" s="2435">
        <v>531.19919254000001</v>
      </c>
      <c r="H122" s="2434">
        <v>527.00199999999995</v>
      </c>
      <c r="I122" s="2434">
        <v>70.196850310000002</v>
      </c>
      <c r="J122" s="2435">
        <v>7.5776779999999997</v>
      </c>
      <c r="K122" s="2504">
        <v>8257.231885019999</v>
      </c>
      <c r="L122" s="2435">
        <v>3.7329569999999999</v>
      </c>
      <c r="M122" s="2049"/>
      <c r="N122" s="2051"/>
      <c r="Q122" s="2062"/>
      <c r="R122" s="2062"/>
      <c r="S122" s="2062"/>
      <c r="T122" s="2062"/>
      <c r="U122" s="2062"/>
      <c r="V122" s="2062"/>
      <c r="W122" s="2062"/>
      <c r="X122" s="2062"/>
      <c r="Y122" s="2062"/>
      <c r="Z122" s="2062"/>
      <c r="AA122" s="2062"/>
      <c r="AB122" s="2062"/>
    </row>
    <row r="123" spans="1:28" hidden="1">
      <c r="A123" s="2049"/>
      <c r="B123" s="2438" t="s">
        <v>167</v>
      </c>
      <c r="C123" s="2437">
        <v>12434.99357273</v>
      </c>
      <c r="D123" s="2433">
        <v>2511.9506230100001</v>
      </c>
      <c r="E123" s="2434">
        <v>949.28758957000002</v>
      </c>
      <c r="F123" s="2435">
        <v>318.16536145999999</v>
      </c>
      <c r="G123" s="2435">
        <v>631.12222811000004</v>
      </c>
      <c r="H123" s="2434">
        <v>527.00199999999995</v>
      </c>
      <c r="I123" s="2434">
        <v>71.537047950000002</v>
      </c>
      <c r="J123" s="2435">
        <v>7.5776779999999997</v>
      </c>
      <c r="K123" s="2504">
        <v>8363.9056771999985</v>
      </c>
      <c r="L123" s="2435">
        <v>3.7329569999999999</v>
      </c>
      <c r="M123" s="2049"/>
      <c r="N123" s="2051"/>
      <c r="Q123" s="2062"/>
      <c r="R123" s="2062"/>
      <c r="S123" s="2062"/>
      <c r="T123" s="2062"/>
      <c r="U123" s="2062"/>
      <c r="V123" s="2062"/>
      <c r="W123" s="2062"/>
      <c r="X123" s="2062"/>
      <c r="Y123" s="2062"/>
      <c r="Z123" s="2062"/>
      <c r="AA123" s="2062"/>
      <c r="AB123" s="2062"/>
    </row>
    <row r="124" spans="1:28" hidden="1">
      <c r="A124" s="2049"/>
      <c r="B124" s="2438" t="s">
        <v>168</v>
      </c>
      <c r="C124" s="2437">
        <v>13342.954415099999</v>
      </c>
      <c r="D124" s="2433">
        <v>3425.8951316900002</v>
      </c>
      <c r="E124" s="2434">
        <v>825.92032506999999</v>
      </c>
      <c r="F124" s="2435">
        <v>268.62061132000002</v>
      </c>
      <c r="G124" s="2435">
        <v>557.29971374999991</v>
      </c>
      <c r="H124" s="2434">
        <v>527.00199999999995</v>
      </c>
      <c r="I124" s="2434">
        <v>72.840803709999989</v>
      </c>
      <c r="J124" s="2435">
        <v>7.5776779999999997</v>
      </c>
      <c r="K124" s="2504">
        <v>8479.9855196299995</v>
      </c>
      <c r="L124" s="2435">
        <v>3.7329569999999999</v>
      </c>
      <c r="M124" s="2049"/>
      <c r="N124" s="2051"/>
      <c r="Q124" s="2062"/>
      <c r="R124" s="2062"/>
      <c r="S124" s="2062"/>
      <c r="T124" s="2062"/>
      <c r="U124" s="2062"/>
      <c r="V124" s="2062"/>
      <c r="W124" s="2062"/>
      <c r="X124" s="2062"/>
      <c r="Y124" s="2062"/>
      <c r="Z124" s="2062"/>
      <c r="AA124" s="2062"/>
      <c r="AB124" s="2062"/>
    </row>
    <row r="125" spans="1:28" hidden="1">
      <c r="A125" s="2049"/>
      <c r="B125" s="2438" t="s">
        <v>169</v>
      </c>
      <c r="C125" s="2437">
        <v>13782.589743229999</v>
      </c>
      <c r="D125" s="2433">
        <v>3588.6241298099999</v>
      </c>
      <c r="E125" s="2434">
        <v>797.31563275999997</v>
      </c>
      <c r="F125" s="2435">
        <v>115.25842179</v>
      </c>
      <c r="G125" s="2435">
        <v>682.05721096999991</v>
      </c>
      <c r="H125" s="2434">
        <v>527.00199999999995</v>
      </c>
      <c r="I125" s="2434">
        <v>73.225580399999984</v>
      </c>
      <c r="J125" s="2435">
        <v>7.5776779999999997</v>
      </c>
      <c r="K125" s="2504">
        <v>8785.1117652599987</v>
      </c>
      <c r="L125" s="2435">
        <v>3.7329569999999999</v>
      </c>
      <c r="M125" s="2049"/>
      <c r="N125" s="2051"/>
      <c r="Q125" s="2062"/>
      <c r="R125" s="2062"/>
      <c r="S125" s="2062"/>
      <c r="T125" s="2062"/>
      <c r="U125" s="2062"/>
      <c r="V125" s="2062"/>
      <c r="W125" s="2062"/>
      <c r="X125" s="2062"/>
      <c r="Y125" s="2062"/>
      <c r="Z125" s="2062"/>
      <c r="AA125" s="2062"/>
      <c r="AB125" s="2062"/>
    </row>
    <row r="126" spans="1:28" ht="15" hidden="1" customHeight="1">
      <c r="A126" s="2049"/>
      <c r="B126" s="2438" t="s">
        <v>170</v>
      </c>
      <c r="C126" s="2437">
        <v>13916.540366450001</v>
      </c>
      <c r="D126" s="2433">
        <v>3694.4335366700006</v>
      </c>
      <c r="E126" s="2434">
        <v>668.83447260000003</v>
      </c>
      <c r="F126" s="2435">
        <v>133.17556994999998</v>
      </c>
      <c r="G126" s="2435">
        <v>535.65890265000007</v>
      </c>
      <c r="H126" s="2434">
        <v>600.61690911999995</v>
      </c>
      <c r="I126" s="2434">
        <v>0</v>
      </c>
      <c r="J126" s="2435">
        <v>7.5776779999999997</v>
      </c>
      <c r="K126" s="2504">
        <v>8941.3448130599991</v>
      </c>
      <c r="L126" s="2435">
        <v>3.7329569999999999</v>
      </c>
      <c r="M126" s="2049"/>
      <c r="N126" s="2051"/>
      <c r="Q126" s="2062"/>
      <c r="R126" s="2062"/>
      <c r="S126" s="2062"/>
      <c r="T126" s="2062"/>
      <c r="U126" s="2062"/>
      <c r="V126" s="2062"/>
      <c r="W126" s="2062"/>
      <c r="X126" s="2062"/>
      <c r="Y126" s="2062"/>
      <c r="Z126" s="2062"/>
      <c r="AA126" s="2062"/>
      <c r="AB126" s="2062"/>
    </row>
    <row r="127" spans="1:28" ht="15" hidden="1" customHeight="1">
      <c r="A127" s="2049"/>
      <c r="B127" s="2438" t="s">
        <v>171</v>
      </c>
      <c r="C127" s="2437">
        <v>13832.30179066</v>
      </c>
      <c r="D127" s="2433">
        <v>3393.7293573699999</v>
      </c>
      <c r="E127" s="2434">
        <v>810.49305537999987</v>
      </c>
      <c r="F127" s="2435">
        <v>284.69475150999995</v>
      </c>
      <c r="G127" s="2435">
        <v>525.79830386999993</v>
      </c>
      <c r="H127" s="2434">
        <v>601.01036650999993</v>
      </c>
      <c r="I127" s="2434">
        <v>0</v>
      </c>
      <c r="J127" s="2435">
        <v>7.5776779999999997</v>
      </c>
      <c r="K127" s="2504">
        <v>9015.758376400001</v>
      </c>
      <c r="L127" s="2435">
        <v>3.7329569999999999</v>
      </c>
      <c r="M127" s="2049"/>
      <c r="N127" s="2051"/>
      <c r="Q127" s="2062"/>
      <c r="R127" s="2062"/>
      <c r="S127" s="2062"/>
      <c r="T127" s="2062"/>
      <c r="U127" s="2062"/>
      <c r="V127" s="2062"/>
      <c r="W127" s="2062"/>
      <c r="X127" s="2062"/>
      <c r="Y127" s="2062"/>
      <c r="Z127" s="2062"/>
      <c r="AA127" s="2062"/>
      <c r="AB127" s="2062"/>
    </row>
    <row r="128" spans="1:28">
      <c r="A128" s="2049"/>
      <c r="B128" s="2432">
        <v>2008</v>
      </c>
      <c r="C128" s="2437">
        <v>15704.430101469999</v>
      </c>
      <c r="D128" s="2433">
        <v>5232.4065499600001</v>
      </c>
      <c r="E128" s="2434">
        <v>754.50149142999999</v>
      </c>
      <c r="F128" s="2435">
        <v>290.90002284999997</v>
      </c>
      <c r="G128" s="2435">
        <v>463.60146857999996</v>
      </c>
      <c r="H128" s="2434">
        <v>586.29307179</v>
      </c>
      <c r="I128" s="2434">
        <v>0</v>
      </c>
      <c r="J128" s="2435">
        <v>7.5776779999999997</v>
      </c>
      <c r="K128" s="2504">
        <v>9119.9183532899988</v>
      </c>
      <c r="L128" s="2435">
        <v>3.7329569999999999</v>
      </c>
      <c r="M128" s="2049"/>
      <c r="N128" s="2051"/>
      <c r="Q128" s="2062"/>
      <c r="R128" s="2062"/>
      <c r="S128" s="2062"/>
      <c r="T128" s="2062"/>
      <c r="U128" s="2062"/>
      <c r="V128" s="2062"/>
      <c r="W128" s="2062"/>
      <c r="X128" s="2062"/>
      <c r="Y128" s="2062"/>
      <c r="Z128" s="2062"/>
      <c r="AA128" s="2062"/>
      <c r="AB128" s="2062"/>
    </row>
    <row r="129" spans="1:28" hidden="1">
      <c r="A129" s="2049"/>
      <c r="B129" s="2432">
        <v>2009</v>
      </c>
      <c r="C129" s="2437"/>
      <c r="D129" s="2433"/>
      <c r="E129" s="2434"/>
      <c r="F129" s="2435"/>
      <c r="G129" s="2435"/>
      <c r="H129" s="2434"/>
      <c r="I129" s="2434"/>
      <c r="J129" s="2435"/>
      <c r="K129" s="2504"/>
      <c r="L129" s="2435"/>
      <c r="M129" s="2049"/>
      <c r="N129" s="2051"/>
      <c r="Q129" s="2062"/>
      <c r="R129" s="2062"/>
      <c r="S129" s="2062"/>
      <c r="T129" s="2062"/>
      <c r="U129" s="2062"/>
      <c r="V129" s="2062"/>
      <c r="W129" s="2062"/>
      <c r="X129" s="2062"/>
      <c r="Y129" s="2062"/>
      <c r="Z129" s="2062"/>
      <c r="AA129" s="2062"/>
      <c r="AB129" s="2062"/>
    </row>
    <row r="130" spans="1:28" ht="15" hidden="1" customHeight="1">
      <c r="A130" s="2049"/>
      <c r="B130" s="2436" t="s">
        <v>161</v>
      </c>
      <c r="C130" s="2437">
        <v>15227.647380750001</v>
      </c>
      <c r="D130" s="2433">
        <v>4471.3124306300006</v>
      </c>
      <c r="E130" s="2434">
        <v>886.54053385999998</v>
      </c>
      <c r="F130" s="2435">
        <v>233.66550901999997</v>
      </c>
      <c r="G130" s="2435">
        <v>652.87502484000004</v>
      </c>
      <c r="H130" s="2434">
        <v>586.62540968999997</v>
      </c>
      <c r="I130" s="2434">
        <v>0</v>
      </c>
      <c r="J130" s="2435">
        <v>7.5776779999999997</v>
      </c>
      <c r="K130" s="2504">
        <v>9271.8583715699988</v>
      </c>
      <c r="L130" s="2435">
        <v>3.7329569999999999</v>
      </c>
      <c r="M130" s="2049"/>
      <c r="N130" s="2051"/>
      <c r="Q130" s="2062"/>
      <c r="R130" s="2062"/>
      <c r="S130" s="2062"/>
      <c r="T130" s="2062"/>
      <c r="U130" s="2062"/>
      <c r="V130" s="2062"/>
      <c r="W130" s="2062"/>
      <c r="X130" s="2062"/>
      <c r="Y130" s="2062"/>
      <c r="Z130" s="2062"/>
      <c r="AA130" s="2062"/>
      <c r="AB130" s="2062"/>
    </row>
    <row r="131" spans="1:28" hidden="1">
      <c r="A131" s="2049"/>
      <c r="B131" s="2438" t="s">
        <v>162</v>
      </c>
      <c r="C131" s="2437">
        <v>15692.993727380002</v>
      </c>
      <c r="D131" s="2433">
        <v>4739.2025134100004</v>
      </c>
      <c r="E131" s="2434">
        <v>1016.41171507</v>
      </c>
      <c r="F131" s="2435">
        <v>317.70300319</v>
      </c>
      <c r="G131" s="2435">
        <v>698.70871188000001</v>
      </c>
      <c r="H131" s="2434">
        <v>586.92311854999991</v>
      </c>
      <c r="I131" s="2434">
        <v>0</v>
      </c>
      <c r="J131" s="2435">
        <v>7.5776779999999997</v>
      </c>
      <c r="K131" s="2504">
        <v>9339.1457453500007</v>
      </c>
      <c r="L131" s="2435">
        <v>3.7329569999999999</v>
      </c>
      <c r="M131" s="2049"/>
      <c r="N131" s="2051"/>
      <c r="Q131" s="2062"/>
      <c r="R131" s="2062"/>
      <c r="S131" s="2062"/>
      <c r="T131" s="2062"/>
      <c r="U131" s="2062"/>
      <c r="V131" s="2062"/>
      <c r="W131" s="2062"/>
      <c r="X131" s="2062"/>
      <c r="Y131" s="2062"/>
      <c r="Z131" s="2062"/>
      <c r="AA131" s="2062"/>
      <c r="AB131" s="2062"/>
    </row>
    <row r="132" spans="1:28" hidden="1">
      <c r="A132" s="2049"/>
      <c r="B132" s="2438" t="s">
        <v>163</v>
      </c>
      <c r="C132" s="2437">
        <v>15909.038772989999</v>
      </c>
      <c r="D132" s="2433">
        <v>4614.7268451000009</v>
      </c>
      <c r="E132" s="2434">
        <v>1129.57446151</v>
      </c>
      <c r="F132" s="2435">
        <v>296.46517326999998</v>
      </c>
      <c r="G132" s="2435">
        <v>833.10928824000007</v>
      </c>
      <c r="H132" s="2434">
        <v>588.25561745999994</v>
      </c>
      <c r="I132" s="2434">
        <v>0</v>
      </c>
      <c r="J132" s="2435">
        <v>7.5776779999999997</v>
      </c>
      <c r="K132" s="2504">
        <v>9565.171213919999</v>
      </c>
      <c r="L132" s="2435">
        <v>3.7329569999999999</v>
      </c>
      <c r="M132" s="2049"/>
      <c r="N132" s="2051"/>
      <c r="Q132" s="2062"/>
      <c r="R132" s="2062"/>
      <c r="S132" s="2062"/>
      <c r="T132" s="2062"/>
      <c r="U132" s="2062"/>
      <c r="V132" s="2062"/>
      <c r="W132" s="2062"/>
      <c r="X132" s="2062"/>
      <c r="Y132" s="2062"/>
      <c r="Z132" s="2062"/>
      <c r="AA132" s="2062"/>
      <c r="AB132" s="2062"/>
    </row>
    <row r="133" spans="1:28" hidden="1">
      <c r="A133" s="2049"/>
      <c r="B133" s="2438" t="s">
        <v>164</v>
      </c>
      <c r="C133" s="2437">
        <v>14810.117204279999</v>
      </c>
      <c r="D133" s="2433">
        <v>3182.7934964900001</v>
      </c>
      <c r="E133" s="2434">
        <v>1209.4265359799999</v>
      </c>
      <c r="F133" s="2435">
        <v>196.91443441999999</v>
      </c>
      <c r="G133" s="2435">
        <v>1012.51210156</v>
      </c>
      <c r="H133" s="2434">
        <v>587.57618775999993</v>
      </c>
      <c r="I133" s="2434">
        <v>0</v>
      </c>
      <c r="J133" s="2435">
        <v>7.5776779999999997</v>
      </c>
      <c r="K133" s="2504">
        <v>9819.0103490500005</v>
      </c>
      <c r="L133" s="2435">
        <v>3.7329569999999999</v>
      </c>
      <c r="M133" s="2049"/>
      <c r="N133" s="2051"/>
      <c r="Q133" s="2062"/>
      <c r="R133" s="2062"/>
      <c r="S133" s="2062"/>
      <c r="T133" s="2062"/>
      <c r="U133" s="2062"/>
      <c r="V133" s="2062"/>
      <c r="W133" s="2062"/>
      <c r="X133" s="2062"/>
      <c r="Y133" s="2062"/>
      <c r="Z133" s="2062"/>
      <c r="AA133" s="2062"/>
      <c r="AB133" s="2062"/>
    </row>
    <row r="134" spans="1:28" ht="15" hidden="1" customHeight="1">
      <c r="A134" s="2049"/>
      <c r="B134" s="2438" t="s">
        <v>165</v>
      </c>
      <c r="C134" s="2437">
        <v>14536.05994241</v>
      </c>
      <c r="D134" s="2433">
        <v>2825.3138487600004</v>
      </c>
      <c r="E134" s="2434">
        <v>1203.4354328900001</v>
      </c>
      <c r="F134" s="2435">
        <v>51.456588710000005</v>
      </c>
      <c r="G134" s="2435">
        <v>1151.9788441800001</v>
      </c>
      <c r="H134" s="2434">
        <v>527.00199999999995</v>
      </c>
      <c r="I134" s="2434">
        <v>60.906454930000002</v>
      </c>
      <c r="J134" s="2435">
        <v>7.5776779999999997</v>
      </c>
      <c r="K134" s="2504">
        <v>9908.0915708299999</v>
      </c>
      <c r="L134" s="2435">
        <v>3.7329569999999999</v>
      </c>
      <c r="M134" s="2049"/>
      <c r="N134" s="2051"/>
      <c r="Q134" s="2062"/>
      <c r="R134" s="2062"/>
      <c r="S134" s="2062"/>
      <c r="T134" s="2062"/>
      <c r="U134" s="2062"/>
      <c r="V134" s="2062"/>
      <c r="W134" s="2062"/>
      <c r="X134" s="2062"/>
      <c r="Y134" s="2062"/>
      <c r="Z134" s="2062"/>
      <c r="AA134" s="2062"/>
      <c r="AB134" s="2062"/>
    </row>
    <row r="135" spans="1:28" hidden="1">
      <c r="A135" s="2049"/>
      <c r="B135" s="2438" t="s">
        <v>166</v>
      </c>
      <c r="C135" s="2437">
        <v>15458.926432989998</v>
      </c>
      <c r="D135" s="2433">
        <v>3908.6283040599997</v>
      </c>
      <c r="E135" s="2434">
        <v>978.82344117999992</v>
      </c>
      <c r="F135" s="2435">
        <v>144.03863766999999</v>
      </c>
      <c r="G135" s="2435">
        <v>834.78480350999996</v>
      </c>
      <c r="H135" s="2434">
        <v>527.00199999999995</v>
      </c>
      <c r="I135" s="2434">
        <v>56.957323359999997</v>
      </c>
      <c r="J135" s="2435">
        <v>7.5776779999999997</v>
      </c>
      <c r="K135" s="2504">
        <v>9976.2047293899977</v>
      </c>
      <c r="L135" s="2435">
        <v>3.7329569999999999</v>
      </c>
      <c r="M135" s="2049"/>
      <c r="N135" s="2051"/>
      <c r="Q135" s="2062"/>
      <c r="R135" s="2062"/>
      <c r="S135" s="2062"/>
      <c r="T135" s="2062"/>
      <c r="U135" s="2062"/>
      <c r="V135" s="2062"/>
      <c r="W135" s="2062"/>
      <c r="X135" s="2062"/>
      <c r="Y135" s="2062"/>
      <c r="Z135" s="2062"/>
      <c r="AA135" s="2062"/>
      <c r="AB135" s="2062"/>
    </row>
    <row r="136" spans="1:28" hidden="1">
      <c r="A136" s="2049"/>
      <c r="B136" s="2438" t="s">
        <v>167</v>
      </c>
      <c r="C136" s="2437">
        <v>15811.435646829999</v>
      </c>
      <c r="D136" s="2433">
        <v>3873.8605813499994</v>
      </c>
      <c r="E136" s="2434">
        <v>1187.7209707100001</v>
      </c>
      <c r="F136" s="2435">
        <v>197.56861062999999</v>
      </c>
      <c r="G136" s="2435">
        <v>990.15236007999999</v>
      </c>
      <c r="H136" s="2434">
        <v>527.00199999999995</v>
      </c>
      <c r="I136" s="2434">
        <v>52.913152870000005</v>
      </c>
      <c r="J136" s="2435">
        <v>7.5776779999999997</v>
      </c>
      <c r="K136" s="2504">
        <v>10158.6283069</v>
      </c>
      <c r="L136" s="2435">
        <v>3.7329569999999999</v>
      </c>
      <c r="M136" s="2049"/>
      <c r="N136" s="2051"/>
      <c r="Q136" s="2062"/>
      <c r="R136" s="2062"/>
      <c r="S136" s="2062"/>
      <c r="T136" s="2062"/>
      <c r="U136" s="2062"/>
      <c r="V136" s="2062"/>
      <c r="W136" s="2062"/>
      <c r="X136" s="2062"/>
      <c r="Y136" s="2062"/>
      <c r="Z136" s="2062"/>
      <c r="AA136" s="2062"/>
      <c r="AB136" s="2062"/>
    </row>
    <row r="137" spans="1:28" hidden="1">
      <c r="A137" s="2049"/>
      <c r="B137" s="2438" t="s">
        <v>168</v>
      </c>
      <c r="C137" s="2437">
        <v>16124.140614569998</v>
      </c>
      <c r="D137" s="2433">
        <v>3841.8392322799996</v>
      </c>
      <c r="E137" s="2434">
        <v>1391.1156796499999</v>
      </c>
      <c r="F137" s="2435">
        <v>242.75568113999998</v>
      </c>
      <c r="G137" s="2435">
        <v>1148.35999851</v>
      </c>
      <c r="H137" s="2434">
        <v>527.00199999999995</v>
      </c>
      <c r="I137" s="2434">
        <v>53.21291051</v>
      </c>
      <c r="J137" s="2435">
        <v>7.5776779999999997</v>
      </c>
      <c r="K137" s="2504">
        <v>10299.66015713</v>
      </c>
      <c r="L137" s="2435">
        <v>3.7329569999999999</v>
      </c>
      <c r="M137" s="2049"/>
      <c r="N137" s="2051"/>
      <c r="Q137" s="2062"/>
      <c r="R137" s="2062"/>
      <c r="S137" s="2062"/>
      <c r="T137" s="2062"/>
      <c r="U137" s="2062"/>
      <c r="V137" s="2062"/>
      <c r="W137" s="2062"/>
      <c r="X137" s="2062"/>
      <c r="Y137" s="2062"/>
      <c r="Z137" s="2062"/>
      <c r="AA137" s="2062"/>
      <c r="AB137" s="2062"/>
    </row>
    <row r="138" spans="1:28" hidden="1">
      <c r="A138" s="2049"/>
      <c r="B138" s="2438" t="s">
        <v>169</v>
      </c>
      <c r="C138" s="2437">
        <v>15924.95463278</v>
      </c>
      <c r="D138" s="2433">
        <v>3219.8296647100001</v>
      </c>
      <c r="E138" s="2434">
        <v>1679.7854178600001</v>
      </c>
      <c r="F138" s="2435">
        <v>299.11384427000002</v>
      </c>
      <c r="G138" s="2435">
        <v>1380.67157359</v>
      </c>
      <c r="H138" s="2434">
        <v>527.00199999999995</v>
      </c>
      <c r="I138" s="2434">
        <v>53.502425469999999</v>
      </c>
      <c r="J138" s="2435">
        <v>7.5776779999999997</v>
      </c>
      <c r="K138" s="2504">
        <v>10433.524489739999</v>
      </c>
      <c r="L138" s="2435">
        <v>3.7329569999999999</v>
      </c>
      <c r="M138" s="2049"/>
      <c r="N138" s="2051"/>
      <c r="Q138" s="2062"/>
      <c r="R138" s="2062"/>
      <c r="S138" s="2062"/>
      <c r="T138" s="2062"/>
      <c r="U138" s="2062"/>
      <c r="V138" s="2062"/>
      <c r="W138" s="2062"/>
      <c r="X138" s="2062"/>
      <c r="Y138" s="2062"/>
      <c r="Z138" s="2062"/>
      <c r="AA138" s="2062"/>
      <c r="AB138" s="2062"/>
    </row>
    <row r="139" spans="1:28" hidden="1">
      <c r="A139" s="2049"/>
      <c r="B139" s="2438" t="s">
        <v>170</v>
      </c>
      <c r="C139" s="2437">
        <v>18388.65851184</v>
      </c>
      <c r="D139" s="2433">
        <v>5247.89181113</v>
      </c>
      <c r="E139" s="2434">
        <v>1941.2648206700001</v>
      </c>
      <c r="F139" s="2435">
        <v>262.02954777000002</v>
      </c>
      <c r="G139" s="2435">
        <v>1679.2352729000002</v>
      </c>
      <c r="H139" s="2434">
        <v>527.00199999999995</v>
      </c>
      <c r="I139" s="2434">
        <v>53.732630990000004</v>
      </c>
      <c r="J139" s="2435">
        <v>7.5776779999999997</v>
      </c>
      <c r="K139" s="2504">
        <v>10607.456614049999</v>
      </c>
      <c r="L139" s="2435">
        <v>3.7329569999999999</v>
      </c>
      <c r="M139" s="2049"/>
      <c r="N139" s="2051"/>
      <c r="Q139" s="2062"/>
      <c r="R139" s="2062"/>
      <c r="S139" s="2062"/>
      <c r="T139" s="2062"/>
      <c r="U139" s="2062"/>
      <c r="V139" s="2062"/>
      <c r="W139" s="2062"/>
      <c r="X139" s="2062"/>
      <c r="Y139" s="2062"/>
      <c r="Z139" s="2062"/>
      <c r="AA139" s="2062"/>
      <c r="AB139" s="2062"/>
    </row>
    <row r="140" spans="1:28" hidden="1">
      <c r="A140" s="2049"/>
      <c r="B140" s="2438" t="s">
        <v>171</v>
      </c>
      <c r="C140" s="2437">
        <v>20671.562742540002</v>
      </c>
      <c r="D140" s="2433">
        <v>6938.7618930000008</v>
      </c>
      <c r="E140" s="2434">
        <v>2245.9695747600003</v>
      </c>
      <c r="F140" s="2435">
        <v>405.41685468000003</v>
      </c>
      <c r="G140" s="2435">
        <v>1840.5527200800002</v>
      </c>
      <c r="H140" s="2434">
        <v>527.00199999999995</v>
      </c>
      <c r="I140" s="2434">
        <v>54.066682319999998</v>
      </c>
      <c r="J140" s="2435">
        <v>7.5776779999999997</v>
      </c>
      <c r="K140" s="2504">
        <v>10894.45195746</v>
      </c>
      <c r="L140" s="2435">
        <v>3.7329569999999999</v>
      </c>
      <c r="M140" s="2049"/>
      <c r="N140" s="2051"/>
      <c r="Q140" s="2062"/>
      <c r="R140" s="2062"/>
      <c r="S140" s="2062"/>
      <c r="T140" s="2062"/>
      <c r="U140" s="2062"/>
      <c r="V140" s="2062"/>
      <c r="W140" s="2062"/>
      <c r="X140" s="2062"/>
      <c r="Y140" s="2062"/>
      <c r="Z140" s="2062"/>
      <c r="AA140" s="2062"/>
      <c r="AB140" s="2062"/>
    </row>
    <row r="141" spans="1:28" ht="15" customHeight="1">
      <c r="A141" s="2049"/>
      <c r="B141" s="2432">
        <v>2009</v>
      </c>
      <c r="C141" s="2437">
        <v>20601.446086870001</v>
      </c>
      <c r="D141" s="2433">
        <v>7833.2114101400002</v>
      </c>
      <c r="E141" s="2434">
        <v>1152.60678665</v>
      </c>
      <c r="F141" s="2435">
        <v>467.48263262</v>
      </c>
      <c r="G141" s="2435">
        <v>685.12415403</v>
      </c>
      <c r="H141" s="2434">
        <v>527.00199999999995</v>
      </c>
      <c r="I141" s="2434">
        <v>51.272015570000001</v>
      </c>
      <c r="J141" s="2435">
        <v>7.5776779999999997</v>
      </c>
      <c r="K141" s="2504">
        <v>11026.04323951</v>
      </c>
      <c r="L141" s="2435">
        <v>3.7329569999999999</v>
      </c>
      <c r="M141" s="2049"/>
      <c r="N141" s="2051"/>
      <c r="Q141" s="2062"/>
      <c r="R141" s="2062"/>
      <c r="S141" s="2062"/>
      <c r="T141" s="2062"/>
      <c r="U141" s="2062"/>
      <c r="V141" s="2062"/>
      <c r="W141" s="2062"/>
      <c r="X141" s="2062"/>
      <c r="Y141" s="2062"/>
      <c r="Z141" s="2062"/>
      <c r="AA141" s="2062"/>
      <c r="AB141" s="2062"/>
    </row>
    <row r="142" spans="1:28" ht="15" hidden="1" customHeight="1">
      <c r="A142" s="2049"/>
      <c r="B142" s="2432">
        <v>2010</v>
      </c>
      <c r="C142" s="2437"/>
      <c r="D142" s="2433"/>
      <c r="E142" s="2434"/>
      <c r="F142" s="2435"/>
      <c r="G142" s="2435"/>
      <c r="H142" s="2434"/>
      <c r="I142" s="2434"/>
      <c r="J142" s="2435"/>
      <c r="K142" s="2504"/>
      <c r="L142" s="2435"/>
      <c r="M142" s="2049"/>
      <c r="N142" s="2051"/>
      <c r="Q142" s="2062"/>
      <c r="R142" s="2062"/>
      <c r="S142" s="2062"/>
      <c r="T142" s="2062"/>
      <c r="U142" s="2062"/>
      <c r="V142" s="2062"/>
      <c r="W142" s="2062"/>
      <c r="X142" s="2062"/>
      <c r="Y142" s="2062"/>
      <c r="Z142" s="2062"/>
      <c r="AA142" s="2062"/>
      <c r="AB142" s="2062"/>
    </row>
    <row r="143" spans="1:28" ht="15" hidden="1" customHeight="1">
      <c r="A143" s="2049"/>
      <c r="B143" s="2436" t="s">
        <v>161</v>
      </c>
      <c r="C143" s="2617">
        <v>19805.46496858</v>
      </c>
      <c r="D143" s="2618">
        <v>7040.1910120699995</v>
      </c>
      <c r="E143" s="2619">
        <v>967.11903637000012</v>
      </c>
      <c r="F143" s="2620">
        <v>202.53272058000002</v>
      </c>
      <c r="G143" s="2620">
        <v>764.58631579000007</v>
      </c>
      <c r="H143" s="2619">
        <v>527.00199999999995</v>
      </c>
      <c r="I143" s="2619">
        <v>56.56685512</v>
      </c>
      <c r="J143" s="2620">
        <v>7.5776779999999997</v>
      </c>
      <c r="K143" s="2621">
        <v>11203.275430020001</v>
      </c>
      <c r="L143" s="2620">
        <v>3.7329569999999999</v>
      </c>
      <c r="M143" s="2049"/>
      <c r="N143" s="2051"/>
      <c r="Q143" s="2062"/>
      <c r="R143" s="2062"/>
      <c r="S143" s="2062"/>
      <c r="T143" s="2062"/>
      <c r="U143" s="2062"/>
      <c r="V143" s="2062"/>
      <c r="W143" s="2062"/>
      <c r="X143" s="2062"/>
      <c r="Y143" s="2062"/>
      <c r="Z143" s="2062"/>
      <c r="AA143" s="2062"/>
      <c r="AB143" s="2062"/>
    </row>
    <row r="144" spans="1:28" ht="15" hidden="1" customHeight="1">
      <c r="A144" s="2049"/>
      <c r="B144" s="2438" t="s">
        <v>162</v>
      </c>
      <c r="C144" s="2617">
        <v>19766.716504169999</v>
      </c>
      <c r="D144" s="2618">
        <v>6853.4697401900003</v>
      </c>
      <c r="E144" s="2619">
        <v>966.26691539000001</v>
      </c>
      <c r="F144" s="2620">
        <v>171.31560746</v>
      </c>
      <c r="G144" s="2620">
        <v>794.95130792999998</v>
      </c>
      <c r="H144" s="2619">
        <v>527.00199999999995</v>
      </c>
      <c r="I144" s="2619">
        <v>56.758551379999993</v>
      </c>
      <c r="J144" s="2620">
        <v>7.5776779999999997</v>
      </c>
      <c r="K144" s="2621">
        <v>11351.90866221</v>
      </c>
      <c r="L144" s="2620">
        <v>3.7329569999999999</v>
      </c>
      <c r="M144" s="2049"/>
      <c r="N144" s="2051"/>
      <c r="Q144" s="2062"/>
      <c r="R144" s="2062"/>
      <c r="S144" s="2062"/>
      <c r="T144" s="2062"/>
      <c r="U144" s="2062"/>
      <c r="V144" s="2062"/>
      <c r="W144" s="2062"/>
      <c r="X144" s="2062"/>
      <c r="Y144" s="2062"/>
      <c r="Z144" s="2062"/>
      <c r="AA144" s="2062"/>
      <c r="AB144" s="2062"/>
    </row>
    <row r="145" spans="1:28" ht="15" hidden="1" customHeight="1">
      <c r="A145" s="2049"/>
      <c r="B145" s="2438" t="s">
        <v>163</v>
      </c>
      <c r="C145" s="2617">
        <v>21890.321129659998</v>
      </c>
      <c r="D145" s="2618">
        <v>8528.692998640001</v>
      </c>
      <c r="E145" s="2619">
        <v>1275.7446550300001</v>
      </c>
      <c r="F145" s="2620">
        <v>167.07786745999999</v>
      </c>
      <c r="G145" s="2620">
        <v>1108.66678757</v>
      </c>
      <c r="H145" s="2619">
        <v>527.00199999999995</v>
      </c>
      <c r="I145" s="2619">
        <v>9.2518447500000001</v>
      </c>
      <c r="J145" s="2620">
        <v>7.5776779999999997</v>
      </c>
      <c r="K145" s="2621">
        <v>11538.318996239999</v>
      </c>
      <c r="L145" s="2620">
        <v>3.7329569999999999</v>
      </c>
      <c r="M145" s="2049"/>
      <c r="N145" s="2051"/>
      <c r="Q145" s="2062"/>
      <c r="R145" s="2062"/>
      <c r="S145" s="2062"/>
      <c r="T145" s="2062"/>
      <c r="U145" s="2062"/>
      <c r="V145" s="2062"/>
      <c r="W145" s="2062"/>
      <c r="X145" s="2062"/>
      <c r="Y145" s="2062"/>
      <c r="Z145" s="2062"/>
      <c r="AA145" s="2062"/>
      <c r="AB145" s="2062"/>
    </row>
    <row r="146" spans="1:28" ht="15" hidden="1" customHeight="1">
      <c r="A146" s="2049"/>
      <c r="B146" s="2438" t="s">
        <v>164</v>
      </c>
      <c r="C146" s="2617">
        <v>20957.378390509999</v>
      </c>
      <c r="D146" s="2618">
        <v>7493.4776747100004</v>
      </c>
      <c r="E146" s="2619">
        <v>1289.4185521599998</v>
      </c>
      <c r="F146" s="2620">
        <v>165.67388635999998</v>
      </c>
      <c r="G146" s="2620">
        <v>1123.7446657999999</v>
      </c>
      <c r="H146" s="2619">
        <v>527.00199999999995</v>
      </c>
      <c r="I146" s="2619">
        <v>9.2321644299999992</v>
      </c>
      <c r="J146" s="2620">
        <v>7.5776779999999997</v>
      </c>
      <c r="K146" s="2621">
        <v>11626.93736421</v>
      </c>
      <c r="L146" s="2620">
        <v>3.7329569999999999</v>
      </c>
      <c r="M146" s="2049"/>
      <c r="N146" s="2051"/>
      <c r="Q146" s="2062"/>
      <c r="R146" s="2062"/>
      <c r="S146" s="2062"/>
      <c r="T146" s="2062"/>
      <c r="U146" s="2062"/>
      <c r="V146" s="2062"/>
      <c r="W146" s="2062"/>
      <c r="X146" s="2062"/>
      <c r="Y146" s="2062"/>
      <c r="Z146" s="2062"/>
      <c r="AA146" s="2062"/>
      <c r="AB146" s="2062"/>
    </row>
    <row r="147" spans="1:28" ht="15" hidden="1" customHeight="1">
      <c r="A147" s="2049"/>
      <c r="B147" s="2438" t="s">
        <v>165</v>
      </c>
      <c r="C147" s="2617">
        <v>18133.816945093997</v>
      </c>
      <c r="D147" s="2618">
        <v>5512.06958648</v>
      </c>
      <c r="E147" s="2619">
        <v>750.01014849000001</v>
      </c>
      <c r="F147" s="2620">
        <v>53.709626450000002</v>
      </c>
      <c r="G147" s="2620">
        <v>696.30052204000003</v>
      </c>
      <c r="H147" s="2619">
        <v>527.00199999999995</v>
      </c>
      <c r="I147" s="2619">
        <v>9.1869096100000007</v>
      </c>
      <c r="J147" s="2620">
        <v>7.5776779999999997</v>
      </c>
      <c r="K147" s="2621">
        <v>11324.237665514</v>
      </c>
      <c r="L147" s="2620">
        <v>3.7329569999999999</v>
      </c>
      <c r="M147" s="2049"/>
      <c r="N147" s="2051"/>
      <c r="Q147" s="2062"/>
      <c r="R147" s="2062"/>
      <c r="S147" s="2062"/>
      <c r="T147" s="2062"/>
      <c r="U147" s="2062"/>
      <c r="V147" s="2062"/>
      <c r="W147" s="2062"/>
      <c r="X147" s="2062"/>
      <c r="Y147" s="2062"/>
      <c r="Z147" s="2062"/>
      <c r="AA147" s="2062"/>
      <c r="AB147" s="2062"/>
    </row>
    <row r="148" spans="1:28" ht="15" hidden="1" customHeight="1">
      <c r="A148" s="2049"/>
      <c r="B148" s="2438" t="s">
        <v>166</v>
      </c>
      <c r="C148" s="2617">
        <v>18351.803084667998</v>
      </c>
      <c r="D148" s="2618">
        <v>4911.9207011500002</v>
      </c>
      <c r="E148" s="2619">
        <v>969.52768042999992</v>
      </c>
      <c r="F148" s="2620">
        <v>207.73001886</v>
      </c>
      <c r="G148" s="2620">
        <v>761.79766156999995</v>
      </c>
      <c r="H148" s="2619">
        <v>527.00199999999995</v>
      </c>
      <c r="I148" s="2619">
        <v>9.6493639899999994</v>
      </c>
      <c r="J148" s="2620">
        <v>7.5776779999999997</v>
      </c>
      <c r="K148" s="2621">
        <v>11922.392704098</v>
      </c>
      <c r="L148" s="2620">
        <v>3.7329569999999999</v>
      </c>
      <c r="M148" s="2049"/>
      <c r="N148" s="2051"/>
      <c r="Q148" s="2062"/>
      <c r="R148" s="2062"/>
      <c r="S148" s="2062"/>
      <c r="T148" s="2062"/>
      <c r="U148" s="2062"/>
      <c r="V148" s="2062"/>
      <c r="W148" s="2062"/>
      <c r="X148" s="2062"/>
      <c r="Y148" s="2062"/>
      <c r="Z148" s="2062"/>
      <c r="AA148" s="2062"/>
      <c r="AB148" s="2062"/>
    </row>
    <row r="149" spans="1:28" ht="15" hidden="1" customHeight="1">
      <c r="A149" s="2049"/>
      <c r="B149" s="2438" t="s">
        <v>167</v>
      </c>
      <c r="C149" s="2617">
        <v>18603.677598440001</v>
      </c>
      <c r="D149" s="2618">
        <v>5118.5039661000001</v>
      </c>
      <c r="E149" s="2622">
        <v>803.26157552000006</v>
      </c>
      <c r="F149" s="2620">
        <v>74.953439829999994</v>
      </c>
      <c r="G149" s="2620">
        <v>728.30813569000009</v>
      </c>
      <c r="H149" s="2619">
        <v>527.00199999999995</v>
      </c>
      <c r="I149" s="2619">
        <v>5.1832729000000004</v>
      </c>
      <c r="J149" s="2620">
        <v>7.5776779999999997</v>
      </c>
      <c r="K149" s="2621">
        <v>12138.41614892</v>
      </c>
      <c r="L149" s="2620">
        <v>3.7329569999999999</v>
      </c>
      <c r="M149" s="2063"/>
      <c r="N149" s="2051"/>
      <c r="Q149" s="2062"/>
      <c r="R149" s="2062"/>
      <c r="S149" s="2062"/>
      <c r="T149" s="2062"/>
      <c r="U149" s="2062"/>
      <c r="V149" s="2062"/>
      <c r="W149" s="2062"/>
      <c r="X149" s="2062"/>
      <c r="Y149" s="2062"/>
      <c r="Z149" s="2062"/>
      <c r="AA149" s="2062"/>
      <c r="AB149" s="2062"/>
    </row>
    <row r="150" spans="1:28" ht="16.5" hidden="1" customHeight="1">
      <c r="A150" s="2049"/>
      <c r="B150" s="2438" t="s">
        <v>168</v>
      </c>
      <c r="C150" s="2617">
        <v>18834.276638911004</v>
      </c>
      <c r="D150" s="2618">
        <v>4575.4027938099998</v>
      </c>
      <c r="E150" s="2622">
        <v>1260.8856423500001</v>
      </c>
      <c r="F150" s="2620">
        <v>332.85570232999999</v>
      </c>
      <c r="G150" s="2620">
        <v>928.02994002000014</v>
      </c>
      <c r="H150" s="2619">
        <v>527.00199999999995</v>
      </c>
      <c r="I150" s="2619">
        <v>5.1509800599999993</v>
      </c>
      <c r="J150" s="2620">
        <v>7.5776779999999997</v>
      </c>
      <c r="K150" s="2621">
        <v>12454.524587691005</v>
      </c>
      <c r="L150" s="2620">
        <v>3.7329569999999999</v>
      </c>
      <c r="M150" s="2063"/>
      <c r="N150" s="2051"/>
      <c r="Q150" s="2062"/>
      <c r="R150" s="2062"/>
      <c r="S150" s="2062"/>
      <c r="T150" s="2062"/>
      <c r="U150" s="2062"/>
      <c r="V150" s="2062"/>
      <c r="W150" s="2062"/>
      <c r="X150" s="2062"/>
      <c r="Y150" s="2062"/>
      <c r="Z150" s="2062"/>
      <c r="AA150" s="2062"/>
      <c r="AB150" s="2062"/>
    </row>
    <row r="151" spans="1:28" ht="15" hidden="1" customHeight="1">
      <c r="A151" s="2049"/>
      <c r="B151" s="2438" t="s">
        <v>169</v>
      </c>
      <c r="C151" s="2617">
        <v>18852.862422309983</v>
      </c>
      <c r="D151" s="2618">
        <v>4409.2211644599993</v>
      </c>
      <c r="E151" s="2622">
        <v>1301.8444769299999</v>
      </c>
      <c r="F151" s="2620">
        <v>285.12993997999996</v>
      </c>
      <c r="G151" s="2620">
        <v>1016.71453695</v>
      </c>
      <c r="H151" s="2619">
        <v>527.00199999999995</v>
      </c>
      <c r="I151" s="2619">
        <v>5.1284577000000002</v>
      </c>
      <c r="J151" s="2620">
        <v>7.5776779999999997</v>
      </c>
      <c r="K151" s="2621">
        <v>12598.355688219985</v>
      </c>
      <c r="L151" s="2620">
        <v>3.7329569999999999</v>
      </c>
      <c r="M151" s="2063"/>
      <c r="N151" s="2051"/>
      <c r="Q151" s="2062"/>
      <c r="R151" s="2062"/>
      <c r="S151" s="2062"/>
      <c r="T151" s="2062"/>
      <c r="U151" s="2062"/>
      <c r="V151" s="2062"/>
      <c r="W151" s="2062"/>
      <c r="X151" s="2062"/>
      <c r="Y151" s="2062"/>
      <c r="Z151" s="2062"/>
      <c r="AA151" s="2062"/>
      <c r="AB151" s="2062"/>
    </row>
    <row r="152" spans="1:28" ht="15" hidden="1" customHeight="1">
      <c r="A152" s="2049"/>
      <c r="B152" s="2438" t="s">
        <v>170</v>
      </c>
      <c r="C152" s="2617">
        <v>18748.215748895997</v>
      </c>
      <c r="D152" s="2618">
        <v>3925.0541164599999</v>
      </c>
      <c r="E152" s="2619">
        <v>1440.0267382499999</v>
      </c>
      <c r="F152" s="2620">
        <v>185.17303938000001</v>
      </c>
      <c r="G152" s="2620">
        <v>1254.8536988699998</v>
      </c>
      <c r="H152" s="2619">
        <v>527.00199999999995</v>
      </c>
      <c r="I152" s="2619">
        <v>5.1154511300000003</v>
      </c>
      <c r="J152" s="2620">
        <v>7.5776779999999997</v>
      </c>
      <c r="K152" s="2621">
        <v>12839.706808055998</v>
      </c>
      <c r="L152" s="2620">
        <v>3.7329569999999999</v>
      </c>
      <c r="M152" s="2063"/>
      <c r="N152" s="2051"/>
      <c r="Q152" s="2062"/>
      <c r="R152" s="2062"/>
      <c r="S152" s="2062"/>
      <c r="T152" s="2062"/>
      <c r="U152" s="2062"/>
      <c r="V152" s="2062"/>
      <c r="W152" s="2062"/>
      <c r="X152" s="2062"/>
      <c r="Y152" s="2062"/>
      <c r="Z152" s="2062"/>
      <c r="AA152" s="2062"/>
      <c r="AB152" s="2062"/>
    </row>
    <row r="153" spans="1:28" ht="15" hidden="1" customHeight="1">
      <c r="A153" s="2049"/>
      <c r="B153" s="2438" t="s">
        <v>171</v>
      </c>
      <c r="C153" s="2617">
        <v>21482.898895777009</v>
      </c>
      <c r="D153" s="2618">
        <v>6868.2513574299992</v>
      </c>
      <c r="E153" s="2619">
        <v>1031.6871534100001</v>
      </c>
      <c r="F153" s="2620">
        <v>227.83886866999998</v>
      </c>
      <c r="G153" s="2620">
        <v>803.84828474000005</v>
      </c>
      <c r="H153" s="2619">
        <v>527.00199999999995</v>
      </c>
      <c r="I153" s="2619">
        <v>5.1009389800000005</v>
      </c>
      <c r="J153" s="2620">
        <v>7.5776779999999997</v>
      </c>
      <c r="K153" s="2621">
        <v>13039.54681095701</v>
      </c>
      <c r="L153" s="2620">
        <v>3.7329569999999999</v>
      </c>
      <c r="M153" s="2063"/>
      <c r="N153" s="2051"/>
      <c r="Q153" s="2062"/>
      <c r="R153" s="2062"/>
      <c r="S153" s="2062"/>
      <c r="T153" s="2062"/>
      <c r="U153" s="2062"/>
      <c r="V153" s="2062"/>
      <c r="W153" s="2062"/>
      <c r="X153" s="2062"/>
      <c r="Y153" s="2062"/>
      <c r="Z153" s="2062"/>
      <c r="AA153" s="2062"/>
      <c r="AB153" s="2062"/>
    </row>
    <row r="154" spans="1:28" ht="15" customHeight="1">
      <c r="A154" s="2049"/>
      <c r="B154" s="2432">
        <v>2010</v>
      </c>
      <c r="C154" s="2617">
        <v>20896.14926849497</v>
      </c>
      <c r="D154" s="2618">
        <v>6127.6813071500001</v>
      </c>
      <c r="E154" s="2619">
        <v>734.17075317000001</v>
      </c>
      <c r="F154" s="2620">
        <v>172.76797256</v>
      </c>
      <c r="G154" s="2620">
        <v>561.40278061000004</v>
      </c>
      <c r="H154" s="2619">
        <v>527.00199999999995</v>
      </c>
      <c r="I154" s="2619">
        <v>234.28491618496994</v>
      </c>
      <c r="J154" s="2623">
        <v>7.5776779999999997</v>
      </c>
      <c r="K154" s="2618">
        <v>13261.69965699</v>
      </c>
      <c r="L154" s="2620">
        <v>3.7329569999999999</v>
      </c>
      <c r="M154" s="2063"/>
      <c r="N154" s="2051"/>
      <c r="Q154" s="2062"/>
      <c r="R154" s="2062"/>
      <c r="S154" s="2062"/>
      <c r="T154" s="2062"/>
      <c r="U154" s="2062"/>
      <c r="V154" s="2062"/>
      <c r="W154" s="2062"/>
      <c r="X154" s="2062"/>
      <c r="Y154" s="2062"/>
      <c r="Z154" s="2062"/>
      <c r="AA154" s="2062"/>
      <c r="AB154" s="2062"/>
    </row>
    <row r="155" spans="1:28" ht="15" hidden="1" customHeight="1">
      <c r="A155" s="2063"/>
      <c r="B155" s="2432">
        <v>2011</v>
      </c>
      <c r="C155" s="2617"/>
      <c r="D155" s="2621"/>
      <c r="E155" s="2624"/>
      <c r="F155" s="2625"/>
      <c r="G155" s="2621"/>
      <c r="H155" s="2624"/>
      <c r="I155" s="2624"/>
      <c r="J155" s="2625"/>
      <c r="K155" s="2621"/>
      <c r="L155" s="2626"/>
      <c r="M155" s="2063"/>
      <c r="N155" s="2051"/>
      <c r="Q155" s="2062"/>
      <c r="R155" s="2062"/>
      <c r="S155" s="2062"/>
      <c r="T155" s="2062"/>
      <c r="U155" s="2062"/>
      <c r="V155" s="2062"/>
      <c r="W155" s="2062"/>
      <c r="X155" s="2062"/>
      <c r="Y155" s="2062"/>
      <c r="Z155" s="2062"/>
      <c r="AA155" s="2062"/>
      <c r="AB155" s="2062"/>
    </row>
    <row r="156" spans="1:28" ht="15" hidden="1" customHeight="1">
      <c r="A156" s="2063"/>
      <c r="B156" s="2438" t="s">
        <v>161</v>
      </c>
      <c r="C156" s="2617">
        <v>20297.633822139022</v>
      </c>
      <c r="D156" s="2618">
        <v>5191.9969968599999</v>
      </c>
      <c r="E156" s="2619">
        <v>921.66446484000005</v>
      </c>
      <c r="F156" s="2620">
        <v>196.17531051</v>
      </c>
      <c r="G156" s="2620">
        <v>725.48915433000002</v>
      </c>
      <c r="H156" s="2619">
        <v>527.00199999999995</v>
      </c>
      <c r="I156" s="2619">
        <v>5.0743315300000003</v>
      </c>
      <c r="J156" s="2623">
        <v>5303.6172101560005</v>
      </c>
      <c r="K156" s="2621">
        <v>8344.5458617530203</v>
      </c>
      <c r="L156" s="2620">
        <v>3.7329569999999999</v>
      </c>
      <c r="M156" s="2063"/>
      <c r="N156" s="2051"/>
      <c r="Q156" s="2062"/>
      <c r="R156" s="2062"/>
      <c r="S156" s="2062"/>
      <c r="T156" s="2062"/>
      <c r="U156" s="2062"/>
      <c r="V156" s="2062"/>
      <c r="W156" s="2062"/>
      <c r="X156" s="2062"/>
      <c r="Y156" s="2062"/>
      <c r="Z156" s="2062"/>
      <c r="AA156" s="2062"/>
      <c r="AB156" s="2062"/>
    </row>
    <row r="157" spans="1:28" ht="15" hidden="1" customHeight="1">
      <c r="A157" s="2063"/>
      <c r="B157" s="2438" t="s">
        <v>162</v>
      </c>
      <c r="C157" s="2617">
        <v>20800.166345173999</v>
      </c>
      <c r="D157" s="2618">
        <v>5340.53589225</v>
      </c>
      <c r="E157" s="2619">
        <v>1042.5947004899999</v>
      </c>
      <c r="F157" s="2620">
        <v>125.77994225</v>
      </c>
      <c r="G157" s="2620">
        <v>916.81475823999983</v>
      </c>
      <c r="H157" s="2619">
        <v>532.05873093999992</v>
      </c>
      <c r="I157" s="2619">
        <v>0</v>
      </c>
      <c r="J157" s="2620">
        <v>495.37439753000001</v>
      </c>
      <c r="K157" s="2618">
        <v>13385.869666963999</v>
      </c>
      <c r="L157" s="2620">
        <v>3.7329569999999999</v>
      </c>
      <c r="M157" s="2063"/>
      <c r="N157" s="2051"/>
      <c r="Q157" s="2062"/>
      <c r="R157" s="2062"/>
      <c r="S157" s="2062"/>
      <c r="T157" s="2062"/>
      <c r="U157" s="2062"/>
      <c r="V157" s="2062"/>
      <c r="W157" s="2062"/>
      <c r="X157" s="2062"/>
      <c r="Y157" s="2062"/>
      <c r="Z157" s="2062"/>
      <c r="AA157" s="2062"/>
      <c r="AB157" s="2062"/>
    </row>
    <row r="158" spans="1:28" ht="15" hidden="1" customHeight="1">
      <c r="A158" s="2063"/>
      <c r="B158" s="2438" t="s">
        <v>163</v>
      </c>
      <c r="C158" s="2617">
        <v>20866.6884763989</v>
      </c>
      <c r="D158" s="2618">
        <v>5157.96510227</v>
      </c>
      <c r="E158" s="2619">
        <v>893.59880830999998</v>
      </c>
      <c r="F158" s="2620">
        <v>191.36299922000001</v>
      </c>
      <c r="G158" s="2620">
        <v>702.23580908999998</v>
      </c>
      <c r="H158" s="2619">
        <v>527.00199999999995</v>
      </c>
      <c r="I158" s="2619">
        <v>0</v>
      </c>
      <c r="J158" s="2620">
        <v>105.312558</v>
      </c>
      <c r="K158" s="2621">
        <v>14179.077050818898</v>
      </c>
      <c r="L158" s="2620">
        <v>3.7329569999999999</v>
      </c>
      <c r="M158" s="2063"/>
      <c r="N158" s="2051"/>
      <c r="P158" s="2062"/>
      <c r="Q158" s="2062"/>
      <c r="R158" s="2062"/>
      <c r="S158" s="2062"/>
      <c r="T158" s="2062"/>
      <c r="U158" s="2062"/>
      <c r="V158" s="2062"/>
      <c r="W158" s="2062"/>
      <c r="X158" s="2062"/>
      <c r="Y158" s="2062"/>
      <c r="Z158" s="2062"/>
      <c r="AA158" s="2062"/>
      <c r="AB158" s="2062"/>
    </row>
    <row r="159" spans="1:28" ht="15" hidden="1" customHeight="1">
      <c r="A159" s="2063"/>
      <c r="B159" s="2438" t="s">
        <v>164</v>
      </c>
      <c r="C159" s="2617">
        <v>20170.639330005</v>
      </c>
      <c r="D159" s="2618">
        <v>4498.4107128899996</v>
      </c>
      <c r="E159" s="2619">
        <v>680.32924812000022</v>
      </c>
      <c r="F159" s="2620">
        <v>61.905649440000005</v>
      </c>
      <c r="G159" s="2620">
        <v>618.42359868000017</v>
      </c>
      <c r="H159" s="2619">
        <v>527.00199999999995</v>
      </c>
      <c r="I159" s="2619">
        <v>4.1599995200000004</v>
      </c>
      <c r="J159" s="2620">
        <v>105.312558</v>
      </c>
      <c r="K159" s="2621">
        <v>14351.691854475001</v>
      </c>
      <c r="L159" s="2620">
        <v>3.7329569999999999</v>
      </c>
      <c r="M159" s="2063"/>
      <c r="N159" s="2051"/>
      <c r="P159" s="2062"/>
      <c r="Q159" s="2062"/>
      <c r="R159" s="2062"/>
      <c r="S159" s="2062"/>
      <c r="T159" s="2062"/>
      <c r="U159" s="2062"/>
      <c r="V159" s="2062"/>
      <c r="W159" s="2062"/>
      <c r="X159" s="2062"/>
      <c r="Y159" s="2062"/>
      <c r="Z159" s="2062"/>
      <c r="AA159" s="2062"/>
      <c r="AB159" s="2062"/>
    </row>
    <row r="160" spans="1:28" ht="15" hidden="1" customHeight="1">
      <c r="A160" s="2063"/>
      <c r="B160" s="2438" t="s">
        <v>165</v>
      </c>
      <c r="C160" s="2617">
        <v>19882.745630404999</v>
      </c>
      <c r="D160" s="2618">
        <v>4103.2272151100005</v>
      </c>
      <c r="E160" s="2619">
        <v>655.8636949700001</v>
      </c>
      <c r="F160" s="2620">
        <v>130.3754495</v>
      </c>
      <c r="G160" s="2620">
        <v>525.48824547000004</v>
      </c>
      <c r="H160" s="2619">
        <v>527.00199999999995</v>
      </c>
      <c r="I160" s="2619">
        <v>8.7465031399999997</v>
      </c>
      <c r="J160" s="2620">
        <v>105.312558</v>
      </c>
      <c r="K160" s="2621">
        <v>14478.860702185</v>
      </c>
      <c r="L160" s="2620">
        <v>3.7329569999999999</v>
      </c>
      <c r="M160" s="2063"/>
      <c r="N160" s="2051"/>
      <c r="P160" s="2062"/>
      <c r="Q160" s="2062"/>
      <c r="R160" s="2062"/>
      <c r="S160" s="2062"/>
      <c r="T160" s="2062"/>
      <c r="U160" s="2062"/>
      <c r="V160" s="2062"/>
      <c r="W160" s="2062"/>
      <c r="X160" s="2062"/>
      <c r="Y160" s="2062"/>
      <c r="Z160" s="2062"/>
      <c r="AA160" s="2062"/>
      <c r="AB160" s="2062"/>
    </row>
    <row r="161" spans="1:28" ht="15" hidden="1" customHeight="1">
      <c r="A161" s="2063"/>
      <c r="B161" s="2438" t="s">
        <v>166</v>
      </c>
      <c r="C161" s="2617">
        <v>20190.184824969998</v>
      </c>
      <c r="D161" s="2618">
        <v>4142.6919144599997</v>
      </c>
      <c r="E161" s="2619">
        <v>587.42351224000004</v>
      </c>
      <c r="F161" s="2620">
        <v>108.80688719999999</v>
      </c>
      <c r="G161" s="2620">
        <v>478.61662504000003</v>
      </c>
      <c r="H161" s="2619">
        <v>527.00199999999995</v>
      </c>
      <c r="I161" s="2619">
        <v>145.4202243</v>
      </c>
      <c r="J161" s="2620">
        <v>508.85448149000001</v>
      </c>
      <c r="K161" s="2621">
        <v>14275.059735479999</v>
      </c>
      <c r="L161" s="2620">
        <v>3.7329569999999999</v>
      </c>
      <c r="M161" s="2063"/>
      <c r="N161" s="2051"/>
      <c r="P161" s="2062"/>
      <c r="Q161" s="2062"/>
      <c r="R161" s="2062"/>
      <c r="S161" s="2062"/>
      <c r="T161" s="2062"/>
      <c r="U161" s="2062"/>
      <c r="V161" s="2062"/>
      <c r="W161" s="2062"/>
      <c r="X161" s="2062"/>
      <c r="Y161" s="2062"/>
      <c r="Z161" s="2062"/>
      <c r="AA161" s="2062"/>
      <c r="AB161" s="2062"/>
    </row>
    <row r="162" spans="1:28" ht="18" hidden="1" customHeight="1">
      <c r="A162" s="2063"/>
      <c r="B162" s="2438" t="s">
        <v>167</v>
      </c>
      <c r="C162" s="2617">
        <v>20308.233846426992</v>
      </c>
      <c r="D162" s="2618">
        <v>3984.87843535</v>
      </c>
      <c r="E162" s="2619">
        <v>733.77068323999993</v>
      </c>
      <c r="F162" s="2620">
        <v>27.281800640000011</v>
      </c>
      <c r="G162" s="2620">
        <v>706.4888825999999</v>
      </c>
      <c r="H162" s="2619">
        <v>527.00199999999995</v>
      </c>
      <c r="I162" s="2619">
        <v>0.37172913000000002</v>
      </c>
      <c r="J162" s="2620">
        <v>497.78787213999999</v>
      </c>
      <c r="K162" s="2621">
        <v>14563.190169566993</v>
      </c>
      <c r="L162" s="2620">
        <v>1.2329570000000001</v>
      </c>
      <c r="M162" s="2063"/>
      <c r="N162" s="2051"/>
      <c r="P162" s="2062"/>
      <c r="Q162" s="2062"/>
      <c r="R162" s="2062"/>
      <c r="S162" s="2062"/>
      <c r="T162" s="2062"/>
      <c r="U162" s="2062"/>
      <c r="V162" s="2062"/>
      <c r="W162" s="2062"/>
      <c r="X162" s="2062"/>
      <c r="Y162" s="2062"/>
      <c r="Z162" s="2062"/>
      <c r="AA162" s="2062"/>
      <c r="AB162" s="2062"/>
    </row>
    <row r="163" spans="1:28" ht="18" hidden="1" customHeight="1">
      <c r="A163" s="2063"/>
      <c r="B163" s="2438" t="s">
        <v>168</v>
      </c>
      <c r="C163" s="2617">
        <v>21163.914776651996</v>
      </c>
      <c r="D163" s="2618">
        <v>4517.6588608599995</v>
      </c>
      <c r="E163" s="2619">
        <v>1048.5837474100006</v>
      </c>
      <c r="F163" s="2620">
        <v>80.850517840000009</v>
      </c>
      <c r="G163" s="2620">
        <v>967.7332295700005</v>
      </c>
      <c r="H163" s="2619">
        <v>527.00199999999995</v>
      </c>
      <c r="I163" s="2619">
        <v>0.37089807000000002</v>
      </c>
      <c r="J163" s="2620">
        <v>500.98662482999998</v>
      </c>
      <c r="K163" s="2621">
        <v>14565.579688481997</v>
      </c>
      <c r="L163" s="2620">
        <v>3.7329569999999999</v>
      </c>
      <c r="M163" s="2063"/>
      <c r="N163" s="2051"/>
      <c r="P163" s="2062"/>
      <c r="Q163" s="2062"/>
      <c r="R163" s="2062"/>
      <c r="S163" s="2062"/>
      <c r="T163" s="2062"/>
      <c r="U163" s="2062"/>
      <c r="V163" s="2062"/>
      <c r="W163" s="2062"/>
      <c r="X163" s="2062"/>
      <c r="Y163" s="2062"/>
      <c r="Z163" s="2062"/>
      <c r="AA163" s="2062"/>
      <c r="AB163" s="2062"/>
    </row>
    <row r="164" spans="1:28" ht="18" hidden="1" customHeight="1">
      <c r="A164" s="2063"/>
      <c r="B164" s="2438" t="s">
        <v>169</v>
      </c>
      <c r="C164" s="2617">
        <v>21543.909807600001</v>
      </c>
      <c r="D164" s="2618">
        <v>4852.8799442700001</v>
      </c>
      <c r="E164" s="2619">
        <v>579.28138544000001</v>
      </c>
      <c r="F164" s="2620">
        <v>-150.12945043000002</v>
      </c>
      <c r="G164" s="2620">
        <v>729.41083587000003</v>
      </c>
      <c r="H164" s="2619">
        <v>527.00199999999995</v>
      </c>
      <c r="I164" s="2619">
        <v>0.36995931999999998</v>
      </c>
      <c r="J164" s="2620">
        <v>504.26053922999995</v>
      </c>
      <c r="K164" s="2621">
        <v>15076.38302234</v>
      </c>
      <c r="L164" s="2620">
        <v>3.7329569999999999</v>
      </c>
      <c r="M164" s="2063"/>
      <c r="N164" s="2051"/>
      <c r="P164" s="2062"/>
      <c r="Q164" s="2062"/>
      <c r="R164" s="2062"/>
      <c r="S164" s="2062"/>
      <c r="T164" s="2062"/>
      <c r="U164" s="2062"/>
      <c r="V164" s="2062"/>
      <c r="W164" s="2062"/>
      <c r="X164" s="2062"/>
      <c r="Y164" s="2062"/>
      <c r="Z164" s="2062"/>
      <c r="AA164" s="2062"/>
      <c r="AB164" s="2062"/>
    </row>
    <row r="165" spans="1:28" ht="18" hidden="1" customHeight="1">
      <c r="A165" s="2063"/>
      <c r="B165" s="2438" t="s">
        <v>170</v>
      </c>
      <c r="C165" s="2617">
        <v>21993.960955737981</v>
      </c>
      <c r="D165" s="2618">
        <v>4840.49910103</v>
      </c>
      <c r="E165" s="2619">
        <v>822.33758931</v>
      </c>
      <c r="F165" s="2620">
        <v>172.95757420999999</v>
      </c>
      <c r="G165" s="2620">
        <v>649.38001510000004</v>
      </c>
      <c r="H165" s="2619">
        <v>527.00199999999995</v>
      </c>
      <c r="I165" s="2619">
        <v>0.36911334000000001</v>
      </c>
      <c r="J165" s="2620">
        <v>497.77145511000003</v>
      </c>
      <c r="K165" s="2621">
        <v>15302.24873994798</v>
      </c>
      <c r="L165" s="2620">
        <v>3.7329569999999999</v>
      </c>
      <c r="M165" s="2063"/>
      <c r="N165" s="2051"/>
      <c r="P165" s="2062"/>
      <c r="Q165" s="2062"/>
      <c r="R165" s="2062"/>
      <c r="S165" s="2062"/>
      <c r="T165" s="2062"/>
      <c r="U165" s="2062"/>
      <c r="V165" s="2062"/>
      <c r="W165" s="2062"/>
      <c r="X165" s="2062"/>
      <c r="Y165" s="2062"/>
      <c r="Z165" s="2062"/>
      <c r="AA165" s="2062"/>
      <c r="AB165" s="2062"/>
    </row>
    <row r="166" spans="1:28" ht="18" hidden="1" customHeight="1">
      <c r="A166" s="2063"/>
      <c r="B166" s="2438" t="s">
        <v>171</v>
      </c>
      <c r="C166" s="2617">
        <v>23356.354924911</v>
      </c>
      <c r="D166" s="2618">
        <v>5632.1304453000002</v>
      </c>
      <c r="E166" s="2619">
        <v>998.35321087</v>
      </c>
      <c r="F166" s="2620">
        <v>90.375838490000021</v>
      </c>
      <c r="G166" s="2620">
        <v>907.97737238000002</v>
      </c>
      <c r="H166" s="2619">
        <v>527.00199999999995</v>
      </c>
      <c r="I166" s="2619">
        <v>0.36815991999999997</v>
      </c>
      <c r="J166" s="2620">
        <v>592.99963138999999</v>
      </c>
      <c r="K166" s="2621">
        <v>15601.768520431</v>
      </c>
      <c r="L166" s="2620">
        <v>3.7329569999999999</v>
      </c>
      <c r="M166" s="2063"/>
      <c r="N166" s="2051"/>
      <c r="P166" s="2062"/>
      <c r="Q166" s="2062"/>
      <c r="R166" s="2062"/>
      <c r="S166" s="2062"/>
      <c r="T166" s="2062"/>
      <c r="U166" s="2062"/>
      <c r="V166" s="2062"/>
      <c r="W166" s="2062"/>
      <c r="X166" s="2062"/>
      <c r="Y166" s="2062"/>
      <c r="Z166" s="2062"/>
      <c r="AA166" s="2062"/>
      <c r="AB166" s="2062"/>
    </row>
    <row r="167" spans="1:28" ht="18" customHeight="1">
      <c r="A167" s="2063"/>
      <c r="B167" s="2432">
        <v>2011</v>
      </c>
      <c r="C167" s="2617">
        <v>22551.647561488993</v>
      </c>
      <c r="D167" s="2618">
        <v>4394.6244677300001</v>
      </c>
      <c r="E167" s="2619">
        <v>929.40784305</v>
      </c>
      <c r="F167" s="2620">
        <v>130.57403556</v>
      </c>
      <c r="G167" s="2620">
        <v>798.83380749000003</v>
      </c>
      <c r="H167" s="2619">
        <v>527.00199999999995</v>
      </c>
      <c r="I167" s="2619">
        <v>0.36729866</v>
      </c>
      <c r="J167" s="2620">
        <v>585.89981023000007</v>
      </c>
      <c r="K167" s="2621">
        <v>15892.421403998993</v>
      </c>
      <c r="L167" s="2620">
        <v>221.92473781999999</v>
      </c>
      <c r="M167" s="2063"/>
      <c r="N167" s="2051"/>
      <c r="P167" s="2062"/>
      <c r="Q167" s="2062"/>
      <c r="R167" s="2062"/>
      <c r="S167" s="2062"/>
      <c r="T167" s="2062"/>
      <c r="U167" s="2062"/>
      <c r="V167" s="2062"/>
      <c r="W167" s="2062"/>
      <c r="X167" s="2062"/>
      <c r="Y167" s="2062"/>
      <c r="Z167" s="2062"/>
      <c r="AA167" s="2062"/>
      <c r="AB167" s="2062"/>
    </row>
    <row r="168" spans="1:28" ht="18" hidden="1" customHeight="1">
      <c r="A168" s="2063"/>
      <c r="B168" s="2432">
        <v>2012</v>
      </c>
      <c r="C168" s="2617"/>
      <c r="D168" s="2627"/>
      <c r="E168" s="2628"/>
      <c r="F168" s="2628"/>
      <c r="G168" s="2628"/>
      <c r="H168" s="2628"/>
      <c r="I168" s="2628"/>
      <c r="J168" s="2628"/>
      <c r="K168" s="2627"/>
      <c r="L168" s="2629"/>
      <c r="M168" s="2063"/>
      <c r="N168" s="2051"/>
      <c r="P168" s="2062"/>
      <c r="Q168" s="2062"/>
      <c r="R168" s="2062"/>
      <c r="S168" s="2062"/>
      <c r="T168" s="2062"/>
      <c r="U168" s="2062"/>
      <c r="V168" s="2062"/>
      <c r="W168" s="2062"/>
      <c r="X168" s="2062"/>
      <c r="Y168" s="2062"/>
      <c r="Z168" s="2062"/>
      <c r="AA168" s="2062"/>
      <c r="AB168" s="2062"/>
    </row>
    <row r="169" spans="1:28" ht="18" hidden="1" customHeight="1">
      <c r="A169" s="2063"/>
      <c r="B169" s="2438" t="s">
        <v>161</v>
      </c>
      <c r="C169" s="2617">
        <v>22988.029940086966</v>
      </c>
      <c r="D169" s="2618">
        <v>4360.3653401600004</v>
      </c>
      <c r="E169" s="2619">
        <v>770.87423672999989</v>
      </c>
      <c r="F169" s="2620">
        <v>142.05109108999997</v>
      </c>
      <c r="G169" s="2620">
        <v>628.82314563999989</v>
      </c>
      <c r="H169" s="2619">
        <v>527.00199999999995</v>
      </c>
      <c r="I169" s="2619">
        <v>0.36642263000000003</v>
      </c>
      <c r="J169" s="2620">
        <v>589.98116590000006</v>
      </c>
      <c r="K169" s="2621">
        <v>16315.220745286966</v>
      </c>
      <c r="L169" s="2620">
        <v>424.22002937999997</v>
      </c>
      <c r="M169" s="2063"/>
      <c r="N169" s="2051"/>
      <c r="P169" s="2062"/>
      <c r="Q169" s="2062"/>
      <c r="R169" s="2062"/>
      <c r="S169" s="2062"/>
      <c r="T169" s="2062"/>
      <c r="U169" s="2062"/>
      <c r="V169" s="2062"/>
      <c r="W169" s="2062"/>
      <c r="X169" s="2062"/>
      <c r="Y169" s="2062"/>
      <c r="Z169" s="2062"/>
      <c r="AA169" s="2062"/>
      <c r="AB169" s="2062"/>
    </row>
    <row r="170" spans="1:28" ht="18" hidden="1" customHeight="1">
      <c r="A170" s="2063"/>
      <c r="B170" s="2438" t="s">
        <v>162</v>
      </c>
      <c r="C170" s="2617">
        <v>23631.033960315002</v>
      </c>
      <c r="D170" s="2618">
        <v>4675.61265955</v>
      </c>
      <c r="E170" s="2619">
        <v>983.54132609999999</v>
      </c>
      <c r="F170" s="2620">
        <v>61.745471950000002</v>
      </c>
      <c r="G170" s="2620">
        <v>921.79585414999997</v>
      </c>
      <c r="H170" s="2619">
        <v>527.00199999999995</v>
      </c>
      <c r="I170" s="2619">
        <v>0.36533979999999999</v>
      </c>
      <c r="J170" s="2620">
        <v>593.33447580999996</v>
      </c>
      <c r="K170" s="2621">
        <v>16602.280470605001</v>
      </c>
      <c r="L170" s="2620">
        <v>248.89768844999998</v>
      </c>
      <c r="M170" s="2063"/>
      <c r="N170" s="2051"/>
      <c r="P170" s="2062"/>
      <c r="Q170" s="2062"/>
      <c r="R170" s="2062"/>
      <c r="S170" s="2062"/>
      <c r="T170" s="2062"/>
      <c r="U170" s="2062"/>
      <c r="V170" s="2062"/>
      <c r="W170" s="2062"/>
      <c r="X170" s="2062"/>
      <c r="Y170" s="2062"/>
      <c r="Z170" s="2062"/>
      <c r="AA170" s="2062"/>
      <c r="AB170" s="2062"/>
    </row>
    <row r="171" spans="1:28" ht="18" hidden="1" customHeight="1">
      <c r="A171" s="2063"/>
      <c r="B171" s="2438" t="s">
        <v>163</v>
      </c>
      <c r="C171" s="2617">
        <v>24495.931938059002</v>
      </c>
      <c r="D171" s="2618">
        <v>5348.9583050900001</v>
      </c>
      <c r="E171" s="2619">
        <v>1305.2931909600004</v>
      </c>
      <c r="F171" s="2620">
        <v>143.50367958999999</v>
      </c>
      <c r="G171" s="2620">
        <v>1161.7895113700004</v>
      </c>
      <c r="H171" s="2619">
        <v>527.00199999999995</v>
      </c>
      <c r="I171" s="2619">
        <v>0.3644463</v>
      </c>
      <c r="J171" s="2620">
        <v>597.41118814000004</v>
      </c>
      <c r="K171" s="2621">
        <v>16697.669850569</v>
      </c>
      <c r="L171" s="2620">
        <v>19.232956999999999</v>
      </c>
      <c r="M171" s="2063"/>
      <c r="N171" s="2051"/>
      <c r="P171" s="2062"/>
      <c r="Q171" s="2062"/>
      <c r="R171" s="2062"/>
      <c r="S171" s="2062"/>
      <c r="T171" s="2062"/>
      <c r="U171" s="2062"/>
      <c r="V171" s="2062"/>
      <c r="W171" s="2062"/>
      <c r="X171" s="2062"/>
      <c r="Y171" s="2062"/>
      <c r="Z171" s="2062"/>
      <c r="AA171" s="2062"/>
      <c r="AB171" s="2062"/>
    </row>
    <row r="172" spans="1:28" ht="18" hidden="1" customHeight="1">
      <c r="A172" s="2049"/>
      <c r="B172" s="2439" t="s">
        <v>164</v>
      </c>
      <c r="C172" s="2617">
        <v>22553.605977297018</v>
      </c>
      <c r="D172" s="2618">
        <v>3683.9161117499998</v>
      </c>
      <c r="E172" s="2619">
        <v>900.76235011999995</v>
      </c>
      <c r="F172" s="2620">
        <v>148.13324487</v>
      </c>
      <c r="G172" s="2620">
        <v>752.62910524999995</v>
      </c>
      <c r="H172" s="2619">
        <v>527.00199999999995</v>
      </c>
      <c r="I172" s="2619">
        <v>0.36344641999999999</v>
      </c>
      <c r="J172" s="2620">
        <v>589.38927032999993</v>
      </c>
      <c r="K172" s="2621">
        <v>16832.93984167702</v>
      </c>
      <c r="L172" s="2620">
        <v>19.232956999999999</v>
      </c>
      <c r="M172" s="2049"/>
      <c r="N172" s="2051"/>
      <c r="Q172" s="2062"/>
      <c r="R172" s="2062"/>
      <c r="S172" s="2062"/>
      <c r="T172" s="2062"/>
      <c r="U172" s="2062"/>
      <c r="V172" s="2062"/>
      <c r="W172" s="2062"/>
      <c r="X172" s="2062"/>
      <c r="Y172" s="2062"/>
      <c r="Z172" s="2062"/>
      <c r="AA172" s="2062"/>
      <c r="AB172" s="2062"/>
    </row>
    <row r="173" spans="1:28" ht="18" hidden="1" customHeight="1">
      <c r="A173" s="2049"/>
      <c r="B173" s="2439" t="s">
        <v>165</v>
      </c>
      <c r="C173" s="2617">
        <v>22968.67705865109</v>
      </c>
      <c r="D173" s="2618">
        <v>4210.9660134599999</v>
      </c>
      <c r="E173" s="2619">
        <v>702.08293567999999</v>
      </c>
      <c r="F173" s="2620">
        <v>68.907695530000012</v>
      </c>
      <c r="G173" s="2620">
        <v>633.17524015000004</v>
      </c>
      <c r="H173" s="2619">
        <v>527.00199999999995</v>
      </c>
      <c r="I173" s="2619">
        <v>0.36253678</v>
      </c>
      <c r="J173" s="2620">
        <v>601.10442190000003</v>
      </c>
      <c r="K173" s="2621">
        <v>16907.926193831088</v>
      </c>
      <c r="L173" s="2620">
        <v>19.232956999999999</v>
      </c>
      <c r="M173" s="2049"/>
      <c r="N173" s="2051"/>
      <c r="Q173" s="2062"/>
      <c r="R173" s="2062"/>
      <c r="S173" s="2062"/>
      <c r="T173" s="2062"/>
      <c r="U173" s="2062"/>
      <c r="V173" s="2062"/>
      <c r="W173" s="2062"/>
      <c r="X173" s="2062"/>
      <c r="Y173" s="2062"/>
      <c r="Z173" s="2062"/>
      <c r="AA173" s="2062"/>
      <c r="AB173" s="2062"/>
    </row>
    <row r="174" spans="1:28" ht="18" hidden="1" customHeight="1">
      <c r="A174" s="2049"/>
      <c r="B174" s="2439" t="s">
        <v>166</v>
      </c>
      <c r="C174" s="2617">
        <v>21102.676228828001</v>
      </c>
      <c r="D174" s="2625">
        <v>2114.3406251599999</v>
      </c>
      <c r="E174" s="2630">
        <v>1053.82609828</v>
      </c>
      <c r="F174" s="2625">
        <v>222.75424432000003</v>
      </c>
      <c r="G174" s="2625">
        <v>831.07185396</v>
      </c>
      <c r="H174" s="2630">
        <v>527.00199999999995</v>
      </c>
      <c r="I174" s="2619">
        <v>0.36152123999999997</v>
      </c>
      <c r="J174" s="2620">
        <v>604.93996675999995</v>
      </c>
      <c r="K174" s="2621">
        <v>16782.973060388002</v>
      </c>
      <c r="L174" s="2620">
        <v>19.232956999999999</v>
      </c>
      <c r="M174" s="2049"/>
      <c r="N174" s="2051"/>
    </row>
    <row r="175" spans="1:28" ht="18" hidden="1" customHeight="1">
      <c r="A175" s="2049"/>
      <c r="B175" s="2439" t="s">
        <v>167</v>
      </c>
      <c r="C175" s="2617">
        <v>21036.540685679924</v>
      </c>
      <c r="D175" s="2625">
        <v>2101.7050985300002</v>
      </c>
      <c r="E175" s="2630">
        <v>792.47461404000001</v>
      </c>
      <c r="F175" s="2625">
        <v>167.16263263000002</v>
      </c>
      <c r="G175" s="2625">
        <v>625.31198141000004</v>
      </c>
      <c r="H175" s="2630">
        <v>527.00199999999995</v>
      </c>
      <c r="I175" s="2619">
        <v>0</v>
      </c>
      <c r="J175" s="2620">
        <v>596.94128502000001</v>
      </c>
      <c r="K175" s="2621">
        <v>16999.184731089921</v>
      </c>
      <c r="L175" s="2620">
        <v>19.232956999999999</v>
      </c>
      <c r="M175" s="2049"/>
      <c r="N175" s="2051"/>
    </row>
    <row r="176" spans="1:28" ht="18" hidden="1" customHeight="1">
      <c r="A176" s="2049"/>
      <c r="B176" s="2439" t="s">
        <v>168</v>
      </c>
      <c r="C176" s="2617">
        <v>21056.004967313027</v>
      </c>
      <c r="D176" s="2625">
        <v>1954.1819485000001</v>
      </c>
      <c r="E176" s="2630">
        <v>864.57427676000009</v>
      </c>
      <c r="F176" s="2625">
        <v>142.30159828000001</v>
      </c>
      <c r="G176" s="2625">
        <v>722.27267848000008</v>
      </c>
      <c r="H176" s="2630">
        <v>527.00199999999995</v>
      </c>
      <c r="I176" s="2619">
        <v>0</v>
      </c>
      <c r="J176" s="2620">
        <v>600.90862609999999</v>
      </c>
      <c r="K176" s="2621">
        <v>17090.105158953025</v>
      </c>
      <c r="L176" s="2620">
        <v>19.232956999999999</v>
      </c>
      <c r="M176" s="2049"/>
      <c r="N176" s="2051"/>
    </row>
    <row r="177" spans="1:14" ht="18" hidden="1" customHeight="1">
      <c r="A177" s="2049"/>
      <c r="B177" s="2439" t="s">
        <v>169</v>
      </c>
      <c r="C177" s="2617">
        <v>22306.931334300047</v>
      </c>
      <c r="D177" s="2625">
        <v>2517.8476893899997</v>
      </c>
      <c r="E177" s="2630">
        <v>1556.8391136100001</v>
      </c>
      <c r="F177" s="2625">
        <v>233.59724467000001</v>
      </c>
      <c r="G177" s="2625">
        <v>1323.2418689400001</v>
      </c>
      <c r="H177" s="2630">
        <v>527.00199999999995</v>
      </c>
      <c r="I177" s="2619">
        <v>7.0183606599999999</v>
      </c>
      <c r="J177" s="2620">
        <v>604.74095159000001</v>
      </c>
      <c r="K177" s="2621">
        <v>17074.250262050045</v>
      </c>
      <c r="L177" s="2620">
        <v>19.232956999999999</v>
      </c>
      <c r="M177" s="2049"/>
      <c r="N177" s="2051"/>
    </row>
    <row r="178" spans="1:14" ht="18" hidden="1" customHeight="1">
      <c r="A178" s="2049"/>
      <c r="B178" s="2439" t="s">
        <v>170</v>
      </c>
      <c r="C178" s="2617">
        <v>22814.765948770022</v>
      </c>
      <c r="D178" s="2625">
        <v>3318.87456836</v>
      </c>
      <c r="E178" s="2630">
        <v>1197.71659153</v>
      </c>
      <c r="F178" s="2625">
        <v>113.30692664</v>
      </c>
      <c r="G178" s="2625">
        <v>1084.4096648899999</v>
      </c>
      <c r="H178" s="2630">
        <v>527.00199999999995</v>
      </c>
      <c r="I178" s="2619">
        <v>7.0657923499999997</v>
      </c>
      <c r="J178" s="2620">
        <v>596.59436068999992</v>
      </c>
      <c r="K178" s="2621">
        <v>17148.279678840019</v>
      </c>
      <c r="L178" s="2620">
        <v>19.232956999999999</v>
      </c>
      <c r="M178" s="2049"/>
      <c r="N178" s="2051"/>
    </row>
    <row r="179" spans="1:14" ht="18" hidden="1" customHeight="1">
      <c r="A179" s="2049"/>
      <c r="B179" s="2439" t="s">
        <v>171</v>
      </c>
      <c r="C179" s="2617">
        <v>23920.884976430036</v>
      </c>
      <c r="D179" s="2625">
        <v>4922.0562765199993</v>
      </c>
      <c r="E179" s="2630">
        <v>636.46175869000001</v>
      </c>
      <c r="F179" s="2625">
        <v>126.92854473</v>
      </c>
      <c r="G179" s="2625">
        <v>509.53321396000001</v>
      </c>
      <c r="H179" s="2630">
        <v>527.00199999999995</v>
      </c>
      <c r="I179" s="2619">
        <v>7.0137704900000006</v>
      </c>
      <c r="J179" s="2620">
        <v>600.41262071999995</v>
      </c>
      <c r="K179" s="2621">
        <v>17208.705593010036</v>
      </c>
      <c r="L179" s="2620">
        <v>19.232956999999999</v>
      </c>
      <c r="M179" s="2049"/>
      <c r="N179" s="2051"/>
    </row>
    <row r="180" spans="1:14" ht="18" customHeight="1">
      <c r="A180" s="2049"/>
      <c r="B180" s="2432">
        <v>2012</v>
      </c>
      <c r="C180" s="2617">
        <v>25489.899699886959</v>
      </c>
      <c r="D180" s="2625">
        <v>4643.9914981500006</v>
      </c>
      <c r="E180" s="2630">
        <v>2446.5398876700001</v>
      </c>
      <c r="F180" s="2625">
        <v>134.40875125999997</v>
      </c>
      <c r="G180" s="2625">
        <v>2312.1311364100002</v>
      </c>
      <c r="H180" s="2630">
        <v>527.00199999999995</v>
      </c>
      <c r="I180" s="2631">
        <v>0</v>
      </c>
      <c r="J180" s="2632">
        <v>592.26451595000003</v>
      </c>
      <c r="K180" s="2621">
        <v>17260.868841116957</v>
      </c>
      <c r="L180" s="2632">
        <v>19.232956999999999</v>
      </c>
      <c r="M180" s="2049"/>
      <c r="N180" s="2051"/>
    </row>
    <row r="181" spans="1:14" ht="18" customHeight="1">
      <c r="A181" s="2049"/>
      <c r="B181" s="2442">
        <v>2013</v>
      </c>
      <c r="C181" s="2633"/>
      <c r="D181" s="2632"/>
      <c r="E181" s="2631"/>
      <c r="F181" s="2632"/>
      <c r="G181" s="2632"/>
      <c r="H181" s="2631"/>
      <c r="I181" s="2631"/>
      <c r="J181" s="2632"/>
      <c r="K181" s="2632"/>
      <c r="L181" s="2632"/>
      <c r="M181" s="2049"/>
      <c r="N181" s="2051"/>
    </row>
    <row r="182" spans="1:14" ht="18" customHeight="1">
      <c r="A182" s="2049"/>
      <c r="B182" s="2443" t="s">
        <v>161</v>
      </c>
      <c r="C182" s="2633">
        <v>25593.329861010032</v>
      </c>
      <c r="D182" s="2632">
        <v>6029.9539784999997</v>
      </c>
      <c r="E182" s="2631">
        <v>1209.93523841</v>
      </c>
      <c r="F182" s="2632">
        <v>119.26643848000001</v>
      </c>
      <c r="G182" s="2632">
        <v>1090.66879993</v>
      </c>
      <c r="H182" s="2631">
        <v>527.00199999999995</v>
      </c>
      <c r="I182" s="2631">
        <v>0</v>
      </c>
      <c r="J182" s="2632">
        <v>596.21388935999994</v>
      </c>
      <c r="K182" s="2632">
        <v>17210.991797740033</v>
      </c>
      <c r="L182" s="2632">
        <v>19.232956999999999</v>
      </c>
      <c r="M182" s="2049"/>
      <c r="N182" s="2051"/>
    </row>
    <row r="183" spans="1:14" ht="18" customHeight="1">
      <c r="A183" s="2049"/>
      <c r="B183" s="2443" t="s">
        <v>162</v>
      </c>
      <c r="C183" s="2633">
        <v>25959.399735119943</v>
      </c>
      <c r="D183" s="2632">
        <v>5907.0977369599996</v>
      </c>
      <c r="E183" s="2631">
        <v>1427.5131226500002</v>
      </c>
      <c r="F183" s="2632">
        <v>66.603323500000002</v>
      </c>
      <c r="G183" s="2632">
        <v>1360.9097991500003</v>
      </c>
      <c r="H183" s="2631">
        <v>527.00199999999995</v>
      </c>
      <c r="I183" s="2631">
        <v>0</v>
      </c>
      <c r="J183" s="2632">
        <v>779.81196384999987</v>
      </c>
      <c r="K183" s="2632">
        <v>17298.741954659945</v>
      </c>
      <c r="L183" s="2632">
        <v>19.232956999999999</v>
      </c>
      <c r="M183" s="2049"/>
      <c r="N183" s="2051"/>
    </row>
    <row r="184" spans="1:14" ht="18" customHeight="1">
      <c r="A184" s="2049"/>
      <c r="B184" s="2443" t="s">
        <v>163</v>
      </c>
      <c r="C184" s="2633">
        <v>26165.341307059971</v>
      </c>
      <c r="D184" s="2632">
        <v>6104.5570728399998</v>
      </c>
      <c r="E184" s="2631">
        <v>1493.3397662499999</v>
      </c>
      <c r="F184" s="2632">
        <v>65.21918402</v>
      </c>
      <c r="G184" s="2632">
        <v>1428.1205822299999</v>
      </c>
      <c r="H184" s="2631">
        <v>527.00199999999995</v>
      </c>
      <c r="I184" s="2631">
        <v>0</v>
      </c>
      <c r="J184" s="2632">
        <v>785.2990008999999</v>
      </c>
      <c r="K184" s="2632">
        <v>17235.910510069971</v>
      </c>
      <c r="L184" s="2632">
        <v>19.232956999999999</v>
      </c>
      <c r="M184" s="2049"/>
      <c r="N184" s="2051"/>
    </row>
    <row r="185" spans="1:14" ht="18" customHeight="1">
      <c r="A185" s="2049"/>
      <c r="B185" s="2443" t="s">
        <v>164</v>
      </c>
      <c r="C185" s="2633">
        <v>22985.438597739983</v>
      </c>
      <c r="D185" s="2632">
        <v>3539.6770153500001</v>
      </c>
      <c r="E185" s="2631">
        <v>1057.4998878600002</v>
      </c>
      <c r="F185" s="2632">
        <v>183.72082920999998</v>
      </c>
      <c r="G185" s="2632">
        <v>873.77905865000025</v>
      </c>
      <c r="H185" s="2631">
        <v>527.00199999999995</v>
      </c>
      <c r="I185" s="2631">
        <v>667.07193640000003</v>
      </c>
      <c r="J185" s="2632">
        <v>111.69436567</v>
      </c>
      <c r="K185" s="2632">
        <v>17063.260435459983</v>
      </c>
      <c r="L185" s="2632">
        <v>19.232956999999999</v>
      </c>
      <c r="M185" s="2049"/>
      <c r="N185" s="2051"/>
    </row>
    <row r="186" spans="1:14" ht="18" customHeight="1">
      <c r="A186" s="2049"/>
      <c r="B186" s="2443" t="s">
        <v>165</v>
      </c>
      <c r="C186" s="2633">
        <v>22400.714344320939</v>
      </c>
      <c r="D186" s="2632">
        <v>3265.1266507800001</v>
      </c>
      <c r="E186" s="2631">
        <v>770.41941088999999</v>
      </c>
      <c r="F186" s="2632">
        <v>29.196508679999997</v>
      </c>
      <c r="G186" s="2632">
        <v>741.22290221000003</v>
      </c>
      <c r="H186" s="2631">
        <v>527.00199999999995</v>
      </c>
      <c r="I186" s="2631">
        <v>672.67629894000004</v>
      </c>
      <c r="J186" s="2632">
        <v>111.57461468999999</v>
      </c>
      <c r="K186" s="2632">
        <v>17034.682412020939</v>
      </c>
      <c r="L186" s="2632">
        <v>19.232956999999999</v>
      </c>
      <c r="M186" s="2049"/>
      <c r="N186" s="2051"/>
    </row>
    <row r="187" spans="1:14" ht="18" customHeight="1">
      <c r="A187" s="2049"/>
      <c r="B187" s="2761" t="s">
        <v>166</v>
      </c>
      <c r="C187" s="2762">
        <v>21768.059821421</v>
      </c>
      <c r="D187" s="2763">
        <v>2209.3640323600002</v>
      </c>
      <c r="E187" s="2764">
        <v>801.04519404000007</v>
      </c>
      <c r="F187" s="2763">
        <v>144.50334728000001</v>
      </c>
      <c r="G187" s="2763">
        <v>656.54184676</v>
      </c>
      <c r="H187" s="2764">
        <v>527.00199999999995</v>
      </c>
      <c r="I187" s="2764">
        <v>1285.29423176</v>
      </c>
      <c r="J187" s="2763">
        <v>114.00365997999999</v>
      </c>
      <c r="K187" s="2763">
        <v>16812.117746281001</v>
      </c>
      <c r="L187" s="2763">
        <v>19.232956999999999</v>
      </c>
      <c r="M187" s="2049"/>
      <c r="N187" s="2051"/>
    </row>
    <row r="188" spans="1:14" ht="18" customHeight="1">
      <c r="A188" s="2049"/>
      <c r="B188" s="2761" t="s">
        <v>167</v>
      </c>
      <c r="C188" s="2762">
        <v>23153.531585751967</v>
      </c>
      <c r="D188" s="2763">
        <v>3376.3028719099998</v>
      </c>
      <c r="E188" s="2764">
        <v>925.5486169400001</v>
      </c>
      <c r="F188" s="2763">
        <v>204.69180374000001</v>
      </c>
      <c r="G188" s="2763">
        <v>720.85681320000003</v>
      </c>
      <c r="H188" s="2764">
        <v>527.00199999999995</v>
      </c>
      <c r="I188" s="2764">
        <v>1296.3855943000001</v>
      </c>
      <c r="J188" s="2763">
        <v>113.9071824</v>
      </c>
      <c r="K188" s="2763">
        <v>16890.625733061966</v>
      </c>
      <c r="L188" s="2763">
        <v>23.759587140000001</v>
      </c>
      <c r="M188" s="2049"/>
      <c r="N188" s="2051"/>
    </row>
    <row r="189" spans="1:14" ht="18" customHeight="1">
      <c r="A189" s="2049"/>
      <c r="B189" s="2761" t="s">
        <v>168</v>
      </c>
      <c r="C189" s="2762">
        <v>23217.059542549985</v>
      </c>
      <c r="D189" s="2763">
        <v>3799.5125138800004</v>
      </c>
      <c r="E189" s="2764">
        <v>970.88616963999993</v>
      </c>
      <c r="F189" s="2763">
        <v>147.02612496999998</v>
      </c>
      <c r="G189" s="2763">
        <v>823.86004466999998</v>
      </c>
      <c r="H189" s="2764">
        <v>527.00199999999995</v>
      </c>
      <c r="I189" s="2764">
        <v>898.40298425000003</v>
      </c>
      <c r="J189" s="2763">
        <v>113.61747145</v>
      </c>
      <c r="K189" s="2763">
        <v>16883.878818949983</v>
      </c>
      <c r="L189" s="2763">
        <v>23.75958438</v>
      </c>
      <c r="M189" s="2049"/>
      <c r="N189" s="2051"/>
    </row>
    <row r="190" spans="1:14" ht="18" customHeight="1">
      <c r="A190" s="2049"/>
      <c r="B190" s="2761" t="s">
        <v>169</v>
      </c>
      <c r="C190" s="2762">
        <v>24180.266380320016</v>
      </c>
      <c r="D190" s="2763">
        <v>4622.4096302400003</v>
      </c>
      <c r="E190" s="2764">
        <v>1268.58955416</v>
      </c>
      <c r="F190" s="2763">
        <v>295.23147091000004</v>
      </c>
      <c r="G190" s="2763">
        <v>973.35808324999994</v>
      </c>
      <c r="H190" s="2764">
        <v>527.00199999999995</v>
      </c>
      <c r="I190" s="2764">
        <v>694.73217735000003</v>
      </c>
      <c r="J190" s="2763">
        <v>105.312558</v>
      </c>
      <c r="K190" s="2763">
        <v>16938.427588540017</v>
      </c>
      <c r="L190" s="2763">
        <v>23.792872029999998</v>
      </c>
      <c r="M190" s="2049"/>
      <c r="N190" s="2051"/>
    </row>
    <row r="191" spans="1:14" ht="18" customHeight="1">
      <c r="A191" s="2049"/>
      <c r="B191" s="2761" t="s">
        <v>170</v>
      </c>
      <c r="C191" s="2762">
        <v>23220.996497279997</v>
      </c>
      <c r="D191" s="2763">
        <v>3873.9208948800001</v>
      </c>
      <c r="E191" s="2764">
        <v>1362.1802294899999</v>
      </c>
      <c r="F191" s="2763">
        <v>114.68592135</v>
      </c>
      <c r="G191" s="2763">
        <v>1247.4943081399999</v>
      </c>
      <c r="H191" s="2764">
        <v>146.268</v>
      </c>
      <c r="I191" s="2764">
        <v>674.95571797000002</v>
      </c>
      <c r="J191" s="2763">
        <v>105.312558</v>
      </c>
      <c r="K191" s="2763">
        <v>17034.531827669995</v>
      </c>
      <c r="L191" s="2763">
        <v>23.827269269999999</v>
      </c>
      <c r="M191" s="2049"/>
      <c r="N191" s="2051"/>
    </row>
    <row r="192" spans="1:14" ht="18" customHeight="1">
      <c r="A192" s="2049"/>
      <c r="B192" s="2761" t="s">
        <v>171</v>
      </c>
      <c r="C192" s="2762">
        <v>23198.587384530023</v>
      </c>
      <c r="D192" s="2763">
        <v>3925.8004166000001</v>
      </c>
      <c r="E192" s="2764">
        <v>1047.62487723</v>
      </c>
      <c r="F192" s="2763">
        <v>219.51324686999999</v>
      </c>
      <c r="G192" s="2763">
        <v>828.11163035999994</v>
      </c>
      <c r="H192" s="2764">
        <v>146.268</v>
      </c>
      <c r="I192" s="2764">
        <v>0</v>
      </c>
      <c r="J192" s="2763">
        <v>785.69185261999996</v>
      </c>
      <c r="K192" s="2763">
        <v>17269.341681160022</v>
      </c>
      <c r="L192" s="2763">
        <v>23.860556920000001</v>
      </c>
      <c r="M192" s="2049"/>
      <c r="N192" s="2051"/>
    </row>
    <row r="193" spans="1:14" ht="18" customHeight="1">
      <c r="A193" s="2049"/>
      <c r="B193" s="2761" t="s">
        <v>148</v>
      </c>
      <c r="C193" s="2762">
        <v>24085.957186649961</v>
      </c>
      <c r="D193" s="2763">
        <v>4815.3631667599993</v>
      </c>
      <c r="E193" s="2764">
        <v>1002.64544261</v>
      </c>
      <c r="F193" s="2763">
        <v>206.42598695000001</v>
      </c>
      <c r="G193" s="2763">
        <v>796.21945565999999</v>
      </c>
      <c r="H193" s="2764">
        <v>105.371</v>
      </c>
      <c r="I193" s="2764">
        <v>0</v>
      </c>
      <c r="J193" s="2763">
        <v>791.29621516999987</v>
      </c>
      <c r="K193" s="2763">
        <v>17347.386407949962</v>
      </c>
      <c r="L193" s="2763">
        <v>23.894954159999998</v>
      </c>
      <c r="M193" s="2049"/>
      <c r="N193" s="2051"/>
    </row>
    <row r="194" spans="1:14" ht="18" customHeight="1">
      <c r="A194" s="2049"/>
      <c r="B194" s="2917">
        <v>2014</v>
      </c>
      <c r="C194" s="2762"/>
      <c r="D194" s="2763"/>
      <c r="E194" s="2764"/>
      <c r="F194" s="2763"/>
      <c r="G194" s="2763"/>
      <c r="H194" s="2764"/>
      <c r="I194" s="2764"/>
      <c r="J194" s="2763"/>
      <c r="K194" s="2763"/>
      <c r="L194" s="2763"/>
      <c r="M194" s="2049"/>
      <c r="N194" s="2051"/>
    </row>
    <row r="195" spans="1:14" ht="18" customHeight="1">
      <c r="A195" s="2049"/>
      <c r="B195" s="2761" t="s">
        <v>161</v>
      </c>
      <c r="C195" s="2762">
        <v>24277.067458130001</v>
      </c>
      <c r="D195" s="2763">
        <v>4857.2090605499998</v>
      </c>
      <c r="E195" s="2764">
        <v>1071.14079277</v>
      </c>
      <c r="F195" s="2763">
        <v>257.50941265999995</v>
      </c>
      <c r="G195" s="2763">
        <v>813.63138011000001</v>
      </c>
      <c r="H195" s="2764">
        <v>105.371</v>
      </c>
      <c r="I195" s="2764">
        <v>0</v>
      </c>
      <c r="J195" s="2763">
        <v>796.90057770999999</v>
      </c>
      <c r="K195" s="2763">
        <v>17422.516675700001</v>
      </c>
      <c r="L195" s="2763">
        <v>23.929351399999998</v>
      </c>
      <c r="M195" s="2049"/>
      <c r="N195" s="2051"/>
    </row>
    <row r="196" spans="1:14" ht="18" customHeight="1">
      <c r="A196" s="2049"/>
      <c r="B196" s="2761" t="s">
        <v>162</v>
      </c>
      <c r="C196" s="2762">
        <v>24898.906916060034</v>
      </c>
      <c r="D196" s="2763">
        <v>5292.5516800099995</v>
      </c>
      <c r="E196" s="2764">
        <v>1255.03573824</v>
      </c>
      <c r="F196" s="2763">
        <v>149.85318609000001</v>
      </c>
      <c r="G196" s="2763">
        <v>1105.18255215</v>
      </c>
      <c r="H196" s="2764">
        <v>105.371</v>
      </c>
      <c r="I196" s="2764">
        <v>0</v>
      </c>
      <c r="J196" s="2763">
        <v>801.9625825899999</v>
      </c>
      <c r="K196" s="2763">
        <v>17420.025495350033</v>
      </c>
      <c r="L196" s="2763">
        <v>23.960419869999999</v>
      </c>
      <c r="M196" s="2049"/>
      <c r="N196" s="2051"/>
    </row>
    <row r="197" spans="1:14" ht="18" customHeight="1">
      <c r="A197" s="2049"/>
      <c r="B197" s="2761" t="s">
        <v>163</v>
      </c>
      <c r="C197" s="2762">
        <v>25197.263849070001</v>
      </c>
      <c r="D197" s="2763">
        <v>5939.2762625300002</v>
      </c>
      <c r="E197" s="2764">
        <v>873.33633397000006</v>
      </c>
      <c r="F197" s="2763">
        <v>146.77612836</v>
      </c>
      <c r="G197" s="2763">
        <v>726.56020561000003</v>
      </c>
      <c r="H197" s="2764">
        <v>105.371</v>
      </c>
      <c r="I197" s="2764">
        <v>0</v>
      </c>
      <c r="J197" s="2763">
        <v>807.56694512999991</v>
      </c>
      <c r="K197" s="2763">
        <v>17447.71849033</v>
      </c>
      <c r="L197" s="2763">
        <v>23.99481711</v>
      </c>
      <c r="M197" s="2049"/>
      <c r="N197" s="2051"/>
    </row>
    <row r="198" spans="1:14" ht="18" customHeight="1">
      <c r="A198" s="2049"/>
      <c r="B198" s="2761" t="s">
        <v>164</v>
      </c>
      <c r="C198" s="2762">
        <v>24881.731996011</v>
      </c>
      <c r="D198" s="2763">
        <v>5311.4245227599986</v>
      </c>
      <c r="E198" s="2764">
        <v>1623.27964477</v>
      </c>
      <c r="F198" s="2763">
        <v>181.86031127999999</v>
      </c>
      <c r="G198" s="2763">
        <v>1441.4193334900001</v>
      </c>
      <c r="H198" s="2764">
        <v>105.371</v>
      </c>
      <c r="I198" s="2764">
        <v>0</v>
      </c>
      <c r="J198" s="2763">
        <v>790.48004158999993</v>
      </c>
      <c r="K198" s="2763">
        <v>16970.635423631</v>
      </c>
      <c r="L198" s="2763">
        <v>80.541363259999997</v>
      </c>
      <c r="M198" s="2049"/>
      <c r="N198" s="2051"/>
    </row>
    <row r="199" spans="1:14" ht="18" customHeight="1">
      <c r="A199" s="2049"/>
      <c r="B199" s="2761" t="s">
        <v>165</v>
      </c>
      <c r="C199" s="2762">
        <v>23537.921628999971</v>
      </c>
      <c r="D199" s="2763">
        <v>4249.7233560999994</v>
      </c>
      <c r="E199" s="2764">
        <v>958.50085623000007</v>
      </c>
      <c r="F199" s="2763">
        <v>150.34636986000001</v>
      </c>
      <c r="G199" s="2763">
        <v>808.15448637000009</v>
      </c>
      <c r="H199" s="2764">
        <v>105.371</v>
      </c>
      <c r="I199" s="2764">
        <v>0</v>
      </c>
      <c r="J199" s="2763">
        <v>784.70981826999991</v>
      </c>
      <c r="K199" s="2763">
        <v>17415.883644139973</v>
      </c>
      <c r="L199" s="2763">
        <v>23.73295426</v>
      </c>
      <c r="M199" s="2049"/>
      <c r="N199" s="2051"/>
    </row>
    <row r="200" spans="1:14" ht="18" customHeight="1">
      <c r="A200" s="2049"/>
      <c r="B200" s="2761" t="s">
        <v>166</v>
      </c>
      <c r="C200" s="2762">
        <v>21684.239261070001</v>
      </c>
      <c r="D200" s="2763">
        <v>2112.7572523200001</v>
      </c>
      <c r="E200" s="2764">
        <v>1057.4150493199998</v>
      </c>
      <c r="F200" s="2763">
        <v>143.14596397</v>
      </c>
      <c r="G200" s="2763">
        <v>914.26908534999984</v>
      </c>
      <c r="H200" s="2764">
        <v>77.483999999999995</v>
      </c>
      <c r="I200" s="2764">
        <v>64.214508739999999</v>
      </c>
      <c r="J200" s="2763">
        <v>801.64821571000004</v>
      </c>
      <c r="K200" s="2763">
        <v>17546.625554910002</v>
      </c>
      <c r="L200" s="2763">
        <v>24.094680069999999</v>
      </c>
      <c r="M200" s="2049"/>
      <c r="N200" s="2051"/>
    </row>
    <row r="201" spans="1:14" ht="18" customHeight="1">
      <c r="A201" s="2049"/>
      <c r="B201" s="2761" t="s">
        <v>167</v>
      </c>
      <c r="C201" s="2762">
        <v>23083.225722503972</v>
      </c>
      <c r="D201" s="2763">
        <v>2923.9086786799999</v>
      </c>
      <c r="E201" s="2764">
        <v>1578.5948040699998</v>
      </c>
      <c r="F201" s="2763">
        <v>233.72051717000005</v>
      </c>
      <c r="G201" s="2763">
        <v>1344.8742868999998</v>
      </c>
      <c r="H201" s="2764">
        <v>77.483999999999995</v>
      </c>
      <c r="I201" s="2764">
        <v>64.639549319999986</v>
      </c>
      <c r="J201" s="2763">
        <v>794.24012419000007</v>
      </c>
      <c r="K201" s="2763">
        <v>17620.212816393974</v>
      </c>
      <c r="L201" s="2763">
        <v>24.145749849999998</v>
      </c>
      <c r="M201" s="2049"/>
      <c r="N201" s="2051"/>
    </row>
    <row r="202" spans="1:14" ht="18" customHeight="1">
      <c r="A202" s="2049"/>
      <c r="B202" s="2761" t="s">
        <v>168</v>
      </c>
      <c r="C202" s="2762">
        <v>23288.230245046019</v>
      </c>
      <c r="D202" s="2763">
        <v>3484.0903520699999</v>
      </c>
      <c r="E202" s="2764">
        <v>1274.2426955400001</v>
      </c>
      <c r="F202" s="2763">
        <v>220.87782573999999</v>
      </c>
      <c r="G202" s="2763">
        <v>1053.3648698000002</v>
      </c>
      <c r="H202" s="2764">
        <v>77.483999999999995</v>
      </c>
      <c r="I202" s="2764">
        <v>36.225376220000001</v>
      </c>
      <c r="J202" s="2763">
        <v>779.56263589999992</v>
      </c>
      <c r="K202" s="2763">
        <v>17612.861261726022</v>
      </c>
      <c r="L202" s="2763">
        <v>23.763923589999997</v>
      </c>
      <c r="M202" s="2049"/>
      <c r="N202" s="2051"/>
    </row>
    <row r="203" spans="1:14" ht="18" customHeight="1">
      <c r="A203" s="2049"/>
      <c r="B203" s="2761" t="s">
        <v>169</v>
      </c>
      <c r="C203" s="2762">
        <v>23454.158580057989</v>
      </c>
      <c r="D203" s="2763">
        <v>3378.6430399799997</v>
      </c>
      <c r="E203" s="2764">
        <v>1215.5820960599999</v>
      </c>
      <c r="F203" s="2763">
        <v>113.82002984</v>
      </c>
      <c r="G203" s="2763">
        <v>1101.76206622</v>
      </c>
      <c r="H203" s="2764">
        <v>77.483999999999995</v>
      </c>
      <c r="I203" s="2764">
        <v>0</v>
      </c>
      <c r="J203" s="2763">
        <v>785.03840804999993</v>
      </c>
      <c r="K203" s="2763">
        <v>17973.206648087988</v>
      </c>
      <c r="L203" s="2763">
        <v>24.204387879999999</v>
      </c>
      <c r="M203" s="2049"/>
      <c r="N203" s="2051"/>
    </row>
    <row r="204" spans="1:14" ht="18" customHeight="1">
      <c r="A204" s="2049"/>
      <c r="B204" s="2761" t="s">
        <v>170</v>
      </c>
      <c r="C204" s="2762">
        <v>25045.949133299022</v>
      </c>
      <c r="D204" s="2763">
        <v>3865.5699367900006</v>
      </c>
      <c r="E204" s="2764">
        <v>1049.8899138899999</v>
      </c>
      <c r="F204" s="2763">
        <v>100.32507124</v>
      </c>
      <c r="G204" s="2763">
        <v>949.56484264999995</v>
      </c>
      <c r="H204" s="2764">
        <v>997.77555600000005</v>
      </c>
      <c r="I204" s="2764">
        <v>0</v>
      </c>
      <c r="J204" s="2763">
        <v>756.81721750999998</v>
      </c>
      <c r="K204" s="2763">
        <v>18355.288552109021</v>
      </c>
      <c r="L204" s="2763">
        <v>20.607956999999999</v>
      </c>
      <c r="M204" s="2049"/>
      <c r="N204" s="2051"/>
    </row>
    <row r="205" spans="1:14" ht="18" customHeight="1">
      <c r="A205" s="2049"/>
      <c r="B205" s="2761" t="s">
        <v>171</v>
      </c>
      <c r="C205" s="2762">
        <v>24016.086862470002</v>
      </c>
      <c r="D205" s="2763">
        <v>2997.6576084200001</v>
      </c>
      <c r="E205" s="2764">
        <v>736.90908454999999</v>
      </c>
      <c r="F205" s="2763">
        <v>194.27924470000002</v>
      </c>
      <c r="G205" s="2763">
        <v>542.62983984999994</v>
      </c>
      <c r="H205" s="2764">
        <v>997.77555600000005</v>
      </c>
      <c r="I205" s="2764">
        <v>115.33199999999999</v>
      </c>
      <c r="J205" s="2763">
        <v>762.12695394000002</v>
      </c>
      <c r="K205" s="2763">
        <v>18385.677702559999</v>
      </c>
      <c r="L205" s="2763">
        <v>20.607956999999999</v>
      </c>
      <c r="M205" s="2049"/>
      <c r="N205" s="2051"/>
    </row>
    <row r="206" spans="1:14" ht="18" customHeight="1">
      <c r="A206" s="2049"/>
      <c r="B206" s="2761" t="s">
        <v>148</v>
      </c>
      <c r="C206" s="2762">
        <v>26818.792358383042</v>
      </c>
      <c r="D206" s="2763">
        <v>6004.2160239099994</v>
      </c>
      <c r="E206" s="2764">
        <v>820.87263889999997</v>
      </c>
      <c r="F206" s="2763">
        <v>482.05553805</v>
      </c>
      <c r="G206" s="2763">
        <v>338.81710084999997</v>
      </c>
      <c r="H206" s="2764">
        <v>997.77555600000005</v>
      </c>
      <c r="I206" s="2764">
        <v>115.33199999999999</v>
      </c>
      <c r="J206" s="2763">
        <v>767.61368157999993</v>
      </c>
      <c r="K206" s="2763">
        <v>18092.374500993043</v>
      </c>
      <c r="L206" s="2763">
        <v>20.607956999999999</v>
      </c>
      <c r="M206" s="2049"/>
      <c r="N206" s="2051"/>
    </row>
    <row r="207" spans="1:14" ht="18" customHeight="1">
      <c r="A207" s="2049"/>
      <c r="B207" s="2917">
        <v>2015</v>
      </c>
      <c r="C207" s="2762"/>
      <c r="D207" s="2763"/>
      <c r="E207" s="2764"/>
      <c r="F207" s="2763"/>
      <c r="G207" s="2763"/>
      <c r="H207" s="2764"/>
      <c r="I207" s="2764"/>
      <c r="J207" s="2763"/>
      <c r="K207" s="2763"/>
      <c r="L207" s="2763"/>
      <c r="M207" s="2049"/>
      <c r="N207" s="2051"/>
    </row>
    <row r="208" spans="1:14" ht="18" customHeight="1">
      <c r="A208" s="2049"/>
      <c r="B208" s="2761" t="s">
        <v>161</v>
      </c>
      <c r="C208" s="2762">
        <v>28122.400163340004</v>
      </c>
      <c r="D208" s="2763">
        <v>8168.0083182500011</v>
      </c>
      <c r="E208" s="2764">
        <v>1104.2174670899999</v>
      </c>
      <c r="F208" s="2763">
        <v>443.53482995000002</v>
      </c>
      <c r="G208" s="2763">
        <v>660.68263714</v>
      </c>
      <c r="H208" s="2764">
        <v>0</v>
      </c>
      <c r="I208" s="2764">
        <v>115.33199999999999</v>
      </c>
      <c r="J208" s="2763">
        <v>739.77412133999997</v>
      </c>
      <c r="K208" s="2763">
        <v>17974.460299660001</v>
      </c>
      <c r="L208" s="2763">
        <v>20.607956999999999</v>
      </c>
      <c r="M208" s="2049"/>
      <c r="N208" s="2051"/>
    </row>
    <row r="209" spans="1:14" ht="18" customHeight="1">
      <c r="A209" s="2049"/>
      <c r="B209" s="2761" t="s">
        <v>162</v>
      </c>
      <c r="C209" s="2762">
        <v>28154.108025800004</v>
      </c>
      <c r="D209" s="2763">
        <v>7472.2367291800001</v>
      </c>
      <c r="E209" s="2764">
        <v>1597.2840520900004</v>
      </c>
      <c r="F209" s="2763">
        <v>435.67157880000002</v>
      </c>
      <c r="G209" s="2763">
        <v>1161.6124732900003</v>
      </c>
      <c r="H209" s="2764">
        <v>0</v>
      </c>
      <c r="I209" s="2764">
        <v>115.33199999999999</v>
      </c>
      <c r="J209" s="2763">
        <v>744.60023482999986</v>
      </c>
      <c r="K209" s="2763">
        <v>18204.047052700003</v>
      </c>
      <c r="L209" s="2763">
        <v>20.607956999999999</v>
      </c>
      <c r="M209" s="2049"/>
      <c r="N209" s="2051"/>
    </row>
    <row r="210" spans="1:14" ht="18" customHeight="1">
      <c r="A210" s="2049"/>
      <c r="B210" s="2761" t="s">
        <v>163</v>
      </c>
      <c r="C210" s="2762">
        <v>24994.818495029998</v>
      </c>
      <c r="D210" s="2763">
        <v>3495.6869757499999</v>
      </c>
      <c r="E210" s="2764">
        <v>1747.6437913199998</v>
      </c>
      <c r="F210" s="2763">
        <v>488.36983621999991</v>
      </c>
      <c r="G210" s="2763">
        <v>1259.2739550999997</v>
      </c>
      <c r="H210" s="2764">
        <v>0</v>
      </c>
      <c r="I210" s="2764">
        <v>115.33199999999999</v>
      </c>
      <c r="J210" s="2763">
        <v>717.17640934999997</v>
      </c>
      <c r="K210" s="2763">
        <v>18898.371361609999</v>
      </c>
      <c r="L210" s="2763">
        <v>20.607956999999999</v>
      </c>
      <c r="M210" s="2049"/>
      <c r="N210" s="2051"/>
    </row>
    <row r="211" spans="1:14" ht="18" customHeight="1">
      <c r="A211" s="2049"/>
      <c r="B211" s="2761" t="s">
        <v>164</v>
      </c>
      <c r="C211" s="2762">
        <v>23953.23094374</v>
      </c>
      <c r="D211" s="2763">
        <v>3202.2374156000001</v>
      </c>
      <c r="E211" s="2764">
        <v>824.04088913999999</v>
      </c>
      <c r="F211" s="2763">
        <v>323.06769036000003</v>
      </c>
      <c r="G211" s="2763">
        <v>500.97319877999996</v>
      </c>
      <c r="H211" s="2764">
        <v>0</v>
      </c>
      <c r="I211" s="2764">
        <v>115.33199999999999</v>
      </c>
      <c r="J211" s="2763">
        <v>1260.6955225000002</v>
      </c>
      <c r="K211" s="2763">
        <v>18530.317159499999</v>
      </c>
      <c r="L211" s="2763">
        <v>20.607956999999999</v>
      </c>
      <c r="M211" s="2049"/>
      <c r="N211" s="2051"/>
    </row>
    <row r="212" spans="1:14" ht="18" customHeight="1">
      <c r="A212" s="2049"/>
      <c r="B212" s="2761" t="s">
        <v>165</v>
      </c>
      <c r="C212" s="2762">
        <v>23783.26733699</v>
      </c>
      <c r="D212" s="2763">
        <v>2946.5360461999999</v>
      </c>
      <c r="E212" s="2764">
        <v>697.88262833999988</v>
      </c>
      <c r="F212" s="2763">
        <v>328.01637743999999</v>
      </c>
      <c r="G212" s="2763">
        <v>369.86625089999995</v>
      </c>
      <c r="H212" s="2764">
        <v>0</v>
      </c>
      <c r="I212" s="2764">
        <v>115.93362286999999</v>
      </c>
      <c r="J212" s="2763">
        <v>1248.9521035</v>
      </c>
      <c r="K212" s="2763">
        <v>18753.354979080003</v>
      </c>
      <c r="L212" s="2763">
        <v>20.607956999999999</v>
      </c>
      <c r="M212" s="2049"/>
      <c r="N212" s="2051"/>
    </row>
    <row r="213" spans="1:14" ht="18" customHeight="1">
      <c r="A213" s="2049"/>
      <c r="B213" s="2761" t="s">
        <v>166</v>
      </c>
      <c r="C213" s="2762">
        <v>23281.850542115972</v>
      </c>
      <c r="D213" s="2763">
        <v>3075.1268792299998</v>
      </c>
      <c r="E213" s="2764">
        <v>753.71325894000006</v>
      </c>
      <c r="F213" s="2763">
        <v>295.13433924999998</v>
      </c>
      <c r="G213" s="2763">
        <v>458.57891969000002</v>
      </c>
      <c r="H213" s="2764">
        <v>0</v>
      </c>
      <c r="I213" s="2764">
        <v>115.90825579</v>
      </c>
      <c r="J213" s="2763">
        <v>702.92519922999998</v>
      </c>
      <c r="K213" s="2763">
        <v>18613.568991925971</v>
      </c>
      <c r="L213" s="2763">
        <v>20.607956999999999</v>
      </c>
      <c r="M213" s="2049"/>
      <c r="N213" s="2051"/>
    </row>
    <row r="214" spans="1:14" ht="18" customHeight="1">
      <c r="A214" s="2049"/>
      <c r="B214" s="2761" t="s">
        <v>167</v>
      </c>
      <c r="C214" s="2762">
        <v>23379.016962626949</v>
      </c>
      <c r="D214" s="2763">
        <v>2756.8833802099998</v>
      </c>
      <c r="E214" s="2764">
        <v>633.50162180999996</v>
      </c>
      <c r="F214" s="2763">
        <v>129.12194742000003</v>
      </c>
      <c r="G214" s="2763">
        <v>504.37967438999993</v>
      </c>
      <c r="H214" s="2764">
        <v>0</v>
      </c>
      <c r="I214" s="2764">
        <v>115.88233629999999</v>
      </c>
      <c r="J214" s="2763">
        <v>705.23871530999986</v>
      </c>
      <c r="K214" s="2763">
        <v>19127.591951996947</v>
      </c>
      <c r="L214" s="2763">
        <v>39.918956999999999</v>
      </c>
      <c r="M214" s="2049"/>
      <c r="N214" s="2051"/>
    </row>
    <row r="215" spans="1:14" ht="18" customHeight="1">
      <c r="A215" s="2049"/>
      <c r="B215" s="2761" t="s">
        <v>168</v>
      </c>
      <c r="C215" s="2762">
        <v>24851.294476440165</v>
      </c>
      <c r="D215" s="2763">
        <v>3633.1234318300003</v>
      </c>
      <c r="E215" s="2764">
        <v>696.58931873300003</v>
      </c>
      <c r="F215" s="2763">
        <v>282.33010540999999</v>
      </c>
      <c r="G215" s="2763">
        <v>414.25921332299998</v>
      </c>
      <c r="H215" s="2764">
        <v>0</v>
      </c>
      <c r="I215" s="2764">
        <v>115.85610727</v>
      </c>
      <c r="J215" s="2763">
        <v>960.77057357000001</v>
      </c>
      <c r="K215" s="2763">
        <v>19368.912800367165</v>
      </c>
      <c r="L215" s="2763">
        <v>76.042244670000002</v>
      </c>
      <c r="M215" s="2049"/>
      <c r="N215" s="2051"/>
    </row>
    <row r="216" spans="1:14" ht="18" customHeight="1">
      <c r="A216" s="2049"/>
      <c r="B216" s="2761" t="s">
        <v>169</v>
      </c>
      <c r="C216" s="2762">
        <v>25271.036341552215</v>
      </c>
      <c r="D216" s="2763">
        <v>2860.47188353</v>
      </c>
      <c r="E216" s="2764">
        <v>1690.7763430622499</v>
      </c>
      <c r="F216" s="2763">
        <v>475.82200048999988</v>
      </c>
      <c r="G216" s="2763">
        <v>1214.95434257225</v>
      </c>
      <c r="H216" s="2764">
        <v>0</v>
      </c>
      <c r="I216" s="2764">
        <v>115.33199999999999</v>
      </c>
      <c r="J216" s="2763">
        <v>818.48329531000002</v>
      </c>
      <c r="K216" s="2763">
        <v>19709.782629779962</v>
      </c>
      <c r="L216" s="2763">
        <v>76.190189869999998</v>
      </c>
      <c r="M216" s="2049"/>
      <c r="N216" s="2051"/>
    </row>
    <row r="217" spans="1:14" ht="18" customHeight="1">
      <c r="A217" s="2049"/>
      <c r="B217" s="2761" t="s">
        <v>170</v>
      </c>
      <c r="C217" s="2762">
        <v>27938.474376191498</v>
      </c>
      <c r="D217" s="2763">
        <v>4890.2713030200011</v>
      </c>
      <c r="E217" s="2764">
        <v>2208.5202148905</v>
      </c>
      <c r="F217" s="2763">
        <v>316.00870835000001</v>
      </c>
      <c r="G217" s="2763">
        <v>1892.5115065405002</v>
      </c>
      <c r="H217" s="2764">
        <v>0</v>
      </c>
      <c r="I217" s="2764">
        <v>115.33199999999999</v>
      </c>
      <c r="J217" s="2763">
        <v>702.62370961999989</v>
      </c>
      <c r="K217" s="2763">
        <v>19945.009082070996</v>
      </c>
      <c r="L217" s="2763">
        <v>76.718066590000006</v>
      </c>
      <c r="M217" s="2049"/>
      <c r="N217" s="2051"/>
    </row>
    <row r="218" spans="1:14" ht="18" customHeight="1">
      <c r="A218" s="2049"/>
      <c r="B218" s="4188" t="s">
        <v>171</v>
      </c>
      <c r="C218" s="4189">
        <v>28631.410811080255</v>
      </c>
      <c r="D218" s="4190">
        <v>5411.6794224100004</v>
      </c>
      <c r="E218" s="4191">
        <v>1979.99996362925</v>
      </c>
      <c r="F218" s="4190">
        <v>355.67305751999999</v>
      </c>
      <c r="G218" s="4190">
        <v>1624.3269061092501</v>
      </c>
      <c r="H218" s="4191">
        <v>0</v>
      </c>
      <c r="I218" s="4191">
        <v>115.33199999999999</v>
      </c>
      <c r="J218" s="4190">
        <v>708.61884938000003</v>
      </c>
      <c r="K218" s="4190">
        <v>20338.764875731002</v>
      </c>
      <c r="L218" s="4190">
        <v>77.015699929999997</v>
      </c>
      <c r="M218" s="2049"/>
      <c r="N218" s="2051"/>
    </row>
    <row r="219" spans="1:14" ht="18" customHeight="1">
      <c r="A219" s="2049"/>
      <c r="B219" s="4188" t="s">
        <v>148</v>
      </c>
      <c r="C219" s="4189">
        <v>28786.348003340008</v>
      </c>
      <c r="D219" s="4190">
        <v>6183.7435057000002</v>
      </c>
      <c r="E219" s="4191">
        <v>1269.9700253499998</v>
      </c>
      <c r="F219" s="4190">
        <v>384.62254470999983</v>
      </c>
      <c r="G219" s="4190">
        <v>885.34748063999996</v>
      </c>
      <c r="H219" s="4191">
        <v>0</v>
      </c>
      <c r="I219" s="4191">
        <v>115.33199999999999</v>
      </c>
      <c r="J219" s="4190">
        <v>766.41219710000007</v>
      </c>
      <c r="K219" s="4190">
        <v>20273.962384490009</v>
      </c>
      <c r="L219" s="4190">
        <v>176.92789070000001</v>
      </c>
      <c r="M219" s="2049"/>
      <c r="N219" s="2051"/>
    </row>
    <row r="220" spans="1:14" ht="18" customHeight="1">
      <c r="A220" s="2049"/>
      <c r="B220" s="4311">
        <v>2016</v>
      </c>
      <c r="C220" s="4189"/>
      <c r="D220" s="4190"/>
      <c r="E220" s="4191"/>
      <c r="F220" s="4190"/>
      <c r="G220" s="4190"/>
      <c r="H220" s="4191"/>
      <c r="I220" s="4191"/>
      <c r="J220" s="4190"/>
      <c r="K220" s="4190"/>
      <c r="L220" s="4190"/>
      <c r="M220" s="2049"/>
      <c r="N220" s="2051"/>
    </row>
    <row r="221" spans="1:14" ht="18" customHeight="1">
      <c r="A221" s="2049"/>
      <c r="B221" s="4188" t="s">
        <v>161</v>
      </c>
      <c r="C221" s="4189">
        <v>28661.008189929995</v>
      </c>
      <c r="D221" s="4190">
        <v>3893.5127433700004</v>
      </c>
      <c r="E221" s="4191">
        <v>1007.9000162999999</v>
      </c>
      <c r="F221" s="4190">
        <v>343.10485848999997</v>
      </c>
      <c r="G221" s="4190">
        <v>664.79515780999998</v>
      </c>
      <c r="H221" s="4191">
        <v>1996.899167</v>
      </c>
      <c r="I221" s="4191">
        <v>115.33199999999999</v>
      </c>
      <c r="J221" s="4190">
        <v>701.42302293</v>
      </c>
      <c r="K221" s="4190">
        <v>20604.214888439994</v>
      </c>
      <c r="L221" s="4190">
        <v>341.72635188999999</v>
      </c>
      <c r="M221" s="2049"/>
      <c r="N221" s="2051"/>
    </row>
    <row r="222" spans="1:14" ht="18" customHeight="1">
      <c r="A222" s="2049"/>
      <c r="B222" s="4307" t="s">
        <v>162</v>
      </c>
      <c r="C222" s="4308">
        <v>29248.02191422999</v>
      </c>
      <c r="D222" s="4309">
        <v>3939.1040225099996</v>
      </c>
      <c r="E222" s="4310">
        <v>1118.0966595599998</v>
      </c>
      <c r="F222" s="4309">
        <v>558.51765261999992</v>
      </c>
      <c r="G222" s="4309">
        <v>559.57900694</v>
      </c>
      <c r="H222" s="4310">
        <v>1996.899167</v>
      </c>
      <c r="I222" s="4310">
        <v>115.33199999999999</v>
      </c>
      <c r="J222" s="4309">
        <v>706.56653271999994</v>
      </c>
      <c r="K222" s="4309">
        <v>20934.979666799991</v>
      </c>
      <c r="L222" s="4309">
        <v>437.04386563999998</v>
      </c>
      <c r="M222" s="2049"/>
      <c r="N222" s="2051"/>
    </row>
    <row r="223" spans="1:14" ht="34.5" customHeight="1">
      <c r="A223" s="2049"/>
      <c r="B223" s="4606" t="s">
        <v>1631</v>
      </c>
      <c r="C223" s="4606"/>
      <c r="D223" s="4606"/>
      <c r="E223" s="4606"/>
      <c r="F223" s="4606"/>
      <c r="G223" s="4606"/>
      <c r="H223" s="4606"/>
      <c r="I223" s="4606"/>
      <c r="J223" s="4606"/>
      <c r="K223" s="4606"/>
      <c r="L223" s="4606"/>
      <c r="M223" s="2049"/>
    </row>
    <row r="224" spans="1:14" s="4001" customFormat="1" ht="16.5" customHeight="1">
      <c r="A224" s="2049"/>
      <c r="B224" s="2955"/>
      <c r="C224" s="3516"/>
      <c r="D224" s="2955"/>
      <c r="E224" s="2955"/>
      <c r="F224" s="2955"/>
      <c r="G224" s="2955"/>
      <c r="H224" s="2955"/>
      <c r="I224" s="2955"/>
      <c r="J224" s="2955"/>
      <c r="K224" s="2955"/>
      <c r="L224" s="2955"/>
      <c r="M224" s="2049"/>
    </row>
    <row r="225" spans="1:13">
      <c r="A225" s="2049"/>
      <c r="B225" s="2049"/>
      <c r="C225" s="3517"/>
      <c r="D225" s="2253"/>
      <c r="E225" s="2253"/>
      <c r="F225" s="2253"/>
      <c r="G225" s="2253"/>
      <c r="H225" s="2253"/>
      <c r="I225" s="2253"/>
      <c r="J225" s="2253"/>
      <c r="K225" s="2066"/>
      <c r="L225" s="2253"/>
      <c r="M225" s="2049"/>
    </row>
  </sheetData>
  <mergeCells count="5">
    <mergeCell ref="E6:G6"/>
    <mergeCell ref="K7:K10"/>
    <mergeCell ref="J7:J10"/>
    <mergeCell ref="B223:L223"/>
    <mergeCell ref="B1:L1"/>
  </mergeCells>
  <pageMargins left="0.87" right="0.84" top="0.71" bottom="0.41" header="0.54" footer="0.41"/>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dimension ref="A1:AA223"/>
  <sheetViews>
    <sheetView zoomScale="70" zoomScaleNormal="70" zoomScaleSheetLayoutView="75" workbookViewId="0">
      <pane xSplit="2" ySplit="10" topLeftCell="C212" activePane="bottomRight" state="frozen"/>
      <selection activeCell="K31" sqref="K31"/>
      <selection pane="topRight" activeCell="K31" sqref="K31"/>
      <selection pane="bottomLeft" activeCell="K31" sqref="K31"/>
      <selection pane="bottomRight" activeCell="O179" sqref="O179"/>
    </sheetView>
  </sheetViews>
  <sheetFormatPr defaultColWidth="11" defaultRowHeight="16.5"/>
  <cols>
    <col min="1" max="1" width="11" style="3993"/>
    <col min="2" max="2" width="9" style="2006" customWidth="1"/>
    <col min="3" max="3" width="15" style="3509" customWidth="1"/>
    <col min="4" max="4" width="12.28515625" style="2220" customWidth="1"/>
    <col min="5" max="5" width="12.42578125" style="2220" customWidth="1"/>
    <col min="6" max="6" width="13" style="2220" customWidth="1"/>
    <col min="7" max="8" width="10.140625" style="2220" bestFit="1" customWidth="1"/>
    <col min="9" max="9" width="9.28515625" style="2220" customWidth="1"/>
    <col min="10" max="10" width="12" style="2220" customWidth="1"/>
    <col min="11" max="11" width="13.42578125" style="2220" customWidth="1"/>
    <col min="12" max="12" width="12.5703125" style="2220" customWidth="1"/>
    <col min="13" max="13" width="11.5703125" style="2220" customWidth="1"/>
    <col min="14" max="14" width="10.85546875" style="2006" bestFit="1" customWidth="1"/>
    <col min="15" max="17" width="7.5703125" style="2006" customWidth="1"/>
    <col min="18" max="18" width="8.7109375" style="2006" customWidth="1"/>
    <col min="19" max="19" width="7.5703125" style="2006" customWidth="1"/>
    <col min="20" max="20" width="9.85546875" style="2006" customWidth="1"/>
    <col min="21" max="21" width="7.5703125" style="2006" customWidth="1"/>
    <col min="22" max="255" width="11" style="2006"/>
    <col min="256" max="256" width="9" style="2006" customWidth="1"/>
    <col min="257" max="257" width="12.42578125" style="2006" customWidth="1"/>
    <col min="258" max="258" width="12.28515625" style="2006" customWidth="1"/>
    <col min="259" max="259" width="12.42578125" style="2006" customWidth="1"/>
    <col min="260" max="260" width="13" style="2006" customWidth="1"/>
    <col min="261" max="261" width="8.28515625" style="2006" customWidth="1"/>
    <col min="262" max="262" width="8.7109375" style="2006" customWidth="1"/>
    <col min="263" max="263" width="9.28515625" style="2006" customWidth="1"/>
    <col min="264" max="264" width="12" style="2006" customWidth="1"/>
    <col min="265" max="265" width="13.42578125" style="2006" customWidth="1"/>
    <col min="266" max="266" width="12.5703125" style="2006" customWidth="1"/>
    <col min="267" max="267" width="11.5703125" style="2006" customWidth="1"/>
    <col min="268" max="268" width="10.85546875" style="2006" bestFit="1" customWidth="1"/>
    <col min="269" max="269" width="8.7109375" style="2006" customWidth="1"/>
    <col min="270" max="270" width="9.85546875" style="2006" customWidth="1"/>
    <col min="271" max="273" width="7.5703125" style="2006" customWidth="1"/>
    <col min="274" max="274" width="8.7109375" style="2006" customWidth="1"/>
    <col min="275" max="275" width="7.5703125" style="2006" customWidth="1"/>
    <col min="276" max="276" width="9.85546875" style="2006" customWidth="1"/>
    <col min="277" max="277" width="7.5703125" style="2006" customWidth="1"/>
    <col min="278" max="511" width="11" style="2006"/>
    <col min="512" max="512" width="9" style="2006" customWidth="1"/>
    <col min="513" max="513" width="12.42578125" style="2006" customWidth="1"/>
    <col min="514" max="514" width="12.28515625" style="2006" customWidth="1"/>
    <col min="515" max="515" width="12.42578125" style="2006" customWidth="1"/>
    <col min="516" max="516" width="13" style="2006" customWidth="1"/>
    <col min="517" max="517" width="8.28515625" style="2006" customWidth="1"/>
    <col min="518" max="518" width="8.7109375" style="2006" customWidth="1"/>
    <col min="519" max="519" width="9.28515625" style="2006" customWidth="1"/>
    <col min="520" max="520" width="12" style="2006" customWidth="1"/>
    <col min="521" max="521" width="13.42578125" style="2006" customWidth="1"/>
    <col min="522" max="522" width="12.5703125" style="2006" customWidth="1"/>
    <col min="523" max="523" width="11.5703125" style="2006" customWidth="1"/>
    <col min="524" max="524" width="10.85546875" style="2006" bestFit="1" customWidth="1"/>
    <col min="525" max="525" width="8.7109375" style="2006" customWidth="1"/>
    <col min="526" max="526" width="9.85546875" style="2006" customWidth="1"/>
    <col min="527" max="529" width="7.5703125" style="2006" customWidth="1"/>
    <col min="530" max="530" width="8.7109375" style="2006" customWidth="1"/>
    <col min="531" max="531" width="7.5703125" style="2006" customWidth="1"/>
    <col min="532" max="532" width="9.85546875" style="2006" customWidth="1"/>
    <col min="533" max="533" width="7.5703125" style="2006" customWidth="1"/>
    <col min="534" max="767" width="11" style="2006"/>
    <col min="768" max="768" width="9" style="2006" customWidth="1"/>
    <col min="769" max="769" width="12.42578125" style="2006" customWidth="1"/>
    <col min="770" max="770" width="12.28515625" style="2006" customWidth="1"/>
    <col min="771" max="771" width="12.42578125" style="2006" customWidth="1"/>
    <col min="772" max="772" width="13" style="2006" customWidth="1"/>
    <col min="773" max="773" width="8.28515625" style="2006" customWidth="1"/>
    <col min="774" max="774" width="8.7109375" style="2006" customWidth="1"/>
    <col min="775" max="775" width="9.28515625" style="2006" customWidth="1"/>
    <col min="776" max="776" width="12" style="2006" customWidth="1"/>
    <col min="777" max="777" width="13.42578125" style="2006" customWidth="1"/>
    <col min="778" max="778" width="12.5703125" style="2006" customWidth="1"/>
    <col min="779" max="779" width="11.5703125" style="2006" customWidth="1"/>
    <col min="780" max="780" width="10.85546875" style="2006" bestFit="1" customWidth="1"/>
    <col min="781" max="781" width="8.7109375" style="2006" customWidth="1"/>
    <col min="782" max="782" width="9.85546875" style="2006" customWidth="1"/>
    <col min="783" max="785" width="7.5703125" style="2006" customWidth="1"/>
    <col min="786" max="786" width="8.7109375" style="2006" customWidth="1"/>
    <col min="787" max="787" width="7.5703125" style="2006" customWidth="1"/>
    <col min="788" max="788" width="9.85546875" style="2006" customWidth="1"/>
    <col min="789" max="789" width="7.5703125" style="2006" customWidth="1"/>
    <col min="790" max="1023" width="11" style="2006"/>
    <col min="1024" max="1024" width="9" style="2006" customWidth="1"/>
    <col min="1025" max="1025" width="12.42578125" style="2006" customWidth="1"/>
    <col min="1026" max="1026" width="12.28515625" style="2006" customWidth="1"/>
    <col min="1027" max="1027" width="12.42578125" style="2006" customWidth="1"/>
    <col min="1028" max="1028" width="13" style="2006" customWidth="1"/>
    <col min="1029" max="1029" width="8.28515625" style="2006" customWidth="1"/>
    <col min="1030" max="1030" width="8.7109375" style="2006" customWidth="1"/>
    <col min="1031" max="1031" width="9.28515625" style="2006" customWidth="1"/>
    <col min="1032" max="1032" width="12" style="2006" customWidth="1"/>
    <col min="1033" max="1033" width="13.42578125" style="2006" customWidth="1"/>
    <col min="1034" max="1034" width="12.5703125" style="2006" customWidth="1"/>
    <col min="1035" max="1035" width="11.5703125" style="2006" customWidth="1"/>
    <col min="1036" max="1036" width="10.85546875" style="2006" bestFit="1" customWidth="1"/>
    <col min="1037" max="1037" width="8.7109375" style="2006" customWidth="1"/>
    <col min="1038" max="1038" width="9.85546875" style="2006" customWidth="1"/>
    <col min="1039" max="1041" width="7.5703125" style="2006" customWidth="1"/>
    <col min="1042" max="1042" width="8.7109375" style="2006" customWidth="1"/>
    <col min="1043" max="1043" width="7.5703125" style="2006" customWidth="1"/>
    <col min="1044" max="1044" width="9.85546875" style="2006" customWidth="1"/>
    <col min="1045" max="1045" width="7.5703125" style="2006" customWidth="1"/>
    <col min="1046" max="1279" width="11" style="2006"/>
    <col min="1280" max="1280" width="9" style="2006" customWidth="1"/>
    <col min="1281" max="1281" width="12.42578125" style="2006" customWidth="1"/>
    <col min="1282" max="1282" width="12.28515625" style="2006" customWidth="1"/>
    <col min="1283" max="1283" width="12.42578125" style="2006" customWidth="1"/>
    <col min="1284" max="1284" width="13" style="2006" customWidth="1"/>
    <col min="1285" max="1285" width="8.28515625" style="2006" customWidth="1"/>
    <col min="1286" max="1286" width="8.7109375" style="2006" customWidth="1"/>
    <col min="1287" max="1287" width="9.28515625" style="2006" customWidth="1"/>
    <col min="1288" max="1288" width="12" style="2006" customWidth="1"/>
    <col min="1289" max="1289" width="13.42578125" style="2006" customWidth="1"/>
    <col min="1290" max="1290" width="12.5703125" style="2006" customWidth="1"/>
    <col min="1291" max="1291" width="11.5703125" style="2006" customWidth="1"/>
    <col min="1292" max="1292" width="10.85546875" style="2006" bestFit="1" customWidth="1"/>
    <col min="1293" max="1293" width="8.7109375" style="2006" customWidth="1"/>
    <col min="1294" max="1294" width="9.85546875" style="2006" customWidth="1"/>
    <col min="1295" max="1297" width="7.5703125" style="2006" customWidth="1"/>
    <col min="1298" max="1298" width="8.7109375" style="2006" customWidth="1"/>
    <col min="1299" max="1299" width="7.5703125" style="2006" customWidth="1"/>
    <col min="1300" max="1300" width="9.85546875" style="2006" customWidth="1"/>
    <col min="1301" max="1301" width="7.5703125" style="2006" customWidth="1"/>
    <col min="1302" max="1535" width="11" style="2006"/>
    <col min="1536" max="1536" width="9" style="2006" customWidth="1"/>
    <col min="1537" max="1537" width="12.42578125" style="2006" customWidth="1"/>
    <col min="1538" max="1538" width="12.28515625" style="2006" customWidth="1"/>
    <col min="1539" max="1539" width="12.42578125" style="2006" customWidth="1"/>
    <col min="1540" max="1540" width="13" style="2006" customWidth="1"/>
    <col min="1541" max="1541" width="8.28515625" style="2006" customWidth="1"/>
    <col min="1542" max="1542" width="8.7109375" style="2006" customWidth="1"/>
    <col min="1543" max="1543" width="9.28515625" style="2006" customWidth="1"/>
    <col min="1544" max="1544" width="12" style="2006" customWidth="1"/>
    <col min="1545" max="1545" width="13.42578125" style="2006" customWidth="1"/>
    <col min="1546" max="1546" width="12.5703125" style="2006" customWidth="1"/>
    <col min="1547" max="1547" width="11.5703125" style="2006" customWidth="1"/>
    <col min="1548" max="1548" width="10.85546875" style="2006" bestFit="1" customWidth="1"/>
    <col min="1549" max="1549" width="8.7109375" style="2006" customWidth="1"/>
    <col min="1550" max="1550" width="9.85546875" style="2006" customWidth="1"/>
    <col min="1551" max="1553" width="7.5703125" style="2006" customWidth="1"/>
    <col min="1554" max="1554" width="8.7109375" style="2006" customWidth="1"/>
    <col min="1555" max="1555" width="7.5703125" style="2006" customWidth="1"/>
    <col min="1556" max="1556" width="9.85546875" style="2006" customWidth="1"/>
    <col min="1557" max="1557" width="7.5703125" style="2006" customWidth="1"/>
    <col min="1558" max="1791" width="11" style="2006"/>
    <col min="1792" max="1792" width="9" style="2006" customWidth="1"/>
    <col min="1793" max="1793" width="12.42578125" style="2006" customWidth="1"/>
    <col min="1794" max="1794" width="12.28515625" style="2006" customWidth="1"/>
    <col min="1795" max="1795" width="12.42578125" style="2006" customWidth="1"/>
    <col min="1796" max="1796" width="13" style="2006" customWidth="1"/>
    <col min="1797" max="1797" width="8.28515625" style="2006" customWidth="1"/>
    <col min="1798" max="1798" width="8.7109375" style="2006" customWidth="1"/>
    <col min="1799" max="1799" width="9.28515625" style="2006" customWidth="1"/>
    <col min="1800" max="1800" width="12" style="2006" customWidth="1"/>
    <col min="1801" max="1801" width="13.42578125" style="2006" customWidth="1"/>
    <col min="1802" max="1802" width="12.5703125" style="2006" customWidth="1"/>
    <col min="1803" max="1803" width="11.5703125" style="2006" customWidth="1"/>
    <col min="1804" max="1804" width="10.85546875" style="2006" bestFit="1" customWidth="1"/>
    <col min="1805" max="1805" width="8.7109375" style="2006" customWidth="1"/>
    <col min="1806" max="1806" width="9.85546875" style="2006" customWidth="1"/>
    <col min="1807" max="1809" width="7.5703125" style="2006" customWidth="1"/>
    <col min="1810" max="1810" width="8.7109375" style="2006" customWidth="1"/>
    <col min="1811" max="1811" width="7.5703125" style="2006" customWidth="1"/>
    <col min="1812" max="1812" width="9.85546875" style="2006" customWidth="1"/>
    <col min="1813" max="1813" width="7.5703125" style="2006" customWidth="1"/>
    <col min="1814" max="2047" width="11" style="2006"/>
    <col min="2048" max="2048" width="9" style="2006" customWidth="1"/>
    <col min="2049" max="2049" width="12.42578125" style="2006" customWidth="1"/>
    <col min="2050" max="2050" width="12.28515625" style="2006" customWidth="1"/>
    <col min="2051" max="2051" width="12.42578125" style="2006" customWidth="1"/>
    <col min="2052" max="2052" width="13" style="2006" customWidth="1"/>
    <col min="2053" max="2053" width="8.28515625" style="2006" customWidth="1"/>
    <col min="2054" max="2054" width="8.7109375" style="2006" customWidth="1"/>
    <col min="2055" max="2055" width="9.28515625" style="2006" customWidth="1"/>
    <col min="2056" max="2056" width="12" style="2006" customWidth="1"/>
    <col min="2057" max="2057" width="13.42578125" style="2006" customWidth="1"/>
    <col min="2058" max="2058" width="12.5703125" style="2006" customWidth="1"/>
    <col min="2059" max="2059" width="11.5703125" style="2006" customWidth="1"/>
    <col min="2060" max="2060" width="10.85546875" style="2006" bestFit="1" customWidth="1"/>
    <col min="2061" max="2061" width="8.7109375" style="2006" customWidth="1"/>
    <col min="2062" max="2062" width="9.85546875" style="2006" customWidth="1"/>
    <col min="2063" max="2065" width="7.5703125" style="2006" customWidth="1"/>
    <col min="2066" max="2066" width="8.7109375" style="2006" customWidth="1"/>
    <col min="2067" max="2067" width="7.5703125" style="2006" customWidth="1"/>
    <col min="2068" max="2068" width="9.85546875" style="2006" customWidth="1"/>
    <col min="2069" max="2069" width="7.5703125" style="2006" customWidth="1"/>
    <col min="2070" max="2303" width="11" style="2006"/>
    <col min="2304" max="2304" width="9" style="2006" customWidth="1"/>
    <col min="2305" max="2305" width="12.42578125" style="2006" customWidth="1"/>
    <col min="2306" max="2306" width="12.28515625" style="2006" customWidth="1"/>
    <col min="2307" max="2307" width="12.42578125" style="2006" customWidth="1"/>
    <col min="2308" max="2308" width="13" style="2006" customWidth="1"/>
    <col min="2309" max="2309" width="8.28515625" style="2006" customWidth="1"/>
    <col min="2310" max="2310" width="8.7109375" style="2006" customWidth="1"/>
    <col min="2311" max="2311" width="9.28515625" style="2006" customWidth="1"/>
    <col min="2312" max="2312" width="12" style="2006" customWidth="1"/>
    <col min="2313" max="2313" width="13.42578125" style="2006" customWidth="1"/>
    <col min="2314" max="2314" width="12.5703125" style="2006" customWidth="1"/>
    <col min="2315" max="2315" width="11.5703125" style="2006" customWidth="1"/>
    <col min="2316" max="2316" width="10.85546875" style="2006" bestFit="1" customWidth="1"/>
    <col min="2317" max="2317" width="8.7109375" style="2006" customWidth="1"/>
    <col min="2318" max="2318" width="9.85546875" style="2006" customWidth="1"/>
    <col min="2319" max="2321" width="7.5703125" style="2006" customWidth="1"/>
    <col min="2322" max="2322" width="8.7109375" style="2006" customWidth="1"/>
    <col min="2323" max="2323" width="7.5703125" style="2006" customWidth="1"/>
    <col min="2324" max="2324" width="9.85546875" style="2006" customWidth="1"/>
    <col min="2325" max="2325" width="7.5703125" style="2006" customWidth="1"/>
    <col min="2326" max="2559" width="11" style="2006"/>
    <col min="2560" max="2560" width="9" style="2006" customWidth="1"/>
    <col min="2561" max="2561" width="12.42578125" style="2006" customWidth="1"/>
    <col min="2562" max="2562" width="12.28515625" style="2006" customWidth="1"/>
    <col min="2563" max="2563" width="12.42578125" style="2006" customWidth="1"/>
    <col min="2564" max="2564" width="13" style="2006" customWidth="1"/>
    <col min="2565" max="2565" width="8.28515625" style="2006" customWidth="1"/>
    <col min="2566" max="2566" width="8.7109375" style="2006" customWidth="1"/>
    <col min="2567" max="2567" width="9.28515625" style="2006" customWidth="1"/>
    <col min="2568" max="2568" width="12" style="2006" customWidth="1"/>
    <col min="2569" max="2569" width="13.42578125" style="2006" customWidth="1"/>
    <col min="2570" max="2570" width="12.5703125" style="2006" customWidth="1"/>
    <col min="2571" max="2571" width="11.5703125" style="2006" customWidth="1"/>
    <col min="2572" max="2572" width="10.85546875" style="2006" bestFit="1" customWidth="1"/>
    <col min="2573" max="2573" width="8.7109375" style="2006" customWidth="1"/>
    <col min="2574" max="2574" width="9.85546875" style="2006" customWidth="1"/>
    <col min="2575" max="2577" width="7.5703125" style="2006" customWidth="1"/>
    <col min="2578" max="2578" width="8.7109375" style="2006" customWidth="1"/>
    <col min="2579" max="2579" width="7.5703125" style="2006" customWidth="1"/>
    <col min="2580" max="2580" width="9.85546875" style="2006" customWidth="1"/>
    <col min="2581" max="2581" width="7.5703125" style="2006" customWidth="1"/>
    <col min="2582" max="2815" width="11" style="2006"/>
    <col min="2816" max="2816" width="9" style="2006" customWidth="1"/>
    <col min="2817" max="2817" width="12.42578125" style="2006" customWidth="1"/>
    <col min="2818" max="2818" width="12.28515625" style="2006" customWidth="1"/>
    <col min="2819" max="2819" width="12.42578125" style="2006" customWidth="1"/>
    <col min="2820" max="2820" width="13" style="2006" customWidth="1"/>
    <col min="2821" max="2821" width="8.28515625" style="2006" customWidth="1"/>
    <col min="2822" max="2822" width="8.7109375" style="2006" customWidth="1"/>
    <col min="2823" max="2823" width="9.28515625" style="2006" customWidth="1"/>
    <col min="2824" max="2824" width="12" style="2006" customWidth="1"/>
    <col min="2825" max="2825" width="13.42578125" style="2006" customWidth="1"/>
    <col min="2826" max="2826" width="12.5703125" style="2006" customWidth="1"/>
    <col min="2827" max="2827" width="11.5703125" style="2006" customWidth="1"/>
    <col min="2828" max="2828" width="10.85546875" style="2006" bestFit="1" customWidth="1"/>
    <col min="2829" max="2829" width="8.7109375" style="2006" customWidth="1"/>
    <col min="2830" max="2830" width="9.85546875" style="2006" customWidth="1"/>
    <col min="2831" max="2833" width="7.5703125" style="2006" customWidth="1"/>
    <col min="2834" max="2834" width="8.7109375" style="2006" customWidth="1"/>
    <col min="2835" max="2835" width="7.5703125" style="2006" customWidth="1"/>
    <col min="2836" max="2836" width="9.85546875" style="2006" customWidth="1"/>
    <col min="2837" max="2837" width="7.5703125" style="2006" customWidth="1"/>
    <col min="2838" max="3071" width="11" style="2006"/>
    <col min="3072" max="3072" width="9" style="2006" customWidth="1"/>
    <col min="3073" max="3073" width="12.42578125" style="2006" customWidth="1"/>
    <col min="3074" max="3074" width="12.28515625" style="2006" customWidth="1"/>
    <col min="3075" max="3075" width="12.42578125" style="2006" customWidth="1"/>
    <col min="3076" max="3076" width="13" style="2006" customWidth="1"/>
    <col min="3077" max="3077" width="8.28515625" style="2006" customWidth="1"/>
    <col min="3078" max="3078" width="8.7109375" style="2006" customWidth="1"/>
    <col min="3079" max="3079" width="9.28515625" style="2006" customWidth="1"/>
    <col min="3080" max="3080" width="12" style="2006" customWidth="1"/>
    <col min="3081" max="3081" width="13.42578125" style="2006" customWidth="1"/>
    <col min="3082" max="3082" width="12.5703125" style="2006" customWidth="1"/>
    <col min="3083" max="3083" width="11.5703125" style="2006" customWidth="1"/>
    <col min="3084" max="3084" width="10.85546875" style="2006" bestFit="1" customWidth="1"/>
    <col min="3085" max="3085" width="8.7109375" style="2006" customWidth="1"/>
    <col min="3086" max="3086" width="9.85546875" style="2006" customWidth="1"/>
    <col min="3087" max="3089" width="7.5703125" style="2006" customWidth="1"/>
    <col min="3090" max="3090" width="8.7109375" style="2006" customWidth="1"/>
    <col min="3091" max="3091" width="7.5703125" style="2006" customWidth="1"/>
    <col min="3092" max="3092" width="9.85546875" style="2006" customWidth="1"/>
    <col min="3093" max="3093" width="7.5703125" style="2006" customWidth="1"/>
    <col min="3094" max="3327" width="11" style="2006"/>
    <col min="3328" max="3328" width="9" style="2006" customWidth="1"/>
    <col min="3329" max="3329" width="12.42578125" style="2006" customWidth="1"/>
    <col min="3330" max="3330" width="12.28515625" style="2006" customWidth="1"/>
    <col min="3331" max="3331" width="12.42578125" style="2006" customWidth="1"/>
    <col min="3332" max="3332" width="13" style="2006" customWidth="1"/>
    <col min="3333" max="3333" width="8.28515625" style="2006" customWidth="1"/>
    <col min="3334" max="3334" width="8.7109375" style="2006" customWidth="1"/>
    <col min="3335" max="3335" width="9.28515625" style="2006" customWidth="1"/>
    <col min="3336" max="3336" width="12" style="2006" customWidth="1"/>
    <col min="3337" max="3337" width="13.42578125" style="2006" customWidth="1"/>
    <col min="3338" max="3338" width="12.5703125" style="2006" customWidth="1"/>
    <col min="3339" max="3339" width="11.5703125" style="2006" customWidth="1"/>
    <col min="3340" max="3340" width="10.85546875" style="2006" bestFit="1" customWidth="1"/>
    <col min="3341" max="3341" width="8.7109375" style="2006" customWidth="1"/>
    <col min="3342" max="3342" width="9.85546875" style="2006" customWidth="1"/>
    <col min="3343" max="3345" width="7.5703125" style="2006" customWidth="1"/>
    <col min="3346" max="3346" width="8.7109375" style="2006" customWidth="1"/>
    <col min="3347" max="3347" width="7.5703125" style="2006" customWidth="1"/>
    <col min="3348" max="3348" width="9.85546875" style="2006" customWidth="1"/>
    <col min="3349" max="3349" width="7.5703125" style="2006" customWidth="1"/>
    <col min="3350" max="3583" width="11" style="2006"/>
    <col min="3584" max="3584" width="9" style="2006" customWidth="1"/>
    <col min="3585" max="3585" width="12.42578125" style="2006" customWidth="1"/>
    <col min="3586" max="3586" width="12.28515625" style="2006" customWidth="1"/>
    <col min="3587" max="3587" width="12.42578125" style="2006" customWidth="1"/>
    <col min="3588" max="3588" width="13" style="2006" customWidth="1"/>
    <col min="3589" max="3589" width="8.28515625" style="2006" customWidth="1"/>
    <col min="3590" max="3590" width="8.7109375" style="2006" customWidth="1"/>
    <col min="3591" max="3591" width="9.28515625" style="2006" customWidth="1"/>
    <col min="3592" max="3592" width="12" style="2006" customWidth="1"/>
    <col min="3593" max="3593" width="13.42578125" style="2006" customWidth="1"/>
    <col min="3594" max="3594" width="12.5703125" style="2006" customWidth="1"/>
    <col min="3595" max="3595" width="11.5703125" style="2006" customWidth="1"/>
    <col min="3596" max="3596" width="10.85546875" style="2006" bestFit="1" customWidth="1"/>
    <col min="3597" max="3597" width="8.7109375" style="2006" customWidth="1"/>
    <col min="3598" max="3598" width="9.85546875" style="2006" customWidth="1"/>
    <col min="3599" max="3601" width="7.5703125" style="2006" customWidth="1"/>
    <col min="3602" max="3602" width="8.7109375" style="2006" customWidth="1"/>
    <col min="3603" max="3603" width="7.5703125" style="2006" customWidth="1"/>
    <col min="3604" max="3604" width="9.85546875" style="2006" customWidth="1"/>
    <col min="3605" max="3605" width="7.5703125" style="2006" customWidth="1"/>
    <col min="3606" max="3839" width="11" style="2006"/>
    <col min="3840" max="3840" width="9" style="2006" customWidth="1"/>
    <col min="3841" max="3841" width="12.42578125" style="2006" customWidth="1"/>
    <col min="3842" max="3842" width="12.28515625" style="2006" customWidth="1"/>
    <col min="3843" max="3843" width="12.42578125" style="2006" customWidth="1"/>
    <col min="3844" max="3844" width="13" style="2006" customWidth="1"/>
    <col min="3845" max="3845" width="8.28515625" style="2006" customWidth="1"/>
    <col min="3846" max="3846" width="8.7109375" style="2006" customWidth="1"/>
    <col min="3847" max="3847" width="9.28515625" style="2006" customWidth="1"/>
    <col min="3848" max="3848" width="12" style="2006" customWidth="1"/>
    <col min="3849" max="3849" width="13.42578125" style="2006" customWidth="1"/>
    <col min="3850" max="3850" width="12.5703125" style="2006" customWidth="1"/>
    <col min="3851" max="3851" width="11.5703125" style="2006" customWidth="1"/>
    <col min="3852" max="3852" width="10.85546875" style="2006" bestFit="1" customWidth="1"/>
    <col min="3853" max="3853" width="8.7109375" style="2006" customWidth="1"/>
    <col min="3854" max="3854" width="9.85546875" style="2006" customWidth="1"/>
    <col min="3855" max="3857" width="7.5703125" style="2006" customWidth="1"/>
    <col min="3858" max="3858" width="8.7109375" style="2006" customWidth="1"/>
    <col min="3859" max="3859" width="7.5703125" style="2006" customWidth="1"/>
    <col min="3860" max="3860" width="9.85546875" style="2006" customWidth="1"/>
    <col min="3861" max="3861" width="7.5703125" style="2006" customWidth="1"/>
    <col min="3862" max="4095" width="11" style="2006"/>
    <col min="4096" max="4096" width="9" style="2006" customWidth="1"/>
    <col min="4097" max="4097" width="12.42578125" style="2006" customWidth="1"/>
    <col min="4098" max="4098" width="12.28515625" style="2006" customWidth="1"/>
    <col min="4099" max="4099" width="12.42578125" style="2006" customWidth="1"/>
    <col min="4100" max="4100" width="13" style="2006" customWidth="1"/>
    <col min="4101" max="4101" width="8.28515625" style="2006" customWidth="1"/>
    <col min="4102" max="4102" width="8.7109375" style="2006" customWidth="1"/>
    <col min="4103" max="4103" width="9.28515625" style="2006" customWidth="1"/>
    <col min="4104" max="4104" width="12" style="2006" customWidth="1"/>
    <col min="4105" max="4105" width="13.42578125" style="2006" customWidth="1"/>
    <col min="4106" max="4106" width="12.5703125" style="2006" customWidth="1"/>
    <col min="4107" max="4107" width="11.5703125" style="2006" customWidth="1"/>
    <col min="4108" max="4108" width="10.85546875" style="2006" bestFit="1" customWidth="1"/>
    <col min="4109" max="4109" width="8.7109375" style="2006" customWidth="1"/>
    <col min="4110" max="4110" width="9.85546875" style="2006" customWidth="1"/>
    <col min="4111" max="4113" width="7.5703125" style="2006" customWidth="1"/>
    <col min="4114" max="4114" width="8.7109375" style="2006" customWidth="1"/>
    <col min="4115" max="4115" width="7.5703125" style="2006" customWidth="1"/>
    <col min="4116" max="4116" width="9.85546875" style="2006" customWidth="1"/>
    <col min="4117" max="4117" width="7.5703125" style="2006" customWidth="1"/>
    <col min="4118" max="4351" width="11" style="2006"/>
    <col min="4352" max="4352" width="9" style="2006" customWidth="1"/>
    <col min="4353" max="4353" width="12.42578125" style="2006" customWidth="1"/>
    <col min="4354" max="4354" width="12.28515625" style="2006" customWidth="1"/>
    <col min="4355" max="4355" width="12.42578125" style="2006" customWidth="1"/>
    <col min="4356" max="4356" width="13" style="2006" customWidth="1"/>
    <col min="4357" max="4357" width="8.28515625" style="2006" customWidth="1"/>
    <col min="4358" max="4358" width="8.7109375" style="2006" customWidth="1"/>
    <col min="4359" max="4359" width="9.28515625" style="2006" customWidth="1"/>
    <col min="4360" max="4360" width="12" style="2006" customWidth="1"/>
    <col min="4361" max="4361" width="13.42578125" style="2006" customWidth="1"/>
    <col min="4362" max="4362" width="12.5703125" style="2006" customWidth="1"/>
    <col min="4363" max="4363" width="11.5703125" style="2006" customWidth="1"/>
    <col min="4364" max="4364" width="10.85546875" style="2006" bestFit="1" customWidth="1"/>
    <col min="4365" max="4365" width="8.7109375" style="2006" customWidth="1"/>
    <col min="4366" max="4366" width="9.85546875" style="2006" customWidth="1"/>
    <col min="4367" max="4369" width="7.5703125" style="2006" customWidth="1"/>
    <col min="4370" max="4370" width="8.7109375" style="2006" customWidth="1"/>
    <col min="4371" max="4371" width="7.5703125" style="2006" customWidth="1"/>
    <col min="4372" max="4372" width="9.85546875" style="2006" customWidth="1"/>
    <col min="4373" max="4373" width="7.5703125" style="2006" customWidth="1"/>
    <col min="4374" max="4607" width="11" style="2006"/>
    <col min="4608" max="4608" width="9" style="2006" customWidth="1"/>
    <col min="4609" max="4609" width="12.42578125" style="2006" customWidth="1"/>
    <col min="4610" max="4610" width="12.28515625" style="2006" customWidth="1"/>
    <col min="4611" max="4611" width="12.42578125" style="2006" customWidth="1"/>
    <col min="4612" max="4612" width="13" style="2006" customWidth="1"/>
    <col min="4613" max="4613" width="8.28515625" style="2006" customWidth="1"/>
    <col min="4614" max="4614" width="8.7109375" style="2006" customWidth="1"/>
    <col min="4615" max="4615" width="9.28515625" style="2006" customWidth="1"/>
    <col min="4616" max="4616" width="12" style="2006" customWidth="1"/>
    <col min="4617" max="4617" width="13.42578125" style="2006" customWidth="1"/>
    <col min="4618" max="4618" width="12.5703125" style="2006" customWidth="1"/>
    <col min="4619" max="4619" width="11.5703125" style="2006" customWidth="1"/>
    <col min="4620" max="4620" width="10.85546875" style="2006" bestFit="1" customWidth="1"/>
    <col min="4621" max="4621" width="8.7109375" style="2006" customWidth="1"/>
    <col min="4622" max="4622" width="9.85546875" style="2006" customWidth="1"/>
    <col min="4623" max="4625" width="7.5703125" style="2006" customWidth="1"/>
    <col min="4626" max="4626" width="8.7109375" style="2006" customWidth="1"/>
    <col min="4627" max="4627" width="7.5703125" style="2006" customWidth="1"/>
    <col min="4628" max="4628" width="9.85546875" style="2006" customWidth="1"/>
    <col min="4629" max="4629" width="7.5703125" style="2006" customWidth="1"/>
    <col min="4630" max="4863" width="11" style="2006"/>
    <col min="4864" max="4864" width="9" style="2006" customWidth="1"/>
    <col min="4865" max="4865" width="12.42578125" style="2006" customWidth="1"/>
    <col min="4866" max="4866" width="12.28515625" style="2006" customWidth="1"/>
    <col min="4867" max="4867" width="12.42578125" style="2006" customWidth="1"/>
    <col min="4868" max="4868" width="13" style="2006" customWidth="1"/>
    <col min="4869" max="4869" width="8.28515625" style="2006" customWidth="1"/>
    <col min="4870" max="4870" width="8.7109375" style="2006" customWidth="1"/>
    <col min="4871" max="4871" width="9.28515625" style="2006" customWidth="1"/>
    <col min="4872" max="4872" width="12" style="2006" customWidth="1"/>
    <col min="4873" max="4873" width="13.42578125" style="2006" customWidth="1"/>
    <col min="4874" max="4874" width="12.5703125" style="2006" customWidth="1"/>
    <col min="4875" max="4875" width="11.5703125" style="2006" customWidth="1"/>
    <col min="4876" max="4876" width="10.85546875" style="2006" bestFit="1" customWidth="1"/>
    <col min="4877" max="4877" width="8.7109375" style="2006" customWidth="1"/>
    <col min="4878" max="4878" width="9.85546875" style="2006" customWidth="1"/>
    <col min="4879" max="4881" width="7.5703125" style="2006" customWidth="1"/>
    <col min="4882" max="4882" width="8.7109375" style="2006" customWidth="1"/>
    <col min="4883" max="4883" width="7.5703125" style="2006" customWidth="1"/>
    <col min="4884" max="4884" width="9.85546875" style="2006" customWidth="1"/>
    <col min="4885" max="4885" width="7.5703125" style="2006" customWidth="1"/>
    <col min="4886" max="5119" width="11" style="2006"/>
    <col min="5120" max="5120" width="9" style="2006" customWidth="1"/>
    <col min="5121" max="5121" width="12.42578125" style="2006" customWidth="1"/>
    <col min="5122" max="5122" width="12.28515625" style="2006" customWidth="1"/>
    <col min="5123" max="5123" width="12.42578125" style="2006" customWidth="1"/>
    <col min="5124" max="5124" width="13" style="2006" customWidth="1"/>
    <col min="5125" max="5125" width="8.28515625" style="2006" customWidth="1"/>
    <col min="5126" max="5126" width="8.7109375" style="2006" customWidth="1"/>
    <col min="5127" max="5127" width="9.28515625" style="2006" customWidth="1"/>
    <col min="5128" max="5128" width="12" style="2006" customWidth="1"/>
    <col min="5129" max="5129" width="13.42578125" style="2006" customWidth="1"/>
    <col min="5130" max="5130" width="12.5703125" style="2006" customWidth="1"/>
    <col min="5131" max="5131" width="11.5703125" style="2006" customWidth="1"/>
    <col min="5132" max="5132" width="10.85546875" style="2006" bestFit="1" customWidth="1"/>
    <col min="5133" max="5133" width="8.7109375" style="2006" customWidth="1"/>
    <col min="5134" max="5134" width="9.85546875" style="2006" customWidth="1"/>
    <col min="5135" max="5137" width="7.5703125" style="2006" customWidth="1"/>
    <col min="5138" max="5138" width="8.7109375" style="2006" customWidth="1"/>
    <col min="5139" max="5139" width="7.5703125" style="2006" customWidth="1"/>
    <col min="5140" max="5140" width="9.85546875" style="2006" customWidth="1"/>
    <col min="5141" max="5141" width="7.5703125" style="2006" customWidth="1"/>
    <col min="5142" max="5375" width="11" style="2006"/>
    <col min="5376" max="5376" width="9" style="2006" customWidth="1"/>
    <col min="5377" max="5377" width="12.42578125" style="2006" customWidth="1"/>
    <col min="5378" max="5378" width="12.28515625" style="2006" customWidth="1"/>
    <col min="5379" max="5379" width="12.42578125" style="2006" customWidth="1"/>
    <col min="5380" max="5380" width="13" style="2006" customWidth="1"/>
    <col min="5381" max="5381" width="8.28515625" style="2006" customWidth="1"/>
    <col min="5382" max="5382" width="8.7109375" style="2006" customWidth="1"/>
    <col min="5383" max="5383" width="9.28515625" style="2006" customWidth="1"/>
    <col min="5384" max="5384" width="12" style="2006" customWidth="1"/>
    <col min="5385" max="5385" width="13.42578125" style="2006" customWidth="1"/>
    <col min="5386" max="5386" width="12.5703125" style="2006" customWidth="1"/>
    <col min="5387" max="5387" width="11.5703125" style="2006" customWidth="1"/>
    <col min="5388" max="5388" width="10.85546875" style="2006" bestFit="1" customWidth="1"/>
    <col min="5389" max="5389" width="8.7109375" style="2006" customWidth="1"/>
    <col min="5390" max="5390" width="9.85546875" style="2006" customWidth="1"/>
    <col min="5391" max="5393" width="7.5703125" style="2006" customWidth="1"/>
    <col min="5394" max="5394" width="8.7109375" style="2006" customWidth="1"/>
    <col min="5395" max="5395" width="7.5703125" style="2006" customWidth="1"/>
    <col min="5396" max="5396" width="9.85546875" style="2006" customWidth="1"/>
    <col min="5397" max="5397" width="7.5703125" style="2006" customWidth="1"/>
    <col min="5398" max="5631" width="11" style="2006"/>
    <col min="5632" max="5632" width="9" style="2006" customWidth="1"/>
    <col min="5633" max="5633" width="12.42578125" style="2006" customWidth="1"/>
    <col min="5634" max="5634" width="12.28515625" style="2006" customWidth="1"/>
    <col min="5635" max="5635" width="12.42578125" style="2006" customWidth="1"/>
    <col min="5636" max="5636" width="13" style="2006" customWidth="1"/>
    <col min="5637" max="5637" width="8.28515625" style="2006" customWidth="1"/>
    <col min="5638" max="5638" width="8.7109375" style="2006" customWidth="1"/>
    <col min="5639" max="5639" width="9.28515625" style="2006" customWidth="1"/>
    <col min="5640" max="5640" width="12" style="2006" customWidth="1"/>
    <col min="5641" max="5641" width="13.42578125" style="2006" customWidth="1"/>
    <col min="5642" max="5642" width="12.5703125" style="2006" customWidth="1"/>
    <col min="5643" max="5643" width="11.5703125" style="2006" customWidth="1"/>
    <col min="5644" max="5644" width="10.85546875" style="2006" bestFit="1" customWidth="1"/>
    <col min="5645" max="5645" width="8.7109375" style="2006" customWidth="1"/>
    <col min="5646" max="5646" width="9.85546875" style="2006" customWidth="1"/>
    <col min="5647" max="5649" width="7.5703125" style="2006" customWidth="1"/>
    <col min="5650" max="5650" width="8.7109375" style="2006" customWidth="1"/>
    <col min="5651" max="5651" width="7.5703125" style="2006" customWidth="1"/>
    <col min="5652" max="5652" width="9.85546875" style="2006" customWidth="1"/>
    <col min="5653" max="5653" width="7.5703125" style="2006" customWidth="1"/>
    <col min="5654" max="5887" width="11" style="2006"/>
    <col min="5888" max="5888" width="9" style="2006" customWidth="1"/>
    <col min="5889" max="5889" width="12.42578125" style="2006" customWidth="1"/>
    <col min="5890" max="5890" width="12.28515625" style="2006" customWidth="1"/>
    <col min="5891" max="5891" width="12.42578125" style="2006" customWidth="1"/>
    <col min="5892" max="5892" width="13" style="2006" customWidth="1"/>
    <col min="5893" max="5893" width="8.28515625" style="2006" customWidth="1"/>
    <col min="5894" max="5894" width="8.7109375" style="2006" customWidth="1"/>
    <col min="5895" max="5895" width="9.28515625" style="2006" customWidth="1"/>
    <col min="5896" max="5896" width="12" style="2006" customWidth="1"/>
    <col min="5897" max="5897" width="13.42578125" style="2006" customWidth="1"/>
    <col min="5898" max="5898" width="12.5703125" style="2006" customWidth="1"/>
    <col min="5899" max="5899" width="11.5703125" style="2006" customWidth="1"/>
    <col min="5900" max="5900" width="10.85546875" style="2006" bestFit="1" customWidth="1"/>
    <col min="5901" max="5901" width="8.7109375" style="2006" customWidth="1"/>
    <col min="5902" max="5902" width="9.85546875" style="2006" customWidth="1"/>
    <col min="5903" max="5905" width="7.5703125" style="2006" customWidth="1"/>
    <col min="5906" max="5906" width="8.7109375" style="2006" customWidth="1"/>
    <col min="5907" max="5907" width="7.5703125" style="2006" customWidth="1"/>
    <col min="5908" max="5908" width="9.85546875" style="2006" customWidth="1"/>
    <col min="5909" max="5909" width="7.5703125" style="2006" customWidth="1"/>
    <col min="5910" max="6143" width="11" style="2006"/>
    <col min="6144" max="6144" width="9" style="2006" customWidth="1"/>
    <col min="6145" max="6145" width="12.42578125" style="2006" customWidth="1"/>
    <col min="6146" max="6146" width="12.28515625" style="2006" customWidth="1"/>
    <col min="6147" max="6147" width="12.42578125" style="2006" customWidth="1"/>
    <col min="6148" max="6148" width="13" style="2006" customWidth="1"/>
    <col min="6149" max="6149" width="8.28515625" style="2006" customWidth="1"/>
    <col min="6150" max="6150" width="8.7109375" style="2006" customWidth="1"/>
    <col min="6151" max="6151" width="9.28515625" style="2006" customWidth="1"/>
    <col min="6152" max="6152" width="12" style="2006" customWidth="1"/>
    <col min="6153" max="6153" width="13.42578125" style="2006" customWidth="1"/>
    <col min="6154" max="6154" width="12.5703125" style="2006" customWidth="1"/>
    <col min="6155" max="6155" width="11.5703125" style="2006" customWidth="1"/>
    <col min="6156" max="6156" width="10.85546875" style="2006" bestFit="1" customWidth="1"/>
    <col min="6157" max="6157" width="8.7109375" style="2006" customWidth="1"/>
    <col min="6158" max="6158" width="9.85546875" style="2006" customWidth="1"/>
    <col min="6159" max="6161" width="7.5703125" style="2006" customWidth="1"/>
    <col min="6162" max="6162" width="8.7109375" style="2006" customWidth="1"/>
    <col min="6163" max="6163" width="7.5703125" style="2006" customWidth="1"/>
    <col min="6164" max="6164" width="9.85546875" style="2006" customWidth="1"/>
    <col min="6165" max="6165" width="7.5703125" style="2006" customWidth="1"/>
    <col min="6166" max="6399" width="11" style="2006"/>
    <col min="6400" max="6400" width="9" style="2006" customWidth="1"/>
    <col min="6401" max="6401" width="12.42578125" style="2006" customWidth="1"/>
    <col min="6402" max="6402" width="12.28515625" style="2006" customWidth="1"/>
    <col min="6403" max="6403" width="12.42578125" style="2006" customWidth="1"/>
    <col min="6404" max="6404" width="13" style="2006" customWidth="1"/>
    <col min="6405" max="6405" width="8.28515625" style="2006" customWidth="1"/>
    <col min="6406" max="6406" width="8.7109375" style="2006" customWidth="1"/>
    <col min="6407" max="6407" width="9.28515625" style="2006" customWidth="1"/>
    <col min="6408" max="6408" width="12" style="2006" customWidth="1"/>
    <col min="6409" max="6409" width="13.42578125" style="2006" customWidth="1"/>
    <col min="6410" max="6410" width="12.5703125" style="2006" customWidth="1"/>
    <col min="6411" max="6411" width="11.5703125" style="2006" customWidth="1"/>
    <col min="6412" max="6412" width="10.85546875" style="2006" bestFit="1" customWidth="1"/>
    <col min="6413" max="6413" width="8.7109375" style="2006" customWidth="1"/>
    <col min="6414" max="6414" width="9.85546875" style="2006" customWidth="1"/>
    <col min="6415" max="6417" width="7.5703125" style="2006" customWidth="1"/>
    <col min="6418" max="6418" width="8.7109375" style="2006" customWidth="1"/>
    <col min="6419" max="6419" width="7.5703125" style="2006" customWidth="1"/>
    <col min="6420" max="6420" width="9.85546875" style="2006" customWidth="1"/>
    <col min="6421" max="6421" width="7.5703125" style="2006" customWidth="1"/>
    <col min="6422" max="6655" width="11" style="2006"/>
    <col min="6656" max="6656" width="9" style="2006" customWidth="1"/>
    <col min="6657" max="6657" width="12.42578125" style="2006" customWidth="1"/>
    <col min="6658" max="6658" width="12.28515625" style="2006" customWidth="1"/>
    <col min="6659" max="6659" width="12.42578125" style="2006" customWidth="1"/>
    <col min="6660" max="6660" width="13" style="2006" customWidth="1"/>
    <col min="6661" max="6661" width="8.28515625" style="2006" customWidth="1"/>
    <col min="6662" max="6662" width="8.7109375" style="2006" customWidth="1"/>
    <col min="6663" max="6663" width="9.28515625" style="2006" customWidth="1"/>
    <col min="6664" max="6664" width="12" style="2006" customWidth="1"/>
    <col min="6665" max="6665" width="13.42578125" style="2006" customWidth="1"/>
    <col min="6666" max="6666" width="12.5703125" style="2006" customWidth="1"/>
    <col min="6667" max="6667" width="11.5703125" style="2006" customWidth="1"/>
    <col min="6668" max="6668" width="10.85546875" style="2006" bestFit="1" customWidth="1"/>
    <col min="6669" max="6669" width="8.7109375" style="2006" customWidth="1"/>
    <col min="6670" max="6670" width="9.85546875" style="2006" customWidth="1"/>
    <col min="6671" max="6673" width="7.5703125" style="2006" customWidth="1"/>
    <col min="6674" max="6674" width="8.7109375" style="2006" customWidth="1"/>
    <col min="6675" max="6675" width="7.5703125" style="2006" customWidth="1"/>
    <col min="6676" max="6676" width="9.85546875" style="2006" customWidth="1"/>
    <col min="6677" max="6677" width="7.5703125" style="2006" customWidth="1"/>
    <col min="6678" max="6911" width="11" style="2006"/>
    <col min="6912" max="6912" width="9" style="2006" customWidth="1"/>
    <col min="6913" max="6913" width="12.42578125" style="2006" customWidth="1"/>
    <col min="6914" max="6914" width="12.28515625" style="2006" customWidth="1"/>
    <col min="6915" max="6915" width="12.42578125" style="2006" customWidth="1"/>
    <col min="6916" max="6916" width="13" style="2006" customWidth="1"/>
    <col min="6917" max="6917" width="8.28515625" style="2006" customWidth="1"/>
    <col min="6918" max="6918" width="8.7109375" style="2006" customWidth="1"/>
    <col min="6919" max="6919" width="9.28515625" style="2006" customWidth="1"/>
    <col min="6920" max="6920" width="12" style="2006" customWidth="1"/>
    <col min="6921" max="6921" width="13.42578125" style="2006" customWidth="1"/>
    <col min="6922" max="6922" width="12.5703125" style="2006" customWidth="1"/>
    <col min="6923" max="6923" width="11.5703125" style="2006" customWidth="1"/>
    <col min="6924" max="6924" width="10.85546875" style="2006" bestFit="1" customWidth="1"/>
    <col min="6925" max="6925" width="8.7109375" style="2006" customWidth="1"/>
    <col min="6926" max="6926" width="9.85546875" style="2006" customWidth="1"/>
    <col min="6927" max="6929" width="7.5703125" style="2006" customWidth="1"/>
    <col min="6930" max="6930" width="8.7109375" style="2006" customWidth="1"/>
    <col min="6931" max="6931" width="7.5703125" style="2006" customWidth="1"/>
    <col min="6932" max="6932" width="9.85546875" style="2006" customWidth="1"/>
    <col min="6933" max="6933" width="7.5703125" style="2006" customWidth="1"/>
    <col min="6934" max="7167" width="11" style="2006"/>
    <col min="7168" max="7168" width="9" style="2006" customWidth="1"/>
    <col min="7169" max="7169" width="12.42578125" style="2006" customWidth="1"/>
    <col min="7170" max="7170" width="12.28515625" style="2006" customWidth="1"/>
    <col min="7171" max="7171" width="12.42578125" style="2006" customWidth="1"/>
    <col min="7172" max="7172" width="13" style="2006" customWidth="1"/>
    <col min="7173" max="7173" width="8.28515625" style="2006" customWidth="1"/>
    <col min="7174" max="7174" width="8.7109375" style="2006" customWidth="1"/>
    <col min="7175" max="7175" width="9.28515625" style="2006" customWidth="1"/>
    <col min="7176" max="7176" width="12" style="2006" customWidth="1"/>
    <col min="7177" max="7177" width="13.42578125" style="2006" customWidth="1"/>
    <col min="7178" max="7178" width="12.5703125" style="2006" customWidth="1"/>
    <col min="7179" max="7179" width="11.5703125" style="2006" customWidth="1"/>
    <col min="7180" max="7180" width="10.85546875" style="2006" bestFit="1" customWidth="1"/>
    <col min="7181" max="7181" width="8.7109375" style="2006" customWidth="1"/>
    <col min="7182" max="7182" width="9.85546875" style="2006" customWidth="1"/>
    <col min="7183" max="7185" width="7.5703125" style="2006" customWidth="1"/>
    <col min="7186" max="7186" width="8.7109375" style="2006" customWidth="1"/>
    <col min="7187" max="7187" width="7.5703125" style="2006" customWidth="1"/>
    <col min="7188" max="7188" width="9.85546875" style="2006" customWidth="1"/>
    <col min="7189" max="7189" width="7.5703125" style="2006" customWidth="1"/>
    <col min="7190" max="7423" width="11" style="2006"/>
    <col min="7424" max="7424" width="9" style="2006" customWidth="1"/>
    <col min="7425" max="7425" width="12.42578125" style="2006" customWidth="1"/>
    <col min="7426" max="7426" width="12.28515625" style="2006" customWidth="1"/>
    <col min="7427" max="7427" width="12.42578125" style="2006" customWidth="1"/>
    <col min="7428" max="7428" width="13" style="2006" customWidth="1"/>
    <col min="7429" max="7429" width="8.28515625" style="2006" customWidth="1"/>
    <col min="7430" max="7430" width="8.7109375" style="2006" customWidth="1"/>
    <col min="7431" max="7431" width="9.28515625" style="2006" customWidth="1"/>
    <col min="7432" max="7432" width="12" style="2006" customWidth="1"/>
    <col min="7433" max="7433" width="13.42578125" style="2006" customWidth="1"/>
    <col min="7434" max="7434" width="12.5703125" style="2006" customWidth="1"/>
    <col min="7435" max="7435" width="11.5703125" style="2006" customWidth="1"/>
    <col min="7436" max="7436" width="10.85546875" style="2006" bestFit="1" customWidth="1"/>
    <col min="7437" max="7437" width="8.7109375" style="2006" customWidth="1"/>
    <col min="7438" max="7438" width="9.85546875" style="2006" customWidth="1"/>
    <col min="7439" max="7441" width="7.5703125" style="2006" customWidth="1"/>
    <col min="7442" max="7442" width="8.7109375" style="2006" customWidth="1"/>
    <col min="7443" max="7443" width="7.5703125" style="2006" customWidth="1"/>
    <col min="7444" max="7444" width="9.85546875" style="2006" customWidth="1"/>
    <col min="7445" max="7445" width="7.5703125" style="2006" customWidth="1"/>
    <col min="7446" max="7679" width="11" style="2006"/>
    <col min="7680" max="7680" width="9" style="2006" customWidth="1"/>
    <col min="7681" max="7681" width="12.42578125" style="2006" customWidth="1"/>
    <col min="7682" max="7682" width="12.28515625" style="2006" customWidth="1"/>
    <col min="7683" max="7683" width="12.42578125" style="2006" customWidth="1"/>
    <col min="7684" max="7684" width="13" style="2006" customWidth="1"/>
    <col min="7685" max="7685" width="8.28515625" style="2006" customWidth="1"/>
    <col min="7686" max="7686" width="8.7109375" style="2006" customWidth="1"/>
    <col min="7687" max="7687" width="9.28515625" style="2006" customWidth="1"/>
    <col min="7688" max="7688" width="12" style="2006" customWidth="1"/>
    <col min="7689" max="7689" width="13.42578125" style="2006" customWidth="1"/>
    <col min="7690" max="7690" width="12.5703125" style="2006" customWidth="1"/>
    <col min="7691" max="7691" width="11.5703125" style="2006" customWidth="1"/>
    <col min="7692" max="7692" width="10.85546875" style="2006" bestFit="1" customWidth="1"/>
    <col min="7693" max="7693" width="8.7109375" style="2006" customWidth="1"/>
    <col min="7694" max="7694" width="9.85546875" style="2006" customWidth="1"/>
    <col min="7695" max="7697" width="7.5703125" style="2006" customWidth="1"/>
    <col min="7698" max="7698" width="8.7109375" style="2006" customWidth="1"/>
    <col min="7699" max="7699" width="7.5703125" style="2006" customWidth="1"/>
    <col min="7700" max="7700" width="9.85546875" style="2006" customWidth="1"/>
    <col min="7701" max="7701" width="7.5703125" style="2006" customWidth="1"/>
    <col min="7702" max="7935" width="11" style="2006"/>
    <col min="7936" max="7936" width="9" style="2006" customWidth="1"/>
    <col min="7937" max="7937" width="12.42578125" style="2006" customWidth="1"/>
    <col min="7938" max="7938" width="12.28515625" style="2006" customWidth="1"/>
    <col min="7939" max="7939" width="12.42578125" style="2006" customWidth="1"/>
    <col min="7940" max="7940" width="13" style="2006" customWidth="1"/>
    <col min="7941" max="7941" width="8.28515625" style="2006" customWidth="1"/>
    <col min="7942" max="7942" width="8.7109375" style="2006" customWidth="1"/>
    <col min="7943" max="7943" width="9.28515625" style="2006" customWidth="1"/>
    <col min="7944" max="7944" width="12" style="2006" customWidth="1"/>
    <col min="7945" max="7945" width="13.42578125" style="2006" customWidth="1"/>
    <col min="7946" max="7946" width="12.5703125" style="2006" customWidth="1"/>
    <col min="7947" max="7947" width="11.5703125" style="2006" customWidth="1"/>
    <col min="7948" max="7948" width="10.85546875" style="2006" bestFit="1" customWidth="1"/>
    <col min="7949" max="7949" width="8.7109375" style="2006" customWidth="1"/>
    <col min="7950" max="7950" width="9.85546875" style="2006" customWidth="1"/>
    <col min="7951" max="7953" width="7.5703125" style="2006" customWidth="1"/>
    <col min="7954" max="7954" width="8.7109375" style="2006" customWidth="1"/>
    <col min="7955" max="7955" width="7.5703125" style="2006" customWidth="1"/>
    <col min="7956" max="7956" width="9.85546875" style="2006" customWidth="1"/>
    <col min="7957" max="7957" width="7.5703125" style="2006" customWidth="1"/>
    <col min="7958" max="8191" width="11" style="2006"/>
    <col min="8192" max="8192" width="9" style="2006" customWidth="1"/>
    <col min="8193" max="8193" width="12.42578125" style="2006" customWidth="1"/>
    <col min="8194" max="8194" width="12.28515625" style="2006" customWidth="1"/>
    <col min="8195" max="8195" width="12.42578125" style="2006" customWidth="1"/>
    <col min="8196" max="8196" width="13" style="2006" customWidth="1"/>
    <col min="8197" max="8197" width="8.28515625" style="2006" customWidth="1"/>
    <col min="8198" max="8198" width="8.7109375" style="2006" customWidth="1"/>
    <col min="8199" max="8199" width="9.28515625" style="2006" customWidth="1"/>
    <col min="8200" max="8200" width="12" style="2006" customWidth="1"/>
    <col min="8201" max="8201" width="13.42578125" style="2006" customWidth="1"/>
    <col min="8202" max="8202" width="12.5703125" style="2006" customWidth="1"/>
    <col min="8203" max="8203" width="11.5703125" style="2006" customWidth="1"/>
    <col min="8204" max="8204" width="10.85546875" style="2006" bestFit="1" customWidth="1"/>
    <col min="8205" max="8205" width="8.7109375" style="2006" customWidth="1"/>
    <col min="8206" max="8206" width="9.85546875" style="2006" customWidth="1"/>
    <col min="8207" max="8209" width="7.5703125" style="2006" customWidth="1"/>
    <col min="8210" max="8210" width="8.7109375" style="2006" customWidth="1"/>
    <col min="8211" max="8211" width="7.5703125" style="2006" customWidth="1"/>
    <col min="8212" max="8212" width="9.85546875" style="2006" customWidth="1"/>
    <col min="8213" max="8213" width="7.5703125" style="2006" customWidth="1"/>
    <col min="8214" max="8447" width="11" style="2006"/>
    <col min="8448" max="8448" width="9" style="2006" customWidth="1"/>
    <col min="8449" max="8449" width="12.42578125" style="2006" customWidth="1"/>
    <col min="8450" max="8450" width="12.28515625" style="2006" customWidth="1"/>
    <col min="8451" max="8451" width="12.42578125" style="2006" customWidth="1"/>
    <col min="8452" max="8452" width="13" style="2006" customWidth="1"/>
    <col min="8453" max="8453" width="8.28515625" style="2006" customWidth="1"/>
    <col min="8454" max="8454" width="8.7109375" style="2006" customWidth="1"/>
    <col min="8455" max="8455" width="9.28515625" style="2006" customWidth="1"/>
    <col min="8456" max="8456" width="12" style="2006" customWidth="1"/>
    <col min="8457" max="8457" width="13.42578125" style="2006" customWidth="1"/>
    <col min="8458" max="8458" width="12.5703125" style="2006" customWidth="1"/>
    <col min="8459" max="8459" width="11.5703125" style="2006" customWidth="1"/>
    <col min="8460" max="8460" width="10.85546875" style="2006" bestFit="1" customWidth="1"/>
    <col min="8461" max="8461" width="8.7109375" style="2006" customWidth="1"/>
    <col min="8462" max="8462" width="9.85546875" style="2006" customWidth="1"/>
    <col min="8463" max="8465" width="7.5703125" style="2006" customWidth="1"/>
    <col min="8466" max="8466" width="8.7109375" style="2006" customWidth="1"/>
    <col min="8467" max="8467" width="7.5703125" style="2006" customWidth="1"/>
    <col min="8468" max="8468" width="9.85546875" style="2006" customWidth="1"/>
    <col min="8469" max="8469" width="7.5703125" style="2006" customWidth="1"/>
    <col min="8470" max="8703" width="11" style="2006"/>
    <col min="8704" max="8704" width="9" style="2006" customWidth="1"/>
    <col min="8705" max="8705" width="12.42578125" style="2006" customWidth="1"/>
    <col min="8706" max="8706" width="12.28515625" style="2006" customWidth="1"/>
    <col min="8707" max="8707" width="12.42578125" style="2006" customWidth="1"/>
    <col min="8708" max="8708" width="13" style="2006" customWidth="1"/>
    <col min="8709" max="8709" width="8.28515625" style="2006" customWidth="1"/>
    <col min="8710" max="8710" width="8.7109375" style="2006" customWidth="1"/>
    <col min="8711" max="8711" width="9.28515625" style="2006" customWidth="1"/>
    <col min="8712" max="8712" width="12" style="2006" customWidth="1"/>
    <col min="8713" max="8713" width="13.42578125" style="2006" customWidth="1"/>
    <col min="8714" max="8714" width="12.5703125" style="2006" customWidth="1"/>
    <col min="8715" max="8715" width="11.5703125" style="2006" customWidth="1"/>
    <col min="8716" max="8716" width="10.85546875" style="2006" bestFit="1" customWidth="1"/>
    <col min="8717" max="8717" width="8.7109375" style="2006" customWidth="1"/>
    <col min="8718" max="8718" width="9.85546875" style="2006" customWidth="1"/>
    <col min="8719" max="8721" width="7.5703125" style="2006" customWidth="1"/>
    <col min="8722" max="8722" width="8.7109375" style="2006" customWidth="1"/>
    <col min="8723" max="8723" width="7.5703125" style="2006" customWidth="1"/>
    <col min="8724" max="8724" width="9.85546875" style="2006" customWidth="1"/>
    <col min="8725" max="8725" width="7.5703125" style="2006" customWidth="1"/>
    <col min="8726" max="8959" width="11" style="2006"/>
    <col min="8960" max="8960" width="9" style="2006" customWidth="1"/>
    <col min="8961" max="8961" width="12.42578125" style="2006" customWidth="1"/>
    <col min="8962" max="8962" width="12.28515625" style="2006" customWidth="1"/>
    <col min="8963" max="8963" width="12.42578125" style="2006" customWidth="1"/>
    <col min="8964" max="8964" width="13" style="2006" customWidth="1"/>
    <col min="8965" max="8965" width="8.28515625" style="2006" customWidth="1"/>
    <col min="8966" max="8966" width="8.7109375" style="2006" customWidth="1"/>
    <col min="8967" max="8967" width="9.28515625" style="2006" customWidth="1"/>
    <col min="8968" max="8968" width="12" style="2006" customWidth="1"/>
    <col min="8969" max="8969" width="13.42578125" style="2006" customWidth="1"/>
    <col min="8970" max="8970" width="12.5703125" style="2006" customWidth="1"/>
    <col min="8971" max="8971" width="11.5703125" style="2006" customWidth="1"/>
    <col min="8972" max="8972" width="10.85546875" style="2006" bestFit="1" customWidth="1"/>
    <col min="8973" max="8973" width="8.7109375" style="2006" customWidth="1"/>
    <col min="8974" max="8974" width="9.85546875" style="2006" customWidth="1"/>
    <col min="8975" max="8977" width="7.5703125" style="2006" customWidth="1"/>
    <col min="8978" max="8978" width="8.7109375" style="2006" customWidth="1"/>
    <col min="8979" max="8979" width="7.5703125" style="2006" customWidth="1"/>
    <col min="8980" max="8980" width="9.85546875" style="2006" customWidth="1"/>
    <col min="8981" max="8981" width="7.5703125" style="2006" customWidth="1"/>
    <col min="8982" max="9215" width="11" style="2006"/>
    <col min="9216" max="9216" width="9" style="2006" customWidth="1"/>
    <col min="9217" max="9217" width="12.42578125" style="2006" customWidth="1"/>
    <col min="9218" max="9218" width="12.28515625" style="2006" customWidth="1"/>
    <col min="9219" max="9219" width="12.42578125" style="2006" customWidth="1"/>
    <col min="9220" max="9220" width="13" style="2006" customWidth="1"/>
    <col min="9221" max="9221" width="8.28515625" style="2006" customWidth="1"/>
    <col min="9222" max="9222" width="8.7109375" style="2006" customWidth="1"/>
    <col min="9223" max="9223" width="9.28515625" style="2006" customWidth="1"/>
    <col min="9224" max="9224" width="12" style="2006" customWidth="1"/>
    <col min="9225" max="9225" width="13.42578125" style="2006" customWidth="1"/>
    <col min="9226" max="9226" width="12.5703125" style="2006" customWidth="1"/>
    <col min="9227" max="9227" width="11.5703125" style="2006" customWidth="1"/>
    <col min="9228" max="9228" width="10.85546875" style="2006" bestFit="1" customWidth="1"/>
    <col min="9229" max="9229" width="8.7109375" style="2006" customWidth="1"/>
    <col min="9230" max="9230" width="9.85546875" style="2006" customWidth="1"/>
    <col min="9231" max="9233" width="7.5703125" style="2006" customWidth="1"/>
    <col min="9234" max="9234" width="8.7109375" style="2006" customWidth="1"/>
    <col min="9235" max="9235" width="7.5703125" style="2006" customWidth="1"/>
    <col min="9236" max="9236" width="9.85546875" style="2006" customWidth="1"/>
    <col min="9237" max="9237" width="7.5703125" style="2006" customWidth="1"/>
    <col min="9238" max="9471" width="11" style="2006"/>
    <col min="9472" max="9472" width="9" style="2006" customWidth="1"/>
    <col min="9473" max="9473" width="12.42578125" style="2006" customWidth="1"/>
    <col min="9474" max="9474" width="12.28515625" style="2006" customWidth="1"/>
    <col min="9475" max="9475" width="12.42578125" style="2006" customWidth="1"/>
    <col min="9476" max="9476" width="13" style="2006" customWidth="1"/>
    <col min="9477" max="9477" width="8.28515625" style="2006" customWidth="1"/>
    <col min="9478" max="9478" width="8.7109375" style="2006" customWidth="1"/>
    <col min="9479" max="9479" width="9.28515625" style="2006" customWidth="1"/>
    <col min="9480" max="9480" width="12" style="2006" customWidth="1"/>
    <col min="9481" max="9481" width="13.42578125" style="2006" customWidth="1"/>
    <col min="9482" max="9482" width="12.5703125" style="2006" customWidth="1"/>
    <col min="9483" max="9483" width="11.5703125" style="2006" customWidth="1"/>
    <col min="9484" max="9484" width="10.85546875" style="2006" bestFit="1" customWidth="1"/>
    <col min="9485" max="9485" width="8.7109375" style="2006" customWidth="1"/>
    <col min="9486" max="9486" width="9.85546875" style="2006" customWidth="1"/>
    <col min="9487" max="9489" width="7.5703125" style="2006" customWidth="1"/>
    <col min="9490" max="9490" width="8.7109375" style="2006" customWidth="1"/>
    <col min="9491" max="9491" width="7.5703125" style="2006" customWidth="1"/>
    <col min="9492" max="9492" width="9.85546875" style="2006" customWidth="1"/>
    <col min="9493" max="9493" width="7.5703125" style="2006" customWidth="1"/>
    <col min="9494" max="9727" width="11" style="2006"/>
    <col min="9728" max="9728" width="9" style="2006" customWidth="1"/>
    <col min="9729" max="9729" width="12.42578125" style="2006" customWidth="1"/>
    <col min="9730" max="9730" width="12.28515625" style="2006" customWidth="1"/>
    <col min="9731" max="9731" width="12.42578125" style="2006" customWidth="1"/>
    <col min="9732" max="9732" width="13" style="2006" customWidth="1"/>
    <col min="9733" max="9733" width="8.28515625" style="2006" customWidth="1"/>
    <col min="9734" max="9734" width="8.7109375" style="2006" customWidth="1"/>
    <col min="9735" max="9735" width="9.28515625" style="2006" customWidth="1"/>
    <col min="9736" max="9736" width="12" style="2006" customWidth="1"/>
    <col min="9737" max="9737" width="13.42578125" style="2006" customWidth="1"/>
    <col min="9738" max="9738" width="12.5703125" style="2006" customWidth="1"/>
    <col min="9739" max="9739" width="11.5703125" style="2006" customWidth="1"/>
    <col min="9740" max="9740" width="10.85546875" style="2006" bestFit="1" customWidth="1"/>
    <col min="9741" max="9741" width="8.7109375" style="2006" customWidth="1"/>
    <col min="9742" max="9742" width="9.85546875" style="2006" customWidth="1"/>
    <col min="9743" max="9745" width="7.5703125" style="2006" customWidth="1"/>
    <col min="9746" max="9746" width="8.7109375" style="2006" customWidth="1"/>
    <col min="9747" max="9747" width="7.5703125" style="2006" customWidth="1"/>
    <col min="9748" max="9748" width="9.85546875" style="2006" customWidth="1"/>
    <col min="9749" max="9749" width="7.5703125" style="2006" customWidth="1"/>
    <col min="9750" max="9983" width="11" style="2006"/>
    <col min="9984" max="9984" width="9" style="2006" customWidth="1"/>
    <col min="9985" max="9985" width="12.42578125" style="2006" customWidth="1"/>
    <col min="9986" max="9986" width="12.28515625" style="2006" customWidth="1"/>
    <col min="9987" max="9987" width="12.42578125" style="2006" customWidth="1"/>
    <col min="9988" max="9988" width="13" style="2006" customWidth="1"/>
    <col min="9989" max="9989" width="8.28515625" style="2006" customWidth="1"/>
    <col min="9990" max="9990" width="8.7109375" style="2006" customWidth="1"/>
    <col min="9991" max="9991" width="9.28515625" style="2006" customWidth="1"/>
    <col min="9992" max="9992" width="12" style="2006" customWidth="1"/>
    <col min="9993" max="9993" width="13.42578125" style="2006" customWidth="1"/>
    <col min="9994" max="9994" width="12.5703125" style="2006" customWidth="1"/>
    <col min="9995" max="9995" width="11.5703125" style="2006" customWidth="1"/>
    <col min="9996" max="9996" width="10.85546875" style="2006" bestFit="1" customWidth="1"/>
    <col min="9997" max="9997" width="8.7109375" style="2006" customWidth="1"/>
    <col min="9998" max="9998" width="9.85546875" style="2006" customWidth="1"/>
    <col min="9999" max="10001" width="7.5703125" style="2006" customWidth="1"/>
    <col min="10002" max="10002" width="8.7109375" style="2006" customWidth="1"/>
    <col min="10003" max="10003" width="7.5703125" style="2006" customWidth="1"/>
    <col min="10004" max="10004" width="9.85546875" style="2006" customWidth="1"/>
    <col min="10005" max="10005" width="7.5703125" style="2006" customWidth="1"/>
    <col min="10006" max="10239" width="11" style="2006"/>
    <col min="10240" max="10240" width="9" style="2006" customWidth="1"/>
    <col min="10241" max="10241" width="12.42578125" style="2006" customWidth="1"/>
    <col min="10242" max="10242" width="12.28515625" style="2006" customWidth="1"/>
    <col min="10243" max="10243" width="12.42578125" style="2006" customWidth="1"/>
    <col min="10244" max="10244" width="13" style="2006" customWidth="1"/>
    <col min="10245" max="10245" width="8.28515625" style="2006" customWidth="1"/>
    <col min="10246" max="10246" width="8.7109375" style="2006" customWidth="1"/>
    <col min="10247" max="10247" width="9.28515625" style="2006" customWidth="1"/>
    <col min="10248" max="10248" width="12" style="2006" customWidth="1"/>
    <col min="10249" max="10249" width="13.42578125" style="2006" customWidth="1"/>
    <col min="10250" max="10250" width="12.5703125" style="2006" customWidth="1"/>
    <col min="10251" max="10251" width="11.5703125" style="2006" customWidth="1"/>
    <col min="10252" max="10252" width="10.85546875" style="2006" bestFit="1" customWidth="1"/>
    <col min="10253" max="10253" width="8.7109375" style="2006" customWidth="1"/>
    <col min="10254" max="10254" width="9.85546875" style="2006" customWidth="1"/>
    <col min="10255" max="10257" width="7.5703125" style="2006" customWidth="1"/>
    <col min="10258" max="10258" width="8.7109375" style="2006" customWidth="1"/>
    <col min="10259" max="10259" width="7.5703125" style="2006" customWidth="1"/>
    <col min="10260" max="10260" width="9.85546875" style="2006" customWidth="1"/>
    <col min="10261" max="10261" width="7.5703125" style="2006" customWidth="1"/>
    <col min="10262" max="10495" width="11" style="2006"/>
    <col min="10496" max="10496" width="9" style="2006" customWidth="1"/>
    <col min="10497" max="10497" width="12.42578125" style="2006" customWidth="1"/>
    <col min="10498" max="10498" width="12.28515625" style="2006" customWidth="1"/>
    <col min="10499" max="10499" width="12.42578125" style="2006" customWidth="1"/>
    <col min="10500" max="10500" width="13" style="2006" customWidth="1"/>
    <col min="10501" max="10501" width="8.28515625" style="2006" customWidth="1"/>
    <col min="10502" max="10502" width="8.7109375" style="2006" customWidth="1"/>
    <col min="10503" max="10503" width="9.28515625" style="2006" customWidth="1"/>
    <col min="10504" max="10504" width="12" style="2006" customWidth="1"/>
    <col min="10505" max="10505" width="13.42578125" style="2006" customWidth="1"/>
    <col min="10506" max="10506" width="12.5703125" style="2006" customWidth="1"/>
    <col min="10507" max="10507" width="11.5703125" style="2006" customWidth="1"/>
    <col min="10508" max="10508" width="10.85546875" style="2006" bestFit="1" customWidth="1"/>
    <col min="10509" max="10509" width="8.7109375" style="2006" customWidth="1"/>
    <col min="10510" max="10510" width="9.85546875" style="2006" customWidth="1"/>
    <col min="10511" max="10513" width="7.5703125" style="2006" customWidth="1"/>
    <col min="10514" max="10514" width="8.7109375" style="2006" customWidth="1"/>
    <col min="10515" max="10515" width="7.5703125" style="2006" customWidth="1"/>
    <col min="10516" max="10516" width="9.85546875" style="2006" customWidth="1"/>
    <col min="10517" max="10517" width="7.5703125" style="2006" customWidth="1"/>
    <col min="10518" max="10751" width="11" style="2006"/>
    <col min="10752" max="10752" width="9" style="2006" customWidth="1"/>
    <col min="10753" max="10753" width="12.42578125" style="2006" customWidth="1"/>
    <col min="10754" max="10754" width="12.28515625" style="2006" customWidth="1"/>
    <col min="10755" max="10755" width="12.42578125" style="2006" customWidth="1"/>
    <col min="10756" max="10756" width="13" style="2006" customWidth="1"/>
    <col min="10757" max="10757" width="8.28515625" style="2006" customWidth="1"/>
    <col min="10758" max="10758" width="8.7109375" style="2006" customWidth="1"/>
    <col min="10759" max="10759" width="9.28515625" style="2006" customWidth="1"/>
    <col min="10760" max="10760" width="12" style="2006" customWidth="1"/>
    <col min="10761" max="10761" width="13.42578125" style="2006" customWidth="1"/>
    <col min="10762" max="10762" width="12.5703125" style="2006" customWidth="1"/>
    <col min="10763" max="10763" width="11.5703125" style="2006" customWidth="1"/>
    <col min="10764" max="10764" width="10.85546875" style="2006" bestFit="1" customWidth="1"/>
    <col min="10765" max="10765" width="8.7109375" style="2006" customWidth="1"/>
    <col min="10766" max="10766" width="9.85546875" style="2006" customWidth="1"/>
    <col min="10767" max="10769" width="7.5703125" style="2006" customWidth="1"/>
    <col min="10770" max="10770" width="8.7109375" style="2006" customWidth="1"/>
    <col min="10771" max="10771" width="7.5703125" style="2006" customWidth="1"/>
    <col min="10772" max="10772" width="9.85546875" style="2006" customWidth="1"/>
    <col min="10773" max="10773" width="7.5703125" style="2006" customWidth="1"/>
    <col min="10774" max="11007" width="11" style="2006"/>
    <col min="11008" max="11008" width="9" style="2006" customWidth="1"/>
    <col min="11009" max="11009" width="12.42578125" style="2006" customWidth="1"/>
    <col min="11010" max="11010" width="12.28515625" style="2006" customWidth="1"/>
    <col min="11011" max="11011" width="12.42578125" style="2006" customWidth="1"/>
    <col min="11012" max="11012" width="13" style="2006" customWidth="1"/>
    <col min="11013" max="11013" width="8.28515625" style="2006" customWidth="1"/>
    <col min="11014" max="11014" width="8.7109375" style="2006" customWidth="1"/>
    <col min="11015" max="11015" width="9.28515625" style="2006" customWidth="1"/>
    <col min="11016" max="11016" width="12" style="2006" customWidth="1"/>
    <col min="11017" max="11017" width="13.42578125" style="2006" customWidth="1"/>
    <col min="11018" max="11018" width="12.5703125" style="2006" customWidth="1"/>
    <col min="11019" max="11019" width="11.5703125" style="2006" customWidth="1"/>
    <col min="11020" max="11020" width="10.85546875" style="2006" bestFit="1" customWidth="1"/>
    <col min="11021" max="11021" width="8.7109375" style="2006" customWidth="1"/>
    <col min="11022" max="11022" width="9.85546875" style="2006" customWidth="1"/>
    <col min="11023" max="11025" width="7.5703125" style="2006" customWidth="1"/>
    <col min="11026" max="11026" width="8.7109375" style="2006" customWidth="1"/>
    <col min="11027" max="11027" width="7.5703125" style="2006" customWidth="1"/>
    <col min="11028" max="11028" width="9.85546875" style="2006" customWidth="1"/>
    <col min="11029" max="11029" width="7.5703125" style="2006" customWidth="1"/>
    <col min="11030" max="11263" width="11" style="2006"/>
    <col min="11264" max="11264" width="9" style="2006" customWidth="1"/>
    <col min="11265" max="11265" width="12.42578125" style="2006" customWidth="1"/>
    <col min="11266" max="11266" width="12.28515625" style="2006" customWidth="1"/>
    <col min="11267" max="11267" width="12.42578125" style="2006" customWidth="1"/>
    <col min="11268" max="11268" width="13" style="2006" customWidth="1"/>
    <col min="11269" max="11269" width="8.28515625" style="2006" customWidth="1"/>
    <col min="11270" max="11270" width="8.7109375" style="2006" customWidth="1"/>
    <col min="11271" max="11271" width="9.28515625" style="2006" customWidth="1"/>
    <col min="11272" max="11272" width="12" style="2006" customWidth="1"/>
    <col min="11273" max="11273" width="13.42578125" style="2006" customWidth="1"/>
    <col min="11274" max="11274" width="12.5703125" style="2006" customWidth="1"/>
    <col min="11275" max="11275" width="11.5703125" style="2006" customWidth="1"/>
    <col min="11276" max="11276" width="10.85546875" style="2006" bestFit="1" customWidth="1"/>
    <col min="11277" max="11277" width="8.7109375" style="2006" customWidth="1"/>
    <col min="11278" max="11278" width="9.85546875" style="2006" customWidth="1"/>
    <col min="11279" max="11281" width="7.5703125" style="2006" customWidth="1"/>
    <col min="11282" max="11282" width="8.7109375" style="2006" customWidth="1"/>
    <col min="11283" max="11283" width="7.5703125" style="2006" customWidth="1"/>
    <col min="11284" max="11284" width="9.85546875" style="2006" customWidth="1"/>
    <col min="11285" max="11285" width="7.5703125" style="2006" customWidth="1"/>
    <col min="11286" max="11519" width="11" style="2006"/>
    <col min="11520" max="11520" width="9" style="2006" customWidth="1"/>
    <col min="11521" max="11521" width="12.42578125" style="2006" customWidth="1"/>
    <col min="11522" max="11522" width="12.28515625" style="2006" customWidth="1"/>
    <col min="11523" max="11523" width="12.42578125" style="2006" customWidth="1"/>
    <col min="11524" max="11524" width="13" style="2006" customWidth="1"/>
    <col min="11525" max="11525" width="8.28515625" style="2006" customWidth="1"/>
    <col min="11526" max="11526" width="8.7109375" style="2006" customWidth="1"/>
    <col min="11527" max="11527" width="9.28515625" style="2006" customWidth="1"/>
    <col min="11528" max="11528" width="12" style="2006" customWidth="1"/>
    <col min="11529" max="11529" width="13.42578125" style="2006" customWidth="1"/>
    <col min="11530" max="11530" width="12.5703125" style="2006" customWidth="1"/>
    <col min="11531" max="11531" width="11.5703125" style="2006" customWidth="1"/>
    <col min="11532" max="11532" width="10.85546875" style="2006" bestFit="1" customWidth="1"/>
    <col min="11533" max="11533" width="8.7109375" style="2006" customWidth="1"/>
    <col min="11534" max="11534" width="9.85546875" style="2006" customWidth="1"/>
    <col min="11535" max="11537" width="7.5703125" style="2006" customWidth="1"/>
    <col min="11538" max="11538" width="8.7109375" style="2006" customWidth="1"/>
    <col min="11539" max="11539" width="7.5703125" style="2006" customWidth="1"/>
    <col min="11540" max="11540" width="9.85546875" style="2006" customWidth="1"/>
    <col min="11541" max="11541" width="7.5703125" style="2006" customWidth="1"/>
    <col min="11542" max="11775" width="11" style="2006"/>
    <col min="11776" max="11776" width="9" style="2006" customWidth="1"/>
    <col min="11777" max="11777" width="12.42578125" style="2006" customWidth="1"/>
    <col min="11778" max="11778" width="12.28515625" style="2006" customWidth="1"/>
    <col min="11779" max="11779" width="12.42578125" style="2006" customWidth="1"/>
    <col min="11780" max="11780" width="13" style="2006" customWidth="1"/>
    <col min="11781" max="11781" width="8.28515625" style="2006" customWidth="1"/>
    <col min="11782" max="11782" width="8.7109375" style="2006" customWidth="1"/>
    <col min="11783" max="11783" width="9.28515625" style="2006" customWidth="1"/>
    <col min="11784" max="11784" width="12" style="2006" customWidth="1"/>
    <col min="11785" max="11785" width="13.42578125" style="2006" customWidth="1"/>
    <col min="11786" max="11786" width="12.5703125" style="2006" customWidth="1"/>
    <col min="11787" max="11787" width="11.5703125" style="2006" customWidth="1"/>
    <col min="11788" max="11788" width="10.85546875" style="2006" bestFit="1" customWidth="1"/>
    <col min="11789" max="11789" width="8.7109375" style="2006" customWidth="1"/>
    <col min="11790" max="11790" width="9.85546875" style="2006" customWidth="1"/>
    <col min="11791" max="11793" width="7.5703125" style="2006" customWidth="1"/>
    <col min="11794" max="11794" width="8.7109375" style="2006" customWidth="1"/>
    <col min="11795" max="11795" width="7.5703125" style="2006" customWidth="1"/>
    <col min="11796" max="11796" width="9.85546875" style="2006" customWidth="1"/>
    <col min="11797" max="11797" width="7.5703125" style="2006" customWidth="1"/>
    <col min="11798" max="12031" width="11" style="2006"/>
    <col min="12032" max="12032" width="9" style="2006" customWidth="1"/>
    <col min="12033" max="12033" width="12.42578125" style="2006" customWidth="1"/>
    <col min="12034" max="12034" width="12.28515625" style="2006" customWidth="1"/>
    <col min="12035" max="12035" width="12.42578125" style="2006" customWidth="1"/>
    <col min="12036" max="12036" width="13" style="2006" customWidth="1"/>
    <col min="12037" max="12037" width="8.28515625" style="2006" customWidth="1"/>
    <col min="12038" max="12038" width="8.7109375" style="2006" customWidth="1"/>
    <col min="12039" max="12039" width="9.28515625" style="2006" customWidth="1"/>
    <col min="12040" max="12040" width="12" style="2006" customWidth="1"/>
    <col min="12041" max="12041" width="13.42578125" style="2006" customWidth="1"/>
    <col min="12042" max="12042" width="12.5703125" style="2006" customWidth="1"/>
    <col min="12043" max="12043" width="11.5703125" style="2006" customWidth="1"/>
    <col min="12044" max="12044" width="10.85546875" style="2006" bestFit="1" customWidth="1"/>
    <col min="12045" max="12045" width="8.7109375" style="2006" customWidth="1"/>
    <col min="12046" max="12046" width="9.85546875" style="2006" customWidth="1"/>
    <col min="12047" max="12049" width="7.5703125" style="2006" customWidth="1"/>
    <col min="12050" max="12050" width="8.7109375" style="2006" customWidth="1"/>
    <col min="12051" max="12051" width="7.5703125" style="2006" customWidth="1"/>
    <col min="12052" max="12052" width="9.85546875" style="2006" customWidth="1"/>
    <col min="12053" max="12053" width="7.5703125" style="2006" customWidth="1"/>
    <col min="12054" max="12287" width="11" style="2006"/>
    <col min="12288" max="12288" width="9" style="2006" customWidth="1"/>
    <col min="12289" max="12289" width="12.42578125" style="2006" customWidth="1"/>
    <col min="12290" max="12290" width="12.28515625" style="2006" customWidth="1"/>
    <col min="12291" max="12291" width="12.42578125" style="2006" customWidth="1"/>
    <col min="12292" max="12292" width="13" style="2006" customWidth="1"/>
    <col min="12293" max="12293" width="8.28515625" style="2006" customWidth="1"/>
    <col min="12294" max="12294" width="8.7109375" style="2006" customWidth="1"/>
    <col min="12295" max="12295" width="9.28515625" style="2006" customWidth="1"/>
    <col min="12296" max="12296" width="12" style="2006" customWidth="1"/>
    <col min="12297" max="12297" width="13.42578125" style="2006" customWidth="1"/>
    <col min="12298" max="12298" width="12.5703125" style="2006" customWidth="1"/>
    <col min="12299" max="12299" width="11.5703125" style="2006" customWidth="1"/>
    <col min="12300" max="12300" width="10.85546875" style="2006" bestFit="1" customWidth="1"/>
    <col min="12301" max="12301" width="8.7109375" style="2006" customWidth="1"/>
    <col min="12302" max="12302" width="9.85546875" style="2006" customWidth="1"/>
    <col min="12303" max="12305" width="7.5703125" style="2006" customWidth="1"/>
    <col min="12306" max="12306" width="8.7109375" style="2006" customWidth="1"/>
    <col min="12307" max="12307" width="7.5703125" style="2006" customWidth="1"/>
    <col min="12308" max="12308" width="9.85546875" style="2006" customWidth="1"/>
    <col min="12309" max="12309" width="7.5703125" style="2006" customWidth="1"/>
    <col min="12310" max="12543" width="11" style="2006"/>
    <col min="12544" max="12544" width="9" style="2006" customWidth="1"/>
    <col min="12545" max="12545" width="12.42578125" style="2006" customWidth="1"/>
    <col min="12546" max="12546" width="12.28515625" style="2006" customWidth="1"/>
    <col min="12547" max="12547" width="12.42578125" style="2006" customWidth="1"/>
    <col min="12548" max="12548" width="13" style="2006" customWidth="1"/>
    <col min="12549" max="12549" width="8.28515625" style="2006" customWidth="1"/>
    <col min="12550" max="12550" width="8.7109375" style="2006" customWidth="1"/>
    <col min="12551" max="12551" width="9.28515625" style="2006" customWidth="1"/>
    <col min="12552" max="12552" width="12" style="2006" customWidth="1"/>
    <col min="12553" max="12553" width="13.42578125" style="2006" customWidth="1"/>
    <col min="12554" max="12554" width="12.5703125" style="2006" customWidth="1"/>
    <col min="12555" max="12555" width="11.5703125" style="2006" customWidth="1"/>
    <col min="12556" max="12556" width="10.85546875" style="2006" bestFit="1" customWidth="1"/>
    <col min="12557" max="12557" width="8.7109375" style="2006" customWidth="1"/>
    <col min="12558" max="12558" width="9.85546875" style="2006" customWidth="1"/>
    <col min="12559" max="12561" width="7.5703125" style="2006" customWidth="1"/>
    <col min="12562" max="12562" width="8.7109375" style="2006" customWidth="1"/>
    <col min="12563" max="12563" width="7.5703125" style="2006" customWidth="1"/>
    <col min="12564" max="12564" width="9.85546875" style="2006" customWidth="1"/>
    <col min="12565" max="12565" width="7.5703125" style="2006" customWidth="1"/>
    <col min="12566" max="12799" width="11" style="2006"/>
    <col min="12800" max="12800" width="9" style="2006" customWidth="1"/>
    <col min="12801" max="12801" width="12.42578125" style="2006" customWidth="1"/>
    <col min="12802" max="12802" width="12.28515625" style="2006" customWidth="1"/>
    <col min="12803" max="12803" width="12.42578125" style="2006" customWidth="1"/>
    <col min="12804" max="12804" width="13" style="2006" customWidth="1"/>
    <col min="12805" max="12805" width="8.28515625" style="2006" customWidth="1"/>
    <col min="12806" max="12806" width="8.7109375" style="2006" customWidth="1"/>
    <col min="12807" max="12807" width="9.28515625" style="2006" customWidth="1"/>
    <col min="12808" max="12808" width="12" style="2006" customWidth="1"/>
    <col min="12809" max="12809" width="13.42578125" style="2006" customWidth="1"/>
    <col min="12810" max="12810" width="12.5703125" style="2006" customWidth="1"/>
    <col min="12811" max="12811" width="11.5703125" style="2006" customWidth="1"/>
    <col min="12812" max="12812" width="10.85546875" style="2006" bestFit="1" customWidth="1"/>
    <col min="12813" max="12813" width="8.7109375" style="2006" customWidth="1"/>
    <col min="12814" max="12814" width="9.85546875" style="2006" customWidth="1"/>
    <col min="12815" max="12817" width="7.5703125" style="2006" customWidth="1"/>
    <col min="12818" max="12818" width="8.7109375" style="2006" customWidth="1"/>
    <col min="12819" max="12819" width="7.5703125" style="2006" customWidth="1"/>
    <col min="12820" max="12820" width="9.85546875" style="2006" customWidth="1"/>
    <col min="12821" max="12821" width="7.5703125" style="2006" customWidth="1"/>
    <col min="12822" max="13055" width="11" style="2006"/>
    <col min="13056" max="13056" width="9" style="2006" customWidth="1"/>
    <col min="13057" max="13057" width="12.42578125" style="2006" customWidth="1"/>
    <col min="13058" max="13058" width="12.28515625" style="2006" customWidth="1"/>
    <col min="13059" max="13059" width="12.42578125" style="2006" customWidth="1"/>
    <col min="13060" max="13060" width="13" style="2006" customWidth="1"/>
    <col min="13061" max="13061" width="8.28515625" style="2006" customWidth="1"/>
    <col min="13062" max="13062" width="8.7109375" style="2006" customWidth="1"/>
    <col min="13063" max="13063" width="9.28515625" style="2006" customWidth="1"/>
    <col min="13064" max="13064" width="12" style="2006" customWidth="1"/>
    <col min="13065" max="13065" width="13.42578125" style="2006" customWidth="1"/>
    <col min="13066" max="13066" width="12.5703125" style="2006" customWidth="1"/>
    <col min="13067" max="13067" width="11.5703125" style="2006" customWidth="1"/>
    <col min="13068" max="13068" width="10.85546875" style="2006" bestFit="1" customWidth="1"/>
    <col min="13069" max="13069" width="8.7109375" style="2006" customWidth="1"/>
    <col min="13070" max="13070" width="9.85546875" style="2006" customWidth="1"/>
    <col min="13071" max="13073" width="7.5703125" style="2006" customWidth="1"/>
    <col min="13074" max="13074" width="8.7109375" style="2006" customWidth="1"/>
    <col min="13075" max="13075" width="7.5703125" style="2006" customWidth="1"/>
    <col min="13076" max="13076" width="9.85546875" style="2006" customWidth="1"/>
    <col min="13077" max="13077" width="7.5703125" style="2006" customWidth="1"/>
    <col min="13078" max="13311" width="11" style="2006"/>
    <col min="13312" max="13312" width="9" style="2006" customWidth="1"/>
    <col min="13313" max="13313" width="12.42578125" style="2006" customWidth="1"/>
    <col min="13314" max="13314" width="12.28515625" style="2006" customWidth="1"/>
    <col min="13315" max="13315" width="12.42578125" style="2006" customWidth="1"/>
    <col min="13316" max="13316" width="13" style="2006" customWidth="1"/>
    <col min="13317" max="13317" width="8.28515625" style="2006" customWidth="1"/>
    <col min="13318" max="13318" width="8.7109375" style="2006" customWidth="1"/>
    <col min="13319" max="13319" width="9.28515625" style="2006" customWidth="1"/>
    <col min="13320" max="13320" width="12" style="2006" customWidth="1"/>
    <col min="13321" max="13321" width="13.42578125" style="2006" customWidth="1"/>
    <col min="13322" max="13322" width="12.5703125" style="2006" customWidth="1"/>
    <col min="13323" max="13323" width="11.5703125" style="2006" customWidth="1"/>
    <col min="13324" max="13324" width="10.85546875" style="2006" bestFit="1" customWidth="1"/>
    <col min="13325" max="13325" width="8.7109375" style="2006" customWidth="1"/>
    <col min="13326" max="13326" width="9.85546875" style="2006" customWidth="1"/>
    <col min="13327" max="13329" width="7.5703125" style="2006" customWidth="1"/>
    <col min="13330" max="13330" width="8.7109375" style="2006" customWidth="1"/>
    <col min="13331" max="13331" width="7.5703125" style="2006" customWidth="1"/>
    <col min="13332" max="13332" width="9.85546875" style="2006" customWidth="1"/>
    <col min="13333" max="13333" width="7.5703125" style="2006" customWidth="1"/>
    <col min="13334" max="13567" width="11" style="2006"/>
    <col min="13568" max="13568" width="9" style="2006" customWidth="1"/>
    <col min="13569" max="13569" width="12.42578125" style="2006" customWidth="1"/>
    <col min="13570" max="13570" width="12.28515625" style="2006" customWidth="1"/>
    <col min="13571" max="13571" width="12.42578125" style="2006" customWidth="1"/>
    <col min="13572" max="13572" width="13" style="2006" customWidth="1"/>
    <col min="13573" max="13573" width="8.28515625" style="2006" customWidth="1"/>
    <col min="13574" max="13574" width="8.7109375" style="2006" customWidth="1"/>
    <col min="13575" max="13575" width="9.28515625" style="2006" customWidth="1"/>
    <col min="13576" max="13576" width="12" style="2006" customWidth="1"/>
    <col min="13577" max="13577" width="13.42578125" style="2006" customWidth="1"/>
    <col min="13578" max="13578" width="12.5703125" style="2006" customWidth="1"/>
    <col min="13579" max="13579" width="11.5703125" style="2006" customWidth="1"/>
    <col min="13580" max="13580" width="10.85546875" style="2006" bestFit="1" customWidth="1"/>
    <col min="13581" max="13581" width="8.7109375" style="2006" customWidth="1"/>
    <col min="13582" max="13582" width="9.85546875" style="2006" customWidth="1"/>
    <col min="13583" max="13585" width="7.5703125" style="2006" customWidth="1"/>
    <col min="13586" max="13586" width="8.7109375" style="2006" customWidth="1"/>
    <col min="13587" max="13587" width="7.5703125" style="2006" customWidth="1"/>
    <col min="13588" max="13588" width="9.85546875" style="2006" customWidth="1"/>
    <col min="13589" max="13589" width="7.5703125" style="2006" customWidth="1"/>
    <col min="13590" max="13823" width="11" style="2006"/>
    <col min="13824" max="13824" width="9" style="2006" customWidth="1"/>
    <col min="13825" max="13825" width="12.42578125" style="2006" customWidth="1"/>
    <col min="13826" max="13826" width="12.28515625" style="2006" customWidth="1"/>
    <col min="13827" max="13827" width="12.42578125" style="2006" customWidth="1"/>
    <col min="13828" max="13828" width="13" style="2006" customWidth="1"/>
    <col min="13829" max="13829" width="8.28515625" style="2006" customWidth="1"/>
    <col min="13830" max="13830" width="8.7109375" style="2006" customWidth="1"/>
    <col min="13831" max="13831" width="9.28515625" style="2006" customWidth="1"/>
    <col min="13832" max="13832" width="12" style="2006" customWidth="1"/>
    <col min="13833" max="13833" width="13.42578125" style="2006" customWidth="1"/>
    <col min="13834" max="13834" width="12.5703125" style="2006" customWidth="1"/>
    <col min="13835" max="13835" width="11.5703125" style="2006" customWidth="1"/>
    <col min="13836" max="13836" width="10.85546875" style="2006" bestFit="1" customWidth="1"/>
    <col min="13837" max="13837" width="8.7109375" style="2006" customWidth="1"/>
    <col min="13838" max="13838" width="9.85546875" style="2006" customWidth="1"/>
    <col min="13839" max="13841" width="7.5703125" style="2006" customWidth="1"/>
    <col min="13842" max="13842" width="8.7109375" style="2006" customWidth="1"/>
    <col min="13843" max="13843" width="7.5703125" style="2006" customWidth="1"/>
    <col min="13844" max="13844" width="9.85546875" style="2006" customWidth="1"/>
    <col min="13845" max="13845" width="7.5703125" style="2006" customWidth="1"/>
    <col min="13846" max="14079" width="11" style="2006"/>
    <col min="14080" max="14080" width="9" style="2006" customWidth="1"/>
    <col min="14081" max="14081" width="12.42578125" style="2006" customWidth="1"/>
    <col min="14082" max="14082" width="12.28515625" style="2006" customWidth="1"/>
    <col min="14083" max="14083" width="12.42578125" style="2006" customWidth="1"/>
    <col min="14084" max="14084" width="13" style="2006" customWidth="1"/>
    <col min="14085" max="14085" width="8.28515625" style="2006" customWidth="1"/>
    <col min="14086" max="14086" width="8.7109375" style="2006" customWidth="1"/>
    <col min="14087" max="14087" width="9.28515625" style="2006" customWidth="1"/>
    <col min="14088" max="14088" width="12" style="2006" customWidth="1"/>
    <col min="14089" max="14089" width="13.42578125" style="2006" customWidth="1"/>
    <col min="14090" max="14090" width="12.5703125" style="2006" customWidth="1"/>
    <col min="14091" max="14091" width="11.5703125" style="2006" customWidth="1"/>
    <col min="14092" max="14092" width="10.85546875" style="2006" bestFit="1" customWidth="1"/>
    <col min="14093" max="14093" width="8.7109375" style="2006" customWidth="1"/>
    <col min="14094" max="14094" width="9.85546875" style="2006" customWidth="1"/>
    <col min="14095" max="14097" width="7.5703125" style="2006" customWidth="1"/>
    <col min="14098" max="14098" width="8.7109375" style="2006" customWidth="1"/>
    <col min="14099" max="14099" width="7.5703125" style="2006" customWidth="1"/>
    <col min="14100" max="14100" width="9.85546875" style="2006" customWidth="1"/>
    <col min="14101" max="14101" width="7.5703125" style="2006" customWidth="1"/>
    <col min="14102" max="14335" width="11" style="2006"/>
    <col min="14336" max="14336" width="9" style="2006" customWidth="1"/>
    <col min="14337" max="14337" width="12.42578125" style="2006" customWidth="1"/>
    <col min="14338" max="14338" width="12.28515625" style="2006" customWidth="1"/>
    <col min="14339" max="14339" width="12.42578125" style="2006" customWidth="1"/>
    <col min="14340" max="14340" width="13" style="2006" customWidth="1"/>
    <col min="14341" max="14341" width="8.28515625" style="2006" customWidth="1"/>
    <col min="14342" max="14342" width="8.7109375" style="2006" customWidth="1"/>
    <col min="14343" max="14343" width="9.28515625" style="2006" customWidth="1"/>
    <col min="14344" max="14344" width="12" style="2006" customWidth="1"/>
    <col min="14345" max="14345" width="13.42578125" style="2006" customWidth="1"/>
    <col min="14346" max="14346" width="12.5703125" style="2006" customWidth="1"/>
    <col min="14347" max="14347" width="11.5703125" style="2006" customWidth="1"/>
    <col min="14348" max="14348" width="10.85546875" style="2006" bestFit="1" customWidth="1"/>
    <col min="14349" max="14349" width="8.7109375" style="2006" customWidth="1"/>
    <col min="14350" max="14350" width="9.85546875" style="2006" customWidth="1"/>
    <col min="14351" max="14353" width="7.5703125" style="2006" customWidth="1"/>
    <col min="14354" max="14354" width="8.7109375" style="2006" customWidth="1"/>
    <col min="14355" max="14355" width="7.5703125" style="2006" customWidth="1"/>
    <col min="14356" max="14356" width="9.85546875" style="2006" customWidth="1"/>
    <col min="14357" max="14357" width="7.5703125" style="2006" customWidth="1"/>
    <col min="14358" max="14591" width="11" style="2006"/>
    <col min="14592" max="14592" width="9" style="2006" customWidth="1"/>
    <col min="14593" max="14593" width="12.42578125" style="2006" customWidth="1"/>
    <col min="14594" max="14594" width="12.28515625" style="2006" customWidth="1"/>
    <col min="14595" max="14595" width="12.42578125" style="2006" customWidth="1"/>
    <col min="14596" max="14596" width="13" style="2006" customWidth="1"/>
    <col min="14597" max="14597" width="8.28515625" style="2006" customWidth="1"/>
    <col min="14598" max="14598" width="8.7109375" style="2006" customWidth="1"/>
    <col min="14599" max="14599" width="9.28515625" style="2006" customWidth="1"/>
    <col min="14600" max="14600" width="12" style="2006" customWidth="1"/>
    <col min="14601" max="14601" width="13.42578125" style="2006" customWidth="1"/>
    <col min="14602" max="14602" width="12.5703125" style="2006" customWidth="1"/>
    <col min="14603" max="14603" width="11.5703125" style="2006" customWidth="1"/>
    <col min="14604" max="14604" width="10.85546875" style="2006" bestFit="1" customWidth="1"/>
    <col min="14605" max="14605" width="8.7109375" style="2006" customWidth="1"/>
    <col min="14606" max="14606" width="9.85546875" style="2006" customWidth="1"/>
    <col min="14607" max="14609" width="7.5703125" style="2006" customWidth="1"/>
    <col min="14610" max="14610" width="8.7109375" style="2006" customWidth="1"/>
    <col min="14611" max="14611" width="7.5703125" style="2006" customWidth="1"/>
    <col min="14612" max="14612" width="9.85546875" style="2006" customWidth="1"/>
    <col min="14613" max="14613" width="7.5703125" style="2006" customWidth="1"/>
    <col min="14614" max="14847" width="11" style="2006"/>
    <col min="14848" max="14848" width="9" style="2006" customWidth="1"/>
    <col min="14849" max="14849" width="12.42578125" style="2006" customWidth="1"/>
    <col min="14850" max="14850" width="12.28515625" style="2006" customWidth="1"/>
    <col min="14851" max="14851" width="12.42578125" style="2006" customWidth="1"/>
    <col min="14852" max="14852" width="13" style="2006" customWidth="1"/>
    <col min="14853" max="14853" width="8.28515625" style="2006" customWidth="1"/>
    <col min="14854" max="14854" width="8.7109375" style="2006" customWidth="1"/>
    <col min="14855" max="14855" width="9.28515625" style="2006" customWidth="1"/>
    <col min="14856" max="14856" width="12" style="2006" customWidth="1"/>
    <col min="14857" max="14857" width="13.42578125" style="2006" customWidth="1"/>
    <col min="14858" max="14858" width="12.5703125" style="2006" customWidth="1"/>
    <col min="14859" max="14859" width="11.5703125" style="2006" customWidth="1"/>
    <col min="14860" max="14860" width="10.85546875" style="2006" bestFit="1" customWidth="1"/>
    <col min="14861" max="14861" width="8.7109375" style="2006" customWidth="1"/>
    <col min="14862" max="14862" width="9.85546875" style="2006" customWidth="1"/>
    <col min="14863" max="14865" width="7.5703125" style="2006" customWidth="1"/>
    <col min="14866" max="14866" width="8.7109375" style="2006" customWidth="1"/>
    <col min="14867" max="14867" width="7.5703125" style="2006" customWidth="1"/>
    <col min="14868" max="14868" width="9.85546875" style="2006" customWidth="1"/>
    <col min="14869" max="14869" width="7.5703125" style="2006" customWidth="1"/>
    <col min="14870" max="15103" width="11" style="2006"/>
    <col min="15104" max="15104" width="9" style="2006" customWidth="1"/>
    <col min="15105" max="15105" width="12.42578125" style="2006" customWidth="1"/>
    <col min="15106" max="15106" width="12.28515625" style="2006" customWidth="1"/>
    <col min="15107" max="15107" width="12.42578125" style="2006" customWidth="1"/>
    <col min="15108" max="15108" width="13" style="2006" customWidth="1"/>
    <col min="15109" max="15109" width="8.28515625" style="2006" customWidth="1"/>
    <col min="15110" max="15110" width="8.7109375" style="2006" customWidth="1"/>
    <col min="15111" max="15111" width="9.28515625" style="2006" customWidth="1"/>
    <col min="15112" max="15112" width="12" style="2006" customWidth="1"/>
    <col min="15113" max="15113" width="13.42578125" style="2006" customWidth="1"/>
    <col min="15114" max="15114" width="12.5703125" style="2006" customWidth="1"/>
    <col min="15115" max="15115" width="11.5703125" style="2006" customWidth="1"/>
    <col min="15116" max="15116" width="10.85546875" style="2006" bestFit="1" customWidth="1"/>
    <col min="15117" max="15117" width="8.7109375" style="2006" customWidth="1"/>
    <col min="15118" max="15118" width="9.85546875" style="2006" customWidth="1"/>
    <col min="15119" max="15121" width="7.5703125" style="2006" customWidth="1"/>
    <col min="15122" max="15122" width="8.7109375" style="2006" customWidth="1"/>
    <col min="15123" max="15123" width="7.5703125" style="2006" customWidth="1"/>
    <col min="15124" max="15124" width="9.85546875" style="2006" customWidth="1"/>
    <col min="15125" max="15125" width="7.5703125" style="2006" customWidth="1"/>
    <col min="15126" max="15359" width="11" style="2006"/>
    <col min="15360" max="15360" width="9" style="2006" customWidth="1"/>
    <col min="15361" max="15361" width="12.42578125" style="2006" customWidth="1"/>
    <col min="15362" max="15362" width="12.28515625" style="2006" customWidth="1"/>
    <col min="15363" max="15363" width="12.42578125" style="2006" customWidth="1"/>
    <col min="15364" max="15364" width="13" style="2006" customWidth="1"/>
    <col min="15365" max="15365" width="8.28515625" style="2006" customWidth="1"/>
    <col min="15366" max="15366" width="8.7109375" style="2006" customWidth="1"/>
    <col min="15367" max="15367" width="9.28515625" style="2006" customWidth="1"/>
    <col min="15368" max="15368" width="12" style="2006" customWidth="1"/>
    <col min="15369" max="15369" width="13.42578125" style="2006" customWidth="1"/>
    <col min="15370" max="15370" width="12.5703125" style="2006" customWidth="1"/>
    <col min="15371" max="15371" width="11.5703125" style="2006" customWidth="1"/>
    <col min="15372" max="15372" width="10.85546875" style="2006" bestFit="1" customWidth="1"/>
    <col min="15373" max="15373" width="8.7109375" style="2006" customWidth="1"/>
    <col min="15374" max="15374" width="9.85546875" style="2006" customWidth="1"/>
    <col min="15375" max="15377" width="7.5703125" style="2006" customWidth="1"/>
    <col min="15378" max="15378" width="8.7109375" style="2006" customWidth="1"/>
    <col min="15379" max="15379" width="7.5703125" style="2006" customWidth="1"/>
    <col min="15380" max="15380" width="9.85546875" style="2006" customWidth="1"/>
    <col min="15381" max="15381" width="7.5703125" style="2006" customWidth="1"/>
    <col min="15382" max="15615" width="11" style="2006"/>
    <col min="15616" max="15616" width="9" style="2006" customWidth="1"/>
    <col min="15617" max="15617" width="12.42578125" style="2006" customWidth="1"/>
    <col min="15618" max="15618" width="12.28515625" style="2006" customWidth="1"/>
    <col min="15619" max="15619" width="12.42578125" style="2006" customWidth="1"/>
    <col min="15620" max="15620" width="13" style="2006" customWidth="1"/>
    <col min="15621" max="15621" width="8.28515625" style="2006" customWidth="1"/>
    <col min="15622" max="15622" width="8.7109375" style="2006" customWidth="1"/>
    <col min="15623" max="15623" width="9.28515625" style="2006" customWidth="1"/>
    <col min="15624" max="15624" width="12" style="2006" customWidth="1"/>
    <col min="15625" max="15625" width="13.42578125" style="2006" customWidth="1"/>
    <col min="15626" max="15626" width="12.5703125" style="2006" customWidth="1"/>
    <col min="15627" max="15627" width="11.5703125" style="2006" customWidth="1"/>
    <col min="15628" max="15628" width="10.85546875" style="2006" bestFit="1" customWidth="1"/>
    <col min="15629" max="15629" width="8.7109375" style="2006" customWidth="1"/>
    <col min="15630" max="15630" width="9.85546875" style="2006" customWidth="1"/>
    <col min="15631" max="15633" width="7.5703125" style="2006" customWidth="1"/>
    <col min="15634" max="15634" width="8.7109375" style="2006" customWidth="1"/>
    <col min="15635" max="15635" width="7.5703125" style="2006" customWidth="1"/>
    <col min="15636" max="15636" width="9.85546875" style="2006" customWidth="1"/>
    <col min="15637" max="15637" width="7.5703125" style="2006" customWidth="1"/>
    <col min="15638" max="15871" width="11" style="2006"/>
    <col min="15872" max="15872" width="9" style="2006" customWidth="1"/>
    <col min="15873" max="15873" width="12.42578125" style="2006" customWidth="1"/>
    <col min="15874" max="15874" width="12.28515625" style="2006" customWidth="1"/>
    <col min="15875" max="15875" width="12.42578125" style="2006" customWidth="1"/>
    <col min="15876" max="15876" width="13" style="2006" customWidth="1"/>
    <col min="15877" max="15877" width="8.28515625" style="2006" customWidth="1"/>
    <col min="15878" max="15878" width="8.7109375" style="2006" customWidth="1"/>
    <col min="15879" max="15879" width="9.28515625" style="2006" customWidth="1"/>
    <col min="15880" max="15880" width="12" style="2006" customWidth="1"/>
    <col min="15881" max="15881" width="13.42578125" style="2006" customWidth="1"/>
    <col min="15882" max="15882" width="12.5703125" style="2006" customWidth="1"/>
    <col min="15883" max="15883" width="11.5703125" style="2006" customWidth="1"/>
    <col min="15884" max="15884" width="10.85546875" style="2006" bestFit="1" customWidth="1"/>
    <col min="15885" max="15885" width="8.7109375" style="2006" customWidth="1"/>
    <col min="15886" max="15886" width="9.85546875" style="2006" customWidth="1"/>
    <col min="15887" max="15889" width="7.5703125" style="2006" customWidth="1"/>
    <col min="15890" max="15890" width="8.7109375" style="2006" customWidth="1"/>
    <col min="15891" max="15891" width="7.5703125" style="2006" customWidth="1"/>
    <col min="15892" max="15892" width="9.85546875" style="2006" customWidth="1"/>
    <col min="15893" max="15893" width="7.5703125" style="2006" customWidth="1"/>
    <col min="15894" max="16127" width="11" style="2006"/>
    <col min="16128" max="16128" width="9" style="2006" customWidth="1"/>
    <col min="16129" max="16129" width="12.42578125" style="2006" customWidth="1"/>
    <col min="16130" max="16130" width="12.28515625" style="2006" customWidth="1"/>
    <col min="16131" max="16131" width="12.42578125" style="2006" customWidth="1"/>
    <col min="16132" max="16132" width="13" style="2006" customWidth="1"/>
    <col min="16133" max="16133" width="8.28515625" style="2006" customWidth="1"/>
    <col min="16134" max="16134" width="8.7109375" style="2006" customWidth="1"/>
    <col min="16135" max="16135" width="9.28515625" style="2006" customWidth="1"/>
    <col min="16136" max="16136" width="12" style="2006" customWidth="1"/>
    <col min="16137" max="16137" width="13.42578125" style="2006" customWidth="1"/>
    <col min="16138" max="16138" width="12.5703125" style="2006" customWidth="1"/>
    <col min="16139" max="16139" width="11.5703125" style="2006" customWidth="1"/>
    <col min="16140" max="16140" width="10.85546875" style="2006" bestFit="1" customWidth="1"/>
    <col min="16141" max="16141" width="8.7109375" style="2006" customWidth="1"/>
    <col min="16142" max="16142" width="9.85546875" style="2006" customWidth="1"/>
    <col min="16143" max="16145" width="7.5703125" style="2006" customWidth="1"/>
    <col min="16146" max="16146" width="8.7109375" style="2006" customWidth="1"/>
    <col min="16147" max="16147" width="7.5703125" style="2006" customWidth="1"/>
    <col min="16148" max="16148" width="9.85546875" style="2006" customWidth="1"/>
    <col min="16149" max="16149" width="7.5703125" style="2006" customWidth="1"/>
    <col min="16150" max="16384" width="11" style="2006"/>
  </cols>
  <sheetData>
    <row r="1" spans="1:17" ht="18" customHeight="1">
      <c r="A1" s="2005"/>
      <c r="B1" s="4632" t="s">
        <v>2076</v>
      </c>
      <c r="C1" s="4632"/>
      <c r="D1" s="4632"/>
      <c r="E1" s="4632"/>
      <c r="F1" s="4632"/>
      <c r="G1" s="4632"/>
      <c r="H1" s="4632"/>
      <c r="I1" s="4632"/>
      <c r="J1" s="4632"/>
      <c r="K1" s="4632"/>
      <c r="L1" s="4632"/>
      <c r="M1" s="4632"/>
      <c r="N1" s="2067"/>
      <c r="O1" s="2078"/>
      <c r="P1" s="2078"/>
      <c r="Q1" s="2078"/>
    </row>
    <row r="2" spans="1:17" ht="18" customHeight="1">
      <c r="A2" s="2005"/>
      <c r="B2" s="3148" t="s">
        <v>1757</v>
      </c>
      <c r="C2" s="2398"/>
      <c r="D2" s="2221"/>
      <c r="E2" s="2221"/>
      <c r="F2" s="2269"/>
      <c r="G2" s="2221"/>
      <c r="H2" s="2221"/>
      <c r="I2" s="2221"/>
      <c r="J2" s="2221"/>
      <c r="K2" s="2221"/>
      <c r="L2" s="2221"/>
      <c r="M2" s="2221"/>
      <c r="N2" s="2067"/>
      <c r="O2" s="2078"/>
      <c r="P2" s="2078"/>
      <c r="Q2" s="2078"/>
    </row>
    <row r="3" spans="1:17" ht="12" customHeight="1">
      <c r="A3" s="2005"/>
      <c r="B3" s="2008"/>
      <c r="C3" s="3506"/>
      <c r="D3" s="2222"/>
      <c r="E3" s="2222"/>
      <c r="F3" s="2270"/>
      <c r="G3" s="2222"/>
      <c r="H3" s="2222"/>
      <c r="I3" s="2222"/>
      <c r="J3" s="2222"/>
      <c r="K3" s="2222"/>
      <c r="L3" s="2222"/>
      <c r="M3" s="2271"/>
      <c r="N3" s="2067"/>
      <c r="O3" s="2078"/>
      <c r="P3" s="2078"/>
      <c r="Q3" s="2078"/>
    </row>
    <row r="4" spans="1:17" ht="18" customHeight="1">
      <c r="A4" s="2005"/>
      <c r="B4" s="2068"/>
      <c r="C4" s="2397" t="s">
        <v>188</v>
      </c>
      <c r="D4" s="2398"/>
      <c r="E4" s="2398"/>
      <c r="F4" s="2272"/>
      <c r="G4" s="2398"/>
      <c r="H4" s="2398"/>
      <c r="I4" s="2398"/>
      <c r="J4" s="2398"/>
      <c r="K4" s="2398"/>
      <c r="L4" s="2398"/>
      <c r="M4" s="2399"/>
      <c r="N4" s="2067"/>
      <c r="O4" s="2078"/>
      <c r="P4" s="2078"/>
      <c r="Q4" s="2078"/>
    </row>
    <row r="5" spans="1:17" ht="12" customHeight="1">
      <c r="A5" s="2005"/>
      <c r="B5" s="2068"/>
      <c r="C5" s="2069"/>
      <c r="D5" s="2074"/>
      <c r="E5" s="2070"/>
      <c r="F5" s="2070"/>
      <c r="G5" s="2010"/>
      <c r="H5" s="2222"/>
      <c r="I5" s="2271"/>
      <c r="J5" s="2069"/>
      <c r="K5" s="2273"/>
      <c r="L5" s="2069"/>
      <c r="M5" s="2012"/>
      <c r="N5" s="2067"/>
      <c r="O5" s="2078"/>
      <c r="P5" s="2078"/>
      <c r="Q5" s="2078"/>
    </row>
    <row r="6" spans="1:17" ht="18" customHeight="1">
      <c r="A6" s="2005"/>
      <c r="B6" s="2068"/>
      <c r="C6" s="2069"/>
      <c r="D6" s="2012"/>
      <c r="E6" s="2070"/>
      <c r="F6" s="2070" t="s">
        <v>142</v>
      </c>
      <c r="G6" s="4629" t="s">
        <v>432</v>
      </c>
      <c r="H6" s="4630"/>
      <c r="I6" s="4631"/>
      <c r="J6" s="2069"/>
      <c r="K6" s="2274"/>
      <c r="L6" s="2069" t="s">
        <v>142</v>
      </c>
      <c r="M6" s="2012"/>
      <c r="N6" s="2067"/>
    </row>
    <row r="7" spans="1:17" ht="12" customHeight="1">
      <c r="A7" s="2005"/>
      <c r="B7" s="2069"/>
      <c r="C7" s="2069"/>
      <c r="D7" s="2012"/>
      <c r="E7" s="2070"/>
      <c r="F7" s="2070"/>
      <c r="G7" s="2069"/>
      <c r="H7" s="2069"/>
      <c r="I7" s="2069"/>
      <c r="J7" s="2069"/>
      <c r="K7" s="2274"/>
      <c r="L7" s="2069"/>
      <c r="M7" s="2012"/>
      <c r="N7" s="2067"/>
    </row>
    <row r="8" spans="1:17" ht="18" customHeight="1">
      <c r="A8" s="2005"/>
      <c r="B8" s="2069"/>
      <c r="C8" s="2069"/>
      <c r="D8" s="4002"/>
      <c r="E8" s="2069"/>
      <c r="F8" s="2070" t="s">
        <v>176</v>
      </c>
      <c r="G8" s="2069"/>
      <c r="H8" s="2069"/>
      <c r="I8" s="2069"/>
      <c r="J8" s="2070"/>
      <c r="K8" s="2071" t="s">
        <v>1276</v>
      </c>
      <c r="L8" s="2069"/>
      <c r="M8" s="2012" t="s">
        <v>189</v>
      </c>
      <c r="N8" s="2067"/>
    </row>
    <row r="9" spans="1:17" ht="18" customHeight="1">
      <c r="A9" s="2005"/>
      <c r="B9" s="2069" t="s">
        <v>175</v>
      </c>
      <c r="C9" s="2069"/>
      <c r="D9" s="2012" t="s">
        <v>193</v>
      </c>
      <c r="E9" s="2069" t="s">
        <v>434</v>
      </c>
      <c r="F9" s="2070" t="s">
        <v>179</v>
      </c>
      <c r="G9" s="2069"/>
      <c r="H9" s="2069"/>
      <c r="I9" s="2069"/>
      <c r="J9" s="2069" t="s">
        <v>177</v>
      </c>
      <c r="K9" s="2071" t="s">
        <v>1567</v>
      </c>
      <c r="L9" s="2069" t="s">
        <v>435</v>
      </c>
      <c r="M9" s="2012" t="s">
        <v>191</v>
      </c>
      <c r="N9" s="2067"/>
    </row>
    <row r="10" spans="1:17" ht="18" customHeight="1">
      <c r="A10" s="2005"/>
      <c r="B10" s="2013" t="s">
        <v>140</v>
      </c>
      <c r="C10" s="2397" t="s">
        <v>152</v>
      </c>
      <c r="D10" s="2013" t="s">
        <v>192</v>
      </c>
      <c r="E10" s="2397" t="s">
        <v>192</v>
      </c>
      <c r="F10" s="2072" t="s">
        <v>192</v>
      </c>
      <c r="G10" s="2397" t="s">
        <v>152</v>
      </c>
      <c r="H10" s="2397" t="s">
        <v>141</v>
      </c>
      <c r="I10" s="2397" t="s">
        <v>431</v>
      </c>
      <c r="J10" s="2397" t="s">
        <v>192</v>
      </c>
      <c r="K10" s="2073" t="s">
        <v>1568</v>
      </c>
      <c r="L10" s="2397" t="s">
        <v>436</v>
      </c>
      <c r="M10" s="2013" t="s">
        <v>180</v>
      </c>
      <c r="N10" s="2067"/>
    </row>
    <row r="11" spans="1:17" ht="16.5" hidden="1" customHeight="1">
      <c r="A11" s="2005"/>
      <c r="B11" s="2077">
        <v>2000</v>
      </c>
      <c r="C11" s="2012"/>
      <c r="D11" s="2216"/>
      <c r="E11" s="2216"/>
      <c r="F11" s="2216"/>
      <c r="G11" s="2216"/>
      <c r="H11" s="2216"/>
      <c r="I11" s="2216"/>
      <c r="J11" s="2216"/>
      <c r="K11" s="2216"/>
      <c r="L11" s="2216"/>
      <c r="M11" s="2216"/>
      <c r="N11" s="2005"/>
    </row>
    <row r="12" spans="1:17" ht="16.5" hidden="1" customHeight="1">
      <c r="A12" s="2005"/>
      <c r="B12" s="2076" t="s">
        <v>161</v>
      </c>
      <c r="C12" s="2012">
        <v>2697.4599999999996</v>
      </c>
      <c r="D12" s="2216">
        <v>382.6</v>
      </c>
      <c r="E12" s="2216">
        <v>1536.48</v>
      </c>
      <c r="F12" s="2216">
        <v>15.55</v>
      </c>
      <c r="G12" s="2216">
        <v>0</v>
      </c>
      <c r="H12" s="2216">
        <v>0</v>
      </c>
      <c r="I12" s="2216">
        <v>0</v>
      </c>
      <c r="J12" s="2216">
        <v>339.63</v>
      </c>
      <c r="K12" s="2216">
        <v>0</v>
      </c>
      <c r="L12" s="2216">
        <v>184.01</v>
      </c>
      <c r="M12" s="2216">
        <v>239.19</v>
      </c>
      <c r="N12" s="2005"/>
    </row>
    <row r="13" spans="1:17" ht="16.5" hidden="1" customHeight="1">
      <c r="A13" s="2005"/>
      <c r="B13" s="2076" t="s">
        <v>162</v>
      </c>
      <c r="C13" s="2012">
        <v>2875.62</v>
      </c>
      <c r="D13" s="2216">
        <v>463.47</v>
      </c>
      <c r="E13" s="2216">
        <v>1561.06</v>
      </c>
      <c r="F13" s="2216">
        <v>16.88</v>
      </c>
      <c r="G13" s="2216">
        <v>0</v>
      </c>
      <c r="H13" s="2216">
        <v>0</v>
      </c>
      <c r="I13" s="2216">
        <v>0</v>
      </c>
      <c r="J13" s="2216">
        <v>295.01</v>
      </c>
      <c r="K13" s="2216">
        <v>0</v>
      </c>
      <c r="L13" s="2216">
        <v>185.89</v>
      </c>
      <c r="M13" s="2216">
        <v>353.31</v>
      </c>
      <c r="N13" s="2005"/>
    </row>
    <row r="14" spans="1:17" ht="16.5" hidden="1" customHeight="1">
      <c r="A14" s="2005"/>
      <c r="B14" s="2076" t="s">
        <v>163</v>
      </c>
      <c r="C14" s="2012">
        <v>2898.3499999999995</v>
      </c>
      <c r="D14" s="2216">
        <v>406.64</v>
      </c>
      <c r="E14" s="2216">
        <v>1577.08</v>
      </c>
      <c r="F14" s="2216">
        <v>14.95</v>
      </c>
      <c r="G14" s="2216">
        <v>0</v>
      </c>
      <c r="H14" s="2216">
        <v>0</v>
      </c>
      <c r="I14" s="2216">
        <v>0</v>
      </c>
      <c r="J14" s="2216">
        <v>310.39999999999998</v>
      </c>
      <c r="K14" s="2216">
        <v>0</v>
      </c>
      <c r="L14" s="2216">
        <v>188.35</v>
      </c>
      <c r="M14" s="2216">
        <v>400.93</v>
      </c>
      <c r="N14" s="2005"/>
    </row>
    <row r="15" spans="1:17" ht="16.5" hidden="1" customHeight="1">
      <c r="A15" s="2005"/>
      <c r="B15" s="2076" t="s">
        <v>164</v>
      </c>
      <c r="C15" s="2012">
        <v>2850.08</v>
      </c>
      <c r="D15" s="2216">
        <v>390.18</v>
      </c>
      <c r="E15" s="2216">
        <v>1582.34</v>
      </c>
      <c r="F15" s="2216">
        <v>18.25</v>
      </c>
      <c r="G15" s="2216">
        <v>0</v>
      </c>
      <c r="H15" s="2216">
        <v>0</v>
      </c>
      <c r="I15" s="2216">
        <v>0</v>
      </c>
      <c r="J15" s="2216">
        <v>318.58999999999997</v>
      </c>
      <c r="K15" s="2216">
        <v>0</v>
      </c>
      <c r="L15" s="2216">
        <v>193.89</v>
      </c>
      <c r="M15" s="2216">
        <v>346.83</v>
      </c>
      <c r="N15" s="2005"/>
    </row>
    <row r="16" spans="1:17" ht="16.5" hidden="1" customHeight="1">
      <c r="A16" s="2005"/>
      <c r="B16" s="2076" t="s">
        <v>165</v>
      </c>
      <c r="C16" s="2012">
        <v>2889.31</v>
      </c>
      <c r="D16" s="2216">
        <v>435.33</v>
      </c>
      <c r="E16" s="2216">
        <v>1614.31</v>
      </c>
      <c r="F16" s="2216">
        <v>17.399999999999999</v>
      </c>
      <c r="G16" s="2216">
        <v>0</v>
      </c>
      <c r="H16" s="2216">
        <v>0</v>
      </c>
      <c r="I16" s="2216">
        <v>0</v>
      </c>
      <c r="J16" s="2216">
        <v>314.73</v>
      </c>
      <c r="K16" s="2216">
        <v>0</v>
      </c>
      <c r="L16" s="2216">
        <v>195.94</v>
      </c>
      <c r="M16" s="2216">
        <v>311.60000000000002</v>
      </c>
      <c r="N16" s="2005"/>
    </row>
    <row r="17" spans="1:14" ht="16.5" hidden="1" customHeight="1">
      <c r="A17" s="2005"/>
      <c r="B17" s="2076" t="s">
        <v>166</v>
      </c>
      <c r="C17" s="2012">
        <v>2928.1999999999994</v>
      </c>
      <c r="D17" s="2216">
        <v>445.69</v>
      </c>
      <c r="E17" s="2216">
        <v>1647.11</v>
      </c>
      <c r="F17" s="2216">
        <v>20.43</v>
      </c>
      <c r="G17" s="2216">
        <v>0</v>
      </c>
      <c r="H17" s="2216">
        <v>0</v>
      </c>
      <c r="I17" s="2216">
        <v>0</v>
      </c>
      <c r="J17" s="2216">
        <v>267.79000000000002</v>
      </c>
      <c r="K17" s="2216">
        <v>0</v>
      </c>
      <c r="L17" s="2216">
        <v>191.25</v>
      </c>
      <c r="M17" s="2216">
        <v>355.93</v>
      </c>
      <c r="N17" s="2005"/>
    </row>
    <row r="18" spans="1:14" ht="16.5" hidden="1" customHeight="1">
      <c r="A18" s="2005"/>
      <c r="B18" s="2076" t="s">
        <v>167</v>
      </c>
      <c r="C18" s="2012">
        <v>3018.7100000000005</v>
      </c>
      <c r="D18" s="2216">
        <v>523.24</v>
      </c>
      <c r="E18" s="2216">
        <v>1718.94</v>
      </c>
      <c r="F18" s="2216">
        <v>16.3</v>
      </c>
      <c r="G18" s="2216">
        <v>0</v>
      </c>
      <c r="H18" s="2216">
        <v>0</v>
      </c>
      <c r="I18" s="2216">
        <v>0</v>
      </c>
      <c r="J18" s="2216">
        <v>194.44</v>
      </c>
      <c r="K18" s="2216">
        <v>0</v>
      </c>
      <c r="L18" s="2216">
        <v>194.9</v>
      </c>
      <c r="M18" s="2216">
        <v>370.89</v>
      </c>
      <c r="N18" s="2005"/>
    </row>
    <row r="19" spans="1:14" ht="16.5" hidden="1" customHeight="1">
      <c r="A19" s="2005"/>
      <c r="B19" s="2076" t="s">
        <v>168</v>
      </c>
      <c r="C19" s="2012">
        <v>3225.76</v>
      </c>
      <c r="D19" s="2216">
        <v>532.85</v>
      </c>
      <c r="E19" s="2216">
        <v>1794.67</v>
      </c>
      <c r="F19" s="2216">
        <v>17.66</v>
      </c>
      <c r="G19" s="2216">
        <v>0</v>
      </c>
      <c r="H19" s="2216">
        <v>0</v>
      </c>
      <c r="I19" s="2216">
        <v>0</v>
      </c>
      <c r="J19" s="2216">
        <v>217.07</v>
      </c>
      <c r="K19" s="2216">
        <v>0</v>
      </c>
      <c r="L19" s="2216">
        <v>199.19</v>
      </c>
      <c r="M19" s="2216">
        <v>464.32</v>
      </c>
      <c r="N19" s="2005"/>
    </row>
    <row r="20" spans="1:14" ht="16.5" hidden="1" customHeight="1">
      <c r="A20" s="2005"/>
      <c r="B20" s="2076" t="s">
        <v>183</v>
      </c>
      <c r="C20" s="2012">
        <v>3484.2499999999995</v>
      </c>
      <c r="D20" s="2216">
        <v>676.69</v>
      </c>
      <c r="E20" s="2216">
        <v>1897.13</v>
      </c>
      <c r="F20" s="2216">
        <v>22.49</v>
      </c>
      <c r="G20" s="2216">
        <v>0</v>
      </c>
      <c r="H20" s="2216">
        <v>0</v>
      </c>
      <c r="I20" s="2216">
        <v>0</v>
      </c>
      <c r="J20" s="2216">
        <v>282.26</v>
      </c>
      <c r="K20" s="2216">
        <v>0</v>
      </c>
      <c r="L20" s="2216">
        <v>213.43</v>
      </c>
      <c r="M20" s="2216">
        <v>392.25</v>
      </c>
      <c r="N20" s="2005"/>
    </row>
    <row r="21" spans="1:14" ht="16.5" hidden="1" customHeight="1">
      <c r="A21" s="2005"/>
      <c r="B21" s="2076" t="s">
        <v>170</v>
      </c>
      <c r="C21" s="2012">
        <v>3452.0799999999995</v>
      </c>
      <c r="D21" s="2216">
        <v>541.46</v>
      </c>
      <c r="E21" s="2216">
        <v>1913.61</v>
      </c>
      <c r="F21" s="2216">
        <v>17.46</v>
      </c>
      <c r="G21" s="2216">
        <v>0</v>
      </c>
      <c r="H21" s="2216">
        <v>0</v>
      </c>
      <c r="I21" s="2216">
        <v>0</v>
      </c>
      <c r="J21" s="2216">
        <v>364.45</v>
      </c>
      <c r="K21" s="2216">
        <v>0</v>
      </c>
      <c r="L21" s="2216">
        <v>219.1</v>
      </c>
      <c r="M21" s="2216">
        <v>396</v>
      </c>
      <c r="N21" s="2005"/>
    </row>
    <row r="22" spans="1:14" ht="16.5" hidden="1" customHeight="1">
      <c r="A22" s="2005"/>
      <c r="B22" s="2076" t="s">
        <v>171</v>
      </c>
      <c r="C22" s="2012">
        <v>3488.29</v>
      </c>
      <c r="D22" s="2216">
        <v>585.35</v>
      </c>
      <c r="E22" s="2216">
        <v>1955.65</v>
      </c>
      <c r="F22" s="2216">
        <v>30.38</v>
      </c>
      <c r="G22" s="2216">
        <v>0</v>
      </c>
      <c r="H22" s="2216">
        <v>0</v>
      </c>
      <c r="I22" s="2216">
        <v>0</v>
      </c>
      <c r="J22" s="2216">
        <v>294.38</v>
      </c>
      <c r="K22" s="2216">
        <v>0</v>
      </c>
      <c r="L22" s="2216">
        <v>223.25</v>
      </c>
      <c r="M22" s="2216">
        <v>399.28</v>
      </c>
      <c r="N22" s="2005"/>
    </row>
    <row r="23" spans="1:14" s="2078" customFormat="1" ht="16.5" hidden="1" customHeight="1">
      <c r="A23" s="2007"/>
      <c r="B23" s="2077">
        <v>2000</v>
      </c>
      <c r="C23" s="2012">
        <v>3705.2599999999998</v>
      </c>
      <c r="D23" s="2216">
        <v>671.34</v>
      </c>
      <c r="E23" s="2216">
        <v>2070.71</v>
      </c>
      <c r="F23" s="2216">
        <v>22.18</v>
      </c>
      <c r="G23" s="2216">
        <v>0</v>
      </c>
      <c r="H23" s="2216">
        <v>0</v>
      </c>
      <c r="I23" s="2216">
        <v>0</v>
      </c>
      <c r="J23" s="2216">
        <v>301.06</v>
      </c>
      <c r="K23" s="2216">
        <v>0</v>
      </c>
      <c r="L23" s="2216">
        <v>242.22</v>
      </c>
      <c r="M23" s="2216">
        <v>397.75</v>
      </c>
      <c r="N23" s="2007"/>
    </row>
    <row r="24" spans="1:14" ht="16.5" hidden="1" customHeight="1">
      <c r="A24" s="2005"/>
      <c r="B24" s="2077">
        <v>2001</v>
      </c>
      <c r="C24" s="2012"/>
      <c r="D24" s="2216"/>
      <c r="E24" s="2216"/>
      <c r="F24" s="2216"/>
      <c r="G24" s="2216"/>
      <c r="H24" s="2216"/>
      <c r="I24" s="2216"/>
      <c r="J24" s="2216"/>
      <c r="K24" s="2216"/>
      <c r="L24" s="2216"/>
      <c r="M24" s="2216"/>
      <c r="N24" s="2005"/>
    </row>
    <row r="25" spans="1:14" ht="16.5" hidden="1" customHeight="1">
      <c r="A25" s="2005"/>
      <c r="B25" s="2076" t="s">
        <v>161</v>
      </c>
      <c r="C25" s="2012">
        <v>3366.5699999999997</v>
      </c>
      <c r="D25" s="2216">
        <v>493.9</v>
      </c>
      <c r="E25" s="2216">
        <v>1921.14</v>
      </c>
      <c r="F25" s="2216">
        <v>20.21</v>
      </c>
      <c r="G25" s="2216">
        <v>0</v>
      </c>
      <c r="H25" s="2216">
        <v>0</v>
      </c>
      <c r="I25" s="2216">
        <v>0</v>
      </c>
      <c r="J25" s="2216">
        <v>285.55</v>
      </c>
      <c r="K25" s="2216">
        <v>0</v>
      </c>
      <c r="L25" s="2216">
        <v>257.77999999999997</v>
      </c>
      <c r="M25" s="2216">
        <v>387.99</v>
      </c>
      <c r="N25" s="2005"/>
    </row>
    <row r="26" spans="1:14" ht="16.5" hidden="1" customHeight="1">
      <c r="A26" s="2005"/>
      <c r="B26" s="2076" t="s">
        <v>162</v>
      </c>
      <c r="C26" s="2012">
        <v>3434.9199999999996</v>
      </c>
      <c r="D26" s="2216">
        <v>499.8</v>
      </c>
      <c r="E26" s="2216">
        <v>2024.16</v>
      </c>
      <c r="F26" s="2216">
        <v>24.68</v>
      </c>
      <c r="G26" s="2216">
        <v>0</v>
      </c>
      <c r="H26" s="2216">
        <v>0</v>
      </c>
      <c r="I26" s="2216">
        <v>0</v>
      </c>
      <c r="J26" s="2216">
        <v>281.47000000000003</v>
      </c>
      <c r="K26" s="2216">
        <v>0</v>
      </c>
      <c r="L26" s="2216">
        <v>260.99</v>
      </c>
      <c r="M26" s="2216">
        <v>343.82</v>
      </c>
      <c r="N26" s="2005"/>
    </row>
    <row r="27" spans="1:14" ht="16.5" hidden="1" customHeight="1">
      <c r="A27" s="2005"/>
      <c r="B27" s="2076" t="s">
        <v>163</v>
      </c>
      <c r="C27" s="2012">
        <v>3526.96</v>
      </c>
      <c r="D27" s="2216">
        <v>507.5</v>
      </c>
      <c r="E27" s="2216">
        <v>2078.4899999999998</v>
      </c>
      <c r="F27" s="2216">
        <v>21.5</v>
      </c>
      <c r="G27" s="2216">
        <v>0</v>
      </c>
      <c r="H27" s="2216">
        <v>0</v>
      </c>
      <c r="I27" s="2216">
        <v>0</v>
      </c>
      <c r="J27" s="2216">
        <v>338.57</v>
      </c>
      <c r="K27" s="2216">
        <v>0</v>
      </c>
      <c r="L27" s="2216">
        <v>268.89999999999998</v>
      </c>
      <c r="M27" s="2216">
        <v>312</v>
      </c>
      <c r="N27" s="2005"/>
    </row>
    <row r="28" spans="1:14" ht="14.25" hidden="1" customHeight="1">
      <c r="A28" s="2005"/>
      <c r="B28" s="2075" t="s">
        <v>164</v>
      </c>
      <c r="C28" s="2012">
        <v>3697.01</v>
      </c>
      <c r="D28" s="2216">
        <v>487.74</v>
      </c>
      <c r="E28" s="2216">
        <v>2109.56</v>
      </c>
      <c r="F28" s="2216">
        <v>23.74</v>
      </c>
      <c r="G28" s="2216">
        <v>0</v>
      </c>
      <c r="H28" s="2216">
        <v>0</v>
      </c>
      <c r="I28" s="2216">
        <v>0</v>
      </c>
      <c r="J28" s="2216">
        <v>501.05</v>
      </c>
      <c r="K28" s="2216">
        <v>0</v>
      </c>
      <c r="L28" s="2216">
        <v>270.89</v>
      </c>
      <c r="M28" s="2216">
        <v>304.02999999999997</v>
      </c>
      <c r="N28" s="2005"/>
    </row>
    <row r="29" spans="1:14" ht="16.5" hidden="1" customHeight="1">
      <c r="A29" s="2005"/>
      <c r="B29" s="2075" t="s">
        <v>165</v>
      </c>
      <c r="C29" s="2012">
        <v>3743.1299999999997</v>
      </c>
      <c r="D29" s="2216">
        <v>530.04</v>
      </c>
      <c r="E29" s="2216">
        <v>2174.2199999999998</v>
      </c>
      <c r="F29" s="2216">
        <v>27.95</v>
      </c>
      <c r="G29" s="2216">
        <v>0</v>
      </c>
      <c r="H29" s="2216">
        <v>0</v>
      </c>
      <c r="I29" s="2216">
        <v>0</v>
      </c>
      <c r="J29" s="2216">
        <v>434.28</v>
      </c>
      <c r="K29" s="2216">
        <v>0</v>
      </c>
      <c r="L29" s="2216">
        <v>277.64</v>
      </c>
      <c r="M29" s="2216">
        <v>299</v>
      </c>
      <c r="N29" s="2005"/>
    </row>
    <row r="30" spans="1:14" ht="16.5" hidden="1" customHeight="1">
      <c r="A30" s="2005"/>
      <c r="B30" s="2075" t="s">
        <v>166</v>
      </c>
      <c r="C30" s="2012">
        <v>3767.9499999999994</v>
      </c>
      <c r="D30" s="2216">
        <v>609.24</v>
      </c>
      <c r="E30" s="2216">
        <v>1892.83</v>
      </c>
      <c r="F30" s="2216">
        <v>30.15</v>
      </c>
      <c r="G30" s="2216">
        <v>0</v>
      </c>
      <c r="H30" s="2216">
        <v>0</v>
      </c>
      <c r="I30" s="2216">
        <v>0</v>
      </c>
      <c r="J30" s="2216">
        <v>681.35</v>
      </c>
      <c r="K30" s="2216">
        <v>0</v>
      </c>
      <c r="L30" s="2216">
        <v>283.93</v>
      </c>
      <c r="M30" s="2216">
        <v>270.45</v>
      </c>
      <c r="N30" s="2007"/>
    </row>
    <row r="31" spans="1:14" ht="16.5" hidden="1" customHeight="1">
      <c r="A31" s="2005"/>
      <c r="B31" s="2015" t="s">
        <v>167</v>
      </c>
      <c r="C31" s="2393">
        <v>3933.18</v>
      </c>
      <c r="D31" s="2217">
        <v>640.47</v>
      </c>
      <c r="E31" s="2217">
        <v>2188.6999999999998</v>
      </c>
      <c r="F31" s="2217">
        <v>54.35</v>
      </c>
      <c r="G31" s="2217">
        <v>0</v>
      </c>
      <c r="H31" s="2217">
        <v>0</v>
      </c>
      <c r="I31" s="2217">
        <v>0</v>
      </c>
      <c r="J31" s="2217">
        <v>468.54</v>
      </c>
      <c r="K31" s="2217">
        <v>0</v>
      </c>
      <c r="L31" s="2217">
        <v>289.93</v>
      </c>
      <c r="M31" s="2275">
        <v>291.19</v>
      </c>
      <c r="N31" s="2007"/>
    </row>
    <row r="32" spans="1:14" ht="16.5" hidden="1" customHeight="1">
      <c r="A32" s="2005"/>
      <c r="B32" s="2015" t="s">
        <v>168</v>
      </c>
      <c r="C32" s="2393">
        <v>3899.62</v>
      </c>
      <c r="D32" s="2217">
        <v>566.94000000000005</v>
      </c>
      <c r="E32" s="2217">
        <v>2232.42</v>
      </c>
      <c r="F32" s="2217">
        <v>25.61</v>
      </c>
      <c r="G32" s="2217">
        <v>0</v>
      </c>
      <c r="H32" s="2217">
        <v>0</v>
      </c>
      <c r="I32" s="2217">
        <v>0</v>
      </c>
      <c r="J32" s="2217">
        <v>477.18</v>
      </c>
      <c r="K32" s="2217">
        <v>0</v>
      </c>
      <c r="L32" s="2217">
        <v>295.64</v>
      </c>
      <c r="M32" s="2275">
        <v>301.83</v>
      </c>
      <c r="N32" s="2007"/>
    </row>
    <row r="33" spans="1:14" s="2078" customFormat="1" ht="16.5" hidden="1" customHeight="1">
      <c r="A33" s="2007"/>
      <c r="B33" s="2015" t="s">
        <v>169</v>
      </c>
      <c r="C33" s="2393">
        <v>3698.74</v>
      </c>
      <c r="D33" s="2217">
        <v>579.98</v>
      </c>
      <c r="E33" s="2217">
        <v>2158.58</v>
      </c>
      <c r="F33" s="2217">
        <v>24.71</v>
      </c>
      <c r="G33" s="2217">
        <v>0</v>
      </c>
      <c r="H33" s="2217">
        <v>0</v>
      </c>
      <c r="I33" s="2217">
        <v>0</v>
      </c>
      <c r="J33" s="2217">
        <v>561.34</v>
      </c>
      <c r="K33" s="2217">
        <v>0</v>
      </c>
      <c r="L33" s="2217">
        <v>308.97000000000003</v>
      </c>
      <c r="M33" s="2275">
        <v>65.16</v>
      </c>
      <c r="N33" s="2007"/>
    </row>
    <row r="34" spans="1:14" ht="16.5" hidden="1" customHeight="1">
      <c r="A34" s="2005"/>
      <c r="B34" s="2015" t="s">
        <v>170</v>
      </c>
      <c r="C34" s="2393">
        <v>4139.66</v>
      </c>
      <c r="D34" s="2217">
        <v>776.6</v>
      </c>
      <c r="E34" s="2217">
        <v>2204.87</v>
      </c>
      <c r="F34" s="2217">
        <v>35.229999999999997</v>
      </c>
      <c r="G34" s="2217">
        <v>0</v>
      </c>
      <c r="H34" s="2217">
        <v>0</v>
      </c>
      <c r="I34" s="2217">
        <v>0</v>
      </c>
      <c r="J34" s="2217">
        <v>621.54</v>
      </c>
      <c r="K34" s="2217">
        <v>0</v>
      </c>
      <c r="L34" s="2217">
        <v>313.17</v>
      </c>
      <c r="M34" s="2275">
        <v>188.25</v>
      </c>
      <c r="N34" s="2005"/>
    </row>
    <row r="35" spans="1:14" ht="16.5" hidden="1" customHeight="1">
      <c r="A35" s="2005"/>
      <c r="B35" s="2015" t="s">
        <v>171</v>
      </c>
      <c r="C35" s="2393">
        <v>4055.6</v>
      </c>
      <c r="D35" s="2217">
        <v>726.63</v>
      </c>
      <c r="E35" s="2217">
        <v>2182.15</v>
      </c>
      <c r="F35" s="2217">
        <v>26.96</v>
      </c>
      <c r="G35" s="2217">
        <v>0</v>
      </c>
      <c r="H35" s="2217">
        <v>0</v>
      </c>
      <c r="I35" s="2217">
        <v>0</v>
      </c>
      <c r="J35" s="2217">
        <v>573.97</v>
      </c>
      <c r="K35" s="2217">
        <v>0</v>
      </c>
      <c r="L35" s="2217">
        <v>312.69</v>
      </c>
      <c r="M35" s="2275">
        <v>233.2</v>
      </c>
      <c r="N35" s="2007"/>
    </row>
    <row r="36" spans="1:14" ht="16.5" hidden="1" customHeight="1">
      <c r="A36" s="2007"/>
      <c r="B36" s="2077">
        <v>2001</v>
      </c>
      <c r="C36" s="2393">
        <v>3975.17</v>
      </c>
      <c r="D36" s="2217">
        <v>683.42</v>
      </c>
      <c r="E36" s="2217">
        <v>2220.5500000000002</v>
      </c>
      <c r="F36" s="2217">
        <v>29.99</v>
      </c>
      <c r="G36" s="2217">
        <v>0</v>
      </c>
      <c r="H36" s="2217">
        <v>0</v>
      </c>
      <c r="I36" s="2217">
        <v>0</v>
      </c>
      <c r="J36" s="2217">
        <v>556.22</v>
      </c>
      <c r="K36" s="2217">
        <v>0</v>
      </c>
      <c r="L36" s="2217">
        <v>303.29000000000002</v>
      </c>
      <c r="M36" s="2275">
        <v>181.7</v>
      </c>
      <c r="N36" s="2005"/>
    </row>
    <row r="37" spans="1:14" ht="16.5" hidden="1" customHeight="1">
      <c r="A37" s="2005"/>
      <c r="B37" s="2079">
        <v>2002</v>
      </c>
      <c r="C37" s="2394"/>
      <c r="D37" s="2218"/>
      <c r="E37" s="2218"/>
      <c r="F37" s="2218"/>
      <c r="G37" s="2218"/>
      <c r="H37" s="2218"/>
      <c r="I37" s="2218"/>
      <c r="J37" s="2218"/>
      <c r="K37" s="2218"/>
      <c r="L37" s="2218"/>
      <c r="M37" s="2276"/>
      <c r="N37" s="2005"/>
    </row>
    <row r="38" spans="1:14" ht="16.5" hidden="1" customHeight="1">
      <c r="A38" s="2005"/>
      <c r="B38" s="2080" t="s">
        <v>161</v>
      </c>
      <c r="C38" s="2394">
        <v>3967.57</v>
      </c>
      <c r="D38" s="2218">
        <v>699.35</v>
      </c>
      <c r="E38" s="2218">
        <v>2217.13</v>
      </c>
      <c r="F38" s="2218">
        <v>27.92</v>
      </c>
      <c r="G38" s="2218">
        <v>0</v>
      </c>
      <c r="H38" s="2218">
        <v>0</v>
      </c>
      <c r="I38" s="2218">
        <v>0</v>
      </c>
      <c r="J38" s="2218">
        <v>506.23</v>
      </c>
      <c r="K38" s="2218">
        <v>0</v>
      </c>
      <c r="L38" s="2218">
        <v>309.20999999999998</v>
      </c>
      <c r="M38" s="2276">
        <v>207.73</v>
      </c>
      <c r="N38" s="2005"/>
    </row>
    <row r="39" spans="1:14" ht="16.5" hidden="1" customHeight="1">
      <c r="A39" s="2005"/>
      <c r="B39" s="2080" t="s">
        <v>162</v>
      </c>
      <c r="C39" s="2394">
        <v>3960.57</v>
      </c>
      <c r="D39" s="2218">
        <v>595.88</v>
      </c>
      <c r="E39" s="2218">
        <v>2261.31</v>
      </c>
      <c r="F39" s="2218">
        <v>35</v>
      </c>
      <c r="G39" s="2218">
        <v>0</v>
      </c>
      <c r="H39" s="2218">
        <v>0</v>
      </c>
      <c r="I39" s="2218">
        <v>0</v>
      </c>
      <c r="J39" s="2218">
        <v>515.49</v>
      </c>
      <c r="K39" s="2218">
        <v>0</v>
      </c>
      <c r="L39" s="2218">
        <v>315.74</v>
      </c>
      <c r="M39" s="2276">
        <v>237.15</v>
      </c>
      <c r="N39" s="2005"/>
    </row>
    <row r="40" spans="1:14" ht="16.5" hidden="1" customHeight="1">
      <c r="A40" s="2005"/>
      <c r="B40" s="2080" t="s">
        <v>163</v>
      </c>
      <c r="C40" s="2394">
        <v>4093.5000000000005</v>
      </c>
      <c r="D40" s="2218">
        <v>649.92999999999995</v>
      </c>
      <c r="E40" s="2218">
        <v>2286.0300000000002</v>
      </c>
      <c r="F40" s="2218">
        <v>32.75</v>
      </c>
      <c r="G40" s="2218">
        <v>0</v>
      </c>
      <c r="H40" s="2218">
        <v>0</v>
      </c>
      <c r="I40" s="2218">
        <v>0</v>
      </c>
      <c r="J40" s="2218">
        <v>557.65</v>
      </c>
      <c r="K40" s="2218">
        <v>0</v>
      </c>
      <c r="L40" s="2218">
        <v>317.58999999999997</v>
      </c>
      <c r="M40" s="2276">
        <v>249.55</v>
      </c>
      <c r="N40" s="2005"/>
    </row>
    <row r="41" spans="1:14" ht="16.5" hidden="1" customHeight="1">
      <c r="A41" s="2005"/>
      <c r="B41" s="2080" t="s">
        <v>164</v>
      </c>
      <c r="C41" s="2394">
        <v>4107.29</v>
      </c>
      <c r="D41" s="2218">
        <v>605.72</v>
      </c>
      <c r="E41" s="2218">
        <v>2320.31</v>
      </c>
      <c r="F41" s="2218">
        <v>39.35</v>
      </c>
      <c r="G41" s="2218">
        <v>0</v>
      </c>
      <c r="H41" s="2218">
        <v>0</v>
      </c>
      <c r="I41" s="2218">
        <v>0</v>
      </c>
      <c r="J41" s="2218">
        <v>593.94000000000005</v>
      </c>
      <c r="K41" s="2218">
        <v>0</v>
      </c>
      <c r="L41" s="2218">
        <v>321.95999999999998</v>
      </c>
      <c r="M41" s="2276">
        <v>226.01</v>
      </c>
      <c r="N41" s="2005"/>
    </row>
    <row r="42" spans="1:14" ht="16.5" hidden="1" customHeight="1">
      <c r="A42" s="2005"/>
      <c r="B42" s="2080" t="s">
        <v>165</v>
      </c>
      <c r="C42" s="2394">
        <v>4074.69</v>
      </c>
      <c r="D42" s="2218">
        <v>621.37</v>
      </c>
      <c r="E42" s="2218">
        <v>2465.59</v>
      </c>
      <c r="F42" s="2218">
        <v>32.96</v>
      </c>
      <c r="G42" s="2218">
        <v>0</v>
      </c>
      <c r="H42" s="2218">
        <v>0</v>
      </c>
      <c r="I42" s="2218">
        <v>0</v>
      </c>
      <c r="J42" s="2218">
        <v>568.14</v>
      </c>
      <c r="K42" s="2218">
        <v>0</v>
      </c>
      <c r="L42" s="2218">
        <v>332.06</v>
      </c>
      <c r="M42" s="2276">
        <v>54.57</v>
      </c>
      <c r="N42" s="2005"/>
    </row>
    <row r="43" spans="1:14" ht="16.5" hidden="1" customHeight="1">
      <c r="A43" s="2005"/>
      <c r="B43" s="2080" t="s">
        <v>166</v>
      </c>
      <c r="C43" s="2394">
        <v>4159.9800000000005</v>
      </c>
      <c r="D43" s="2218">
        <v>709.18</v>
      </c>
      <c r="E43" s="2218">
        <v>2372.09</v>
      </c>
      <c r="F43" s="2218">
        <v>36.380000000000003</v>
      </c>
      <c r="G43" s="2218">
        <v>0</v>
      </c>
      <c r="H43" s="2218">
        <v>0</v>
      </c>
      <c r="I43" s="2218">
        <v>0</v>
      </c>
      <c r="J43" s="2218">
        <v>542.42999999999995</v>
      </c>
      <c r="K43" s="2218">
        <v>0</v>
      </c>
      <c r="L43" s="2218">
        <v>327.38</v>
      </c>
      <c r="M43" s="2276">
        <v>172.52</v>
      </c>
      <c r="N43" s="2005"/>
    </row>
    <row r="44" spans="1:14" ht="16.5" hidden="1" customHeight="1">
      <c r="A44" s="2005"/>
      <c r="B44" s="2080" t="s">
        <v>167</v>
      </c>
      <c r="C44" s="2394">
        <v>4211.87</v>
      </c>
      <c r="D44" s="2218">
        <v>704.43</v>
      </c>
      <c r="E44" s="2218">
        <v>2394.69</v>
      </c>
      <c r="F44" s="2218">
        <v>30.62</v>
      </c>
      <c r="G44" s="2218">
        <v>0</v>
      </c>
      <c r="H44" s="2218">
        <v>0</v>
      </c>
      <c r="I44" s="2218">
        <v>0</v>
      </c>
      <c r="J44" s="2218">
        <v>566.72</v>
      </c>
      <c r="K44" s="2218">
        <v>0</v>
      </c>
      <c r="L44" s="2218">
        <v>336.86</v>
      </c>
      <c r="M44" s="2276">
        <v>178.55</v>
      </c>
      <c r="N44" s="2005"/>
    </row>
    <row r="45" spans="1:14" ht="16.5" hidden="1" customHeight="1">
      <c r="A45" s="2005"/>
      <c r="B45" s="2080" t="s">
        <v>168</v>
      </c>
      <c r="C45" s="2394">
        <v>4186.7299999999996</v>
      </c>
      <c r="D45" s="2218">
        <v>631.47</v>
      </c>
      <c r="E45" s="2218">
        <v>2468.02</v>
      </c>
      <c r="F45" s="2218">
        <v>28.23</v>
      </c>
      <c r="G45" s="2218">
        <v>0</v>
      </c>
      <c r="H45" s="2218">
        <v>0</v>
      </c>
      <c r="I45" s="2218">
        <v>0</v>
      </c>
      <c r="J45" s="2218">
        <v>588.66</v>
      </c>
      <c r="K45" s="2218">
        <v>0</v>
      </c>
      <c r="L45" s="2218">
        <v>335.93</v>
      </c>
      <c r="M45" s="2276">
        <v>134.41999999999999</v>
      </c>
      <c r="N45" s="2005"/>
    </row>
    <row r="46" spans="1:14" ht="16.5" hidden="1" customHeight="1">
      <c r="A46" s="2005"/>
      <c r="B46" s="2080" t="s">
        <v>169</v>
      </c>
      <c r="C46" s="2394">
        <v>4407.03</v>
      </c>
      <c r="D46" s="2218">
        <v>767.43</v>
      </c>
      <c r="E46" s="2218">
        <v>2495.0700000000002</v>
      </c>
      <c r="F46" s="2218">
        <v>29.16</v>
      </c>
      <c r="G46" s="2218">
        <v>0</v>
      </c>
      <c r="H46" s="2218">
        <v>0</v>
      </c>
      <c r="I46" s="2218">
        <v>0</v>
      </c>
      <c r="J46" s="2218">
        <v>681.91</v>
      </c>
      <c r="K46" s="2218">
        <v>0</v>
      </c>
      <c r="L46" s="2218">
        <v>332.36</v>
      </c>
      <c r="M46" s="2276">
        <v>101.1</v>
      </c>
      <c r="N46" s="2005"/>
    </row>
    <row r="47" spans="1:14" ht="16.5" hidden="1" customHeight="1">
      <c r="A47" s="2005"/>
      <c r="B47" s="2080" t="s">
        <v>170</v>
      </c>
      <c r="C47" s="2394">
        <v>4662.37</v>
      </c>
      <c r="D47" s="2218">
        <v>781.85</v>
      </c>
      <c r="E47" s="2218">
        <v>2595.66</v>
      </c>
      <c r="F47" s="2218">
        <v>42.33</v>
      </c>
      <c r="G47" s="2218">
        <v>0</v>
      </c>
      <c r="H47" s="2218">
        <v>0</v>
      </c>
      <c r="I47" s="2218">
        <v>0</v>
      </c>
      <c r="J47" s="2218">
        <v>705.36</v>
      </c>
      <c r="K47" s="2218">
        <v>0</v>
      </c>
      <c r="L47" s="2218">
        <v>333.42</v>
      </c>
      <c r="M47" s="2276">
        <v>203.75</v>
      </c>
      <c r="N47" s="2005"/>
    </row>
    <row r="48" spans="1:14" ht="16.5" hidden="1" customHeight="1">
      <c r="A48" s="2005"/>
      <c r="B48" s="2080" t="s">
        <v>171</v>
      </c>
      <c r="C48" s="2394">
        <v>4697.8599999999997</v>
      </c>
      <c r="D48" s="2218">
        <v>610.25</v>
      </c>
      <c r="E48" s="2218">
        <v>2838.33</v>
      </c>
      <c r="F48" s="2218">
        <v>62.02</v>
      </c>
      <c r="G48" s="2218">
        <v>0</v>
      </c>
      <c r="H48" s="2218">
        <v>0</v>
      </c>
      <c r="I48" s="2218">
        <v>0</v>
      </c>
      <c r="J48" s="2218">
        <v>724.8</v>
      </c>
      <c r="K48" s="2218">
        <v>0</v>
      </c>
      <c r="L48" s="2218">
        <v>344.11</v>
      </c>
      <c r="M48" s="2276">
        <v>118.35</v>
      </c>
      <c r="N48" s="2005"/>
    </row>
    <row r="49" spans="1:15" ht="16.5" hidden="1" customHeight="1">
      <c r="A49" s="2005"/>
      <c r="B49" s="2079">
        <v>2002</v>
      </c>
      <c r="C49" s="2394">
        <v>4854.71</v>
      </c>
      <c r="D49" s="2218">
        <v>650.41999999999996</v>
      </c>
      <c r="E49" s="2218">
        <v>3057.59</v>
      </c>
      <c r="F49" s="2218">
        <v>29.61</v>
      </c>
      <c r="G49" s="2218">
        <v>0</v>
      </c>
      <c r="H49" s="2218">
        <v>0</v>
      </c>
      <c r="I49" s="2218">
        <v>0</v>
      </c>
      <c r="J49" s="2218">
        <v>639.95000000000005</v>
      </c>
      <c r="K49" s="2218">
        <v>0</v>
      </c>
      <c r="L49" s="2218">
        <v>328.52</v>
      </c>
      <c r="M49" s="2276">
        <v>148.62</v>
      </c>
      <c r="N49" s="2005"/>
    </row>
    <row r="50" spans="1:15" ht="16.5" hidden="1" customHeight="1">
      <c r="A50" s="2005"/>
      <c r="B50" s="2079">
        <v>2003</v>
      </c>
      <c r="C50" s="2394"/>
      <c r="D50" s="2218"/>
      <c r="E50" s="2218"/>
      <c r="F50" s="2218"/>
      <c r="G50" s="2218"/>
      <c r="H50" s="2218"/>
      <c r="I50" s="2218"/>
      <c r="J50" s="2218"/>
      <c r="K50" s="2218"/>
      <c r="L50" s="2218"/>
      <c r="M50" s="2276"/>
      <c r="N50" s="2005"/>
    </row>
    <row r="51" spans="1:15" ht="15.75" hidden="1" customHeight="1">
      <c r="A51" s="2005"/>
      <c r="B51" s="2080" t="s">
        <v>161</v>
      </c>
      <c r="C51" s="2394">
        <v>4876.1398853900009</v>
      </c>
      <c r="D51" s="2218">
        <v>1147.4806935199999</v>
      </c>
      <c r="E51" s="2218">
        <v>3301.4807571399997</v>
      </c>
      <c r="F51" s="2218">
        <v>58.135348890000003</v>
      </c>
      <c r="G51" s="2218">
        <v>0</v>
      </c>
      <c r="H51" s="2218">
        <v>0</v>
      </c>
      <c r="I51" s="2218">
        <v>0</v>
      </c>
      <c r="J51" s="2218">
        <v>0</v>
      </c>
      <c r="K51" s="2218">
        <v>0</v>
      </c>
      <c r="L51" s="2218">
        <v>330.63172586000002</v>
      </c>
      <c r="M51" s="2276">
        <v>38.41135998000118</v>
      </c>
      <c r="N51" s="2555"/>
    </row>
    <row r="52" spans="1:15" ht="16.5" hidden="1" customHeight="1">
      <c r="A52" s="2005"/>
      <c r="B52" s="2080" t="s">
        <v>162</v>
      </c>
      <c r="C52" s="2394">
        <v>4984.2104545400007</v>
      </c>
      <c r="D52" s="2218">
        <v>1216.7848854199999</v>
      </c>
      <c r="E52" s="2218">
        <v>3261.7409952799994</v>
      </c>
      <c r="F52" s="2218">
        <v>68.351147470000001</v>
      </c>
      <c r="G52" s="2218">
        <v>0</v>
      </c>
      <c r="H52" s="2218">
        <v>0</v>
      </c>
      <c r="I52" s="2218">
        <v>0</v>
      </c>
      <c r="J52" s="2218">
        <v>0</v>
      </c>
      <c r="K52" s="2218">
        <v>0</v>
      </c>
      <c r="L52" s="2218">
        <v>331.95428308000004</v>
      </c>
      <c r="M52" s="2276">
        <v>105.37914329000159</v>
      </c>
      <c r="N52" s="2005"/>
      <c r="O52" s="2078"/>
    </row>
    <row r="53" spans="1:15" ht="16.5" hidden="1" customHeight="1">
      <c r="A53" s="2005"/>
      <c r="B53" s="2080" t="s">
        <v>163</v>
      </c>
      <c r="C53" s="2394">
        <v>5135.0707358400014</v>
      </c>
      <c r="D53" s="2218">
        <v>1571.98786322</v>
      </c>
      <c r="E53" s="2218">
        <v>3254.4784859400002</v>
      </c>
      <c r="F53" s="2218">
        <v>48.453831819999998</v>
      </c>
      <c r="G53" s="2218">
        <v>0</v>
      </c>
      <c r="H53" s="2218">
        <v>0</v>
      </c>
      <c r="I53" s="2218">
        <v>0</v>
      </c>
      <c r="J53" s="2218">
        <v>0</v>
      </c>
      <c r="K53" s="2218">
        <v>0</v>
      </c>
      <c r="L53" s="2218">
        <v>335.67109376000002</v>
      </c>
      <c r="M53" s="2276">
        <v>-75.520538899999337</v>
      </c>
      <c r="N53" s="2005"/>
      <c r="O53" s="2078"/>
    </row>
    <row r="54" spans="1:15" ht="16.5" hidden="1" customHeight="1">
      <c r="A54" s="2005"/>
      <c r="B54" s="2080" t="s">
        <v>164</v>
      </c>
      <c r="C54" s="2394">
        <v>5073.3957862300012</v>
      </c>
      <c r="D54" s="2218">
        <v>1684.7088833299999</v>
      </c>
      <c r="E54" s="2218">
        <v>3141.3132007200002</v>
      </c>
      <c r="F54" s="2218">
        <v>56.955778090000003</v>
      </c>
      <c r="G54" s="2218">
        <v>0</v>
      </c>
      <c r="H54" s="2218">
        <v>0</v>
      </c>
      <c r="I54" s="2218">
        <v>0</v>
      </c>
      <c r="J54" s="2218">
        <v>0</v>
      </c>
      <c r="K54" s="2218">
        <v>0</v>
      </c>
      <c r="L54" s="2218">
        <v>340.25915719000005</v>
      </c>
      <c r="M54" s="2276">
        <v>-149.84123309999995</v>
      </c>
      <c r="N54" s="2005"/>
      <c r="O54" s="2078"/>
    </row>
    <row r="55" spans="1:15" ht="16.5" hidden="1" customHeight="1">
      <c r="A55" s="2005"/>
      <c r="B55" s="2080" t="s">
        <v>165</v>
      </c>
      <c r="C55" s="2394">
        <v>5359.3539510200017</v>
      </c>
      <c r="D55" s="2218">
        <v>1715.76916063</v>
      </c>
      <c r="E55" s="2218">
        <v>3082.0934954499999</v>
      </c>
      <c r="F55" s="2218">
        <v>46.91149017</v>
      </c>
      <c r="G55" s="2218">
        <v>0</v>
      </c>
      <c r="H55" s="2218">
        <v>0</v>
      </c>
      <c r="I55" s="2218">
        <v>0</v>
      </c>
      <c r="J55" s="2218">
        <v>0</v>
      </c>
      <c r="K55" s="2218">
        <v>0</v>
      </c>
      <c r="L55" s="2218">
        <v>347.91153293000002</v>
      </c>
      <c r="M55" s="2276">
        <v>166.66827184000067</v>
      </c>
      <c r="N55" s="2005"/>
      <c r="O55" s="2078"/>
    </row>
    <row r="56" spans="1:15" ht="16.5" hidden="1" customHeight="1">
      <c r="A56" s="2005"/>
      <c r="B56" s="2080" t="s">
        <v>166</v>
      </c>
      <c r="C56" s="2394">
        <v>5310.423311829999</v>
      </c>
      <c r="D56" s="2218">
        <v>1513.2680946299997</v>
      </c>
      <c r="E56" s="2218">
        <v>3232.2838468600003</v>
      </c>
      <c r="F56" s="2218">
        <v>31.535973970000001</v>
      </c>
      <c r="G56" s="2218">
        <v>0</v>
      </c>
      <c r="H56" s="2218">
        <v>0</v>
      </c>
      <c r="I56" s="2218">
        <v>0</v>
      </c>
      <c r="J56" s="2218">
        <v>0</v>
      </c>
      <c r="K56" s="2218">
        <v>0</v>
      </c>
      <c r="L56" s="2218">
        <v>346.46967750000005</v>
      </c>
      <c r="M56" s="2276">
        <v>186.865718869999</v>
      </c>
      <c r="N56" s="2005"/>
      <c r="O56" s="2078"/>
    </row>
    <row r="57" spans="1:15" ht="16.5" hidden="1" customHeight="1">
      <c r="A57" s="2005"/>
      <c r="B57" s="2080" t="s">
        <v>167</v>
      </c>
      <c r="C57" s="2394">
        <v>5115.0096630600001</v>
      </c>
      <c r="D57" s="2218">
        <v>1288.9786275599999</v>
      </c>
      <c r="E57" s="2218">
        <v>3273.1839832500004</v>
      </c>
      <c r="F57" s="2218">
        <v>30.101025410000002</v>
      </c>
      <c r="G57" s="2218">
        <v>0</v>
      </c>
      <c r="H57" s="2218">
        <v>0</v>
      </c>
      <c r="I57" s="2218">
        <v>0</v>
      </c>
      <c r="J57" s="2218">
        <v>0</v>
      </c>
      <c r="K57" s="2218">
        <v>0</v>
      </c>
      <c r="L57" s="2218">
        <v>340.76805589000003</v>
      </c>
      <c r="M57" s="2276">
        <v>181.97797094999896</v>
      </c>
      <c r="N57" s="2005"/>
      <c r="O57" s="2078"/>
    </row>
    <row r="58" spans="1:15" ht="14.25" hidden="1" customHeight="1">
      <c r="A58" s="2005"/>
      <c r="B58" s="2080" t="s">
        <v>168</v>
      </c>
      <c r="C58" s="2394">
        <v>5143.7757958099992</v>
      </c>
      <c r="D58" s="2218">
        <v>1386.9136008799999</v>
      </c>
      <c r="E58" s="2218">
        <v>3205.8014689900001</v>
      </c>
      <c r="F58" s="2218">
        <v>69.018183969999995</v>
      </c>
      <c r="G58" s="2218">
        <v>0</v>
      </c>
      <c r="H58" s="2218">
        <v>0</v>
      </c>
      <c r="I58" s="2218">
        <v>0</v>
      </c>
      <c r="J58" s="2218">
        <v>0</v>
      </c>
      <c r="K58" s="2218">
        <v>0</v>
      </c>
      <c r="L58" s="2218">
        <v>341.75443542000005</v>
      </c>
      <c r="M58" s="2276">
        <v>140.28810654999961</v>
      </c>
      <c r="N58" s="2005"/>
      <c r="O58" s="2078"/>
    </row>
    <row r="59" spans="1:15" ht="16.5" hidden="1" customHeight="1">
      <c r="A59" s="2005"/>
      <c r="B59" s="2080" t="s">
        <v>169</v>
      </c>
      <c r="C59" s="2394">
        <v>4886.9507556000008</v>
      </c>
      <c r="D59" s="2218">
        <v>1493.65609965</v>
      </c>
      <c r="E59" s="2218">
        <v>2772.7032125800006</v>
      </c>
      <c r="F59" s="2218">
        <v>58.080884900000001</v>
      </c>
      <c r="G59" s="2218">
        <v>0</v>
      </c>
      <c r="H59" s="2218">
        <v>0</v>
      </c>
      <c r="I59" s="2218">
        <v>0</v>
      </c>
      <c r="J59" s="2218">
        <v>0</v>
      </c>
      <c r="K59" s="2218">
        <v>0</v>
      </c>
      <c r="L59" s="2218">
        <v>357.80577343000004</v>
      </c>
      <c r="M59" s="2276">
        <v>204.70478503999948</v>
      </c>
      <c r="N59" s="2005"/>
      <c r="O59" s="2078"/>
    </row>
    <row r="60" spans="1:15" ht="16.5" hidden="1" customHeight="1">
      <c r="A60" s="2005"/>
      <c r="B60" s="2080" t="s">
        <v>170</v>
      </c>
      <c r="C60" s="2394">
        <v>5212.7878524799999</v>
      </c>
      <c r="D60" s="2218">
        <v>1594.7037195799999</v>
      </c>
      <c r="E60" s="2218">
        <v>3059.2765842200006</v>
      </c>
      <c r="F60" s="2218">
        <v>50.669811409999994</v>
      </c>
      <c r="G60" s="2218">
        <v>0</v>
      </c>
      <c r="H60" s="2218">
        <v>0</v>
      </c>
      <c r="I60" s="2218">
        <v>0</v>
      </c>
      <c r="J60" s="2218">
        <v>0</v>
      </c>
      <c r="K60" s="2218">
        <v>0</v>
      </c>
      <c r="L60" s="2218">
        <v>362.26298382000004</v>
      </c>
      <c r="M60" s="2276">
        <v>145.87475344999893</v>
      </c>
      <c r="N60" s="2005"/>
      <c r="O60" s="2078"/>
    </row>
    <row r="61" spans="1:15" ht="16.5" hidden="1" customHeight="1">
      <c r="A61" s="2005"/>
      <c r="B61" s="2080" t="s">
        <v>171</v>
      </c>
      <c r="C61" s="2394">
        <v>4949.5714810399995</v>
      </c>
      <c r="D61" s="2218">
        <v>1621.6733452400001</v>
      </c>
      <c r="E61" s="2218">
        <v>3102.0719482500003</v>
      </c>
      <c r="F61" s="2218">
        <v>49.600143600000003</v>
      </c>
      <c r="G61" s="2218">
        <v>0</v>
      </c>
      <c r="H61" s="2218">
        <v>0</v>
      </c>
      <c r="I61" s="2218">
        <v>0</v>
      </c>
      <c r="J61" s="2218">
        <v>0</v>
      </c>
      <c r="K61" s="2218">
        <v>0</v>
      </c>
      <c r="L61" s="2218">
        <v>367.88864974000006</v>
      </c>
      <c r="M61" s="2276">
        <v>-191.66260579000027</v>
      </c>
      <c r="N61" s="2005"/>
      <c r="O61" s="2078"/>
    </row>
    <row r="62" spans="1:15" ht="16.5" customHeight="1">
      <c r="A62" s="2005"/>
      <c r="B62" s="2079">
        <v>2003</v>
      </c>
      <c r="C62" s="2394">
        <v>5361.6952964400007</v>
      </c>
      <c r="D62" s="2218">
        <v>1320.9505172700001</v>
      </c>
      <c r="E62" s="2218">
        <v>3088.82746757</v>
      </c>
      <c r="F62" s="2218">
        <v>44.256064899999998</v>
      </c>
      <c r="G62" s="2218">
        <v>0</v>
      </c>
      <c r="H62" s="2218">
        <v>0</v>
      </c>
      <c r="I62" s="2218">
        <v>0</v>
      </c>
      <c r="J62" s="2218">
        <v>0</v>
      </c>
      <c r="K62" s="2218">
        <v>0</v>
      </c>
      <c r="L62" s="2218">
        <v>700.01630459</v>
      </c>
      <c r="M62" s="2276">
        <v>207.64494211000056</v>
      </c>
      <c r="N62" s="2005"/>
      <c r="O62" s="2078"/>
    </row>
    <row r="63" spans="1:15" ht="16.5" hidden="1" customHeight="1">
      <c r="A63" s="2005"/>
      <c r="B63" s="2079">
        <v>2004</v>
      </c>
      <c r="C63" s="2394"/>
      <c r="D63" s="2218"/>
      <c r="E63" s="2218"/>
      <c r="F63" s="2218"/>
      <c r="G63" s="2218"/>
      <c r="H63" s="2218"/>
      <c r="I63" s="2218"/>
      <c r="J63" s="2218"/>
      <c r="K63" s="2218"/>
      <c r="L63" s="2218"/>
      <c r="M63" s="2276"/>
      <c r="N63" s="2082"/>
      <c r="O63" s="2078"/>
    </row>
    <row r="64" spans="1:15" ht="16.5" hidden="1" customHeight="1">
      <c r="A64" s="2005"/>
      <c r="B64" s="2080" t="s">
        <v>161</v>
      </c>
      <c r="C64" s="2394">
        <v>5405.1234289699987</v>
      </c>
      <c r="D64" s="2218">
        <v>1378.22960311</v>
      </c>
      <c r="E64" s="2218">
        <v>3462.9240038299995</v>
      </c>
      <c r="F64" s="2218">
        <v>53.70611736</v>
      </c>
      <c r="G64" s="2218">
        <v>0</v>
      </c>
      <c r="H64" s="2218">
        <v>0</v>
      </c>
      <c r="I64" s="2218">
        <v>0</v>
      </c>
      <c r="J64" s="2218">
        <v>0</v>
      </c>
      <c r="K64" s="2218">
        <v>0</v>
      </c>
      <c r="L64" s="2218">
        <v>707.33988513000008</v>
      </c>
      <c r="M64" s="2276">
        <v>-197.0761804599997</v>
      </c>
      <c r="N64" s="2082"/>
      <c r="O64" s="2078"/>
    </row>
    <row r="65" spans="1:15" ht="16.5" hidden="1" customHeight="1">
      <c r="A65" s="2005"/>
      <c r="B65" s="2080" t="s">
        <v>162</v>
      </c>
      <c r="C65" s="2394">
        <v>5831.3708060499994</v>
      </c>
      <c r="D65" s="2218">
        <v>1399.2833645800001</v>
      </c>
      <c r="E65" s="2218">
        <v>3737.6366393199996</v>
      </c>
      <c r="F65" s="2218">
        <v>41.202811250000003</v>
      </c>
      <c r="G65" s="2218">
        <v>0</v>
      </c>
      <c r="H65" s="2218">
        <v>0</v>
      </c>
      <c r="I65" s="2218">
        <v>0</v>
      </c>
      <c r="J65" s="2218">
        <v>0</v>
      </c>
      <c r="K65" s="2218">
        <v>0</v>
      </c>
      <c r="L65" s="2218">
        <v>714.03029831000015</v>
      </c>
      <c r="M65" s="2276">
        <v>-60.782307410000612</v>
      </c>
      <c r="N65" s="2082"/>
      <c r="O65" s="2078"/>
    </row>
    <row r="66" spans="1:15" ht="16.5" hidden="1" customHeight="1">
      <c r="A66" s="2005"/>
      <c r="B66" s="2080" t="s">
        <v>163</v>
      </c>
      <c r="C66" s="2394">
        <v>5938.5365876699989</v>
      </c>
      <c r="D66" s="2218">
        <v>1294.4642102300002</v>
      </c>
      <c r="E66" s="2218">
        <v>3785.8986962399999</v>
      </c>
      <c r="F66" s="2218">
        <v>72.561246920000002</v>
      </c>
      <c r="G66" s="2218">
        <v>0</v>
      </c>
      <c r="H66" s="2218">
        <v>0</v>
      </c>
      <c r="I66" s="2218">
        <v>0</v>
      </c>
      <c r="J66" s="2218">
        <v>0</v>
      </c>
      <c r="K66" s="2218">
        <v>0</v>
      </c>
      <c r="L66" s="2218">
        <v>709.57615729000008</v>
      </c>
      <c r="M66" s="2276">
        <v>76.036276989999351</v>
      </c>
      <c r="N66" s="2082"/>
      <c r="O66" s="2078"/>
    </row>
    <row r="67" spans="1:15" ht="16.5" hidden="1" customHeight="1">
      <c r="A67" s="2005"/>
      <c r="B67" s="2080" t="s">
        <v>164</v>
      </c>
      <c r="C67" s="2394">
        <v>6050.7734312400007</v>
      </c>
      <c r="D67" s="2218">
        <v>1348.8752363799999</v>
      </c>
      <c r="E67" s="2218">
        <v>3835.0556550300003</v>
      </c>
      <c r="F67" s="2218">
        <v>74.143954890000003</v>
      </c>
      <c r="G67" s="2218">
        <v>0</v>
      </c>
      <c r="H67" s="2218">
        <v>0</v>
      </c>
      <c r="I67" s="2218">
        <v>0</v>
      </c>
      <c r="J67" s="2218">
        <v>0</v>
      </c>
      <c r="K67" s="2218">
        <v>0</v>
      </c>
      <c r="L67" s="2218">
        <v>712.68429834000017</v>
      </c>
      <c r="M67" s="2276">
        <v>80.01428660000056</v>
      </c>
      <c r="N67" s="2082"/>
      <c r="O67" s="2078"/>
    </row>
    <row r="68" spans="1:15" ht="16.5" hidden="1" customHeight="1">
      <c r="A68" s="2005"/>
      <c r="B68" s="2080" t="s">
        <v>165</v>
      </c>
      <c r="C68" s="2394">
        <v>6073.577983350001</v>
      </c>
      <c r="D68" s="2218">
        <v>1305.7093958799996</v>
      </c>
      <c r="E68" s="2218">
        <v>3875.6249664000002</v>
      </c>
      <c r="F68" s="2218">
        <v>38.181106369999995</v>
      </c>
      <c r="G68" s="2218">
        <v>0</v>
      </c>
      <c r="H68" s="2218">
        <v>0</v>
      </c>
      <c r="I68" s="2218">
        <v>0</v>
      </c>
      <c r="J68" s="2218">
        <v>0</v>
      </c>
      <c r="K68" s="2218">
        <v>0</v>
      </c>
      <c r="L68" s="2218">
        <v>723.25533895000012</v>
      </c>
      <c r="M68" s="2276">
        <v>130.80717575000108</v>
      </c>
      <c r="N68" s="2082"/>
      <c r="O68" s="2078"/>
    </row>
    <row r="69" spans="1:15" ht="16.5" hidden="1" customHeight="1">
      <c r="A69" s="2005"/>
      <c r="B69" s="2080" t="s">
        <v>166</v>
      </c>
      <c r="C69" s="2394">
        <v>6200.1051895499995</v>
      </c>
      <c r="D69" s="2218">
        <v>1450.82691187</v>
      </c>
      <c r="E69" s="2218">
        <v>3842.6340811299997</v>
      </c>
      <c r="F69" s="2218">
        <v>43.675615260000001</v>
      </c>
      <c r="G69" s="2218">
        <v>0</v>
      </c>
      <c r="H69" s="2218">
        <v>0</v>
      </c>
      <c r="I69" s="2218">
        <v>0</v>
      </c>
      <c r="J69" s="2218">
        <v>0</v>
      </c>
      <c r="K69" s="2218">
        <v>0</v>
      </c>
      <c r="L69" s="2218">
        <v>752.46053796000001</v>
      </c>
      <c r="M69" s="2276">
        <v>110.50804332999996</v>
      </c>
      <c r="N69" s="2082"/>
      <c r="O69" s="2078"/>
    </row>
    <row r="70" spans="1:15" ht="16.5" hidden="1" customHeight="1">
      <c r="A70" s="2005"/>
      <c r="B70" s="2080" t="s">
        <v>167</v>
      </c>
      <c r="C70" s="2394">
        <v>6137.7254129100002</v>
      </c>
      <c r="D70" s="2218">
        <v>1256.7738462699999</v>
      </c>
      <c r="E70" s="2218">
        <v>4126.7698651299997</v>
      </c>
      <c r="F70" s="2218">
        <v>53.381790969999997</v>
      </c>
      <c r="G70" s="2218">
        <v>0</v>
      </c>
      <c r="H70" s="2218">
        <v>0</v>
      </c>
      <c r="I70" s="2218">
        <v>0</v>
      </c>
      <c r="J70" s="2218">
        <v>0</v>
      </c>
      <c r="K70" s="2218">
        <v>0</v>
      </c>
      <c r="L70" s="2218">
        <v>724.88523958000019</v>
      </c>
      <c r="M70" s="2276">
        <v>-24.085329040000033</v>
      </c>
      <c r="N70" s="2082"/>
      <c r="O70" s="2078"/>
    </row>
    <row r="71" spans="1:15" ht="16.5" hidden="1" customHeight="1">
      <c r="A71" s="2005"/>
      <c r="B71" s="2080" t="s">
        <v>168</v>
      </c>
      <c r="C71" s="2394">
        <v>6593.8558271099992</v>
      </c>
      <c r="D71" s="2218">
        <v>1339.1218270600002</v>
      </c>
      <c r="E71" s="2218">
        <v>4323.7557252799998</v>
      </c>
      <c r="F71" s="2218">
        <v>59.227768099999999</v>
      </c>
      <c r="G71" s="2218">
        <v>0</v>
      </c>
      <c r="H71" s="2218">
        <v>0</v>
      </c>
      <c r="I71" s="2218">
        <v>0</v>
      </c>
      <c r="J71" s="2218">
        <v>0</v>
      </c>
      <c r="K71" s="2218">
        <v>0</v>
      </c>
      <c r="L71" s="2218">
        <v>739.06228969000006</v>
      </c>
      <c r="M71" s="2276">
        <v>132.6882169799992</v>
      </c>
      <c r="N71" s="2082"/>
      <c r="O71" s="2078"/>
    </row>
    <row r="72" spans="1:15" ht="16.5" hidden="1" customHeight="1">
      <c r="A72" s="2005"/>
      <c r="B72" s="2080" t="s">
        <v>169</v>
      </c>
      <c r="C72" s="2394">
        <v>6353.8860584499998</v>
      </c>
      <c r="D72" s="2218">
        <v>1621.2223529299999</v>
      </c>
      <c r="E72" s="2218">
        <v>4037.5506685799996</v>
      </c>
      <c r="F72" s="2218">
        <v>53.158439700000002</v>
      </c>
      <c r="G72" s="2218">
        <v>0</v>
      </c>
      <c r="H72" s="2218">
        <v>0</v>
      </c>
      <c r="I72" s="2218">
        <v>0</v>
      </c>
      <c r="J72" s="2218">
        <v>0</v>
      </c>
      <c r="K72" s="2218">
        <v>0</v>
      </c>
      <c r="L72" s="2218">
        <v>744.94607761000009</v>
      </c>
      <c r="M72" s="2276">
        <v>-102.99148037000032</v>
      </c>
      <c r="N72" s="2082"/>
      <c r="O72" s="2078"/>
    </row>
    <row r="73" spans="1:15" ht="16.5" hidden="1" customHeight="1">
      <c r="A73" s="2005"/>
      <c r="B73" s="2080" t="s">
        <v>170</v>
      </c>
      <c r="C73" s="2394">
        <v>6637.27368854</v>
      </c>
      <c r="D73" s="2218">
        <v>1446.3058824100003</v>
      </c>
      <c r="E73" s="2218">
        <v>4174.6975220799995</v>
      </c>
      <c r="F73" s="2218">
        <v>129.57213300000001</v>
      </c>
      <c r="G73" s="2218">
        <v>0</v>
      </c>
      <c r="H73" s="2218">
        <v>0</v>
      </c>
      <c r="I73" s="2218">
        <v>0</v>
      </c>
      <c r="J73" s="2218">
        <v>0</v>
      </c>
      <c r="K73" s="2218">
        <v>0</v>
      </c>
      <c r="L73" s="2218">
        <v>752.26846673000011</v>
      </c>
      <c r="M73" s="2276">
        <v>134.42968431999998</v>
      </c>
      <c r="N73" s="2082"/>
      <c r="O73" s="2078"/>
    </row>
    <row r="74" spans="1:15" ht="16.5" hidden="1" customHeight="1">
      <c r="A74" s="2005"/>
      <c r="B74" s="2080" t="s">
        <v>171</v>
      </c>
      <c r="C74" s="2394">
        <v>6672.9406051099995</v>
      </c>
      <c r="D74" s="2218">
        <v>1430.6977883799998</v>
      </c>
      <c r="E74" s="2218">
        <v>4216.0372142400001</v>
      </c>
      <c r="F74" s="2218">
        <v>104.53489443000001</v>
      </c>
      <c r="G74" s="2218">
        <v>0</v>
      </c>
      <c r="H74" s="2218">
        <v>0</v>
      </c>
      <c r="I74" s="2218">
        <v>0</v>
      </c>
      <c r="J74" s="2218">
        <v>0</v>
      </c>
      <c r="K74" s="2218">
        <v>0</v>
      </c>
      <c r="L74" s="2218">
        <v>761.52830628000004</v>
      </c>
      <c r="M74" s="2276">
        <v>160.14240177999909</v>
      </c>
      <c r="N74" s="2082"/>
      <c r="O74" s="2078"/>
    </row>
    <row r="75" spans="1:15" ht="18" customHeight="1">
      <c r="A75" s="2005"/>
      <c r="B75" s="2079">
        <v>2004</v>
      </c>
      <c r="C75" s="2394">
        <v>6519.0738974099995</v>
      </c>
      <c r="D75" s="2218">
        <v>1343.0296222000002</v>
      </c>
      <c r="E75" s="2218">
        <v>4236.9197419499997</v>
      </c>
      <c r="F75" s="2218">
        <v>81.05903631999999</v>
      </c>
      <c r="G75" s="2218">
        <v>0</v>
      </c>
      <c r="H75" s="2218">
        <v>0</v>
      </c>
      <c r="I75" s="2218">
        <v>0</v>
      </c>
      <c r="J75" s="2218">
        <v>-9.9999904632568362E-9</v>
      </c>
      <c r="K75" s="2218">
        <v>0</v>
      </c>
      <c r="L75" s="2218">
        <v>742.56256442999995</v>
      </c>
      <c r="M75" s="2276">
        <v>115.50293252000029</v>
      </c>
      <c r="N75" s="2082"/>
      <c r="O75" s="2078"/>
    </row>
    <row r="76" spans="1:15" ht="18" hidden="1" customHeight="1">
      <c r="A76" s="2005"/>
      <c r="B76" s="2079">
        <v>2005</v>
      </c>
      <c r="C76" s="2394"/>
      <c r="D76" s="2218"/>
      <c r="E76" s="2218"/>
      <c r="F76" s="2218"/>
      <c r="G76" s="2218"/>
      <c r="H76" s="2218"/>
      <c r="I76" s="2218"/>
      <c r="J76" s="2218"/>
      <c r="K76" s="2218"/>
      <c r="L76" s="2218"/>
      <c r="M76" s="2276"/>
      <c r="N76" s="2082"/>
      <c r="O76" s="2078"/>
    </row>
    <row r="77" spans="1:15" ht="16.5" hidden="1" customHeight="1">
      <c r="A77" s="2005"/>
      <c r="B77" s="2080" t="s">
        <v>161</v>
      </c>
      <c r="C77" s="2394">
        <v>6441.7129192000011</v>
      </c>
      <c r="D77" s="2218">
        <v>1393.3843709600001</v>
      </c>
      <c r="E77" s="2218">
        <v>4219.5595304500002</v>
      </c>
      <c r="F77" s="2218">
        <v>85.839228819999988</v>
      </c>
      <c r="G77" s="2218">
        <v>0</v>
      </c>
      <c r="H77" s="2218">
        <v>0</v>
      </c>
      <c r="I77" s="2218">
        <v>0</v>
      </c>
      <c r="J77" s="2218">
        <v>0</v>
      </c>
      <c r="K77" s="2218">
        <v>0</v>
      </c>
      <c r="L77" s="2218">
        <v>748.87299126000005</v>
      </c>
      <c r="M77" s="2276">
        <v>-5.9432022900000447</v>
      </c>
      <c r="N77" s="2082"/>
      <c r="O77" s="2078"/>
    </row>
    <row r="78" spans="1:15" ht="16.5" hidden="1" customHeight="1">
      <c r="A78" s="2005"/>
      <c r="B78" s="2080" t="s">
        <v>162</v>
      </c>
      <c r="C78" s="2394">
        <v>6574.3854652700002</v>
      </c>
      <c r="D78" s="2218">
        <v>1289.3475429699999</v>
      </c>
      <c r="E78" s="2218">
        <v>4334.7935877899999</v>
      </c>
      <c r="F78" s="2218">
        <v>94.779747549999996</v>
      </c>
      <c r="G78" s="2218">
        <v>0</v>
      </c>
      <c r="H78" s="2218">
        <v>0</v>
      </c>
      <c r="I78" s="2218">
        <v>0</v>
      </c>
      <c r="J78" s="2218">
        <v>0</v>
      </c>
      <c r="K78" s="2218">
        <v>0</v>
      </c>
      <c r="L78" s="2218">
        <v>758.46010290999993</v>
      </c>
      <c r="M78" s="2276">
        <v>97.004484050000428</v>
      </c>
      <c r="N78" s="2082"/>
      <c r="O78" s="2078"/>
    </row>
    <row r="79" spans="1:15" ht="16.5" hidden="1" customHeight="1">
      <c r="A79" s="2005"/>
      <c r="B79" s="2080" t="s">
        <v>163</v>
      </c>
      <c r="C79" s="2394">
        <v>6662.9702710700003</v>
      </c>
      <c r="D79" s="2218">
        <v>1398.4810938800001</v>
      </c>
      <c r="E79" s="2218">
        <v>4383.2038877999994</v>
      </c>
      <c r="F79" s="2218">
        <v>114.69571579000001</v>
      </c>
      <c r="G79" s="2218">
        <v>0</v>
      </c>
      <c r="H79" s="2218">
        <v>0</v>
      </c>
      <c r="I79" s="2218">
        <v>0</v>
      </c>
      <c r="J79" s="2218">
        <v>0</v>
      </c>
      <c r="K79" s="2218">
        <v>0</v>
      </c>
      <c r="L79" s="2218">
        <v>760.08236921000002</v>
      </c>
      <c r="M79" s="2276">
        <v>6.5072043900008794</v>
      </c>
      <c r="N79" s="2082"/>
      <c r="O79" s="2078"/>
    </row>
    <row r="80" spans="1:15" ht="16.5" hidden="1" customHeight="1">
      <c r="A80" s="2005"/>
      <c r="B80" s="2080" t="s">
        <v>164</v>
      </c>
      <c r="C80" s="2394">
        <v>6745.8639148500015</v>
      </c>
      <c r="D80" s="2218">
        <v>1441.77919621</v>
      </c>
      <c r="E80" s="2218">
        <v>4294.9636600099993</v>
      </c>
      <c r="F80" s="2218">
        <v>115.51046291</v>
      </c>
      <c r="G80" s="2218">
        <v>0</v>
      </c>
      <c r="H80" s="2218">
        <v>0</v>
      </c>
      <c r="I80" s="2218">
        <v>0</v>
      </c>
      <c r="J80" s="2218">
        <v>0</v>
      </c>
      <c r="K80" s="2218">
        <v>0</v>
      </c>
      <c r="L80" s="2218">
        <v>762.15301094999995</v>
      </c>
      <c r="M80" s="2276">
        <v>131.45758477000254</v>
      </c>
      <c r="N80" s="2082"/>
      <c r="O80" s="2078"/>
    </row>
    <row r="81" spans="1:18" ht="16.5" hidden="1" customHeight="1">
      <c r="A81" s="2005"/>
      <c r="B81" s="2080" t="s">
        <v>165</v>
      </c>
      <c r="C81" s="2394">
        <v>6934.39380342</v>
      </c>
      <c r="D81" s="2218">
        <v>1418.7541652600003</v>
      </c>
      <c r="E81" s="2218">
        <v>4447.53729621</v>
      </c>
      <c r="F81" s="2218">
        <v>123.92562195000001</v>
      </c>
      <c r="G81" s="2218">
        <v>0</v>
      </c>
      <c r="H81" s="2218">
        <v>0</v>
      </c>
      <c r="I81" s="2218">
        <v>0</v>
      </c>
      <c r="J81" s="2218">
        <v>0</v>
      </c>
      <c r="K81" s="2218">
        <v>0</v>
      </c>
      <c r="L81" s="2218">
        <v>768.01220745000001</v>
      </c>
      <c r="M81" s="2276">
        <v>176.16451254999993</v>
      </c>
      <c r="N81" s="2082"/>
      <c r="O81" s="2078"/>
    </row>
    <row r="82" spans="1:18" ht="16.5" hidden="1" customHeight="1">
      <c r="A82" s="2005"/>
      <c r="B82" s="2080" t="s">
        <v>166</v>
      </c>
      <c r="C82" s="2394">
        <v>6836.8190812500006</v>
      </c>
      <c r="D82" s="2218">
        <v>1460.4700647599998</v>
      </c>
      <c r="E82" s="2218">
        <v>3791.30755021</v>
      </c>
      <c r="F82" s="2218">
        <v>148.60274271</v>
      </c>
      <c r="G82" s="2218">
        <v>0</v>
      </c>
      <c r="H82" s="2218">
        <v>0</v>
      </c>
      <c r="I82" s="2218">
        <v>0</v>
      </c>
      <c r="J82" s="2218">
        <v>0</v>
      </c>
      <c r="K82" s="2218">
        <v>0</v>
      </c>
      <c r="L82" s="2218">
        <v>791.65357068999992</v>
      </c>
      <c r="M82" s="2276">
        <v>644.78515288000108</v>
      </c>
      <c r="N82" s="2082"/>
      <c r="O82" s="2078"/>
    </row>
    <row r="83" spans="1:18" ht="18" hidden="1" customHeight="1">
      <c r="A83" s="2005"/>
      <c r="B83" s="2080" t="s">
        <v>167</v>
      </c>
      <c r="C83" s="2394">
        <v>6567.6268882699987</v>
      </c>
      <c r="D83" s="2218">
        <v>1289.3634118699999</v>
      </c>
      <c r="E83" s="2218">
        <v>3968.5772060300001</v>
      </c>
      <c r="F83" s="2218">
        <v>168.06587522999999</v>
      </c>
      <c r="G83" s="2218">
        <v>0</v>
      </c>
      <c r="H83" s="2218">
        <v>0</v>
      </c>
      <c r="I83" s="2218">
        <v>0</v>
      </c>
      <c r="J83" s="2218">
        <v>0</v>
      </c>
      <c r="K83" s="2218">
        <v>0</v>
      </c>
      <c r="L83" s="2218">
        <v>793.81041357999993</v>
      </c>
      <c r="M83" s="2276">
        <v>347.80998155999987</v>
      </c>
      <c r="N83" s="2082"/>
      <c r="O83" s="2078"/>
    </row>
    <row r="84" spans="1:18" ht="16.5" hidden="1" customHeight="1">
      <c r="A84" s="2005"/>
      <c r="B84" s="2080" t="s">
        <v>168</v>
      </c>
      <c r="C84" s="2394">
        <v>6664.0965471300005</v>
      </c>
      <c r="D84" s="2218">
        <v>1348.3681015000002</v>
      </c>
      <c r="E84" s="2218">
        <v>4064.7995658999998</v>
      </c>
      <c r="F84" s="2218">
        <v>145.11987250999999</v>
      </c>
      <c r="G84" s="2218">
        <v>0</v>
      </c>
      <c r="H84" s="2218">
        <v>0</v>
      </c>
      <c r="I84" s="2218">
        <v>0</v>
      </c>
      <c r="J84" s="2218">
        <v>0</v>
      </c>
      <c r="K84" s="2218">
        <v>0</v>
      </c>
      <c r="L84" s="2218">
        <v>806.80693998000015</v>
      </c>
      <c r="M84" s="2276">
        <v>299.00206724000054</v>
      </c>
      <c r="N84" s="2082"/>
      <c r="O84" s="2078"/>
    </row>
    <row r="85" spans="1:18" ht="18" hidden="1" customHeight="1">
      <c r="A85" s="2005"/>
      <c r="B85" s="2080" t="s">
        <v>169</v>
      </c>
      <c r="C85" s="2394">
        <v>6878.53341602</v>
      </c>
      <c r="D85" s="2218">
        <v>1441.9710323699999</v>
      </c>
      <c r="E85" s="2218">
        <v>4268.2174909000005</v>
      </c>
      <c r="F85" s="2218">
        <v>168.04300062000002</v>
      </c>
      <c r="G85" s="2218">
        <v>0</v>
      </c>
      <c r="H85" s="2218">
        <v>0</v>
      </c>
      <c r="I85" s="2218">
        <v>0</v>
      </c>
      <c r="J85" s="2218">
        <v>0</v>
      </c>
      <c r="K85" s="2218">
        <v>0</v>
      </c>
      <c r="L85" s="2218">
        <v>815.63021641</v>
      </c>
      <c r="M85" s="2276">
        <v>184.67167571999926</v>
      </c>
      <c r="N85" s="2082"/>
    </row>
    <row r="86" spans="1:18" ht="16.5" hidden="1" customHeight="1">
      <c r="A86" s="2005"/>
      <c r="B86" s="2080" t="s">
        <v>170</v>
      </c>
      <c r="C86" s="2394">
        <v>7301.4586543699997</v>
      </c>
      <c r="D86" s="2218">
        <v>1481.1377404799998</v>
      </c>
      <c r="E86" s="2218">
        <v>4383.4443848899991</v>
      </c>
      <c r="F86" s="2218">
        <v>177.44318566999999</v>
      </c>
      <c r="G86" s="2218">
        <v>0</v>
      </c>
      <c r="H86" s="2218">
        <v>0</v>
      </c>
      <c r="I86" s="2218">
        <v>0</v>
      </c>
      <c r="J86" s="2218">
        <v>0</v>
      </c>
      <c r="K86" s="2218">
        <v>0</v>
      </c>
      <c r="L86" s="2218">
        <v>845.89789140999994</v>
      </c>
      <c r="M86" s="2276">
        <v>413.53545192000092</v>
      </c>
      <c r="N86" s="2082"/>
    </row>
    <row r="87" spans="1:18" ht="16.5" hidden="1" customHeight="1">
      <c r="A87" s="2005"/>
      <c r="B87" s="2080" t="s">
        <v>171</v>
      </c>
      <c r="C87" s="2394">
        <v>7664.9320276999988</v>
      </c>
      <c r="D87" s="2218">
        <v>1589.40690726</v>
      </c>
      <c r="E87" s="2218">
        <v>4469.2006920399999</v>
      </c>
      <c r="F87" s="2218">
        <v>186.85717872999999</v>
      </c>
      <c r="G87" s="2218">
        <v>0</v>
      </c>
      <c r="H87" s="2218">
        <v>0</v>
      </c>
      <c r="I87" s="2218">
        <v>0</v>
      </c>
      <c r="J87" s="2218">
        <v>0</v>
      </c>
      <c r="K87" s="2218">
        <v>0</v>
      </c>
      <c r="L87" s="2218">
        <v>857.47213003000002</v>
      </c>
      <c r="M87" s="2276">
        <v>561.99511963999976</v>
      </c>
      <c r="N87" s="2082"/>
    </row>
    <row r="88" spans="1:18" ht="16.5" customHeight="1">
      <c r="A88" s="2005"/>
      <c r="B88" s="2079">
        <v>2005</v>
      </c>
      <c r="C88" s="2394">
        <v>7474.6551349199999</v>
      </c>
      <c r="D88" s="2218">
        <v>1456.7274346200002</v>
      </c>
      <c r="E88" s="2218">
        <v>4716.7076165300005</v>
      </c>
      <c r="F88" s="2218">
        <v>154.20373133000001</v>
      </c>
      <c r="G88" s="2218">
        <v>0</v>
      </c>
      <c r="H88" s="2218">
        <v>0</v>
      </c>
      <c r="I88" s="2218">
        <v>0</v>
      </c>
      <c r="J88" s="2218">
        <v>0</v>
      </c>
      <c r="K88" s="2218">
        <v>0</v>
      </c>
      <c r="L88" s="2218">
        <v>836.90420744000005</v>
      </c>
      <c r="M88" s="2276">
        <v>310.11214499999915</v>
      </c>
      <c r="N88" s="2082"/>
      <c r="R88" s="2078"/>
    </row>
    <row r="89" spans="1:18" ht="16.5" hidden="1" customHeight="1">
      <c r="A89" s="2005"/>
      <c r="B89" s="2081">
        <v>2006</v>
      </c>
      <c r="C89" s="2394"/>
      <c r="D89" s="2218"/>
      <c r="E89" s="2218"/>
      <c r="F89" s="2218"/>
      <c r="G89" s="2218"/>
      <c r="H89" s="2218"/>
      <c r="I89" s="2218"/>
      <c r="J89" s="2218"/>
      <c r="K89" s="2218"/>
      <c r="L89" s="2218"/>
      <c r="M89" s="2276"/>
      <c r="N89" s="2082"/>
      <c r="R89" s="2078"/>
    </row>
    <row r="90" spans="1:18" ht="16.5" hidden="1" customHeight="1">
      <c r="A90" s="2005"/>
      <c r="B90" s="2080" t="s">
        <v>161</v>
      </c>
      <c r="C90" s="2394">
        <v>7487.693796980001</v>
      </c>
      <c r="D90" s="2218">
        <v>1453.76669068</v>
      </c>
      <c r="E90" s="2218">
        <v>4789.5066119900002</v>
      </c>
      <c r="F90" s="2218">
        <v>143.56467891</v>
      </c>
      <c r="G90" s="2218">
        <v>0</v>
      </c>
      <c r="H90" s="2218">
        <v>0</v>
      </c>
      <c r="I90" s="2218">
        <v>0</v>
      </c>
      <c r="J90" s="2218">
        <v>0</v>
      </c>
      <c r="K90" s="2218">
        <v>0</v>
      </c>
      <c r="L90" s="2218">
        <v>837.07542425000008</v>
      </c>
      <c r="M90" s="2276">
        <v>263.78039115000047</v>
      </c>
      <c r="N90" s="2082"/>
      <c r="R90" s="2078"/>
    </row>
    <row r="91" spans="1:18" ht="16.5" hidden="1" customHeight="1">
      <c r="A91" s="2005"/>
      <c r="B91" s="2080" t="s">
        <v>162</v>
      </c>
      <c r="C91" s="2394">
        <v>7566.5627691400005</v>
      </c>
      <c r="D91" s="2218">
        <v>1445.3775704700001</v>
      </c>
      <c r="E91" s="2218">
        <v>4877.6127041600002</v>
      </c>
      <c r="F91" s="2218">
        <v>155.60407044999999</v>
      </c>
      <c r="G91" s="2218">
        <v>0</v>
      </c>
      <c r="H91" s="2218">
        <v>0</v>
      </c>
      <c r="I91" s="2218">
        <v>0</v>
      </c>
      <c r="J91" s="2218">
        <v>0</v>
      </c>
      <c r="K91" s="2218">
        <v>0</v>
      </c>
      <c r="L91" s="2218">
        <v>853.63839418000009</v>
      </c>
      <c r="M91" s="2276">
        <v>234.33002987999953</v>
      </c>
      <c r="N91" s="2082"/>
      <c r="R91" s="2078"/>
    </row>
    <row r="92" spans="1:18" ht="16.5" hidden="1" customHeight="1">
      <c r="A92" s="2005"/>
      <c r="B92" s="2080" t="s">
        <v>163</v>
      </c>
      <c r="C92" s="2394">
        <v>7739.8896578900003</v>
      </c>
      <c r="D92" s="2218">
        <v>1698.75442772</v>
      </c>
      <c r="E92" s="2218">
        <v>4923.0691375300003</v>
      </c>
      <c r="F92" s="2218">
        <v>197.08052555</v>
      </c>
      <c r="G92" s="2218">
        <v>0</v>
      </c>
      <c r="H92" s="2218">
        <v>0</v>
      </c>
      <c r="I92" s="2218">
        <v>0</v>
      </c>
      <c r="J92" s="2218">
        <v>0</v>
      </c>
      <c r="K92" s="2218">
        <v>0</v>
      </c>
      <c r="L92" s="2218">
        <v>820.22846068000001</v>
      </c>
      <c r="M92" s="2276">
        <v>100.75710640999932</v>
      </c>
      <c r="N92" s="2082"/>
      <c r="R92" s="2078"/>
    </row>
    <row r="93" spans="1:18" ht="16.5" hidden="1" customHeight="1">
      <c r="A93" s="2005"/>
      <c r="B93" s="2080" t="s">
        <v>164</v>
      </c>
      <c r="C93" s="2394">
        <v>7917.5815546899994</v>
      </c>
      <c r="D93" s="2218">
        <v>1767.5394932499999</v>
      </c>
      <c r="E93" s="2218">
        <v>5068.8554281900006</v>
      </c>
      <c r="F93" s="2218">
        <v>204.82677299000002</v>
      </c>
      <c r="G93" s="2218">
        <v>0</v>
      </c>
      <c r="H93" s="2218">
        <v>0</v>
      </c>
      <c r="I93" s="2218">
        <v>0</v>
      </c>
      <c r="J93" s="2218">
        <v>0</v>
      </c>
      <c r="K93" s="2218">
        <v>0</v>
      </c>
      <c r="L93" s="2218">
        <v>876.55561243000011</v>
      </c>
      <c r="M93" s="2276">
        <v>-0.19575217000056</v>
      </c>
      <c r="N93" s="2082"/>
      <c r="R93" s="2078"/>
    </row>
    <row r="94" spans="1:18" ht="16.5" hidden="1" customHeight="1">
      <c r="A94" s="2005"/>
      <c r="B94" s="2080" t="s">
        <v>165</v>
      </c>
      <c r="C94" s="2394">
        <v>7986.5304224599995</v>
      </c>
      <c r="D94" s="2218">
        <v>1754.2727356299999</v>
      </c>
      <c r="E94" s="2218">
        <v>5143.5040280800004</v>
      </c>
      <c r="F94" s="2218">
        <v>202.85344769999998</v>
      </c>
      <c r="G94" s="2218">
        <v>0</v>
      </c>
      <c r="H94" s="2218">
        <v>0</v>
      </c>
      <c r="I94" s="2218">
        <v>0</v>
      </c>
      <c r="J94" s="2218">
        <v>0</v>
      </c>
      <c r="K94" s="2218">
        <v>0</v>
      </c>
      <c r="L94" s="2218">
        <v>902.62010341000007</v>
      </c>
      <c r="M94" s="2276">
        <v>-16.719892360001722</v>
      </c>
      <c r="N94" s="2082"/>
      <c r="R94" s="2078"/>
    </row>
    <row r="95" spans="1:18" ht="16.5" hidden="1" customHeight="1">
      <c r="A95" s="2005"/>
      <c r="B95" s="2080" t="s">
        <v>147</v>
      </c>
      <c r="C95" s="2394">
        <v>8221.8315516500024</v>
      </c>
      <c r="D95" s="2218">
        <v>1639.45256432</v>
      </c>
      <c r="E95" s="2218">
        <v>5259.9064137899995</v>
      </c>
      <c r="F95" s="2218">
        <v>219.32400478</v>
      </c>
      <c r="G95" s="2218">
        <v>0</v>
      </c>
      <c r="H95" s="2218">
        <v>0</v>
      </c>
      <c r="I95" s="2218">
        <v>0</v>
      </c>
      <c r="J95" s="2218">
        <v>0</v>
      </c>
      <c r="K95" s="2218">
        <v>0</v>
      </c>
      <c r="L95" s="2218">
        <v>924.44237947000011</v>
      </c>
      <c r="M95" s="2276">
        <v>178.70618929000193</v>
      </c>
      <c r="N95" s="2082"/>
      <c r="R95" s="2078"/>
    </row>
    <row r="96" spans="1:18" ht="18" hidden="1" customHeight="1">
      <c r="A96" s="2005"/>
      <c r="B96" s="2080" t="s">
        <v>184</v>
      </c>
      <c r="C96" s="2394">
        <v>8235.4091949000012</v>
      </c>
      <c r="D96" s="2218">
        <v>1649.5872965600001</v>
      </c>
      <c r="E96" s="2218">
        <v>5602.1177948999994</v>
      </c>
      <c r="F96" s="2218">
        <v>220.54496189</v>
      </c>
      <c r="G96" s="2218">
        <v>0</v>
      </c>
      <c r="H96" s="2218">
        <v>0</v>
      </c>
      <c r="I96" s="2218">
        <v>0</v>
      </c>
      <c r="J96" s="2218">
        <v>0</v>
      </c>
      <c r="K96" s="2218">
        <v>0</v>
      </c>
      <c r="L96" s="2218">
        <v>930.80051952000008</v>
      </c>
      <c r="M96" s="2276">
        <v>-167.64137796999785</v>
      </c>
      <c r="N96" s="2082"/>
      <c r="R96" s="2078"/>
    </row>
    <row r="97" spans="1:19" ht="16.5" hidden="1" customHeight="1">
      <c r="A97" s="2005"/>
      <c r="B97" s="2080" t="s">
        <v>168</v>
      </c>
      <c r="C97" s="2394">
        <v>8450.2936541500003</v>
      </c>
      <c r="D97" s="2218">
        <v>1736.61348335</v>
      </c>
      <c r="E97" s="2218">
        <v>6091.8781181300001</v>
      </c>
      <c r="F97" s="2218">
        <v>300.46969508000001</v>
      </c>
      <c r="G97" s="2218">
        <v>0</v>
      </c>
      <c r="H97" s="2218">
        <v>0</v>
      </c>
      <c r="I97" s="2218">
        <v>0</v>
      </c>
      <c r="J97" s="2218">
        <v>0</v>
      </c>
      <c r="K97" s="2218">
        <v>0</v>
      </c>
      <c r="L97" s="2218">
        <v>944.84670929000015</v>
      </c>
      <c r="M97" s="2276">
        <v>-623.51435169999968</v>
      </c>
      <c r="N97" s="2082"/>
      <c r="R97" s="2078"/>
    </row>
    <row r="98" spans="1:19" ht="18" hidden="1" customHeight="1">
      <c r="A98" s="2005"/>
      <c r="B98" s="2080" t="s">
        <v>183</v>
      </c>
      <c r="C98" s="2394">
        <v>8556.2085846699993</v>
      </c>
      <c r="D98" s="2218">
        <v>1878.8304787100001</v>
      </c>
      <c r="E98" s="2218">
        <v>6492.5362695099993</v>
      </c>
      <c r="F98" s="2218">
        <v>282.57751336000001</v>
      </c>
      <c r="G98" s="2218">
        <v>0</v>
      </c>
      <c r="H98" s="2218">
        <v>0</v>
      </c>
      <c r="I98" s="2218">
        <v>0</v>
      </c>
      <c r="J98" s="2218">
        <v>0</v>
      </c>
      <c r="K98" s="2218">
        <v>0</v>
      </c>
      <c r="L98" s="2218">
        <v>939.67564326000002</v>
      </c>
      <c r="M98" s="2276">
        <v>-1037.4113201700002</v>
      </c>
      <c r="N98" s="2082"/>
      <c r="R98" s="2078"/>
    </row>
    <row r="99" spans="1:19" ht="16.5" hidden="1" customHeight="1">
      <c r="A99" s="2005"/>
      <c r="B99" s="2080" t="s">
        <v>170</v>
      </c>
      <c r="C99" s="2394">
        <v>9444.7739895699997</v>
      </c>
      <c r="D99" s="2218">
        <v>1925.1384059499999</v>
      </c>
      <c r="E99" s="2218">
        <v>6315.1915359699997</v>
      </c>
      <c r="F99" s="2218">
        <v>304.13293095999995</v>
      </c>
      <c r="G99" s="2218">
        <v>0</v>
      </c>
      <c r="H99" s="2218">
        <v>0</v>
      </c>
      <c r="I99" s="2218">
        <v>0</v>
      </c>
      <c r="J99" s="2218">
        <v>0</v>
      </c>
      <c r="K99" s="2218">
        <v>0</v>
      </c>
      <c r="L99" s="2218">
        <v>924.73441531000003</v>
      </c>
      <c r="M99" s="2276">
        <v>-24.423298620000423</v>
      </c>
      <c r="N99" s="2082"/>
      <c r="R99" s="2078"/>
    </row>
    <row r="100" spans="1:19" ht="16.5" hidden="1" customHeight="1">
      <c r="A100" s="2005"/>
      <c r="B100" s="2080" t="s">
        <v>171</v>
      </c>
      <c r="C100" s="2394">
        <v>9521.8293384999997</v>
      </c>
      <c r="D100" s="2218">
        <v>1994.9651148000003</v>
      </c>
      <c r="E100" s="2218">
        <v>6346.8370631200005</v>
      </c>
      <c r="F100" s="2218">
        <v>291.64346031999997</v>
      </c>
      <c r="G100" s="2218">
        <v>0</v>
      </c>
      <c r="H100" s="2218">
        <v>0</v>
      </c>
      <c r="I100" s="2218">
        <v>0</v>
      </c>
      <c r="J100" s="2218">
        <v>0</v>
      </c>
      <c r="K100" s="2218">
        <v>0</v>
      </c>
      <c r="L100" s="2218">
        <v>917.21169255000029</v>
      </c>
      <c r="M100" s="2276">
        <v>-28.827992290000111</v>
      </c>
      <c r="N100" s="2082"/>
      <c r="R100" s="2078"/>
    </row>
    <row r="101" spans="1:19" ht="18" customHeight="1">
      <c r="A101" s="2005"/>
      <c r="B101" s="2081">
        <v>2006</v>
      </c>
      <c r="C101" s="2394">
        <v>9553.086024870001</v>
      </c>
      <c r="D101" s="2218">
        <v>2119.6146559199997</v>
      </c>
      <c r="E101" s="2218">
        <v>6020.2173509099994</v>
      </c>
      <c r="F101" s="2218">
        <v>320.47593875999996</v>
      </c>
      <c r="G101" s="2218">
        <v>0</v>
      </c>
      <c r="H101" s="2218">
        <v>0</v>
      </c>
      <c r="I101" s="2218">
        <v>0</v>
      </c>
      <c r="J101" s="2218">
        <v>0</v>
      </c>
      <c r="K101" s="2218">
        <v>0</v>
      </c>
      <c r="L101" s="2218">
        <v>919.06672130999993</v>
      </c>
      <c r="M101" s="2276">
        <v>173.7113579700017</v>
      </c>
      <c r="N101" s="2082"/>
      <c r="R101" s="2078"/>
      <c r="S101" s="2078"/>
    </row>
    <row r="102" spans="1:19" ht="16.5" hidden="1" customHeight="1">
      <c r="A102" s="2005"/>
      <c r="B102" s="2081">
        <v>2007</v>
      </c>
      <c r="C102" s="2394"/>
      <c r="D102" s="2218"/>
      <c r="E102" s="2218"/>
      <c r="F102" s="2218"/>
      <c r="G102" s="2218"/>
      <c r="H102" s="2218"/>
      <c r="I102" s="2218"/>
      <c r="J102" s="2218"/>
      <c r="K102" s="2218"/>
      <c r="L102" s="2218"/>
      <c r="M102" s="2276"/>
      <c r="N102" s="2082"/>
      <c r="R102" s="2078"/>
    </row>
    <row r="103" spans="1:19" ht="16.5" hidden="1" customHeight="1">
      <c r="A103" s="2005"/>
      <c r="B103" s="2080" t="s">
        <v>161</v>
      </c>
      <c r="C103" s="2394">
        <v>9599.6243208300002</v>
      </c>
      <c r="D103" s="2218">
        <v>1944.4645833700001</v>
      </c>
      <c r="E103" s="2218">
        <v>6314.0333675700012</v>
      </c>
      <c r="F103" s="2218">
        <v>343.15833506000001</v>
      </c>
      <c r="G103" s="2218">
        <v>0</v>
      </c>
      <c r="H103" s="2218">
        <v>0</v>
      </c>
      <c r="I103" s="2218">
        <v>0</v>
      </c>
      <c r="J103" s="2218">
        <v>0</v>
      </c>
      <c r="K103" s="2218">
        <v>0</v>
      </c>
      <c r="L103" s="2218">
        <v>927.4545664100001</v>
      </c>
      <c r="M103" s="2276">
        <v>70.513468419998389</v>
      </c>
      <c r="N103" s="2082"/>
      <c r="R103" s="2078"/>
    </row>
    <row r="104" spans="1:19" ht="16.5" hidden="1" customHeight="1">
      <c r="A104" s="2005"/>
      <c r="B104" s="2080" t="s">
        <v>162</v>
      </c>
      <c r="C104" s="2394">
        <v>9832.5739740999998</v>
      </c>
      <c r="D104" s="2218">
        <v>2011.3030559599999</v>
      </c>
      <c r="E104" s="2218">
        <v>6444.7835714399998</v>
      </c>
      <c r="F104" s="2218">
        <v>358.76905305999998</v>
      </c>
      <c r="G104" s="2218">
        <v>0</v>
      </c>
      <c r="H104" s="2218">
        <v>0</v>
      </c>
      <c r="I104" s="2218">
        <v>0</v>
      </c>
      <c r="J104" s="2218">
        <v>0</v>
      </c>
      <c r="K104" s="2218">
        <v>0</v>
      </c>
      <c r="L104" s="2218">
        <v>926.85917402999996</v>
      </c>
      <c r="M104" s="2276">
        <v>90.859119610000562</v>
      </c>
      <c r="N104" s="2082"/>
      <c r="R104" s="2078"/>
    </row>
    <row r="105" spans="1:19" ht="16.5" hidden="1" customHeight="1">
      <c r="A105" s="2005"/>
      <c r="B105" s="2080" t="s">
        <v>163</v>
      </c>
      <c r="C105" s="2394">
        <v>10035.291810940002</v>
      </c>
      <c r="D105" s="2218">
        <v>2241.4280298799999</v>
      </c>
      <c r="E105" s="2218">
        <v>6369.4291909099993</v>
      </c>
      <c r="F105" s="2218">
        <v>382.48197070999998</v>
      </c>
      <c r="G105" s="2218">
        <v>0</v>
      </c>
      <c r="H105" s="2218">
        <v>0</v>
      </c>
      <c r="I105" s="2218">
        <v>0</v>
      </c>
      <c r="J105" s="2218">
        <v>0</v>
      </c>
      <c r="K105" s="2218">
        <v>0</v>
      </c>
      <c r="L105" s="2218">
        <v>901.10492943999998</v>
      </c>
      <c r="M105" s="2276">
        <v>140.84769000000233</v>
      </c>
      <c r="N105" s="2082"/>
      <c r="R105" s="2078"/>
    </row>
    <row r="106" spans="1:19" ht="16.5" hidden="1" customHeight="1">
      <c r="A106" s="2005"/>
      <c r="B106" s="2080" t="s">
        <v>164</v>
      </c>
      <c r="C106" s="2394">
        <v>9833.810376999998</v>
      </c>
      <c r="D106" s="2218">
        <v>2260.7236193099998</v>
      </c>
      <c r="E106" s="2218">
        <v>6305.1578845500007</v>
      </c>
      <c r="F106" s="2218">
        <v>391.5461057</v>
      </c>
      <c r="G106" s="2218">
        <v>0</v>
      </c>
      <c r="H106" s="2218">
        <v>0</v>
      </c>
      <c r="I106" s="2218">
        <v>0</v>
      </c>
      <c r="J106" s="2218">
        <v>0</v>
      </c>
      <c r="K106" s="2218">
        <v>0</v>
      </c>
      <c r="L106" s="2218">
        <v>901.77411362000009</v>
      </c>
      <c r="M106" s="2276">
        <v>-25.391346180002074</v>
      </c>
      <c r="N106" s="2082"/>
      <c r="R106" s="2078"/>
    </row>
    <row r="107" spans="1:19" ht="16.5" hidden="1" customHeight="1">
      <c r="A107" s="2005"/>
      <c r="B107" s="2080" t="s">
        <v>165</v>
      </c>
      <c r="C107" s="2394">
        <v>9806.3368339699991</v>
      </c>
      <c r="D107" s="2218">
        <v>2354.9518314899997</v>
      </c>
      <c r="E107" s="2218">
        <v>6032.2269500399998</v>
      </c>
      <c r="F107" s="2218">
        <v>404.37860626999998</v>
      </c>
      <c r="G107" s="2218">
        <v>0</v>
      </c>
      <c r="H107" s="2218">
        <v>0</v>
      </c>
      <c r="I107" s="2218">
        <v>0</v>
      </c>
      <c r="J107" s="2218">
        <v>0</v>
      </c>
      <c r="K107" s="2218">
        <v>0</v>
      </c>
      <c r="L107" s="2218">
        <v>906.76366102999998</v>
      </c>
      <c r="M107" s="2276">
        <v>108.01578513999993</v>
      </c>
      <c r="N107" s="2082"/>
      <c r="R107" s="2078"/>
    </row>
    <row r="108" spans="1:19" ht="16.5" hidden="1" customHeight="1">
      <c r="A108" s="2005"/>
      <c r="B108" s="2080" t="s">
        <v>166</v>
      </c>
      <c r="C108" s="2394">
        <v>9637.0878815799988</v>
      </c>
      <c r="D108" s="2218">
        <v>1925.1599970399998</v>
      </c>
      <c r="E108" s="2218">
        <v>6014.5461275400003</v>
      </c>
      <c r="F108" s="2218">
        <v>463.53905316999999</v>
      </c>
      <c r="G108" s="2218">
        <v>0</v>
      </c>
      <c r="H108" s="2218">
        <v>0</v>
      </c>
      <c r="I108" s="2218">
        <v>0</v>
      </c>
      <c r="J108" s="2218">
        <v>0</v>
      </c>
      <c r="K108" s="2218">
        <v>0</v>
      </c>
      <c r="L108" s="2218">
        <v>937.62532765999993</v>
      </c>
      <c r="M108" s="2276">
        <v>296.21737616999962</v>
      </c>
      <c r="N108" s="2082"/>
      <c r="R108" s="2078"/>
    </row>
    <row r="109" spans="1:19" ht="16.5" hidden="1" customHeight="1">
      <c r="A109" s="2005"/>
      <c r="B109" s="2080" t="s">
        <v>184</v>
      </c>
      <c r="C109" s="2394">
        <v>9720.8013198299996</v>
      </c>
      <c r="D109" s="2218">
        <v>2045.9627969300002</v>
      </c>
      <c r="E109" s="2218">
        <v>6183.06093788</v>
      </c>
      <c r="F109" s="2218">
        <v>480.63825631999998</v>
      </c>
      <c r="G109" s="2218">
        <v>0</v>
      </c>
      <c r="H109" s="2218">
        <v>0</v>
      </c>
      <c r="I109" s="2218">
        <v>0</v>
      </c>
      <c r="J109" s="2218">
        <v>0</v>
      </c>
      <c r="K109" s="2218">
        <v>0</v>
      </c>
      <c r="L109" s="2218">
        <v>959.68506904000003</v>
      </c>
      <c r="M109" s="2276">
        <v>51.45425965999857</v>
      </c>
      <c r="N109" s="2082"/>
      <c r="R109" s="2078"/>
    </row>
    <row r="110" spans="1:19" ht="16.5" hidden="1" customHeight="1">
      <c r="A110" s="2005"/>
      <c r="B110" s="2080" t="s">
        <v>168</v>
      </c>
      <c r="C110" s="2394">
        <v>9914.6071823300008</v>
      </c>
      <c r="D110" s="2218">
        <v>2375.2748765100005</v>
      </c>
      <c r="E110" s="2218">
        <v>6116.7767893699993</v>
      </c>
      <c r="F110" s="2218">
        <v>263.35540323999999</v>
      </c>
      <c r="G110" s="2218">
        <v>0</v>
      </c>
      <c r="H110" s="2218">
        <v>0</v>
      </c>
      <c r="I110" s="2218">
        <v>0</v>
      </c>
      <c r="J110" s="2218">
        <v>0</v>
      </c>
      <c r="K110" s="2218">
        <v>0</v>
      </c>
      <c r="L110" s="2218">
        <v>978.57965410999998</v>
      </c>
      <c r="M110" s="2276">
        <v>180.6204590999987</v>
      </c>
      <c r="N110" s="2082"/>
      <c r="R110" s="2078"/>
    </row>
    <row r="111" spans="1:19" ht="16.5" hidden="1" customHeight="1">
      <c r="A111" s="2005"/>
      <c r="B111" s="2080" t="s">
        <v>169</v>
      </c>
      <c r="C111" s="2394">
        <v>9795.279855230001</v>
      </c>
      <c r="D111" s="2218">
        <v>2163.8230293400002</v>
      </c>
      <c r="E111" s="2218">
        <v>5636.8768459899993</v>
      </c>
      <c r="F111" s="2218">
        <v>282.96622413</v>
      </c>
      <c r="G111" s="2218">
        <v>0</v>
      </c>
      <c r="H111" s="2218">
        <v>0</v>
      </c>
      <c r="I111" s="2218">
        <v>0</v>
      </c>
      <c r="J111" s="2218">
        <v>0</v>
      </c>
      <c r="K111" s="2218">
        <v>0</v>
      </c>
      <c r="L111" s="2218">
        <v>990.93989682000006</v>
      </c>
      <c r="M111" s="2276">
        <v>720.67385895000189</v>
      </c>
      <c r="N111" s="2082"/>
      <c r="R111" s="2078"/>
    </row>
    <row r="112" spans="1:19" ht="16.5" hidden="1" customHeight="1">
      <c r="A112" s="2005"/>
      <c r="B112" s="2080" t="s">
        <v>170</v>
      </c>
      <c r="C112" s="2394">
        <v>10101.10902</v>
      </c>
      <c r="D112" s="2218">
        <v>2196.3360166100001</v>
      </c>
      <c r="E112" s="2218">
        <v>5632.8830872600001</v>
      </c>
      <c r="F112" s="2218">
        <v>345.12534326999997</v>
      </c>
      <c r="G112" s="2218">
        <v>0</v>
      </c>
      <c r="H112" s="2218">
        <v>0</v>
      </c>
      <c r="I112" s="2218">
        <v>0</v>
      </c>
      <c r="J112" s="2218">
        <v>0</v>
      </c>
      <c r="K112" s="2218">
        <v>0</v>
      </c>
      <c r="L112" s="2218">
        <v>931.76692704999994</v>
      </c>
      <c r="M112" s="2276">
        <v>994.9976458100009</v>
      </c>
      <c r="N112" s="2082"/>
      <c r="R112" s="2078"/>
    </row>
    <row r="113" spans="1:27" ht="16.5" hidden="1" customHeight="1">
      <c r="A113" s="2005"/>
      <c r="B113" s="2080" t="s">
        <v>171</v>
      </c>
      <c r="C113" s="2394">
        <v>10233.965353979998</v>
      </c>
      <c r="D113" s="2218">
        <v>2424.1198944600001</v>
      </c>
      <c r="E113" s="2218">
        <v>5547.6359283000002</v>
      </c>
      <c r="F113" s="2218">
        <v>291.60409482</v>
      </c>
      <c r="G113" s="2218">
        <v>0</v>
      </c>
      <c r="H113" s="2218">
        <v>0</v>
      </c>
      <c r="I113" s="2218">
        <v>0</v>
      </c>
      <c r="J113" s="2218">
        <v>0</v>
      </c>
      <c r="K113" s="2218">
        <v>0</v>
      </c>
      <c r="L113" s="2218">
        <v>1010.6035973199999</v>
      </c>
      <c r="M113" s="2276">
        <v>960.00183907999781</v>
      </c>
      <c r="N113" s="2082"/>
      <c r="R113" s="2078"/>
    </row>
    <row r="114" spans="1:27" ht="18" customHeight="1">
      <c r="A114" s="2005"/>
      <c r="B114" s="2081">
        <v>2007</v>
      </c>
      <c r="C114" s="2394">
        <v>10189.773113500001</v>
      </c>
      <c r="D114" s="2218">
        <v>2528.0441275399999</v>
      </c>
      <c r="E114" s="2218">
        <v>4507.0708380099995</v>
      </c>
      <c r="F114" s="2218">
        <v>351.37300789999995</v>
      </c>
      <c r="G114" s="2218">
        <v>0</v>
      </c>
      <c r="H114" s="2218">
        <v>0</v>
      </c>
      <c r="I114" s="2218">
        <v>0</v>
      </c>
      <c r="J114" s="2218">
        <v>0</v>
      </c>
      <c r="K114" s="2218">
        <v>0</v>
      </c>
      <c r="L114" s="2218">
        <v>1125.0807726300002</v>
      </c>
      <c r="M114" s="2276">
        <v>1678.2043674200013</v>
      </c>
      <c r="N114" s="2082"/>
      <c r="R114" s="2078"/>
      <c r="S114" s="2078"/>
    </row>
    <row r="115" spans="1:27" ht="16.5" hidden="1" customHeight="1">
      <c r="A115" s="2005"/>
      <c r="B115" s="2081">
        <v>2008</v>
      </c>
      <c r="C115" s="2394"/>
      <c r="D115" s="2218"/>
      <c r="E115" s="2218"/>
      <c r="F115" s="2218"/>
      <c r="G115" s="2218"/>
      <c r="H115" s="2218"/>
      <c r="I115" s="2218"/>
      <c r="J115" s="2218"/>
      <c r="K115" s="2218"/>
      <c r="L115" s="2218"/>
      <c r="M115" s="2276"/>
      <c r="N115" s="2082"/>
      <c r="R115" s="2078"/>
      <c r="S115" s="2078"/>
    </row>
    <row r="116" spans="1:27" ht="16.5" hidden="1" customHeight="1">
      <c r="A116" s="2005"/>
      <c r="B116" s="3485" t="s">
        <v>161</v>
      </c>
      <c r="C116" s="2394">
        <v>10556.67671494</v>
      </c>
      <c r="D116" s="2218">
        <v>2277.5508988800002</v>
      </c>
      <c r="E116" s="2218">
        <v>4880.73212702</v>
      </c>
      <c r="F116" s="2218">
        <v>327.41293381999998</v>
      </c>
      <c r="G116" s="2218">
        <v>0</v>
      </c>
      <c r="H116" s="2218">
        <v>0</v>
      </c>
      <c r="I116" s="2218">
        <v>0</v>
      </c>
      <c r="J116" s="2218">
        <v>0</v>
      </c>
      <c r="K116" s="2218">
        <v>0</v>
      </c>
      <c r="L116" s="2218">
        <v>1125.94304627</v>
      </c>
      <c r="M116" s="2276">
        <v>1945.0377089499998</v>
      </c>
      <c r="N116" s="2082"/>
      <c r="R116" s="2078"/>
    </row>
    <row r="117" spans="1:27" ht="16.5" hidden="1" customHeight="1">
      <c r="A117" s="2005"/>
      <c r="B117" s="2080" t="s">
        <v>162</v>
      </c>
      <c r="C117" s="2394">
        <v>10700.10748024</v>
      </c>
      <c r="D117" s="2218">
        <v>2347.9757939900001</v>
      </c>
      <c r="E117" s="2218">
        <v>4998.7745250400003</v>
      </c>
      <c r="F117" s="2218">
        <v>393.35405497000005</v>
      </c>
      <c r="G117" s="2218">
        <v>0</v>
      </c>
      <c r="H117" s="2218">
        <v>0</v>
      </c>
      <c r="I117" s="2218">
        <v>0</v>
      </c>
      <c r="J117" s="2218">
        <v>0</v>
      </c>
      <c r="K117" s="2218">
        <v>0</v>
      </c>
      <c r="L117" s="2218">
        <v>1127.70632183</v>
      </c>
      <c r="M117" s="2276">
        <v>1832.2967844099985</v>
      </c>
      <c r="N117" s="2082"/>
      <c r="R117" s="2078"/>
    </row>
    <row r="118" spans="1:27" ht="16.5" hidden="1" customHeight="1">
      <c r="A118" s="2005"/>
      <c r="B118" s="2080" t="s">
        <v>163</v>
      </c>
      <c r="C118" s="2394">
        <v>10716.573968340001</v>
      </c>
      <c r="D118" s="2218">
        <v>2553.1075946399997</v>
      </c>
      <c r="E118" s="2218">
        <v>5150.6315380100004</v>
      </c>
      <c r="F118" s="2218">
        <v>445.53884674</v>
      </c>
      <c r="G118" s="2218">
        <v>0</v>
      </c>
      <c r="H118" s="2218">
        <v>0</v>
      </c>
      <c r="I118" s="2218">
        <v>0</v>
      </c>
      <c r="J118" s="2218">
        <v>0</v>
      </c>
      <c r="K118" s="2218">
        <v>0</v>
      </c>
      <c r="L118" s="2218">
        <v>1128.4276325600001</v>
      </c>
      <c r="M118" s="2276">
        <v>1438.8683563900013</v>
      </c>
      <c r="N118" s="2082"/>
      <c r="R118" s="2078"/>
    </row>
    <row r="119" spans="1:27" ht="16.5" hidden="1" customHeight="1">
      <c r="A119" s="2005"/>
      <c r="B119" s="2080" t="s">
        <v>164</v>
      </c>
      <c r="C119" s="2394">
        <v>11230.726223760001</v>
      </c>
      <c r="D119" s="2218">
        <v>2495.1269591999999</v>
      </c>
      <c r="E119" s="2218">
        <v>5674.0701463000014</v>
      </c>
      <c r="F119" s="2218">
        <v>454.14521120999996</v>
      </c>
      <c r="G119" s="2218">
        <v>0</v>
      </c>
      <c r="H119" s="2218">
        <v>0</v>
      </c>
      <c r="I119" s="2218">
        <v>0</v>
      </c>
      <c r="J119" s="2218">
        <v>0</v>
      </c>
      <c r="K119" s="2218">
        <v>0</v>
      </c>
      <c r="L119" s="2218">
        <v>1129.53662624</v>
      </c>
      <c r="M119" s="2276">
        <v>1477.8472808099996</v>
      </c>
      <c r="N119" s="2082"/>
      <c r="R119" s="2078"/>
      <c r="V119" s="2084"/>
      <c r="W119" s="2084"/>
      <c r="X119" s="2084"/>
      <c r="Y119" s="2084"/>
      <c r="Z119" s="2084"/>
      <c r="AA119" s="2084"/>
    </row>
    <row r="120" spans="1:27" ht="16.5" hidden="1" customHeight="1">
      <c r="A120" s="2005"/>
      <c r="B120" s="2080" t="s">
        <v>165</v>
      </c>
      <c r="C120" s="2394">
        <v>11163.841880209999</v>
      </c>
      <c r="D120" s="2218">
        <v>2478.0660367099999</v>
      </c>
      <c r="E120" s="2218">
        <v>5668.649770330001</v>
      </c>
      <c r="F120" s="2218">
        <v>461.59479352999995</v>
      </c>
      <c r="G120" s="2218">
        <v>0</v>
      </c>
      <c r="H120" s="2218">
        <v>0</v>
      </c>
      <c r="I120" s="2218">
        <v>0</v>
      </c>
      <c r="J120" s="2218">
        <v>0</v>
      </c>
      <c r="K120" s="2218">
        <v>0</v>
      </c>
      <c r="L120" s="2218">
        <v>1129.11249585</v>
      </c>
      <c r="M120" s="2276">
        <v>1426.4187837899972</v>
      </c>
      <c r="N120" s="2082"/>
      <c r="R120" s="2078"/>
      <c r="V120" s="2084"/>
      <c r="W120" s="2084"/>
      <c r="X120" s="2084"/>
      <c r="Y120" s="2084"/>
      <c r="Z120" s="2084"/>
      <c r="AA120" s="2084"/>
    </row>
    <row r="121" spans="1:27" ht="16.5" hidden="1" customHeight="1">
      <c r="A121" s="2005"/>
      <c r="B121" s="2080" t="s">
        <v>166</v>
      </c>
      <c r="C121" s="2394">
        <v>11942.40906738</v>
      </c>
      <c r="D121" s="2218">
        <v>2444.98326241</v>
      </c>
      <c r="E121" s="2218">
        <v>6341.0327789000003</v>
      </c>
      <c r="F121" s="2218">
        <v>498.84638760000001</v>
      </c>
      <c r="G121" s="2218">
        <v>0</v>
      </c>
      <c r="H121" s="2218">
        <v>0</v>
      </c>
      <c r="I121" s="2218">
        <v>0</v>
      </c>
      <c r="J121" s="2218">
        <v>0</v>
      </c>
      <c r="K121" s="2218">
        <v>0</v>
      </c>
      <c r="L121" s="2218">
        <v>1098.08112667</v>
      </c>
      <c r="M121" s="2276">
        <v>1559.4655117999991</v>
      </c>
      <c r="N121" s="2082"/>
      <c r="R121" s="2078"/>
      <c r="V121" s="2084"/>
      <c r="W121" s="2084"/>
      <c r="X121" s="2084"/>
      <c r="Y121" s="2084"/>
      <c r="Z121" s="2084"/>
      <c r="AA121" s="2084"/>
    </row>
    <row r="122" spans="1:27" ht="16.5" hidden="1" customHeight="1">
      <c r="A122" s="2005"/>
      <c r="B122" s="2080" t="s">
        <v>167</v>
      </c>
      <c r="C122" s="2394">
        <v>12434.99357273</v>
      </c>
      <c r="D122" s="2218">
        <v>2467.2230860299996</v>
      </c>
      <c r="E122" s="2218">
        <v>7457.7254655899997</v>
      </c>
      <c r="F122" s="2218">
        <v>525.62523182999996</v>
      </c>
      <c r="G122" s="2218">
        <v>0</v>
      </c>
      <c r="H122" s="2218">
        <v>0</v>
      </c>
      <c r="I122" s="2218">
        <v>0</v>
      </c>
      <c r="J122" s="2218">
        <v>0</v>
      </c>
      <c r="K122" s="2218">
        <v>0</v>
      </c>
      <c r="L122" s="2218">
        <v>1188.2828050300002</v>
      </c>
      <c r="M122" s="2276">
        <v>796.13698425000075</v>
      </c>
      <c r="N122" s="2082"/>
      <c r="R122" s="2078"/>
      <c r="V122" s="2084"/>
      <c r="W122" s="2084"/>
      <c r="X122" s="2084"/>
      <c r="Y122" s="2084"/>
      <c r="Z122" s="2084"/>
      <c r="AA122" s="2084"/>
    </row>
    <row r="123" spans="1:27" ht="16.5" hidden="1" customHeight="1">
      <c r="A123" s="2005"/>
      <c r="B123" s="2080" t="s">
        <v>168</v>
      </c>
      <c r="C123" s="2394">
        <v>13342.954415099997</v>
      </c>
      <c r="D123" s="2218">
        <v>2547.7423724300006</v>
      </c>
      <c r="E123" s="2218">
        <v>7528.8078904200001</v>
      </c>
      <c r="F123" s="2218">
        <v>594.11293938999995</v>
      </c>
      <c r="G123" s="2218">
        <v>0</v>
      </c>
      <c r="H123" s="2218">
        <v>0</v>
      </c>
      <c r="I123" s="2218">
        <v>0</v>
      </c>
      <c r="J123" s="2218">
        <v>0</v>
      </c>
      <c r="K123" s="2218">
        <v>0</v>
      </c>
      <c r="L123" s="2218">
        <v>1221.0782756400001</v>
      </c>
      <c r="M123" s="2276">
        <v>1451.2129372199979</v>
      </c>
      <c r="N123" s="2082"/>
      <c r="R123" s="2078"/>
      <c r="V123" s="2084"/>
      <c r="W123" s="2084"/>
      <c r="X123" s="2084"/>
      <c r="Y123" s="2084"/>
      <c r="Z123" s="2084"/>
      <c r="AA123" s="2084"/>
    </row>
    <row r="124" spans="1:27" ht="16.5" hidden="1" customHeight="1">
      <c r="A124" s="2005"/>
      <c r="B124" s="2080" t="s">
        <v>169</v>
      </c>
      <c r="C124" s="2394">
        <v>13782.589743229999</v>
      </c>
      <c r="D124" s="2218">
        <v>2941.74457588</v>
      </c>
      <c r="E124" s="2218">
        <v>8037.3885946700011</v>
      </c>
      <c r="F124" s="2218">
        <v>293.13215761000004</v>
      </c>
      <c r="G124" s="2218">
        <v>0</v>
      </c>
      <c r="H124" s="2218">
        <v>0</v>
      </c>
      <c r="I124" s="2218">
        <v>0</v>
      </c>
      <c r="J124" s="2218">
        <v>0</v>
      </c>
      <c r="K124" s="2218">
        <v>0</v>
      </c>
      <c r="L124" s="2218">
        <v>1350.1075555900002</v>
      </c>
      <c r="M124" s="2276">
        <v>1160.2168594799969</v>
      </c>
      <c r="N124" s="2082"/>
      <c r="R124" s="2078"/>
      <c r="V124" s="2084"/>
      <c r="W124" s="2084"/>
      <c r="X124" s="2084"/>
      <c r="Y124" s="2084"/>
      <c r="Z124" s="2084"/>
      <c r="AA124" s="2084"/>
    </row>
    <row r="125" spans="1:27" ht="16.5" hidden="1" customHeight="1">
      <c r="A125" s="2005"/>
      <c r="B125" s="2080" t="s">
        <v>170</v>
      </c>
      <c r="C125" s="2394">
        <v>13916.540366449999</v>
      </c>
      <c r="D125" s="2218">
        <v>2996.3872042300004</v>
      </c>
      <c r="E125" s="2218">
        <v>8410.3963686399984</v>
      </c>
      <c r="F125" s="2218">
        <v>276.43597976000001</v>
      </c>
      <c r="G125" s="2218">
        <v>0</v>
      </c>
      <c r="H125" s="2218">
        <v>0</v>
      </c>
      <c r="I125" s="2218">
        <v>0</v>
      </c>
      <c r="J125" s="2218">
        <v>0</v>
      </c>
      <c r="K125" s="2218">
        <v>0</v>
      </c>
      <c r="L125" s="2218">
        <v>1373.1509495600001</v>
      </c>
      <c r="M125" s="2276">
        <v>860.1698642600004</v>
      </c>
      <c r="N125" s="2082"/>
      <c r="R125" s="2078"/>
      <c r="V125" s="2084"/>
      <c r="W125" s="2084"/>
      <c r="X125" s="2084"/>
      <c r="Y125" s="2084"/>
      <c r="Z125" s="2084"/>
      <c r="AA125" s="2084"/>
    </row>
    <row r="126" spans="1:27" ht="16.5" hidden="1" customHeight="1">
      <c r="A126" s="2005"/>
      <c r="B126" s="2080" t="s">
        <v>171</v>
      </c>
      <c r="C126" s="2394">
        <v>13832.30179066</v>
      </c>
      <c r="D126" s="2218">
        <v>3200.6512508300002</v>
      </c>
      <c r="E126" s="2218">
        <v>8651.7189575200009</v>
      </c>
      <c r="F126" s="2218">
        <v>285.12556039999998</v>
      </c>
      <c r="G126" s="2218">
        <v>0</v>
      </c>
      <c r="H126" s="2218">
        <v>0</v>
      </c>
      <c r="I126" s="2218">
        <v>0</v>
      </c>
      <c r="J126" s="2218">
        <v>0</v>
      </c>
      <c r="K126" s="2218">
        <v>0</v>
      </c>
      <c r="L126" s="2218">
        <v>1308.0546889120001</v>
      </c>
      <c r="M126" s="2276">
        <v>386.75133299799927</v>
      </c>
      <c r="N126" s="2082"/>
      <c r="O126" s="2084"/>
      <c r="P126" s="2084"/>
      <c r="R126" s="3342"/>
      <c r="S126" s="2084"/>
      <c r="T126" s="2084"/>
      <c r="U126" s="2084"/>
      <c r="V126" s="2084"/>
      <c r="W126" s="2084"/>
      <c r="X126" s="2084"/>
      <c r="Y126" s="2084"/>
      <c r="Z126" s="2084"/>
      <c r="AA126" s="2084"/>
    </row>
    <row r="127" spans="1:27" ht="16.5" customHeight="1">
      <c r="A127" s="2005"/>
      <c r="B127" s="2081">
        <v>2008</v>
      </c>
      <c r="C127" s="2394">
        <v>15704.430101469999</v>
      </c>
      <c r="D127" s="2218">
        <v>3125.7599781399999</v>
      </c>
      <c r="E127" s="2218">
        <v>9862.8932490999996</v>
      </c>
      <c r="F127" s="2218">
        <v>259.44220244999997</v>
      </c>
      <c r="G127" s="2218">
        <v>0</v>
      </c>
      <c r="H127" s="2218">
        <v>0</v>
      </c>
      <c r="I127" s="2218">
        <v>0</v>
      </c>
      <c r="J127" s="2218">
        <v>0</v>
      </c>
      <c r="K127" s="2218">
        <v>0</v>
      </c>
      <c r="L127" s="2218">
        <v>1518.1271102915</v>
      </c>
      <c r="M127" s="2276">
        <v>938.20756148849978</v>
      </c>
      <c r="N127" s="2082"/>
      <c r="O127" s="2084"/>
      <c r="P127" s="2084"/>
      <c r="R127" s="3342"/>
      <c r="S127" s="2084"/>
      <c r="T127" s="2084"/>
      <c r="U127" s="2084"/>
      <c r="V127" s="2084"/>
      <c r="W127" s="2084"/>
      <c r="X127" s="2084"/>
      <c r="Y127" s="2084"/>
      <c r="Z127" s="2084"/>
      <c r="AA127" s="2084"/>
    </row>
    <row r="128" spans="1:27" ht="16.5" hidden="1" customHeight="1">
      <c r="A128" s="2005"/>
      <c r="B128" s="2081">
        <v>2009</v>
      </c>
      <c r="C128" s="4003"/>
      <c r="D128" s="4004"/>
      <c r="E128" s="4004"/>
      <c r="F128" s="4004"/>
      <c r="G128" s="4004"/>
      <c r="H128" s="4005"/>
      <c r="I128" s="4004"/>
      <c r="J128" s="4004"/>
      <c r="K128" s="4005"/>
      <c r="L128" s="4006"/>
      <c r="M128" s="4007"/>
      <c r="N128" s="2082"/>
      <c r="O128" s="2078"/>
      <c r="R128" s="2078"/>
      <c r="V128" s="2084"/>
      <c r="W128" s="2084"/>
      <c r="X128" s="2084"/>
      <c r="Y128" s="2084"/>
      <c r="Z128" s="2084"/>
      <c r="AA128" s="2084"/>
    </row>
    <row r="129" spans="1:27" ht="16.5" hidden="1" customHeight="1">
      <c r="A129" s="2005"/>
      <c r="B129" s="3485" t="s">
        <v>161</v>
      </c>
      <c r="C129" s="2394">
        <v>15227.647380750002</v>
      </c>
      <c r="D129" s="2218">
        <v>2838.3568415</v>
      </c>
      <c r="E129" s="2218">
        <v>9084.1334533900008</v>
      </c>
      <c r="F129" s="2218">
        <v>297.85453337000001</v>
      </c>
      <c r="G129" s="2218">
        <v>0</v>
      </c>
      <c r="H129" s="2218">
        <v>0</v>
      </c>
      <c r="I129" s="2218">
        <v>0</v>
      </c>
      <c r="J129" s="2218">
        <v>0</v>
      </c>
      <c r="K129" s="2218">
        <v>0</v>
      </c>
      <c r="L129" s="2218">
        <v>1426.805828514</v>
      </c>
      <c r="M129" s="2276">
        <v>1580.4967239760008</v>
      </c>
      <c r="N129" s="2082"/>
      <c r="O129" s="2078"/>
      <c r="R129" s="2078"/>
      <c r="V129" s="2084"/>
      <c r="W129" s="2084"/>
      <c r="X129" s="2084"/>
      <c r="Y129" s="2084"/>
      <c r="Z129" s="2084"/>
      <c r="AA129" s="2084"/>
    </row>
    <row r="130" spans="1:27" ht="16.5" hidden="1" customHeight="1">
      <c r="A130" s="2005"/>
      <c r="B130" s="2080" t="s">
        <v>162</v>
      </c>
      <c r="C130" s="2394">
        <v>15692.993727380002</v>
      </c>
      <c r="D130" s="2218">
        <v>3049.1952084499999</v>
      </c>
      <c r="E130" s="2218">
        <v>9311.3742358300005</v>
      </c>
      <c r="F130" s="2218">
        <v>352.39240074999998</v>
      </c>
      <c r="G130" s="2218">
        <v>0</v>
      </c>
      <c r="H130" s="2218">
        <v>0</v>
      </c>
      <c r="I130" s="2218">
        <v>0</v>
      </c>
      <c r="J130" s="2218">
        <v>0</v>
      </c>
      <c r="K130" s="2218">
        <v>0</v>
      </c>
      <c r="L130" s="2218">
        <v>1415.8979135</v>
      </c>
      <c r="M130" s="2276">
        <v>1564.1339688500011</v>
      </c>
      <c r="N130" s="2082"/>
      <c r="R130" s="2078"/>
      <c r="V130" s="2084"/>
      <c r="W130" s="2084"/>
      <c r="X130" s="2084"/>
      <c r="Y130" s="2084"/>
      <c r="Z130" s="2084"/>
      <c r="AA130" s="2084"/>
    </row>
    <row r="131" spans="1:27" ht="16.5" hidden="1" customHeight="1">
      <c r="A131" s="2005"/>
      <c r="B131" s="2080" t="s">
        <v>163</v>
      </c>
      <c r="C131" s="2394">
        <v>15909.038772989999</v>
      </c>
      <c r="D131" s="2218">
        <v>3695.0745145399997</v>
      </c>
      <c r="E131" s="2218">
        <v>8694.1905638999997</v>
      </c>
      <c r="F131" s="2218">
        <v>412.03830912000001</v>
      </c>
      <c r="G131" s="2218">
        <v>0</v>
      </c>
      <c r="H131" s="2218">
        <v>0</v>
      </c>
      <c r="I131" s="2218">
        <v>0</v>
      </c>
      <c r="J131" s="2218">
        <v>0</v>
      </c>
      <c r="K131" s="2218">
        <v>0</v>
      </c>
      <c r="L131" s="2218">
        <v>1109.4734568099998</v>
      </c>
      <c r="M131" s="2276">
        <v>1998.2619286200006</v>
      </c>
      <c r="N131" s="2082"/>
      <c r="R131" s="2078"/>
      <c r="V131" s="2084"/>
      <c r="W131" s="2084"/>
      <c r="X131" s="2084"/>
      <c r="Y131" s="2084"/>
      <c r="Z131" s="2084"/>
      <c r="AA131" s="2084"/>
    </row>
    <row r="132" spans="1:27" ht="16.5" hidden="1" customHeight="1">
      <c r="A132" s="2005"/>
      <c r="B132" s="2080" t="s">
        <v>164</v>
      </c>
      <c r="C132" s="2394">
        <v>14810.117204279999</v>
      </c>
      <c r="D132" s="2218">
        <v>3205.3585571099998</v>
      </c>
      <c r="E132" s="2218">
        <v>8844.1167744300001</v>
      </c>
      <c r="F132" s="2218">
        <v>408.51755686000001</v>
      </c>
      <c r="G132" s="2218">
        <v>0</v>
      </c>
      <c r="H132" s="2218">
        <v>0</v>
      </c>
      <c r="I132" s="2218">
        <v>0</v>
      </c>
      <c r="J132" s="2218">
        <v>0</v>
      </c>
      <c r="K132" s="2218">
        <v>0</v>
      </c>
      <c r="L132" s="2218">
        <v>1091.3473773299997</v>
      </c>
      <c r="M132" s="2276">
        <v>1260.7769385499996</v>
      </c>
      <c r="N132" s="2082"/>
      <c r="R132" s="2078"/>
      <c r="V132" s="2084"/>
      <c r="W132" s="2084"/>
      <c r="X132" s="2084"/>
      <c r="Y132" s="2084"/>
      <c r="Z132" s="2084"/>
      <c r="AA132" s="2084"/>
    </row>
    <row r="133" spans="1:27" ht="16.5" hidden="1" customHeight="1">
      <c r="A133" s="2005"/>
      <c r="B133" s="2080" t="s">
        <v>165</v>
      </c>
      <c r="C133" s="2394">
        <v>14536.05994241</v>
      </c>
      <c r="D133" s="2218">
        <v>3195.3205342200004</v>
      </c>
      <c r="E133" s="2218">
        <v>9109.7908092300004</v>
      </c>
      <c r="F133" s="2218">
        <v>408.1800111</v>
      </c>
      <c r="G133" s="2218">
        <v>0</v>
      </c>
      <c r="H133" s="2218">
        <v>0</v>
      </c>
      <c r="I133" s="2218">
        <v>0</v>
      </c>
      <c r="J133" s="2218">
        <v>0</v>
      </c>
      <c r="K133" s="2218">
        <v>0</v>
      </c>
      <c r="L133" s="2218">
        <v>1153.7358916100002</v>
      </c>
      <c r="M133" s="2276">
        <v>669.0326962500003</v>
      </c>
      <c r="N133" s="2082"/>
      <c r="R133" s="2078"/>
      <c r="V133" s="2084"/>
      <c r="W133" s="2084"/>
      <c r="X133" s="2084"/>
      <c r="Y133" s="2084"/>
      <c r="Z133" s="2084"/>
      <c r="AA133" s="2084"/>
    </row>
    <row r="134" spans="1:27" ht="16.5" hidden="1" customHeight="1">
      <c r="A134" s="2005"/>
      <c r="B134" s="2080" t="s">
        <v>166</v>
      </c>
      <c r="C134" s="2394">
        <v>15458.926432989998</v>
      </c>
      <c r="D134" s="2218">
        <v>3393.0466613399999</v>
      </c>
      <c r="E134" s="2218">
        <v>9220.579693499998</v>
      </c>
      <c r="F134" s="2218">
        <v>455.04763149000001</v>
      </c>
      <c r="G134" s="2218">
        <v>0</v>
      </c>
      <c r="H134" s="2218">
        <v>0</v>
      </c>
      <c r="I134" s="2218">
        <v>0</v>
      </c>
      <c r="J134" s="2218">
        <v>0</v>
      </c>
      <c r="K134" s="2218">
        <v>0</v>
      </c>
      <c r="L134" s="2218">
        <v>1272.54066627</v>
      </c>
      <c r="M134" s="2276">
        <v>1117.7117803899982</v>
      </c>
      <c r="N134" s="2082"/>
      <c r="R134" s="2078"/>
      <c r="V134" s="2084"/>
      <c r="W134" s="2084"/>
      <c r="X134" s="2084"/>
      <c r="Y134" s="2084"/>
      <c r="Z134" s="2084"/>
      <c r="AA134" s="2084"/>
    </row>
    <row r="135" spans="1:27" ht="16.5" hidden="1" customHeight="1">
      <c r="A135" s="2005"/>
      <c r="B135" s="2080" t="s">
        <v>167</v>
      </c>
      <c r="C135" s="2394">
        <v>15811.435646829997</v>
      </c>
      <c r="D135" s="2218">
        <v>3154.7904865099999</v>
      </c>
      <c r="E135" s="2218">
        <v>9794.6881478800024</v>
      </c>
      <c r="F135" s="2218">
        <v>499.78787043</v>
      </c>
      <c r="G135" s="2218">
        <v>0</v>
      </c>
      <c r="H135" s="2218">
        <v>0</v>
      </c>
      <c r="I135" s="2218">
        <v>0</v>
      </c>
      <c r="J135" s="2218">
        <v>0</v>
      </c>
      <c r="K135" s="2218">
        <v>0</v>
      </c>
      <c r="L135" s="2218">
        <v>1292.7533435199998</v>
      </c>
      <c r="M135" s="2276">
        <v>1069.4157984899957</v>
      </c>
      <c r="N135" s="2082"/>
      <c r="R135" s="2078"/>
      <c r="V135" s="2084"/>
      <c r="W135" s="2084"/>
      <c r="X135" s="2084"/>
      <c r="Y135" s="2084"/>
      <c r="Z135" s="2084"/>
      <c r="AA135" s="2084"/>
    </row>
    <row r="136" spans="1:27" ht="16.5" hidden="1" customHeight="1">
      <c r="A136" s="2005"/>
      <c r="B136" s="2080" t="s">
        <v>168</v>
      </c>
      <c r="C136" s="2394">
        <v>16124.140614569997</v>
      </c>
      <c r="D136" s="2218">
        <v>4160.6806812900004</v>
      </c>
      <c r="E136" s="2218">
        <v>9787.1248181600022</v>
      </c>
      <c r="F136" s="2218">
        <v>514.16992558000004</v>
      </c>
      <c r="G136" s="2218">
        <v>0</v>
      </c>
      <c r="H136" s="2218">
        <v>0</v>
      </c>
      <c r="I136" s="2218">
        <v>0</v>
      </c>
      <c r="J136" s="2218">
        <v>0</v>
      </c>
      <c r="K136" s="2218">
        <v>0</v>
      </c>
      <c r="L136" s="2218">
        <v>1336.5436726999999</v>
      </c>
      <c r="M136" s="2276">
        <v>325.62151683999582</v>
      </c>
      <c r="N136" s="2082"/>
      <c r="R136" s="2078"/>
      <c r="V136" s="2084"/>
      <c r="W136" s="2084"/>
      <c r="X136" s="2084"/>
      <c r="Y136" s="2084"/>
      <c r="Z136" s="2084"/>
      <c r="AA136" s="2084"/>
    </row>
    <row r="137" spans="1:27" ht="16.5" hidden="1" customHeight="1">
      <c r="A137" s="2005"/>
      <c r="B137" s="2080" t="s">
        <v>169</v>
      </c>
      <c r="C137" s="2394">
        <v>15924.95463278</v>
      </c>
      <c r="D137" s="2218">
        <v>3686.8125129199998</v>
      </c>
      <c r="E137" s="2218">
        <v>11905.11585301</v>
      </c>
      <c r="F137" s="2218">
        <v>534.2423937399999</v>
      </c>
      <c r="G137" s="2218">
        <v>0</v>
      </c>
      <c r="H137" s="2218">
        <v>0</v>
      </c>
      <c r="I137" s="2218">
        <v>0</v>
      </c>
      <c r="J137" s="2218">
        <v>0</v>
      </c>
      <c r="K137" s="2218">
        <v>0</v>
      </c>
      <c r="L137" s="2218">
        <v>1284.8691534799998</v>
      </c>
      <c r="M137" s="2276">
        <v>-1486.0852803699981</v>
      </c>
      <c r="N137" s="2082"/>
      <c r="R137" s="2078"/>
      <c r="V137" s="2084"/>
      <c r="W137" s="2084"/>
      <c r="X137" s="2084"/>
      <c r="Y137" s="2084"/>
      <c r="Z137" s="2084"/>
      <c r="AA137" s="2084"/>
    </row>
    <row r="138" spans="1:27" ht="16.5" hidden="1" customHeight="1">
      <c r="A138" s="2005"/>
      <c r="B138" s="2080" t="s">
        <v>170</v>
      </c>
      <c r="C138" s="2394">
        <v>18388.65851184</v>
      </c>
      <c r="D138" s="2218">
        <v>4162.4785479700004</v>
      </c>
      <c r="E138" s="2218">
        <v>13887.354914570002</v>
      </c>
      <c r="F138" s="2218">
        <v>556.35809598000014</v>
      </c>
      <c r="G138" s="2218">
        <v>0</v>
      </c>
      <c r="H138" s="2218">
        <v>0</v>
      </c>
      <c r="I138" s="2218">
        <v>0</v>
      </c>
      <c r="J138" s="2218">
        <v>0</v>
      </c>
      <c r="K138" s="2218">
        <v>0</v>
      </c>
      <c r="L138" s="2218">
        <v>1444.07756896</v>
      </c>
      <c r="M138" s="2276">
        <v>-1661.6106156400056</v>
      </c>
      <c r="N138" s="2082"/>
      <c r="R138" s="2078"/>
      <c r="V138" s="2084"/>
      <c r="W138" s="2084"/>
      <c r="X138" s="2084"/>
      <c r="Y138" s="2084"/>
      <c r="Z138" s="2084"/>
      <c r="AA138" s="2084"/>
    </row>
    <row r="139" spans="1:27" ht="16.5" hidden="1" customHeight="1">
      <c r="A139" s="2005"/>
      <c r="B139" s="2080" t="s">
        <v>171</v>
      </c>
      <c r="C139" s="2394">
        <v>20671.562742540002</v>
      </c>
      <c r="D139" s="2218">
        <v>4021.1852880300003</v>
      </c>
      <c r="E139" s="2218">
        <v>17046.659729269999</v>
      </c>
      <c r="F139" s="2218">
        <v>554.84510817</v>
      </c>
      <c r="G139" s="2218">
        <v>0</v>
      </c>
      <c r="H139" s="2218">
        <v>0</v>
      </c>
      <c r="I139" s="2218">
        <v>0</v>
      </c>
      <c r="J139" s="2218">
        <v>0</v>
      </c>
      <c r="K139" s="2218">
        <v>0</v>
      </c>
      <c r="L139" s="2218">
        <v>1419.1003794499998</v>
      </c>
      <c r="M139" s="2276">
        <v>-2370.2277623799964</v>
      </c>
      <c r="N139" s="2082"/>
      <c r="R139" s="2078"/>
      <c r="V139" s="2084"/>
      <c r="W139" s="2084"/>
      <c r="X139" s="2084"/>
      <c r="Y139" s="2084"/>
      <c r="Z139" s="2084"/>
      <c r="AA139" s="2084"/>
    </row>
    <row r="140" spans="1:27" ht="16.5" customHeight="1">
      <c r="A140" s="2005"/>
      <c r="B140" s="2081">
        <v>2009</v>
      </c>
      <c r="C140" s="2394">
        <v>20601.446086870001</v>
      </c>
      <c r="D140" s="2218">
        <v>3866.8361473900004</v>
      </c>
      <c r="E140" s="2218">
        <v>15910.104799589997</v>
      </c>
      <c r="F140" s="2218">
        <v>322.87283137000009</v>
      </c>
      <c r="G140" s="2218">
        <v>0</v>
      </c>
      <c r="H140" s="2218">
        <v>0</v>
      </c>
      <c r="I140" s="2218">
        <v>0</v>
      </c>
      <c r="J140" s="2218">
        <v>0</v>
      </c>
      <c r="K140" s="2218">
        <v>0</v>
      </c>
      <c r="L140" s="2218">
        <v>1610.55046032</v>
      </c>
      <c r="M140" s="2276">
        <v>-1108.9181517999968</v>
      </c>
      <c r="N140" s="2082"/>
      <c r="R140" s="2078"/>
      <c r="V140" s="2084"/>
      <c r="W140" s="2084"/>
      <c r="X140" s="2084"/>
      <c r="Y140" s="2084"/>
      <c r="Z140" s="2084"/>
      <c r="AA140" s="2084"/>
    </row>
    <row r="141" spans="1:27" hidden="1">
      <c r="A141" s="2007"/>
      <c r="B141" s="2079">
        <v>2010</v>
      </c>
      <c r="C141" s="2394"/>
      <c r="D141" s="2218"/>
      <c r="E141" s="2218"/>
      <c r="F141" s="2218"/>
      <c r="G141" s="2218"/>
      <c r="H141" s="2218"/>
      <c r="I141" s="2218"/>
      <c r="J141" s="2218"/>
      <c r="K141" s="2218"/>
      <c r="L141" s="2218"/>
      <c r="M141" s="2276"/>
      <c r="N141" s="2082"/>
      <c r="R141" s="2078"/>
      <c r="V141" s="2084"/>
      <c r="W141" s="2084"/>
      <c r="X141" s="2084"/>
      <c r="Y141" s="2084"/>
      <c r="Z141" s="2084"/>
      <c r="AA141" s="2084"/>
    </row>
    <row r="142" spans="1:27" hidden="1">
      <c r="A142" s="2007"/>
      <c r="B142" s="3485" t="s">
        <v>161</v>
      </c>
      <c r="C142" s="2394">
        <v>19805.46496858</v>
      </c>
      <c r="D142" s="2218">
        <v>3966.9637225700003</v>
      </c>
      <c r="E142" s="2218">
        <v>15167.674300649998</v>
      </c>
      <c r="F142" s="2218">
        <v>326.09334149</v>
      </c>
      <c r="G142" s="2218">
        <v>0</v>
      </c>
      <c r="H142" s="2218">
        <v>0</v>
      </c>
      <c r="I142" s="2218">
        <v>0</v>
      </c>
      <c r="J142" s="2218">
        <v>0</v>
      </c>
      <c r="K142" s="2218">
        <v>0</v>
      </c>
      <c r="L142" s="2218">
        <v>1598.3366648499991</v>
      </c>
      <c r="M142" s="2276">
        <v>-1253.6030609799964</v>
      </c>
      <c r="N142" s="2082"/>
      <c r="R142" s="2078"/>
      <c r="V142" s="2084"/>
      <c r="W142" s="2084"/>
      <c r="X142" s="2084"/>
      <c r="Y142" s="2084"/>
      <c r="Z142" s="2084"/>
      <c r="AA142" s="2084"/>
    </row>
    <row r="143" spans="1:27" hidden="1">
      <c r="A143" s="2005"/>
      <c r="B143" s="2080" t="s">
        <v>162</v>
      </c>
      <c r="C143" s="2595">
        <v>19766.716504169999</v>
      </c>
      <c r="D143" s="2591">
        <v>3827.4115698700002</v>
      </c>
      <c r="E143" s="2591">
        <v>15492.5354073</v>
      </c>
      <c r="F143" s="2591">
        <v>373.71826499999997</v>
      </c>
      <c r="G143" s="2591">
        <v>0</v>
      </c>
      <c r="H143" s="2591">
        <v>0</v>
      </c>
      <c r="I143" s="2591">
        <v>0</v>
      </c>
      <c r="J143" s="2591">
        <v>0</v>
      </c>
      <c r="K143" s="2591">
        <v>0</v>
      </c>
      <c r="L143" s="2591">
        <v>1493.249604819998</v>
      </c>
      <c r="M143" s="2634">
        <v>-1420.1983428199965</v>
      </c>
      <c r="N143" s="2082"/>
      <c r="R143" s="2078"/>
      <c r="V143" s="2084"/>
      <c r="W143" s="2084"/>
      <c r="X143" s="2084"/>
      <c r="Y143" s="2084"/>
      <c r="Z143" s="2084"/>
      <c r="AA143" s="2084"/>
    </row>
    <row r="144" spans="1:27" hidden="1">
      <c r="A144" s="2005"/>
      <c r="B144" s="2076" t="s">
        <v>163</v>
      </c>
      <c r="C144" s="2635">
        <v>21890.321129659998</v>
      </c>
      <c r="D144" s="2591">
        <v>6919.08022996</v>
      </c>
      <c r="E144" s="2591">
        <v>14324.172722160001</v>
      </c>
      <c r="F144" s="2591">
        <v>412.62504371999995</v>
      </c>
      <c r="G144" s="2636">
        <v>0</v>
      </c>
      <c r="H144" s="2591">
        <v>0</v>
      </c>
      <c r="I144" s="2591">
        <v>0</v>
      </c>
      <c r="J144" s="2591">
        <v>0</v>
      </c>
      <c r="K144" s="2591">
        <v>0</v>
      </c>
      <c r="L144" s="2591">
        <v>1615.3225278300004</v>
      </c>
      <c r="M144" s="2634">
        <v>-1380.879394010004</v>
      </c>
      <c r="N144" s="2082"/>
      <c r="R144" s="2078"/>
      <c r="V144" s="2084"/>
      <c r="W144" s="2084"/>
      <c r="X144" s="2084"/>
      <c r="Y144" s="2084"/>
      <c r="Z144" s="2084"/>
      <c r="AA144" s="2084"/>
    </row>
    <row r="145" spans="1:27" hidden="1">
      <c r="A145" s="2005"/>
      <c r="B145" s="2076" t="s">
        <v>164</v>
      </c>
      <c r="C145" s="2635">
        <v>20957.378390510003</v>
      </c>
      <c r="D145" s="2591">
        <v>5410.6570862200006</v>
      </c>
      <c r="E145" s="2591">
        <v>13680.78899624</v>
      </c>
      <c r="F145" s="2591">
        <v>389.09545734</v>
      </c>
      <c r="G145" s="2636">
        <v>0</v>
      </c>
      <c r="H145" s="2591">
        <v>0</v>
      </c>
      <c r="I145" s="2591">
        <v>0</v>
      </c>
      <c r="J145" s="2591">
        <v>0</v>
      </c>
      <c r="K145" s="2591">
        <v>0</v>
      </c>
      <c r="L145" s="2591">
        <v>1613.9150252399997</v>
      </c>
      <c r="M145" s="2634">
        <v>-137.07817453000098</v>
      </c>
      <c r="N145" s="2082"/>
      <c r="R145" s="2078"/>
      <c r="V145" s="2084"/>
      <c r="W145" s="2084"/>
      <c r="X145" s="2084"/>
      <c r="Y145" s="2084"/>
      <c r="Z145" s="2084"/>
      <c r="AA145" s="2084"/>
    </row>
    <row r="146" spans="1:27" hidden="1">
      <c r="A146" s="2005"/>
      <c r="B146" s="2076" t="s">
        <v>165</v>
      </c>
      <c r="C146" s="2635">
        <v>18133.816945093989</v>
      </c>
      <c r="D146" s="2591">
        <v>4300.8807725661081</v>
      </c>
      <c r="E146" s="2591">
        <v>11833.23471592</v>
      </c>
      <c r="F146" s="2591">
        <v>419.67380620000006</v>
      </c>
      <c r="G146" s="2636">
        <v>0</v>
      </c>
      <c r="H146" s="2591">
        <v>0</v>
      </c>
      <c r="I146" s="2591">
        <v>0</v>
      </c>
      <c r="J146" s="2591">
        <v>0</v>
      </c>
      <c r="K146" s="2591">
        <v>0</v>
      </c>
      <c r="L146" s="2591">
        <v>1522.4192298899998</v>
      </c>
      <c r="M146" s="2634">
        <v>57.608420517884952</v>
      </c>
      <c r="N146" s="2082"/>
      <c r="R146" s="2078"/>
      <c r="V146" s="2084"/>
      <c r="W146" s="2084"/>
      <c r="X146" s="2084"/>
      <c r="Y146" s="2084"/>
      <c r="Z146" s="2084"/>
      <c r="AA146" s="2084"/>
    </row>
    <row r="147" spans="1:27" hidden="1">
      <c r="A147" s="2005"/>
      <c r="B147" s="2076" t="s">
        <v>166</v>
      </c>
      <c r="C147" s="2583">
        <v>18351.803084667998</v>
      </c>
      <c r="D147" s="2591">
        <v>4105.9806551700003</v>
      </c>
      <c r="E147" s="2591">
        <v>12128.514120379998</v>
      </c>
      <c r="F147" s="2591">
        <v>383.06517673000002</v>
      </c>
      <c r="G147" s="2636">
        <v>0</v>
      </c>
      <c r="H147" s="2591">
        <v>0</v>
      </c>
      <c r="I147" s="2591">
        <v>0</v>
      </c>
      <c r="J147" s="2591">
        <v>0</v>
      </c>
      <c r="K147" s="2591">
        <v>0</v>
      </c>
      <c r="L147" s="2591">
        <v>1722.2991689319999</v>
      </c>
      <c r="M147" s="2634">
        <v>11.943963456000347</v>
      </c>
      <c r="N147" s="2082"/>
      <c r="R147" s="2078"/>
      <c r="V147" s="2084"/>
      <c r="W147" s="2084"/>
      <c r="X147" s="2084"/>
      <c r="Y147" s="2084"/>
      <c r="Z147" s="2084"/>
      <c r="AA147" s="2084"/>
    </row>
    <row r="148" spans="1:27" hidden="1">
      <c r="A148" s="2005"/>
      <c r="B148" s="2085" t="s">
        <v>167</v>
      </c>
      <c r="C148" s="2583">
        <v>18603.677598440001</v>
      </c>
      <c r="D148" s="2591">
        <v>4764.6110182099992</v>
      </c>
      <c r="E148" s="2591">
        <v>11695.377525429998</v>
      </c>
      <c r="F148" s="2591">
        <v>262.35232778</v>
      </c>
      <c r="G148" s="2636">
        <v>0</v>
      </c>
      <c r="H148" s="2591">
        <v>0</v>
      </c>
      <c r="I148" s="2591">
        <v>0</v>
      </c>
      <c r="J148" s="2591">
        <v>0</v>
      </c>
      <c r="K148" s="2591">
        <v>0</v>
      </c>
      <c r="L148" s="2591">
        <v>1771.3679409884166</v>
      </c>
      <c r="M148" s="2634">
        <v>109.96878603158621</v>
      </c>
      <c r="N148" s="2082"/>
      <c r="O148" s="2078"/>
      <c r="R148" s="2078"/>
      <c r="V148" s="2084"/>
      <c r="W148" s="2084"/>
      <c r="X148" s="2084"/>
      <c r="Y148" s="2084"/>
      <c r="Z148" s="2084"/>
      <c r="AA148" s="2084"/>
    </row>
    <row r="149" spans="1:27" hidden="1">
      <c r="A149" s="2005"/>
      <c r="B149" s="2085" t="s">
        <v>168</v>
      </c>
      <c r="C149" s="2583">
        <v>18834.276638911</v>
      </c>
      <c r="D149" s="2591">
        <v>4550.9316361600004</v>
      </c>
      <c r="E149" s="2591">
        <v>12493.543268670001</v>
      </c>
      <c r="F149" s="2591">
        <v>293.38926029999999</v>
      </c>
      <c r="G149" s="2636">
        <v>0</v>
      </c>
      <c r="H149" s="2591">
        <v>0</v>
      </c>
      <c r="I149" s="2591">
        <v>0</v>
      </c>
      <c r="J149" s="2591">
        <v>0</v>
      </c>
      <c r="K149" s="2591">
        <v>0</v>
      </c>
      <c r="L149" s="2591">
        <v>1760.9552860888398</v>
      </c>
      <c r="M149" s="2634">
        <v>-264.54281230783818</v>
      </c>
      <c r="N149" s="2082"/>
      <c r="R149" s="2078"/>
      <c r="V149" s="2084"/>
      <c r="W149" s="2084"/>
      <c r="X149" s="2084"/>
      <c r="Y149" s="2084"/>
      <c r="Z149" s="2084"/>
      <c r="AA149" s="2084"/>
    </row>
    <row r="150" spans="1:27" hidden="1">
      <c r="A150" s="2005"/>
      <c r="B150" s="2085" t="s">
        <v>169</v>
      </c>
      <c r="C150" s="2583">
        <v>18852.86242230998</v>
      </c>
      <c r="D150" s="2591">
        <v>4566.2457966700003</v>
      </c>
      <c r="E150" s="2591">
        <v>14708.730917719999</v>
      </c>
      <c r="F150" s="2591">
        <v>306.16535502000005</v>
      </c>
      <c r="G150" s="2636">
        <v>0</v>
      </c>
      <c r="H150" s="2591">
        <v>0</v>
      </c>
      <c r="I150" s="2591">
        <v>0</v>
      </c>
      <c r="J150" s="2591">
        <v>0</v>
      </c>
      <c r="K150" s="2591">
        <v>0</v>
      </c>
      <c r="L150" s="2591">
        <v>1814.1811615443501</v>
      </c>
      <c r="M150" s="2634">
        <v>-2542.4608086443695</v>
      </c>
      <c r="N150" s="2082"/>
      <c r="R150" s="2078"/>
      <c r="V150" s="2084"/>
      <c r="W150" s="2084"/>
      <c r="X150" s="2084"/>
      <c r="Y150" s="2084"/>
      <c r="Z150" s="2084"/>
      <c r="AA150" s="2084"/>
    </row>
    <row r="151" spans="1:27" hidden="1">
      <c r="A151" s="2005"/>
      <c r="B151" s="2085" t="s">
        <v>170</v>
      </c>
      <c r="C151" s="2583">
        <v>18748.215748895997</v>
      </c>
      <c r="D151" s="2591">
        <v>4958.5585658999998</v>
      </c>
      <c r="E151" s="2591">
        <v>14584.308224750001</v>
      </c>
      <c r="F151" s="2591">
        <v>375.34879986999999</v>
      </c>
      <c r="G151" s="2636">
        <v>0</v>
      </c>
      <c r="H151" s="2591">
        <v>0</v>
      </c>
      <c r="I151" s="2591">
        <v>0</v>
      </c>
      <c r="J151" s="2591">
        <v>0</v>
      </c>
      <c r="K151" s="2591">
        <v>0</v>
      </c>
      <c r="L151" s="2591">
        <v>1865.2893581388746</v>
      </c>
      <c r="M151" s="2634">
        <v>-3035.2891997628794</v>
      </c>
      <c r="N151" s="2082"/>
      <c r="R151" s="2078"/>
      <c r="V151" s="2084"/>
      <c r="W151" s="2084"/>
      <c r="X151" s="2084"/>
      <c r="Y151" s="2084"/>
      <c r="Z151" s="2084"/>
      <c r="AA151" s="2084"/>
    </row>
    <row r="152" spans="1:27" hidden="1">
      <c r="A152" s="2005"/>
      <c r="B152" s="2085" t="s">
        <v>171</v>
      </c>
      <c r="C152" s="2583">
        <v>21482.898895777005</v>
      </c>
      <c r="D152" s="2591">
        <v>4880.1366788000005</v>
      </c>
      <c r="E152" s="2591">
        <v>16300.583707479998</v>
      </c>
      <c r="F152" s="2591">
        <v>332.65001558999995</v>
      </c>
      <c r="G152" s="2636">
        <v>0</v>
      </c>
      <c r="H152" s="2591">
        <v>0</v>
      </c>
      <c r="I152" s="2591">
        <v>0</v>
      </c>
      <c r="J152" s="2591">
        <v>0</v>
      </c>
      <c r="K152" s="2591">
        <v>0</v>
      </c>
      <c r="L152" s="2591">
        <v>1925.5025900626003</v>
      </c>
      <c r="M152" s="2634">
        <v>-1955.9740961555908</v>
      </c>
      <c r="N152" s="2082"/>
      <c r="R152" s="2078"/>
      <c r="S152" s="2078"/>
      <c r="V152" s="2084"/>
      <c r="W152" s="2084"/>
      <c r="X152" s="2084"/>
      <c r="Y152" s="2084"/>
      <c r="Z152" s="2084"/>
      <c r="AA152" s="2084"/>
    </row>
    <row r="153" spans="1:27">
      <c r="A153" s="2007"/>
      <c r="B153" s="2528">
        <v>2010</v>
      </c>
      <c r="C153" s="2637">
        <v>20896.149268494966</v>
      </c>
      <c r="D153" s="2591">
        <v>7370.4582997800007</v>
      </c>
      <c r="E153" s="2638">
        <v>14288.773811030002</v>
      </c>
      <c r="F153" s="2585">
        <v>320.31737139000001</v>
      </c>
      <c r="G153" s="2636">
        <v>0</v>
      </c>
      <c r="H153" s="2591">
        <v>0</v>
      </c>
      <c r="I153" s="2591">
        <v>0</v>
      </c>
      <c r="J153" s="2591">
        <v>0</v>
      </c>
      <c r="K153" s="2639">
        <v>0</v>
      </c>
      <c r="L153" s="2591">
        <v>1794.0504668899998</v>
      </c>
      <c r="M153" s="2634">
        <v>-2877.4506805950332</v>
      </c>
      <c r="N153" s="2082"/>
      <c r="R153" s="2078"/>
      <c r="V153" s="2084"/>
      <c r="W153" s="2084"/>
      <c r="X153" s="2084"/>
      <c r="Y153" s="2084"/>
      <c r="Z153" s="2084"/>
      <c r="AA153" s="2084"/>
    </row>
    <row r="154" spans="1:27" hidden="1">
      <c r="A154" s="2007"/>
      <c r="B154" s="2079">
        <v>2011</v>
      </c>
      <c r="C154" s="2588"/>
      <c r="D154" s="2589"/>
      <c r="E154" s="4008"/>
      <c r="F154" s="4009"/>
      <c r="G154" s="2589"/>
      <c r="H154" s="4009"/>
      <c r="I154" s="4009"/>
      <c r="J154" s="2589"/>
      <c r="K154" s="4008"/>
      <c r="L154" s="4009"/>
      <c r="M154" s="4010"/>
      <c r="N154" s="2082"/>
      <c r="R154" s="2078"/>
      <c r="V154" s="2084"/>
      <c r="W154" s="2084"/>
      <c r="X154" s="2084"/>
      <c r="Y154" s="2084"/>
      <c r="Z154" s="2084"/>
      <c r="AA154" s="2084"/>
    </row>
    <row r="155" spans="1:27" hidden="1">
      <c r="A155" s="2007"/>
      <c r="B155" s="2080" t="s">
        <v>161</v>
      </c>
      <c r="C155" s="2637">
        <v>20297.633822139025</v>
      </c>
      <c r="D155" s="2591">
        <v>4494.4575958200003</v>
      </c>
      <c r="E155" s="2638">
        <v>15181.603740929995</v>
      </c>
      <c r="F155" s="2585">
        <v>436.68128424000002</v>
      </c>
      <c r="G155" s="2636">
        <v>0</v>
      </c>
      <c r="H155" s="2591">
        <v>0</v>
      </c>
      <c r="I155" s="2591">
        <v>0</v>
      </c>
      <c r="J155" s="2591">
        <v>0</v>
      </c>
      <c r="K155" s="2639">
        <v>0</v>
      </c>
      <c r="L155" s="2591">
        <v>1790.7192368131998</v>
      </c>
      <c r="M155" s="2634">
        <v>-1605.8280356641699</v>
      </c>
      <c r="N155" s="2082"/>
      <c r="R155" s="2078"/>
      <c r="V155" s="2084"/>
      <c r="W155" s="2084"/>
      <c r="X155" s="2084"/>
      <c r="Y155" s="2084"/>
      <c r="Z155" s="2084"/>
      <c r="AA155" s="2084"/>
    </row>
    <row r="156" spans="1:27" hidden="1">
      <c r="A156" s="2007"/>
      <c r="B156" s="2080" t="s">
        <v>162</v>
      </c>
      <c r="C156" s="2637">
        <v>20800.166345173999</v>
      </c>
      <c r="D156" s="2591">
        <v>4929.5762396999999</v>
      </c>
      <c r="E156" s="2638">
        <v>14977.685664289998</v>
      </c>
      <c r="F156" s="2585">
        <v>509.99843883</v>
      </c>
      <c r="G156" s="2636">
        <v>0</v>
      </c>
      <c r="H156" s="2591">
        <v>0</v>
      </c>
      <c r="I156" s="2591">
        <v>0</v>
      </c>
      <c r="J156" s="2591">
        <v>0</v>
      </c>
      <c r="K156" s="2639">
        <v>0</v>
      </c>
      <c r="L156" s="2591">
        <v>1792.9582273731999</v>
      </c>
      <c r="M156" s="2634">
        <v>-1410.0522250192007</v>
      </c>
      <c r="N156" s="2082"/>
      <c r="R156" s="2078"/>
      <c r="V156" s="2084"/>
      <c r="W156" s="2084"/>
      <c r="X156" s="2084"/>
      <c r="Y156" s="2084"/>
      <c r="Z156" s="2084"/>
      <c r="AA156" s="2084"/>
    </row>
    <row r="157" spans="1:27" hidden="1">
      <c r="A157" s="2007"/>
      <c r="B157" s="2080" t="s">
        <v>163</v>
      </c>
      <c r="C157" s="2637">
        <v>20866.6884763989</v>
      </c>
      <c r="D157" s="2591">
        <v>6040.0254513999989</v>
      </c>
      <c r="E157" s="2638">
        <v>13625.869772859998</v>
      </c>
      <c r="F157" s="2585">
        <v>587.33739790999994</v>
      </c>
      <c r="G157" s="2636">
        <v>0</v>
      </c>
      <c r="H157" s="2591">
        <v>0</v>
      </c>
      <c r="I157" s="2591">
        <v>0</v>
      </c>
      <c r="J157" s="2591">
        <v>0</v>
      </c>
      <c r="K157" s="2639">
        <v>0</v>
      </c>
      <c r="L157" s="2591">
        <v>1821.0467847393368</v>
      </c>
      <c r="M157" s="2634">
        <v>-1207.590930510436</v>
      </c>
      <c r="N157" s="2082"/>
      <c r="R157" s="2078"/>
      <c r="V157" s="2084"/>
      <c r="W157" s="2084"/>
      <c r="X157" s="2084"/>
      <c r="Y157" s="2084"/>
      <c r="Z157" s="2084"/>
      <c r="AA157" s="2084"/>
    </row>
    <row r="158" spans="1:27" hidden="1">
      <c r="A158" s="2007"/>
      <c r="B158" s="2080" t="s">
        <v>164</v>
      </c>
      <c r="C158" s="2637">
        <v>20170.639330005</v>
      </c>
      <c r="D158" s="2591">
        <v>4892.6715065679991</v>
      </c>
      <c r="E158" s="2638">
        <v>13430.00504742</v>
      </c>
      <c r="F158" s="2585">
        <v>357.21948168</v>
      </c>
      <c r="G158" s="2636">
        <v>0</v>
      </c>
      <c r="H158" s="2591">
        <v>0</v>
      </c>
      <c r="I158" s="2591">
        <v>0</v>
      </c>
      <c r="J158" s="2591">
        <v>0</v>
      </c>
      <c r="K158" s="2639">
        <v>0</v>
      </c>
      <c r="L158" s="2591">
        <v>1932.5575034230262</v>
      </c>
      <c r="M158" s="2634">
        <v>-441.8142090860274</v>
      </c>
      <c r="N158" s="2082"/>
      <c r="R158" s="2078"/>
      <c r="V158" s="2084"/>
      <c r="W158" s="2084"/>
      <c r="X158" s="2084"/>
      <c r="Y158" s="2084"/>
      <c r="Z158" s="2084"/>
      <c r="AA158" s="2084"/>
    </row>
    <row r="159" spans="1:27" hidden="1">
      <c r="A159" s="2007"/>
      <c r="B159" s="2080" t="s">
        <v>165</v>
      </c>
      <c r="C159" s="2637">
        <v>19882.745630404999</v>
      </c>
      <c r="D159" s="2591">
        <v>4748.4629746199989</v>
      </c>
      <c r="E159" s="2638">
        <v>11954.748250550001</v>
      </c>
      <c r="F159" s="2585">
        <v>356.56406075000001</v>
      </c>
      <c r="G159" s="2636">
        <v>0</v>
      </c>
      <c r="H159" s="2591">
        <v>0</v>
      </c>
      <c r="I159" s="2591">
        <v>0</v>
      </c>
      <c r="J159" s="2591">
        <v>0</v>
      </c>
      <c r="K159" s="2639">
        <v>0</v>
      </c>
      <c r="L159" s="2591">
        <v>1984.4713799897504</v>
      </c>
      <c r="M159" s="2634">
        <v>838.49896449524749</v>
      </c>
      <c r="N159" s="2082"/>
      <c r="R159" s="2078"/>
      <c r="V159" s="2084"/>
      <c r="W159" s="2084"/>
      <c r="X159" s="2084"/>
      <c r="Y159" s="2084"/>
      <c r="Z159" s="2084"/>
      <c r="AA159" s="2084"/>
    </row>
    <row r="160" spans="1:27" hidden="1">
      <c r="A160" s="2007"/>
      <c r="B160" s="2080" t="s">
        <v>166</v>
      </c>
      <c r="C160" s="2637">
        <v>20190.184824969994</v>
      </c>
      <c r="D160" s="2591">
        <v>4495.720560062</v>
      </c>
      <c r="E160" s="2638">
        <v>11862.592403520001</v>
      </c>
      <c r="F160" s="2585">
        <v>413.53307286</v>
      </c>
      <c r="G160" s="2636">
        <v>0</v>
      </c>
      <c r="H160" s="2591">
        <v>0</v>
      </c>
      <c r="I160" s="2591">
        <v>0</v>
      </c>
      <c r="J160" s="2591">
        <v>0</v>
      </c>
      <c r="K160" s="2639">
        <v>0</v>
      </c>
      <c r="L160" s="2591">
        <v>1694.6806494199996</v>
      </c>
      <c r="M160" s="2634">
        <v>1723.6581391079962</v>
      </c>
      <c r="N160" s="2082"/>
      <c r="R160" s="2078"/>
      <c r="T160" s="2083"/>
      <c r="V160" s="2084"/>
      <c r="W160" s="2084"/>
      <c r="X160" s="2084"/>
      <c r="Y160" s="2084"/>
      <c r="Z160" s="2084"/>
      <c r="AA160" s="2084"/>
    </row>
    <row r="161" spans="1:27" ht="18" hidden="1" customHeight="1">
      <c r="A161" s="2007"/>
      <c r="B161" s="2080" t="s">
        <v>167</v>
      </c>
      <c r="C161" s="2637">
        <v>20308.233846426992</v>
      </c>
      <c r="D161" s="2591">
        <v>4264.7919867979999</v>
      </c>
      <c r="E161" s="2638">
        <v>12332.840857996</v>
      </c>
      <c r="F161" s="2585">
        <v>479.22249539999996</v>
      </c>
      <c r="G161" s="2636">
        <v>0</v>
      </c>
      <c r="H161" s="2591">
        <v>0</v>
      </c>
      <c r="I161" s="2591">
        <v>0</v>
      </c>
      <c r="J161" s="2591">
        <v>0</v>
      </c>
      <c r="K161" s="2639">
        <v>0</v>
      </c>
      <c r="L161" s="2591">
        <v>1861.4071640398988</v>
      </c>
      <c r="M161" s="2634">
        <v>1369.9713421930937</v>
      </c>
      <c r="N161" s="2082"/>
      <c r="R161" s="2078"/>
      <c r="V161" s="2084"/>
      <c r="W161" s="2084"/>
      <c r="X161" s="2084"/>
      <c r="Y161" s="2084"/>
      <c r="Z161" s="2084"/>
      <c r="AA161" s="2084"/>
    </row>
    <row r="162" spans="1:27" ht="18" hidden="1" customHeight="1">
      <c r="A162" s="2007"/>
      <c r="B162" s="2080" t="s">
        <v>168</v>
      </c>
      <c r="C162" s="2637">
        <v>21163.914776651996</v>
      </c>
      <c r="D162" s="2591">
        <v>5496.6137032680008</v>
      </c>
      <c r="E162" s="2638">
        <v>12057.470185995999</v>
      </c>
      <c r="F162" s="2585">
        <v>450.88089731999997</v>
      </c>
      <c r="G162" s="2636">
        <v>0</v>
      </c>
      <c r="H162" s="2591">
        <v>0</v>
      </c>
      <c r="I162" s="2591">
        <v>0</v>
      </c>
      <c r="J162" s="2591">
        <v>0</v>
      </c>
      <c r="K162" s="2639">
        <v>0</v>
      </c>
      <c r="L162" s="2591">
        <v>1864.9129959276167</v>
      </c>
      <c r="M162" s="2634">
        <v>1294.0369941403806</v>
      </c>
      <c r="N162" s="2082"/>
      <c r="R162" s="2078"/>
      <c r="V162" s="2084"/>
      <c r="W162" s="2084"/>
      <c r="X162" s="2084"/>
      <c r="Y162" s="2084"/>
      <c r="Z162" s="2084"/>
      <c r="AA162" s="2084"/>
    </row>
    <row r="163" spans="1:27" ht="18" hidden="1" customHeight="1">
      <c r="A163" s="2007"/>
      <c r="B163" s="2080" t="s">
        <v>169</v>
      </c>
      <c r="C163" s="2637">
        <v>21543.909807600001</v>
      </c>
      <c r="D163" s="2591">
        <v>6030.3224621499994</v>
      </c>
      <c r="E163" s="2638">
        <v>12462.44801102</v>
      </c>
      <c r="F163" s="2585">
        <v>447.58197030000002</v>
      </c>
      <c r="G163" s="2636">
        <v>0</v>
      </c>
      <c r="H163" s="2591">
        <v>0</v>
      </c>
      <c r="I163" s="2591">
        <v>0</v>
      </c>
      <c r="J163" s="2591">
        <v>0</v>
      </c>
      <c r="K163" s="2639">
        <v>0</v>
      </c>
      <c r="L163" s="2591">
        <v>1912.4760914419999</v>
      </c>
      <c r="M163" s="2634">
        <v>691.08127268799944</v>
      </c>
      <c r="N163" s="2082"/>
      <c r="R163" s="2078"/>
      <c r="V163" s="2084"/>
      <c r="W163" s="2084"/>
      <c r="X163" s="2084"/>
      <c r="Y163" s="2084"/>
      <c r="Z163" s="2084"/>
      <c r="AA163" s="2084"/>
    </row>
    <row r="164" spans="1:27" ht="18" hidden="1" customHeight="1">
      <c r="A164" s="2007"/>
      <c r="B164" s="2080" t="s">
        <v>170</v>
      </c>
      <c r="C164" s="2595">
        <v>21993.960955737984</v>
      </c>
      <c r="D164" s="2591">
        <v>5941.3517798600005</v>
      </c>
      <c r="E164" s="2591">
        <v>13602.328074030002</v>
      </c>
      <c r="F164" s="2591">
        <v>409.82648675000002</v>
      </c>
      <c r="G164" s="2591">
        <v>0</v>
      </c>
      <c r="H164" s="2591">
        <v>0</v>
      </c>
      <c r="I164" s="2591">
        <v>0</v>
      </c>
      <c r="J164" s="2591">
        <v>0</v>
      </c>
      <c r="K164" s="2591">
        <v>0</v>
      </c>
      <c r="L164" s="2591">
        <v>2236.1393928053999</v>
      </c>
      <c r="M164" s="2634">
        <v>-195.68477770741811</v>
      </c>
      <c r="N164" s="2082"/>
      <c r="R164" s="2078"/>
      <c r="V164" s="2084"/>
      <c r="W164" s="2084"/>
      <c r="X164" s="2084"/>
      <c r="Y164" s="2084"/>
      <c r="Z164" s="2084"/>
      <c r="AA164" s="2084"/>
    </row>
    <row r="165" spans="1:27" ht="18" hidden="1" customHeight="1">
      <c r="A165" s="2007"/>
      <c r="B165" s="2080" t="s">
        <v>171</v>
      </c>
      <c r="C165" s="2595">
        <v>23356.354924911</v>
      </c>
      <c r="D165" s="2591">
        <v>6372.108943348001</v>
      </c>
      <c r="E165" s="2591">
        <v>14793.788640866003</v>
      </c>
      <c r="F165" s="2591">
        <v>421.34043502200007</v>
      </c>
      <c r="G165" s="2591">
        <v>0</v>
      </c>
      <c r="H165" s="2591">
        <v>0</v>
      </c>
      <c r="I165" s="2591">
        <v>0</v>
      </c>
      <c r="J165" s="2591">
        <v>0</v>
      </c>
      <c r="K165" s="2591">
        <v>0</v>
      </c>
      <c r="L165" s="2591">
        <v>2016.5019381755994</v>
      </c>
      <c r="M165" s="2634">
        <v>-247.38503250060603</v>
      </c>
      <c r="N165" s="2082"/>
      <c r="R165" s="2078"/>
      <c r="V165" s="2084"/>
      <c r="W165" s="2084"/>
      <c r="X165" s="2084"/>
      <c r="Y165" s="2084"/>
      <c r="Z165" s="2084"/>
      <c r="AA165" s="2084"/>
    </row>
    <row r="166" spans="1:27" ht="18" customHeight="1">
      <c r="A166" s="2007"/>
      <c r="B166" s="2079">
        <v>2011</v>
      </c>
      <c r="C166" s="2595">
        <v>22551.647561488997</v>
      </c>
      <c r="D166" s="2591">
        <v>6479.313867719</v>
      </c>
      <c r="E166" s="2591">
        <v>11240.272533690002</v>
      </c>
      <c r="F166" s="2591">
        <v>525.89112953999995</v>
      </c>
      <c r="G166" s="2591">
        <v>0</v>
      </c>
      <c r="H166" s="2591">
        <v>0</v>
      </c>
      <c r="I166" s="2591">
        <v>0</v>
      </c>
      <c r="J166" s="2591">
        <v>0</v>
      </c>
      <c r="K166" s="2591">
        <v>0</v>
      </c>
      <c r="L166" s="2591">
        <v>4077.9594035700002</v>
      </c>
      <c r="M166" s="2634">
        <v>228.21062696999434</v>
      </c>
      <c r="N166" s="2082"/>
      <c r="R166" s="2078"/>
      <c r="V166" s="2084"/>
      <c r="W166" s="2084"/>
      <c r="X166" s="2084"/>
      <c r="Y166" s="2084"/>
      <c r="Z166" s="2084"/>
      <c r="AA166" s="2084"/>
    </row>
    <row r="167" spans="1:27" ht="18" hidden="1" customHeight="1">
      <c r="A167" s="2007"/>
      <c r="B167" s="2079">
        <v>2012</v>
      </c>
      <c r="C167" s="2588"/>
      <c r="D167" s="2589"/>
      <c r="E167" s="2589"/>
      <c r="F167" s="2589"/>
      <c r="G167" s="2589"/>
      <c r="H167" s="2589"/>
      <c r="I167" s="2589"/>
      <c r="J167" s="2589"/>
      <c r="K167" s="2589"/>
      <c r="L167" s="2589"/>
      <c r="M167" s="4010"/>
      <c r="N167" s="2082"/>
      <c r="R167" s="2078"/>
      <c r="V167" s="2084"/>
      <c r="W167" s="2084"/>
      <c r="X167" s="2084"/>
      <c r="Y167" s="2084"/>
      <c r="Z167" s="2084"/>
      <c r="AA167" s="2084"/>
    </row>
    <row r="168" spans="1:27" ht="18" hidden="1" customHeight="1">
      <c r="A168" s="2007"/>
      <c r="B168" s="2080" t="s">
        <v>161</v>
      </c>
      <c r="C168" s="2595">
        <v>22988.029940086966</v>
      </c>
      <c r="D168" s="2591">
        <v>5189.86226489</v>
      </c>
      <c r="E168" s="2591">
        <v>12853.35289507</v>
      </c>
      <c r="F168" s="2591">
        <v>526.30907963000004</v>
      </c>
      <c r="G168" s="2591">
        <v>0</v>
      </c>
      <c r="H168" s="2591">
        <v>0</v>
      </c>
      <c r="I168" s="2591">
        <v>0</v>
      </c>
      <c r="J168" s="2591">
        <v>0</v>
      </c>
      <c r="K168" s="2591">
        <v>0</v>
      </c>
      <c r="L168" s="2591">
        <v>3936.0209054374759</v>
      </c>
      <c r="M168" s="2634">
        <v>482.48479505949217</v>
      </c>
      <c r="N168" s="2082"/>
      <c r="R168" s="2078"/>
      <c r="V168" s="2084"/>
      <c r="W168" s="2084"/>
      <c r="X168" s="2084"/>
      <c r="Y168" s="2084"/>
      <c r="Z168" s="2084"/>
      <c r="AA168" s="2084"/>
    </row>
    <row r="169" spans="1:27" ht="18" hidden="1" customHeight="1">
      <c r="A169" s="2007"/>
      <c r="B169" s="2080" t="s">
        <v>162</v>
      </c>
      <c r="C169" s="2595">
        <v>23631.033960315002</v>
      </c>
      <c r="D169" s="2591">
        <v>5355.1247182400002</v>
      </c>
      <c r="E169" s="2591">
        <v>13006.15029886</v>
      </c>
      <c r="F169" s="2591">
        <v>630.58371033999993</v>
      </c>
      <c r="G169" s="2591">
        <v>0</v>
      </c>
      <c r="H169" s="2591">
        <v>0</v>
      </c>
      <c r="I169" s="2591">
        <v>0</v>
      </c>
      <c r="J169" s="2591">
        <v>0</v>
      </c>
      <c r="K169" s="2591">
        <v>0</v>
      </c>
      <c r="L169" s="2591">
        <v>3950.2695814534059</v>
      </c>
      <c r="M169" s="2634">
        <v>688.90565142159539</v>
      </c>
      <c r="N169" s="2082"/>
      <c r="R169" s="2078"/>
      <c r="V169" s="2084"/>
      <c r="W169" s="2084"/>
      <c r="X169" s="2084"/>
      <c r="Y169" s="2084"/>
      <c r="Z169" s="2084"/>
      <c r="AA169" s="2084"/>
    </row>
    <row r="170" spans="1:27" ht="18" hidden="1" customHeight="1">
      <c r="A170" s="2007"/>
      <c r="B170" s="2080" t="s">
        <v>163</v>
      </c>
      <c r="C170" s="2595">
        <v>24495.931938059002</v>
      </c>
      <c r="D170" s="2591">
        <v>7934.8726189899999</v>
      </c>
      <c r="E170" s="2591">
        <v>10355.544213869998</v>
      </c>
      <c r="F170" s="2591">
        <v>775.05388452</v>
      </c>
      <c r="G170" s="2591">
        <v>0</v>
      </c>
      <c r="H170" s="2591">
        <v>0</v>
      </c>
      <c r="I170" s="2591">
        <v>0</v>
      </c>
      <c r="J170" s="2591">
        <v>0</v>
      </c>
      <c r="K170" s="2591">
        <v>0</v>
      </c>
      <c r="L170" s="2591">
        <v>3749.8361086964301</v>
      </c>
      <c r="M170" s="2634">
        <v>1680.6251119825756</v>
      </c>
      <c r="N170" s="2082"/>
      <c r="R170" s="2078"/>
      <c r="V170" s="2084"/>
      <c r="W170" s="2084"/>
      <c r="X170" s="2084"/>
      <c r="Y170" s="2084"/>
      <c r="Z170" s="2084"/>
      <c r="AA170" s="2084"/>
    </row>
    <row r="171" spans="1:27" ht="18" hidden="1" customHeight="1">
      <c r="A171" s="2005"/>
      <c r="B171" s="2080" t="s">
        <v>164</v>
      </c>
      <c r="C171" s="2595">
        <v>22553.605977297015</v>
      </c>
      <c r="D171" s="2591">
        <v>5363.1028870700002</v>
      </c>
      <c r="E171" s="2591">
        <v>10817.503901399999</v>
      </c>
      <c r="F171" s="2591">
        <v>805.91931281999985</v>
      </c>
      <c r="G171" s="2591">
        <v>0</v>
      </c>
      <c r="H171" s="2591">
        <v>0</v>
      </c>
      <c r="I171" s="2591">
        <v>0</v>
      </c>
      <c r="J171" s="2591">
        <v>0</v>
      </c>
      <c r="K171" s="2591">
        <v>0</v>
      </c>
      <c r="L171" s="2591">
        <v>3995.2740721320006</v>
      </c>
      <c r="M171" s="2634">
        <v>1571.8058038750169</v>
      </c>
      <c r="N171" s="2082"/>
      <c r="O171" s="2005"/>
      <c r="P171" s="2005"/>
      <c r="Q171" s="2005"/>
      <c r="R171" s="2007"/>
      <c r="V171" s="2084"/>
      <c r="W171" s="2084"/>
      <c r="X171" s="2084"/>
      <c r="Y171" s="2084"/>
      <c r="Z171" s="2084"/>
      <c r="AA171" s="2084"/>
    </row>
    <row r="172" spans="1:27" ht="18" hidden="1" customHeight="1">
      <c r="A172" s="2005"/>
      <c r="B172" s="2080" t="s">
        <v>165</v>
      </c>
      <c r="C172" s="2595">
        <v>22968.67705865109</v>
      </c>
      <c r="D172" s="2591">
        <v>5465.4165727900008</v>
      </c>
      <c r="E172" s="2591">
        <v>8936.9195225599997</v>
      </c>
      <c r="F172" s="2591">
        <v>858.9884079499999</v>
      </c>
      <c r="G172" s="2591">
        <v>0</v>
      </c>
      <c r="H172" s="2591">
        <v>0</v>
      </c>
      <c r="I172" s="2591">
        <v>0</v>
      </c>
      <c r="J172" s="2591">
        <v>0</v>
      </c>
      <c r="K172" s="2591">
        <v>0</v>
      </c>
      <c r="L172" s="2591">
        <v>4274.7262978838007</v>
      </c>
      <c r="M172" s="2634">
        <v>3432.6262574672874</v>
      </c>
      <c r="N172" s="2082"/>
      <c r="O172" s="2005"/>
      <c r="P172" s="2005"/>
      <c r="Q172" s="2005"/>
      <c r="R172" s="2007"/>
      <c r="V172" s="2084"/>
      <c r="W172" s="2084"/>
      <c r="X172" s="2084"/>
      <c r="Y172" s="2084"/>
      <c r="Z172" s="2084"/>
      <c r="AA172" s="2084"/>
    </row>
    <row r="173" spans="1:27" s="2005" customFormat="1" ht="18" hidden="1" customHeight="1">
      <c r="B173" s="2080" t="s">
        <v>166</v>
      </c>
      <c r="C173" s="2595">
        <v>21102.676228828001</v>
      </c>
      <c r="D173" s="2591">
        <v>5463.3249778600002</v>
      </c>
      <c r="E173" s="2591">
        <v>8865.9920807400013</v>
      </c>
      <c r="F173" s="2591">
        <v>897.38026667999998</v>
      </c>
      <c r="G173" s="2591">
        <v>0</v>
      </c>
      <c r="H173" s="2591">
        <v>0</v>
      </c>
      <c r="I173" s="2591">
        <v>0</v>
      </c>
      <c r="J173" s="2591">
        <v>0</v>
      </c>
      <c r="K173" s="2591">
        <v>0</v>
      </c>
      <c r="L173" s="2591">
        <v>4345.9006591595635</v>
      </c>
      <c r="M173" s="2634">
        <v>1530.0782443884345</v>
      </c>
      <c r="N173" s="2082"/>
      <c r="R173" s="2007"/>
      <c r="V173" s="2067"/>
      <c r="W173" s="2067"/>
      <c r="X173" s="2067"/>
      <c r="Y173" s="2067"/>
      <c r="Z173" s="2067"/>
      <c r="AA173" s="2067"/>
    </row>
    <row r="174" spans="1:27" s="2005" customFormat="1" ht="18" hidden="1" customHeight="1">
      <c r="B174" s="2080" t="s">
        <v>167</v>
      </c>
      <c r="C174" s="2595">
        <v>21036.540685679924</v>
      </c>
      <c r="D174" s="2591">
        <v>4930.1109908299995</v>
      </c>
      <c r="E174" s="2591">
        <v>9019.6593266399996</v>
      </c>
      <c r="F174" s="2591">
        <v>722.22950695999987</v>
      </c>
      <c r="G174" s="2591">
        <v>0</v>
      </c>
      <c r="H174" s="2591">
        <v>0</v>
      </c>
      <c r="I174" s="2591">
        <v>0</v>
      </c>
      <c r="J174" s="2591">
        <v>0</v>
      </c>
      <c r="K174" s="2591">
        <v>0</v>
      </c>
      <c r="L174" s="2591">
        <v>4289.3383889100005</v>
      </c>
      <c r="M174" s="2634">
        <v>2075.2024723399227</v>
      </c>
      <c r="N174" s="2082"/>
      <c r="R174" s="2007"/>
      <c r="V174" s="2067"/>
      <c r="W174" s="2067"/>
      <c r="X174" s="2067"/>
      <c r="Y174" s="2067"/>
      <c r="Z174" s="2067"/>
      <c r="AA174" s="2067"/>
    </row>
    <row r="175" spans="1:27" s="2005" customFormat="1" ht="18" hidden="1" customHeight="1">
      <c r="B175" s="2080" t="s">
        <v>168</v>
      </c>
      <c r="C175" s="2595">
        <v>21056.004967313027</v>
      </c>
      <c r="D175" s="2591">
        <v>5024.2415528599995</v>
      </c>
      <c r="E175" s="2591">
        <v>9431.6243426299989</v>
      </c>
      <c r="F175" s="2591">
        <v>631.89110423000011</v>
      </c>
      <c r="G175" s="2591">
        <v>0</v>
      </c>
      <c r="H175" s="2591">
        <v>0</v>
      </c>
      <c r="I175" s="2591">
        <v>0</v>
      </c>
      <c r="J175" s="2591">
        <v>0</v>
      </c>
      <c r="K175" s="2591">
        <v>0</v>
      </c>
      <c r="L175" s="2591">
        <v>4458.1150151604897</v>
      </c>
      <c r="M175" s="2634">
        <v>1510.1329524325374</v>
      </c>
      <c r="N175" s="2082"/>
      <c r="R175" s="2007"/>
      <c r="V175" s="2067"/>
      <c r="W175" s="2067"/>
      <c r="X175" s="2067"/>
      <c r="Y175" s="2067"/>
      <c r="Z175" s="2067"/>
      <c r="AA175" s="2067"/>
    </row>
    <row r="176" spans="1:27" ht="18" hidden="1" customHeight="1">
      <c r="A176" s="2005"/>
      <c r="B176" s="2080" t="s">
        <v>169</v>
      </c>
      <c r="C176" s="2595">
        <v>22306.931334300047</v>
      </c>
      <c r="D176" s="2591">
        <v>5254.0480961200001</v>
      </c>
      <c r="E176" s="2591">
        <v>10465.550414679999</v>
      </c>
      <c r="F176" s="2591">
        <v>636.52178409999999</v>
      </c>
      <c r="G176" s="2591">
        <v>0</v>
      </c>
      <c r="H176" s="2591">
        <v>0</v>
      </c>
      <c r="I176" s="2591">
        <v>0</v>
      </c>
      <c r="J176" s="2591">
        <v>0</v>
      </c>
      <c r="K176" s="2591">
        <v>0</v>
      </c>
      <c r="L176" s="2591">
        <v>4330.5974303789562</v>
      </c>
      <c r="M176" s="2638">
        <v>1620.2136090210915</v>
      </c>
      <c r="N176" s="2082"/>
      <c r="R176" s="2078"/>
      <c r="V176" s="2084"/>
      <c r="W176" s="2084"/>
      <c r="X176" s="2084"/>
      <c r="Y176" s="2084"/>
      <c r="Z176" s="2084"/>
      <c r="AA176" s="2084"/>
    </row>
    <row r="177" spans="1:27" ht="18" hidden="1" customHeight="1">
      <c r="A177" s="2005"/>
      <c r="B177" s="2080" t="s">
        <v>170</v>
      </c>
      <c r="C177" s="2595">
        <v>22814.765948770022</v>
      </c>
      <c r="D177" s="2591">
        <v>5858.7293505300004</v>
      </c>
      <c r="E177" s="2591">
        <v>11849.233523500001</v>
      </c>
      <c r="F177" s="2591">
        <v>634.08365671999991</v>
      </c>
      <c r="G177" s="2591">
        <v>0</v>
      </c>
      <c r="H177" s="2591">
        <v>0</v>
      </c>
      <c r="I177" s="2591">
        <v>0</v>
      </c>
      <c r="J177" s="2591">
        <v>0</v>
      </c>
      <c r="K177" s="2591">
        <v>0</v>
      </c>
      <c r="L177" s="2591">
        <v>4290.6388039941367</v>
      </c>
      <c r="M177" s="2638">
        <v>182.08061402588282</v>
      </c>
      <c r="N177" s="2082"/>
      <c r="R177" s="2078"/>
      <c r="V177" s="2084"/>
      <c r="W177" s="2084"/>
      <c r="X177" s="2084"/>
      <c r="Y177" s="2084"/>
      <c r="Z177" s="2084"/>
      <c r="AA177" s="2084"/>
    </row>
    <row r="178" spans="1:27" ht="18" hidden="1" customHeight="1">
      <c r="A178" s="2005"/>
      <c r="B178" s="2080" t="s">
        <v>171</v>
      </c>
      <c r="C178" s="2595">
        <v>23920.884976430036</v>
      </c>
      <c r="D178" s="2591">
        <v>5582.0312071300013</v>
      </c>
      <c r="E178" s="2591">
        <v>13366.124475670002</v>
      </c>
      <c r="F178" s="2591">
        <v>615.43950462999999</v>
      </c>
      <c r="G178" s="2591">
        <v>0</v>
      </c>
      <c r="H178" s="2591">
        <v>0</v>
      </c>
      <c r="I178" s="2591">
        <v>0</v>
      </c>
      <c r="J178" s="2591">
        <v>0</v>
      </c>
      <c r="K178" s="2591">
        <v>0</v>
      </c>
      <c r="L178" s="2591">
        <v>4350.3701832031566</v>
      </c>
      <c r="M178" s="2638">
        <v>6.9196057968765672</v>
      </c>
      <c r="N178" s="2082"/>
      <c r="R178" s="2078"/>
      <c r="V178" s="2084"/>
      <c r="W178" s="2084"/>
      <c r="X178" s="2084"/>
      <c r="Y178" s="2084"/>
      <c r="Z178" s="2084"/>
      <c r="AA178" s="2084"/>
    </row>
    <row r="179" spans="1:27" ht="18" customHeight="1">
      <c r="A179" s="2005"/>
      <c r="B179" s="2079">
        <v>2012</v>
      </c>
      <c r="C179" s="2595">
        <v>25489.899699886959</v>
      </c>
      <c r="D179" s="2591">
        <v>5309.3875091800001</v>
      </c>
      <c r="E179" s="2591">
        <v>11715.854094260001</v>
      </c>
      <c r="F179" s="2591">
        <v>690.66922680999994</v>
      </c>
      <c r="G179" s="2591">
        <v>0</v>
      </c>
      <c r="H179" s="2591">
        <v>0</v>
      </c>
      <c r="I179" s="2591">
        <v>0</v>
      </c>
      <c r="J179" s="2591">
        <v>0</v>
      </c>
      <c r="K179" s="2591">
        <v>0</v>
      </c>
      <c r="L179" s="2591">
        <v>6087.9905889524998</v>
      </c>
      <c r="M179" s="2638">
        <v>1685.9982806844564</v>
      </c>
      <c r="N179" s="2082"/>
      <c r="R179" s="2078"/>
      <c r="V179" s="2084"/>
      <c r="W179" s="2084"/>
      <c r="X179" s="2084"/>
      <c r="Y179" s="2084"/>
      <c r="Z179" s="2084"/>
      <c r="AA179" s="2084"/>
    </row>
    <row r="180" spans="1:27" ht="18" customHeight="1">
      <c r="A180" s="2005"/>
      <c r="B180" s="4011">
        <v>2013</v>
      </c>
      <c r="C180" s="2595"/>
      <c r="D180" s="2591"/>
      <c r="E180" s="2591"/>
      <c r="F180" s="2591"/>
      <c r="G180" s="2591"/>
      <c r="H180" s="2591"/>
      <c r="I180" s="2591"/>
      <c r="J180" s="2591"/>
      <c r="K180" s="2591"/>
      <c r="L180" s="2591"/>
      <c r="M180" s="2638"/>
      <c r="N180" s="2082"/>
      <c r="R180" s="2078"/>
      <c r="V180" s="2084"/>
      <c r="W180" s="2084"/>
      <c r="X180" s="2084"/>
      <c r="Y180" s="2084"/>
      <c r="Z180" s="2084"/>
      <c r="AA180" s="2084"/>
    </row>
    <row r="181" spans="1:27" ht="18" customHeight="1">
      <c r="A181" s="2005"/>
      <c r="B181" s="2080" t="s">
        <v>161</v>
      </c>
      <c r="C181" s="2595">
        <v>25593.329861010032</v>
      </c>
      <c r="D181" s="2591">
        <v>5540.0448363900014</v>
      </c>
      <c r="E181" s="2591">
        <v>11844.74249882</v>
      </c>
      <c r="F181" s="2591">
        <v>710.71953716999997</v>
      </c>
      <c r="G181" s="2591">
        <v>0</v>
      </c>
      <c r="H181" s="2591">
        <v>0</v>
      </c>
      <c r="I181" s="2591">
        <v>0</v>
      </c>
      <c r="J181" s="2591">
        <v>0</v>
      </c>
      <c r="K181" s="2591">
        <v>0</v>
      </c>
      <c r="L181" s="2591">
        <v>5998.28668965</v>
      </c>
      <c r="M181" s="2638">
        <v>1499.5362989800342</v>
      </c>
      <c r="N181" s="2082"/>
      <c r="R181" s="2078"/>
      <c r="V181" s="2084"/>
      <c r="W181" s="2084"/>
      <c r="X181" s="2084"/>
      <c r="Y181" s="2084"/>
      <c r="Z181" s="2084"/>
      <c r="AA181" s="2084"/>
    </row>
    <row r="182" spans="1:27" ht="18" customHeight="1">
      <c r="A182" s="2005"/>
      <c r="B182" s="2080" t="s">
        <v>162</v>
      </c>
      <c r="C182" s="2595">
        <v>25959.399735119943</v>
      </c>
      <c r="D182" s="2591">
        <v>5661.0886896800002</v>
      </c>
      <c r="E182" s="2591">
        <v>11846.14651427</v>
      </c>
      <c r="F182" s="2591">
        <v>722.98376765</v>
      </c>
      <c r="G182" s="2591">
        <v>0</v>
      </c>
      <c r="H182" s="2591">
        <v>0</v>
      </c>
      <c r="I182" s="2591">
        <v>0</v>
      </c>
      <c r="J182" s="2591">
        <v>0</v>
      </c>
      <c r="K182" s="2591">
        <v>0</v>
      </c>
      <c r="L182" s="2591">
        <v>5992.1463900599992</v>
      </c>
      <c r="M182" s="2638">
        <v>1737.0343734599446</v>
      </c>
      <c r="N182" s="2082"/>
      <c r="R182" s="2078"/>
      <c r="V182" s="2084"/>
      <c r="W182" s="2084"/>
      <c r="X182" s="2084"/>
      <c r="Y182" s="2084"/>
      <c r="Z182" s="2084"/>
      <c r="AA182" s="2084"/>
    </row>
    <row r="183" spans="1:27" ht="18" customHeight="1">
      <c r="A183" s="2005"/>
      <c r="B183" s="2388" t="s">
        <v>163</v>
      </c>
      <c r="C183" s="2592">
        <v>26165.341307059971</v>
      </c>
      <c r="D183" s="2597">
        <v>6573.0011766000007</v>
      </c>
      <c r="E183" s="2597">
        <v>11648.554866730001</v>
      </c>
      <c r="F183" s="2597">
        <v>664.15531936000002</v>
      </c>
      <c r="G183" s="2597">
        <v>0</v>
      </c>
      <c r="H183" s="2597">
        <v>0</v>
      </c>
      <c r="I183" s="2597">
        <v>0</v>
      </c>
      <c r="J183" s="2597">
        <v>0</v>
      </c>
      <c r="K183" s="2597">
        <v>0</v>
      </c>
      <c r="L183" s="2597">
        <v>5780.1248966099984</v>
      </c>
      <c r="M183" s="2597">
        <v>1499.5050477599689</v>
      </c>
      <c r="N183" s="2082"/>
      <c r="V183" s="2084"/>
      <c r="W183" s="2084"/>
      <c r="X183" s="2084"/>
      <c r="Y183" s="2084"/>
      <c r="Z183" s="2084"/>
      <c r="AA183" s="2084"/>
    </row>
    <row r="184" spans="1:27" ht="18" customHeight="1">
      <c r="A184" s="2005"/>
      <c r="B184" s="2388" t="s">
        <v>164</v>
      </c>
      <c r="C184" s="2592">
        <v>22985.438597739983</v>
      </c>
      <c r="D184" s="2597">
        <v>6040.9622217400001</v>
      </c>
      <c r="E184" s="2597">
        <v>9769.6623449500003</v>
      </c>
      <c r="F184" s="2597">
        <v>695.22310505000007</v>
      </c>
      <c r="G184" s="2597">
        <v>0</v>
      </c>
      <c r="H184" s="2597">
        <v>0</v>
      </c>
      <c r="I184" s="2597">
        <v>0</v>
      </c>
      <c r="J184" s="2597">
        <v>0</v>
      </c>
      <c r="K184" s="2597">
        <v>0</v>
      </c>
      <c r="L184" s="2597">
        <v>5978.6323880199998</v>
      </c>
      <c r="M184" s="2597">
        <v>500.95853797998279</v>
      </c>
      <c r="N184" s="2082"/>
      <c r="V184" s="2084"/>
      <c r="W184" s="2084"/>
      <c r="X184" s="2084"/>
      <c r="Y184" s="2084"/>
      <c r="Z184" s="2084"/>
      <c r="AA184" s="2084"/>
    </row>
    <row r="185" spans="1:27" ht="18" customHeight="1">
      <c r="A185" s="2005"/>
      <c r="B185" s="2388" t="s">
        <v>165</v>
      </c>
      <c r="C185" s="2592">
        <v>22400.714344320939</v>
      </c>
      <c r="D185" s="2597">
        <v>5901.6727852200002</v>
      </c>
      <c r="E185" s="2597">
        <v>9469.0826629000003</v>
      </c>
      <c r="F185" s="2597">
        <v>677.83552893000012</v>
      </c>
      <c r="G185" s="2597">
        <v>0</v>
      </c>
      <c r="H185" s="2597">
        <v>0</v>
      </c>
      <c r="I185" s="2597">
        <v>0</v>
      </c>
      <c r="J185" s="2597">
        <v>0</v>
      </c>
      <c r="K185" s="2597">
        <v>0</v>
      </c>
      <c r="L185" s="2597">
        <v>5786.14329417099</v>
      </c>
      <c r="M185" s="2597">
        <v>565.98007309994864</v>
      </c>
      <c r="N185" s="2082"/>
      <c r="V185" s="2084"/>
      <c r="W185" s="2084"/>
      <c r="X185" s="2084"/>
      <c r="Y185" s="2084"/>
      <c r="Z185" s="2084"/>
      <c r="AA185" s="2084"/>
    </row>
    <row r="186" spans="1:27" ht="18" customHeight="1">
      <c r="A186" s="2005"/>
      <c r="B186" s="2765" t="s">
        <v>166</v>
      </c>
      <c r="C186" s="2755">
        <v>21768.059821421</v>
      </c>
      <c r="D186" s="2757">
        <v>5849.0521293900001</v>
      </c>
      <c r="E186" s="2757">
        <v>9691.3273789200011</v>
      </c>
      <c r="F186" s="2757">
        <v>494.10753489000001</v>
      </c>
      <c r="G186" s="2757">
        <v>0</v>
      </c>
      <c r="H186" s="2757">
        <v>0</v>
      </c>
      <c r="I186" s="2757">
        <v>0</v>
      </c>
      <c r="J186" s="2757">
        <v>0</v>
      </c>
      <c r="K186" s="2757">
        <v>0</v>
      </c>
      <c r="L186" s="2757">
        <v>6097.6849255389006</v>
      </c>
      <c r="M186" s="2757">
        <v>-364.11214731790096</v>
      </c>
      <c r="N186" s="2082"/>
      <c r="V186" s="2084"/>
      <c r="W186" s="2084"/>
      <c r="X186" s="2084"/>
      <c r="Y186" s="2084"/>
      <c r="Z186" s="2084"/>
      <c r="AA186" s="2084"/>
    </row>
    <row r="187" spans="1:27" ht="18" customHeight="1">
      <c r="A187" s="2005"/>
      <c r="B187" s="2765" t="s">
        <v>167</v>
      </c>
      <c r="C187" s="2755">
        <v>23153.531585751967</v>
      </c>
      <c r="D187" s="2757">
        <v>6139.6610349400007</v>
      </c>
      <c r="E187" s="2757">
        <v>9589.2680305500016</v>
      </c>
      <c r="F187" s="2757">
        <v>531.4148211800001</v>
      </c>
      <c r="G187" s="2757">
        <v>0</v>
      </c>
      <c r="H187" s="2757">
        <v>0</v>
      </c>
      <c r="I187" s="2757">
        <v>0</v>
      </c>
      <c r="J187" s="2757">
        <v>0</v>
      </c>
      <c r="K187" s="2757">
        <v>0</v>
      </c>
      <c r="L187" s="2757">
        <v>6070.8848591436254</v>
      </c>
      <c r="M187" s="2757">
        <v>822.30283993834018</v>
      </c>
      <c r="N187" s="2082"/>
      <c r="V187" s="2084"/>
      <c r="W187" s="2084"/>
      <c r="X187" s="2084"/>
      <c r="Y187" s="2084"/>
      <c r="Z187" s="2084"/>
      <c r="AA187" s="2084"/>
    </row>
    <row r="188" spans="1:27" ht="18" customHeight="1">
      <c r="A188" s="2005"/>
      <c r="B188" s="2765" t="s">
        <v>168</v>
      </c>
      <c r="C188" s="2755">
        <v>23217.059542549981</v>
      </c>
      <c r="D188" s="2757">
        <v>6462.5369164800004</v>
      </c>
      <c r="E188" s="2757">
        <v>9415.4864858600013</v>
      </c>
      <c r="F188" s="2757">
        <v>401.46620641000004</v>
      </c>
      <c r="G188" s="2757">
        <v>0</v>
      </c>
      <c r="H188" s="2757">
        <v>0</v>
      </c>
      <c r="I188" s="2757">
        <v>0</v>
      </c>
      <c r="J188" s="2757">
        <v>0</v>
      </c>
      <c r="K188" s="2757">
        <v>0</v>
      </c>
      <c r="L188" s="2757">
        <v>6076.2030924400005</v>
      </c>
      <c r="M188" s="2757">
        <v>861.36684135998075</v>
      </c>
      <c r="N188" s="2005"/>
      <c r="V188" s="2084"/>
      <c r="W188" s="2084"/>
      <c r="X188" s="2084"/>
      <c r="Y188" s="2084"/>
      <c r="Z188" s="2084"/>
      <c r="AA188" s="2084"/>
    </row>
    <row r="189" spans="1:27" ht="18" customHeight="1">
      <c r="A189" s="2005"/>
      <c r="B189" s="2765" t="s">
        <v>169</v>
      </c>
      <c r="C189" s="2755">
        <v>24180.266380320016</v>
      </c>
      <c r="D189" s="2757">
        <v>6958.0050613499989</v>
      </c>
      <c r="E189" s="2757">
        <v>9409.7610979600013</v>
      </c>
      <c r="F189" s="2757">
        <v>384.85139888999998</v>
      </c>
      <c r="G189" s="2757">
        <v>0</v>
      </c>
      <c r="H189" s="2757">
        <v>0</v>
      </c>
      <c r="I189" s="2757">
        <v>0</v>
      </c>
      <c r="J189" s="2757">
        <v>0</v>
      </c>
      <c r="K189" s="2757">
        <v>0</v>
      </c>
      <c r="L189" s="2757">
        <v>6042.2696835646248</v>
      </c>
      <c r="M189" s="2757">
        <v>1385.3791385553923</v>
      </c>
      <c r="N189" s="2005"/>
      <c r="V189" s="2084"/>
      <c r="W189" s="2084"/>
      <c r="X189" s="2084"/>
      <c r="Y189" s="2084"/>
      <c r="Z189" s="2084"/>
      <c r="AA189" s="2084"/>
    </row>
    <row r="190" spans="1:27" ht="18" customHeight="1">
      <c r="A190" s="2005"/>
      <c r="B190" s="2765" t="s">
        <v>170</v>
      </c>
      <c r="C190" s="2755">
        <v>23220.996497279997</v>
      </c>
      <c r="D190" s="2757">
        <v>6936.543481069999</v>
      </c>
      <c r="E190" s="2757">
        <v>9043.4578411700004</v>
      </c>
      <c r="F190" s="2757">
        <v>417.63924151000003</v>
      </c>
      <c r="G190" s="2757">
        <v>0</v>
      </c>
      <c r="H190" s="2757">
        <v>0</v>
      </c>
      <c r="I190" s="2757">
        <v>0</v>
      </c>
      <c r="J190" s="2757">
        <v>0</v>
      </c>
      <c r="K190" s="2757">
        <v>0</v>
      </c>
      <c r="L190" s="2757">
        <v>6051.2874980469014</v>
      </c>
      <c r="M190" s="2757">
        <v>772.06843548309553</v>
      </c>
      <c r="N190" s="2005"/>
      <c r="V190" s="2084"/>
      <c r="W190" s="2084"/>
      <c r="X190" s="2084"/>
      <c r="Y190" s="2084"/>
      <c r="Z190" s="2084"/>
      <c r="AA190" s="2084"/>
    </row>
    <row r="191" spans="1:27" ht="18" customHeight="1">
      <c r="A191" s="2005"/>
      <c r="B191" s="2765" t="s">
        <v>171</v>
      </c>
      <c r="C191" s="2755">
        <v>23198.587384530023</v>
      </c>
      <c r="D191" s="2757">
        <v>6826.5534092899998</v>
      </c>
      <c r="E191" s="2757">
        <v>9324.2489491199995</v>
      </c>
      <c r="F191" s="2757">
        <v>385.74080116000005</v>
      </c>
      <c r="G191" s="2757">
        <v>0</v>
      </c>
      <c r="H191" s="2757">
        <v>0</v>
      </c>
      <c r="I191" s="2757">
        <v>0</v>
      </c>
      <c r="J191" s="2757">
        <v>0</v>
      </c>
      <c r="K191" s="2757">
        <v>0</v>
      </c>
      <c r="L191" s="2757">
        <v>6074.9771390400001</v>
      </c>
      <c r="M191" s="2757">
        <v>587.06708592002542</v>
      </c>
      <c r="N191" s="2005"/>
      <c r="V191" s="2084"/>
      <c r="W191" s="2084"/>
      <c r="X191" s="2084"/>
      <c r="Y191" s="2084"/>
      <c r="Z191" s="2084"/>
      <c r="AA191" s="2084"/>
    </row>
    <row r="192" spans="1:27" ht="18" customHeight="1">
      <c r="A192" s="2005"/>
      <c r="B192" s="2765" t="s">
        <v>148</v>
      </c>
      <c r="C192" s="2755">
        <v>24085.957186649961</v>
      </c>
      <c r="D192" s="2757">
        <v>6478.4833770200003</v>
      </c>
      <c r="E192" s="2757">
        <v>9424.5305887300001</v>
      </c>
      <c r="F192" s="2757">
        <v>542.71648078999999</v>
      </c>
      <c r="G192" s="2757">
        <v>0</v>
      </c>
      <c r="H192" s="2757">
        <v>0</v>
      </c>
      <c r="I192" s="2757">
        <v>0</v>
      </c>
      <c r="J192" s="2757">
        <v>0</v>
      </c>
      <c r="K192" s="2757">
        <v>0</v>
      </c>
      <c r="L192" s="2757">
        <v>6264.7671868085017</v>
      </c>
      <c r="M192" s="2757">
        <v>1375.4595533014581</v>
      </c>
      <c r="N192" s="2005"/>
      <c r="V192" s="2084"/>
      <c r="W192" s="2084"/>
      <c r="X192" s="2084"/>
      <c r="Y192" s="2084"/>
      <c r="Z192" s="2084"/>
      <c r="AA192" s="2084"/>
    </row>
    <row r="193" spans="1:27" ht="18" customHeight="1">
      <c r="A193" s="2005"/>
      <c r="B193" s="2918">
        <v>2014</v>
      </c>
      <c r="C193" s="2755"/>
      <c r="D193" s="2757"/>
      <c r="E193" s="2757"/>
      <c r="F193" s="2757"/>
      <c r="G193" s="2757"/>
      <c r="H193" s="2757"/>
      <c r="I193" s="2757"/>
      <c r="J193" s="2757"/>
      <c r="K193" s="2757"/>
      <c r="L193" s="2757"/>
      <c r="M193" s="2757"/>
      <c r="N193" s="2005"/>
      <c r="V193" s="2084"/>
      <c r="W193" s="2084"/>
      <c r="X193" s="2084"/>
      <c r="Y193" s="2084"/>
      <c r="Z193" s="2084"/>
      <c r="AA193" s="2084"/>
    </row>
    <row r="194" spans="1:27" ht="18" customHeight="1">
      <c r="A194" s="2005"/>
      <c r="B194" s="2765" t="s">
        <v>161</v>
      </c>
      <c r="C194" s="2755">
        <v>24277.067458130001</v>
      </c>
      <c r="D194" s="2757">
        <v>6601.2928639000002</v>
      </c>
      <c r="E194" s="2757">
        <v>9159.4396901300006</v>
      </c>
      <c r="F194" s="2757">
        <v>511.47844479000008</v>
      </c>
      <c r="G194" s="2757">
        <v>0</v>
      </c>
      <c r="H194" s="2757">
        <v>0</v>
      </c>
      <c r="I194" s="2757">
        <v>0</v>
      </c>
      <c r="J194" s="2757">
        <v>0</v>
      </c>
      <c r="K194" s="2757">
        <v>0</v>
      </c>
      <c r="L194" s="2757">
        <v>6304.7776846100005</v>
      </c>
      <c r="M194" s="2757">
        <v>1700.0787746999995</v>
      </c>
      <c r="N194" s="2005"/>
      <c r="V194" s="2084"/>
      <c r="W194" s="2084"/>
      <c r="X194" s="2084"/>
      <c r="Y194" s="2084"/>
      <c r="Z194" s="2084"/>
      <c r="AA194" s="2084"/>
    </row>
    <row r="195" spans="1:27" ht="18" customHeight="1">
      <c r="A195" s="2005"/>
      <c r="B195" s="2765" t="s">
        <v>162</v>
      </c>
      <c r="C195" s="2755">
        <v>24898.906916060034</v>
      </c>
      <c r="D195" s="2757">
        <v>6808.0314028599996</v>
      </c>
      <c r="E195" s="2757">
        <v>9954.1210264900001</v>
      </c>
      <c r="F195" s="2757">
        <v>655.53022601999999</v>
      </c>
      <c r="G195" s="2757">
        <v>0</v>
      </c>
      <c r="H195" s="2757">
        <v>0</v>
      </c>
      <c r="I195" s="2757">
        <v>0</v>
      </c>
      <c r="J195" s="2757">
        <v>0</v>
      </c>
      <c r="K195" s="2757">
        <v>0</v>
      </c>
      <c r="L195" s="2757">
        <v>6285.5768795600006</v>
      </c>
      <c r="M195" s="2757">
        <v>1195.6473811300311</v>
      </c>
      <c r="N195" s="2005"/>
      <c r="V195" s="2084"/>
      <c r="W195" s="2084"/>
      <c r="X195" s="2084"/>
      <c r="Y195" s="2084"/>
      <c r="Z195" s="2084"/>
      <c r="AA195" s="2084"/>
    </row>
    <row r="196" spans="1:27" ht="18" customHeight="1">
      <c r="A196" s="2005"/>
      <c r="B196" s="2765" t="s">
        <v>163</v>
      </c>
      <c r="C196" s="2755">
        <v>25197.263849070001</v>
      </c>
      <c r="D196" s="2757">
        <v>7262.2537035100004</v>
      </c>
      <c r="E196" s="2757">
        <v>9723.9731628000009</v>
      </c>
      <c r="F196" s="2757">
        <v>637.61317991999999</v>
      </c>
      <c r="G196" s="2757">
        <v>0</v>
      </c>
      <c r="H196" s="2757">
        <v>0</v>
      </c>
      <c r="I196" s="2757">
        <v>0</v>
      </c>
      <c r="J196" s="2757">
        <v>0</v>
      </c>
      <c r="K196" s="2757">
        <v>0</v>
      </c>
      <c r="L196" s="2757">
        <v>6265.4706665799995</v>
      </c>
      <c r="M196" s="2757">
        <v>1307.9531362599992</v>
      </c>
      <c r="N196" s="2005"/>
      <c r="V196" s="2084"/>
      <c r="W196" s="2084"/>
      <c r="X196" s="2084"/>
      <c r="Y196" s="2084"/>
      <c r="Z196" s="2084"/>
      <c r="AA196" s="2084"/>
    </row>
    <row r="197" spans="1:27" ht="18" customHeight="1">
      <c r="A197" s="2005"/>
      <c r="B197" s="2765" t="s">
        <v>164</v>
      </c>
      <c r="C197" s="2755">
        <v>24881.731996011</v>
      </c>
      <c r="D197" s="2757">
        <v>7426.4584459200014</v>
      </c>
      <c r="E197" s="2757">
        <v>9877.469924680001</v>
      </c>
      <c r="F197" s="2757">
        <v>674.14197394000007</v>
      </c>
      <c r="G197" s="2757">
        <v>0</v>
      </c>
      <c r="H197" s="2757">
        <v>0</v>
      </c>
      <c r="I197" s="2757">
        <v>0</v>
      </c>
      <c r="J197" s="2757">
        <v>0</v>
      </c>
      <c r="K197" s="2757">
        <v>0</v>
      </c>
      <c r="L197" s="2757">
        <v>6743.9369284599998</v>
      </c>
      <c r="M197" s="2757">
        <v>159.72472301099697</v>
      </c>
      <c r="N197" s="2005"/>
      <c r="V197" s="2084"/>
      <c r="W197" s="2084"/>
      <c r="X197" s="2084"/>
      <c r="Y197" s="2084"/>
      <c r="Z197" s="2084"/>
      <c r="AA197" s="2084"/>
    </row>
    <row r="198" spans="1:27" ht="18" customHeight="1">
      <c r="A198" s="2005"/>
      <c r="B198" s="2765" t="s">
        <v>165</v>
      </c>
      <c r="C198" s="2755">
        <v>23537.921628999968</v>
      </c>
      <c r="D198" s="2757">
        <v>7593.8269398699995</v>
      </c>
      <c r="E198" s="2757">
        <v>8861.6722125199994</v>
      </c>
      <c r="F198" s="2757">
        <v>693.95915638000008</v>
      </c>
      <c r="G198" s="2757">
        <v>0</v>
      </c>
      <c r="H198" s="2757">
        <v>0</v>
      </c>
      <c r="I198" s="2757">
        <v>0</v>
      </c>
      <c r="J198" s="2757">
        <v>0</v>
      </c>
      <c r="K198" s="2757">
        <v>0</v>
      </c>
      <c r="L198" s="2757">
        <v>6748.7288608199997</v>
      </c>
      <c r="M198" s="2757">
        <v>-360.26554059002956</v>
      </c>
      <c r="N198" s="2005"/>
      <c r="V198" s="2084"/>
      <c r="W198" s="2084"/>
      <c r="X198" s="2084"/>
      <c r="Y198" s="2084"/>
      <c r="Z198" s="2084"/>
      <c r="AA198" s="2084"/>
    </row>
    <row r="199" spans="1:27" ht="18" customHeight="1">
      <c r="A199" s="2005"/>
      <c r="B199" s="2765" t="s">
        <v>166</v>
      </c>
      <c r="C199" s="2755">
        <v>21684.239261070001</v>
      </c>
      <c r="D199" s="2757">
        <v>7207.1524531619989</v>
      </c>
      <c r="E199" s="2757">
        <v>7996.1646140499997</v>
      </c>
      <c r="F199" s="2757">
        <v>438.10019033000003</v>
      </c>
      <c r="G199" s="2757">
        <v>0</v>
      </c>
      <c r="H199" s="2757">
        <v>0</v>
      </c>
      <c r="I199" s="2757">
        <v>0</v>
      </c>
      <c r="J199" s="2757">
        <v>0</v>
      </c>
      <c r="K199" s="2757">
        <v>0</v>
      </c>
      <c r="L199" s="2757">
        <v>6747.3627789299999</v>
      </c>
      <c r="M199" s="2757">
        <v>-704.54077540199796</v>
      </c>
      <c r="N199" s="2005"/>
      <c r="V199" s="2084"/>
      <c r="W199" s="2084"/>
      <c r="X199" s="2084"/>
      <c r="Y199" s="2084"/>
      <c r="Z199" s="2084"/>
      <c r="AA199" s="2084"/>
    </row>
    <row r="200" spans="1:27" ht="18" customHeight="1">
      <c r="A200" s="2005"/>
      <c r="B200" s="2765" t="s">
        <v>167</v>
      </c>
      <c r="C200" s="2755">
        <v>23083.225722503972</v>
      </c>
      <c r="D200" s="2757">
        <v>7728.7899131639997</v>
      </c>
      <c r="E200" s="2757">
        <v>6520.1232182500007</v>
      </c>
      <c r="F200" s="2757">
        <v>416.79705227000005</v>
      </c>
      <c r="G200" s="2757">
        <v>0</v>
      </c>
      <c r="H200" s="2757">
        <v>0</v>
      </c>
      <c r="I200" s="2757">
        <v>0</v>
      </c>
      <c r="J200" s="2757">
        <v>0</v>
      </c>
      <c r="K200" s="2757">
        <v>0</v>
      </c>
      <c r="L200" s="2757">
        <v>6748.4728057699995</v>
      </c>
      <c r="M200" s="2757">
        <v>1669.0427330499733</v>
      </c>
      <c r="N200" s="2005"/>
      <c r="V200" s="2084"/>
      <c r="W200" s="2084"/>
      <c r="X200" s="2084"/>
      <c r="Y200" s="2084"/>
      <c r="Z200" s="2084"/>
      <c r="AA200" s="2084"/>
    </row>
    <row r="201" spans="1:27">
      <c r="A201" s="2005"/>
      <c r="B201" s="2765" t="s">
        <v>168</v>
      </c>
      <c r="C201" s="2755">
        <v>23288.230245046019</v>
      </c>
      <c r="D201" s="2757">
        <v>6985.1076394359998</v>
      </c>
      <c r="E201" s="2757">
        <v>7400.2984033000012</v>
      </c>
      <c r="F201" s="2757">
        <v>447.39893394000006</v>
      </c>
      <c r="G201" s="2757">
        <v>0</v>
      </c>
      <c r="H201" s="2757">
        <v>0</v>
      </c>
      <c r="I201" s="2757">
        <v>0</v>
      </c>
      <c r="J201" s="2757">
        <v>0</v>
      </c>
      <c r="K201" s="2757">
        <v>0</v>
      </c>
      <c r="L201" s="2757">
        <v>6981.1809546083596</v>
      </c>
      <c r="M201" s="2757">
        <v>1474.2443137616574</v>
      </c>
      <c r="N201" s="2005"/>
      <c r="V201" s="2084"/>
      <c r="W201" s="2084"/>
      <c r="X201" s="2084"/>
      <c r="Y201" s="2084"/>
      <c r="Z201" s="2084"/>
      <c r="AA201" s="2084"/>
    </row>
    <row r="202" spans="1:27">
      <c r="A202" s="2005"/>
      <c r="B202" s="2765" t="s">
        <v>169</v>
      </c>
      <c r="C202" s="2755">
        <v>23454.158580057989</v>
      </c>
      <c r="D202" s="2757">
        <v>7234.2855585179987</v>
      </c>
      <c r="E202" s="2757">
        <v>7672.5630657800011</v>
      </c>
      <c r="F202" s="2757">
        <v>470.85841885999997</v>
      </c>
      <c r="G202" s="2757">
        <v>0</v>
      </c>
      <c r="H202" s="2757">
        <v>0</v>
      </c>
      <c r="I202" s="2757">
        <v>0</v>
      </c>
      <c r="J202" s="2757">
        <v>0</v>
      </c>
      <c r="K202" s="2757">
        <v>0</v>
      </c>
      <c r="L202" s="2757">
        <v>7097.527962619999</v>
      </c>
      <c r="M202" s="2757">
        <v>978.92357427999013</v>
      </c>
      <c r="N202" s="2005"/>
      <c r="V202" s="2084"/>
      <c r="W202" s="2084"/>
      <c r="X202" s="2084"/>
      <c r="Y202" s="2084"/>
      <c r="Z202" s="2084"/>
      <c r="AA202" s="2084"/>
    </row>
    <row r="203" spans="1:27">
      <c r="A203" s="2005"/>
      <c r="B203" s="2765" t="s">
        <v>170</v>
      </c>
      <c r="C203" s="2755">
        <v>25045.949133299026</v>
      </c>
      <c r="D203" s="2757">
        <v>8211.5538591599998</v>
      </c>
      <c r="E203" s="2757">
        <v>7859.06568075</v>
      </c>
      <c r="F203" s="2757">
        <v>358.40329216000009</v>
      </c>
      <c r="G203" s="2757">
        <v>0</v>
      </c>
      <c r="H203" s="2757">
        <v>0</v>
      </c>
      <c r="I203" s="2757">
        <v>0</v>
      </c>
      <c r="J203" s="2757">
        <v>0</v>
      </c>
      <c r="K203" s="2757">
        <v>0</v>
      </c>
      <c r="L203" s="2757">
        <v>7194.3857175484163</v>
      </c>
      <c r="M203" s="2757">
        <v>1422.5405836806094</v>
      </c>
      <c r="N203" s="2005"/>
      <c r="V203" s="2084"/>
      <c r="W203" s="2084"/>
      <c r="X203" s="2084"/>
      <c r="Y203" s="2084"/>
      <c r="Z203" s="2084"/>
      <c r="AA203" s="2084"/>
    </row>
    <row r="204" spans="1:27">
      <c r="A204" s="2005"/>
      <c r="B204" s="2765" t="s">
        <v>171</v>
      </c>
      <c r="C204" s="2755">
        <v>24016.086862469998</v>
      </c>
      <c r="D204" s="2757">
        <v>8207.1877860700006</v>
      </c>
      <c r="E204" s="2757">
        <v>8381.2046650900011</v>
      </c>
      <c r="F204" s="2757">
        <v>341.76252771999998</v>
      </c>
      <c r="G204" s="2757">
        <v>0</v>
      </c>
      <c r="H204" s="2757">
        <v>0</v>
      </c>
      <c r="I204" s="2757">
        <v>0</v>
      </c>
      <c r="J204" s="2757">
        <v>0</v>
      </c>
      <c r="K204" s="2757">
        <v>0</v>
      </c>
      <c r="L204" s="2757">
        <v>7350.8279780398188</v>
      </c>
      <c r="M204" s="2757">
        <v>-264.89609444982125</v>
      </c>
      <c r="N204" s="2005"/>
      <c r="V204" s="2084"/>
      <c r="W204" s="2084"/>
      <c r="X204" s="2084"/>
      <c r="Y204" s="2084"/>
      <c r="Z204" s="2084"/>
      <c r="AA204" s="2084"/>
    </row>
    <row r="205" spans="1:27">
      <c r="A205" s="2005"/>
      <c r="B205" s="2765" t="s">
        <v>148</v>
      </c>
      <c r="C205" s="2755">
        <v>26818.792358383042</v>
      </c>
      <c r="D205" s="2757">
        <v>7861.4206140439992</v>
      </c>
      <c r="E205" s="2757">
        <v>10327.592891390001</v>
      </c>
      <c r="F205" s="2757">
        <v>307.73515725000004</v>
      </c>
      <c r="G205" s="2757">
        <v>0</v>
      </c>
      <c r="H205" s="2757">
        <v>0</v>
      </c>
      <c r="I205" s="2757">
        <v>0</v>
      </c>
      <c r="J205" s="2757">
        <v>0</v>
      </c>
      <c r="K205" s="2757">
        <v>0</v>
      </c>
      <c r="L205" s="2757">
        <v>7129.6337899013288</v>
      </c>
      <c r="M205" s="2757">
        <v>1192.4099057977146</v>
      </c>
      <c r="N205" s="2005"/>
      <c r="V205" s="2084"/>
      <c r="W205" s="2084"/>
      <c r="X205" s="2084"/>
      <c r="Y205" s="2084"/>
      <c r="Z205" s="2084"/>
      <c r="AA205" s="2084"/>
    </row>
    <row r="206" spans="1:27">
      <c r="A206" s="2005"/>
      <c r="B206" s="2918">
        <v>2015</v>
      </c>
      <c r="C206" s="2755"/>
      <c r="D206" s="2757"/>
      <c r="E206" s="2757"/>
      <c r="F206" s="2757"/>
      <c r="G206" s="2757"/>
      <c r="H206" s="2757"/>
      <c r="I206" s="2757"/>
      <c r="J206" s="2757"/>
      <c r="K206" s="2757"/>
      <c r="L206" s="2757"/>
      <c r="M206" s="2757"/>
      <c r="N206" s="2005"/>
      <c r="V206" s="2084"/>
      <c r="W206" s="2084"/>
      <c r="X206" s="2084"/>
      <c r="Y206" s="2084"/>
      <c r="Z206" s="2084"/>
      <c r="AA206" s="2084"/>
    </row>
    <row r="207" spans="1:27">
      <c r="A207" s="2005"/>
      <c r="B207" s="2765" t="s">
        <v>161</v>
      </c>
      <c r="C207" s="2755">
        <v>28122.400163340008</v>
      </c>
      <c r="D207" s="2757">
        <v>8809.7234422960009</v>
      </c>
      <c r="E207" s="2757">
        <v>9332.4184399299993</v>
      </c>
      <c r="F207" s="2757">
        <v>338.72613210000003</v>
      </c>
      <c r="G207" s="2757">
        <v>0</v>
      </c>
      <c r="H207" s="2757">
        <v>0</v>
      </c>
      <c r="I207" s="2757">
        <v>0</v>
      </c>
      <c r="J207" s="2757">
        <v>0</v>
      </c>
      <c r="K207" s="2757">
        <v>0</v>
      </c>
      <c r="L207" s="2757">
        <v>7336.5177419215061</v>
      </c>
      <c r="M207" s="2757">
        <v>2305.014407092498</v>
      </c>
      <c r="N207" s="2005"/>
      <c r="V207" s="2084"/>
      <c r="W207" s="2084"/>
      <c r="X207" s="2084"/>
      <c r="Y207" s="2084"/>
      <c r="Z207" s="2084"/>
      <c r="AA207" s="2084"/>
    </row>
    <row r="208" spans="1:27">
      <c r="A208" s="2005"/>
      <c r="B208" s="2765" t="s">
        <v>162</v>
      </c>
      <c r="C208" s="2755">
        <v>28154.108025800007</v>
      </c>
      <c r="D208" s="2757">
        <v>9407.5755677279994</v>
      </c>
      <c r="E208" s="2757">
        <v>8875.1340755899982</v>
      </c>
      <c r="F208" s="2757">
        <v>379.50135908999999</v>
      </c>
      <c r="G208" s="2757">
        <v>0</v>
      </c>
      <c r="H208" s="2757">
        <v>0</v>
      </c>
      <c r="I208" s="2757">
        <v>0</v>
      </c>
      <c r="J208" s="2757">
        <v>0</v>
      </c>
      <c r="K208" s="2757">
        <v>0</v>
      </c>
      <c r="L208" s="2757">
        <v>7318.9179083281952</v>
      </c>
      <c r="M208" s="2757">
        <v>2172.9791150638121</v>
      </c>
      <c r="N208" s="2005"/>
      <c r="V208" s="2084"/>
      <c r="W208" s="2084"/>
      <c r="X208" s="2084"/>
      <c r="Y208" s="2084"/>
      <c r="Z208" s="2084"/>
      <c r="AA208" s="2084"/>
    </row>
    <row r="209" spans="1:27">
      <c r="A209" s="2005"/>
      <c r="B209" s="2765" t="s">
        <v>163</v>
      </c>
      <c r="C209" s="2755">
        <v>24994.818495029998</v>
      </c>
      <c r="D209" s="2757">
        <v>8624.157738599999</v>
      </c>
      <c r="E209" s="2757">
        <v>6905.6891460900006</v>
      </c>
      <c r="F209" s="2757">
        <v>308.41912113000001</v>
      </c>
      <c r="G209" s="2757">
        <v>0</v>
      </c>
      <c r="H209" s="2757">
        <v>0</v>
      </c>
      <c r="I209" s="2757">
        <v>0</v>
      </c>
      <c r="J209" s="2757">
        <v>0</v>
      </c>
      <c r="K209" s="2757">
        <v>0</v>
      </c>
      <c r="L209" s="2757">
        <v>7317.7527519210998</v>
      </c>
      <c r="M209" s="2757">
        <v>1838.7997372889004</v>
      </c>
      <c r="N209" s="2005"/>
      <c r="V209" s="2084"/>
      <c r="W209" s="2084"/>
      <c r="X209" s="2084"/>
      <c r="Y209" s="2084"/>
      <c r="Z209" s="2084"/>
      <c r="AA209" s="2084"/>
    </row>
    <row r="210" spans="1:27">
      <c r="A210" s="2005"/>
      <c r="B210" s="2765" t="s">
        <v>164</v>
      </c>
      <c r="C210" s="2755">
        <v>23953.23094374</v>
      </c>
      <c r="D210" s="2757">
        <v>8304.2922879880007</v>
      </c>
      <c r="E210" s="2757">
        <v>6919.0511774200004</v>
      </c>
      <c r="F210" s="2757">
        <v>337.95598861000008</v>
      </c>
      <c r="G210" s="2757">
        <v>0</v>
      </c>
      <c r="H210" s="2757">
        <v>0</v>
      </c>
      <c r="I210" s="2757">
        <v>0</v>
      </c>
      <c r="J210" s="2757">
        <v>0</v>
      </c>
      <c r="K210" s="2757">
        <v>0</v>
      </c>
      <c r="L210" s="2757">
        <v>7342.1913175335776</v>
      </c>
      <c r="M210" s="2757">
        <v>1049.7401721884198</v>
      </c>
      <c r="N210" s="2005"/>
      <c r="V210" s="2084"/>
      <c r="W210" s="2084"/>
      <c r="X210" s="2084"/>
      <c r="Y210" s="2084"/>
      <c r="Z210" s="2084"/>
      <c r="AA210" s="2084"/>
    </row>
    <row r="211" spans="1:27">
      <c r="A211" s="2005"/>
      <c r="B211" s="2765" t="s">
        <v>165</v>
      </c>
      <c r="C211" s="2755">
        <v>23783.26733699</v>
      </c>
      <c r="D211" s="2757">
        <v>7306.0856406240009</v>
      </c>
      <c r="E211" s="2757">
        <v>7324.2340156099981</v>
      </c>
      <c r="F211" s="2757">
        <v>376.63266156999998</v>
      </c>
      <c r="G211" s="2757">
        <v>0</v>
      </c>
      <c r="H211" s="2757">
        <v>0</v>
      </c>
      <c r="I211" s="2757">
        <v>0</v>
      </c>
      <c r="J211" s="2757">
        <v>0</v>
      </c>
      <c r="K211" s="2757">
        <v>0</v>
      </c>
      <c r="L211" s="2757">
        <v>7384.4022261445771</v>
      </c>
      <c r="M211" s="2757">
        <v>1391.9127930414252</v>
      </c>
      <c r="N211" s="2005"/>
      <c r="V211" s="2084"/>
      <c r="W211" s="2084"/>
      <c r="X211" s="2084"/>
      <c r="Y211" s="2084"/>
      <c r="Z211" s="2084"/>
      <c r="AA211" s="2084"/>
    </row>
    <row r="212" spans="1:27">
      <c r="A212" s="2005"/>
      <c r="B212" s="2765" t="s">
        <v>166</v>
      </c>
      <c r="C212" s="2755">
        <v>23281.850542115972</v>
      </c>
      <c r="D212" s="2757">
        <v>7335.9566598160009</v>
      </c>
      <c r="E212" s="2757">
        <v>6885.6960406300004</v>
      </c>
      <c r="F212" s="2757">
        <v>361.41295249000001</v>
      </c>
      <c r="G212" s="2757">
        <v>0</v>
      </c>
      <c r="H212" s="2757">
        <v>0</v>
      </c>
      <c r="I212" s="2757">
        <v>0</v>
      </c>
      <c r="J212" s="2757">
        <v>0</v>
      </c>
      <c r="K212" s="2757">
        <v>0</v>
      </c>
      <c r="L212" s="2757">
        <v>7342.9024079837745</v>
      </c>
      <c r="M212" s="2757">
        <v>1355.8824811961967</v>
      </c>
      <c r="N212" s="2005"/>
      <c r="V212" s="2084"/>
      <c r="W212" s="2084"/>
      <c r="X212" s="2084"/>
      <c r="Y212" s="2084"/>
      <c r="Z212" s="2084"/>
      <c r="AA212" s="2084"/>
    </row>
    <row r="213" spans="1:27">
      <c r="A213" s="2005"/>
      <c r="B213" s="2765" t="s">
        <v>167</v>
      </c>
      <c r="C213" s="2755">
        <v>23379.016962626949</v>
      </c>
      <c r="D213" s="2757">
        <v>7225.8637996079997</v>
      </c>
      <c r="E213" s="2757">
        <v>7629.2233730000007</v>
      </c>
      <c r="F213" s="2757">
        <v>376.51802067</v>
      </c>
      <c r="G213" s="2757">
        <v>0</v>
      </c>
      <c r="H213" s="2757">
        <v>0</v>
      </c>
      <c r="I213" s="2757">
        <v>0</v>
      </c>
      <c r="J213" s="2757">
        <v>0</v>
      </c>
      <c r="K213" s="2757">
        <v>0</v>
      </c>
      <c r="L213" s="2757">
        <v>7364.1398542434645</v>
      </c>
      <c r="M213" s="2757">
        <v>783.27191510548437</v>
      </c>
      <c r="N213" s="2005"/>
      <c r="V213" s="2084"/>
      <c r="W213" s="2084"/>
      <c r="X213" s="2084"/>
      <c r="Y213" s="2084"/>
      <c r="Z213" s="2084"/>
      <c r="AA213" s="2084"/>
    </row>
    <row r="214" spans="1:27">
      <c r="A214" s="2005"/>
      <c r="B214" s="2765" t="s">
        <v>168</v>
      </c>
      <c r="C214" s="2755">
        <v>24851.294476440165</v>
      </c>
      <c r="D214" s="2757">
        <v>7621.0689654899998</v>
      </c>
      <c r="E214" s="2757">
        <v>7773.4306167499999</v>
      </c>
      <c r="F214" s="2757">
        <v>392.90737738999997</v>
      </c>
      <c r="G214" s="2757">
        <v>0</v>
      </c>
      <c r="H214" s="2757">
        <v>0</v>
      </c>
      <c r="I214" s="2757">
        <v>0</v>
      </c>
      <c r="J214" s="2757">
        <v>0</v>
      </c>
      <c r="K214" s="2757">
        <v>0</v>
      </c>
      <c r="L214" s="2757">
        <v>7503.8428238183542</v>
      </c>
      <c r="M214" s="2757">
        <v>1560.0446929918107</v>
      </c>
      <c r="N214" s="2005"/>
      <c r="V214" s="2084"/>
      <c r="W214" s="2084"/>
      <c r="X214" s="2084"/>
      <c r="Y214" s="2084"/>
      <c r="Z214" s="2084"/>
      <c r="AA214" s="2084"/>
    </row>
    <row r="215" spans="1:27">
      <c r="A215" s="2005"/>
      <c r="B215" s="2765" t="s">
        <v>169</v>
      </c>
      <c r="C215" s="2755">
        <v>25271.036341552219</v>
      </c>
      <c r="D215" s="2757">
        <v>7467.5632812099993</v>
      </c>
      <c r="E215" s="2757">
        <v>8051.3061971600009</v>
      </c>
      <c r="F215" s="2757">
        <v>525.16853884000011</v>
      </c>
      <c r="G215" s="2757">
        <v>0</v>
      </c>
      <c r="H215" s="2757">
        <v>0</v>
      </c>
      <c r="I215" s="2757">
        <v>0</v>
      </c>
      <c r="J215" s="2757">
        <v>0</v>
      </c>
      <c r="K215" s="2757">
        <v>0</v>
      </c>
      <c r="L215" s="2757">
        <v>7461.8276444197063</v>
      </c>
      <c r="M215" s="2757">
        <v>1765.1706799225103</v>
      </c>
      <c r="N215" s="2005"/>
      <c r="V215" s="2084"/>
      <c r="W215" s="2084"/>
      <c r="X215" s="2084"/>
      <c r="Y215" s="2084"/>
      <c r="Z215" s="2084"/>
      <c r="AA215" s="2084"/>
    </row>
    <row r="216" spans="1:27">
      <c r="A216" s="2005"/>
      <c r="B216" s="2765" t="s">
        <v>170</v>
      </c>
      <c r="C216" s="2755">
        <v>27938.474376191498</v>
      </c>
      <c r="D216" s="2757">
        <v>7873.8995880199991</v>
      </c>
      <c r="E216" s="2757">
        <v>10402.711148619999</v>
      </c>
      <c r="F216" s="2757">
        <v>431.40795792</v>
      </c>
      <c r="G216" s="2757">
        <v>0</v>
      </c>
      <c r="H216" s="2757">
        <v>0</v>
      </c>
      <c r="I216" s="2757">
        <v>0</v>
      </c>
      <c r="J216" s="2757">
        <v>0</v>
      </c>
      <c r="K216" s="2757">
        <v>0</v>
      </c>
      <c r="L216" s="2757">
        <v>7580.0937827092221</v>
      </c>
      <c r="M216" s="2757">
        <v>1650.3618989222778</v>
      </c>
      <c r="N216" s="2005"/>
      <c r="V216" s="2084"/>
      <c r="W216" s="2084"/>
      <c r="X216" s="2084"/>
      <c r="Y216" s="2084"/>
      <c r="Z216" s="2084"/>
      <c r="AA216" s="2084"/>
    </row>
    <row r="217" spans="1:27">
      <c r="A217" s="2005"/>
      <c r="B217" s="4192" t="s">
        <v>171</v>
      </c>
      <c r="C217" s="4182">
        <v>28631.410811080255</v>
      </c>
      <c r="D217" s="4184">
        <v>8015.4969805859982</v>
      </c>
      <c r="E217" s="4184">
        <v>10677.023908280002</v>
      </c>
      <c r="F217" s="4184">
        <v>426.64592985000002</v>
      </c>
      <c r="G217" s="4184">
        <v>0</v>
      </c>
      <c r="H217" s="4184">
        <v>0</v>
      </c>
      <c r="I217" s="4184">
        <v>0</v>
      </c>
      <c r="J217" s="4184">
        <v>0</v>
      </c>
      <c r="K217" s="4184">
        <v>0</v>
      </c>
      <c r="L217" s="4184">
        <v>7612.9082111795933</v>
      </c>
      <c r="M217" s="4184">
        <v>1899.3357811846618</v>
      </c>
      <c r="N217" s="2005"/>
    </row>
    <row r="218" spans="1:27">
      <c r="A218" s="2005"/>
      <c r="B218" s="4192" t="s">
        <v>148</v>
      </c>
      <c r="C218" s="4182">
        <v>28786.348003340008</v>
      </c>
      <c r="D218" s="4184">
        <v>8033.8184054560006</v>
      </c>
      <c r="E218" s="4184">
        <v>10810.988985940001</v>
      </c>
      <c r="F218" s="4184">
        <v>402.95424272000002</v>
      </c>
      <c r="G218" s="4184">
        <v>0</v>
      </c>
      <c r="H218" s="4184">
        <v>0</v>
      </c>
      <c r="I218" s="4184">
        <v>0</v>
      </c>
      <c r="J218" s="4184">
        <v>0</v>
      </c>
      <c r="K218" s="4184">
        <v>0</v>
      </c>
      <c r="L218" s="4184">
        <v>8155.9055286810808</v>
      </c>
      <c r="M218" s="4184">
        <v>1382.6808405429256</v>
      </c>
      <c r="N218" s="2005"/>
    </row>
    <row r="219" spans="1:27">
      <c r="A219" s="2005"/>
      <c r="B219" s="4312">
        <v>2016</v>
      </c>
      <c r="C219" s="4182"/>
      <c r="D219" s="4184"/>
      <c r="E219" s="4184"/>
      <c r="F219" s="4184"/>
      <c r="G219" s="4184"/>
      <c r="H219" s="4184"/>
      <c r="I219" s="4184"/>
      <c r="J219" s="4184"/>
      <c r="K219" s="4184"/>
      <c r="L219" s="4184"/>
      <c r="M219" s="4184"/>
      <c r="N219" s="2005"/>
    </row>
    <row r="220" spans="1:27">
      <c r="A220" s="2005"/>
      <c r="B220" s="4192" t="s">
        <v>161</v>
      </c>
      <c r="C220" s="4182">
        <v>28661.008189929995</v>
      </c>
      <c r="D220" s="4184">
        <v>7558.4845564260013</v>
      </c>
      <c r="E220" s="4184">
        <v>11137.376306059999</v>
      </c>
      <c r="F220" s="4184">
        <v>446.82882329</v>
      </c>
      <c r="G220" s="4184">
        <v>0</v>
      </c>
      <c r="H220" s="4184">
        <v>0</v>
      </c>
      <c r="I220" s="4184">
        <v>0</v>
      </c>
      <c r="J220" s="4184">
        <v>0</v>
      </c>
      <c r="K220" s="4184">
        <v>0</v>
      </c>
      <c r="L220" s="4184">
        <v>7731.8527904008888</v>
      </c>
      <c r="M220" s="4184">
        <v>1786.4657137531067</v>
      </c>
      <c r="N220" s="2005"/>
    </row>
    <row r="221" spans="1:27">
      <c r="A221" s="2005"/>
      <c r="B221" s="4313" t="s">
        <v>162</v>
      </c>
      <c r="C221" s="4300">
        <v>29248.02191422999</v>
      </c>
      <c r="D221" s="4302">
        <v>7663.3806836559997</v>
      </c>
      <c r="E221" s="4302">
        <v>11355.484313680001</v>
      </c>
      <c r="F221" s="4302">
        <v>546.89699098000006</v>
      </c>
      <c r="G221" s="4302">
        <v>0</v>
      </c>
      <c r="H221" s="4302">
        <v>0</v>
      </c>
      <c r="I221" s="4302">
        <v>0</v>
      </c>
      <c r="J221" s="4302">
        <v>0</v>
      </c>
      <c r="K221" s="4302">
        <v>0</v>
      </c>
      <c r="L221" s="4302">
        <v>7527.3398101986677</v>
      </c>
      <c r="M221" s="4302">
        <v>2154.920115715322</v>
      </c>
      <c r="N221" s="2005"/>
    </row>
    <row r="222" spans="1:27">
      <c r="A222" s="2005"/>
      <c r="B222" s="2005"/>
      <c r="C222" s="3507"/>
      <c r="D222" s="2215"/>
      <c r="E222" s="2215"/>
      <c r="F222" s="2215"/>
      <c r="G222" s="2215"/>
      <c r="H222" s="2215"/>
      <c r="I222" s="2215"/>
      <c r="J222" s="2215"/>
      <c r="K222" s="2215"/>
      <c r="L222" s="2215"/>
      <c r="M222" s="2215"/>
      <c r="N222" s="2005"/>
    </row>
    <row r="223" spans="1:27">
      <c r="A223" s="2005"/>
      <c r="B223" s="2005"/>
      <c r="C223" s="3507"/>
      <c r="D223" s="2215"/>
      <c r="E223" s="2215"/>
      <c r="F223" s="2215"/>
      <c r="G223" s="2215"/>
      <c r="H223" s="2215"/>
      <c r="I223" s="2215"/>
      <c r="J223" s="2215"/>
      <c r="K223" s="2215"/>
      <c r="L223" s="2215"/>
      <c r="M223" s="2215"/>
      <c r="N223" s="2005"/>
    </row>
  </sheetData>
  <mergeCells count="2">
    <mergeCell ref="G6:I6"/>
    <mergeCell ref="B1:M1"/>
  </mergeCells>
  <pageMargins left="0.6" right="0.26" top="0.73" bottom="0.42" header="0.54" footer="0.4"/>
  <pageSetup paperSize="9" scale="68" orientation="portrait" r:id="rId1"/>
  <headerFooter alignWithMargins="0"/>
  <rowBreaks count="1" manualBreakCount="1">
    <brk id="116" min="1" max="12" man="1"/>
  </rowBreaks>
</worksheet>
</file>

<file path=xl/worksheets/sheet33.xml><?xml version="1.0" encoding="utf-8"?>
<worksheet xmlns="http://schemas.openxmlformats.org/spreadsheetml/2006/main" xmlns:r="http://schemas.openxmlformats.org/officeDocument/2006/relationships">
  <dimension ref="A1:Q104"/>
  <sheetViews>
    <sheetView zoomScale="70" zoomScaleNormal="70" zoomScaleSheetLayoutView="30" workbookViewId="0">
      <pane xSplit="1" ySplit="11" topLeftCell="B12" activePane="bottomRight" state="frozen"/>
      <selection activeCell="K31" sqref="K31"/>
      <selection pane="topRight" activeCell="K31" sqref="K31"/>
      <selection pane="bottomLeft" activeCell="K31" sqref="K31"/>
      <selection pane="bottomRight" activeCell="Q82" sqref="Q82"/>
    </sheetView>
  </sheetViews>
  <sheetFormatPr defaultRowHeight="16.5"/>
  <cols>
    <col min="1" max="1" width="9.140625" style="2087"/>
    <col min="2" max="2" width="9.85546875" style="2202" customWidth="1"/>
    <col min="3" max="3" width="12.85546875" style="3523" customWidth="1"/>
    <col min="4" max="4" width="13" style="2202" customWidth="1"/>
    <col min="5" max="8" width="10.7109375" style="2202" customWidth="1"/>
    <col min="9" max="9" width="10" style="2202" customWidth="1"/>
    <col min="10" max="10" width="11.5703125" style="2202" customWidth="1"/>
    <col min="11" max="11" width="11.7109375" style="2202" customWidth="1"/>
    <col min="12" max="12" width="11" style="2202" customWidth="1"/>
    <col min="13" max="255" width="9.140625" style="2087"/>
    <col min="256" max="256" width="9.85546875" style="2087" customWidth="1"/>
    <col min="257" max="257" width="10.7109375" style="2087" customWidth="1"/>
    <col min="258" max="258" width="13" style="2087" customWidth="1"/>
    <col min="259" max="262" width="10.7109375" style="2087" customWidth="1"/>
    <col min="263" max="263" width="12.42578125" style="2087" customWidth="1"/>
    <col min="264" max="265" width="0" style="2087" hidden="1" customWidth="1"/>
    <col min="266" max="266" width="12.7109375" style="2087" customWidth="1"/>
    <col min="267" max="268" width="0" style="2087" hidden="1" customWidth="1"/>
    <col min="269" max="511" width="9.140625" style="2087"/>
    <col min="512" max="512" width="9.85546875" style="2087" customWidth="1"/>
    <col min="513" max="513" width="10.7109375" style="2087" customWidth="1"/>
    <col min="514" max="514" width="13" style="2087" customWidth="1"/>
    <col min="515" max="518" width="10.7109375" style="2087" customWidth="1"/>
    <col min="519" max="519" width="12.42578125" style="2087" customWidth="1"/>
    <col min="520" max="521" width="0" style="2087" hidden="1" customWidth="1"/>
    <col min="522" max="522" width="12.7109375" style="2087" customWidth="1"/>
    <col min="523" max="524" width="0" style="2087" hidden="1" customWidth="1"/>
    <col min="525" max="767" width="9.140625" style="2087"/>
    <col min="768" max="768" width="9.85546875" style="2087" customWidth="1"/>
    <col min="769" max="769" width="10.7109375" style="2087" customWidth="1"/>
    <col min="770" max="770" width="13" style="2087" customWidth="1"/>
    <col min="771" max="774" width="10.7109375" style="2087" customWidth="1"/>
    <col min="775" max="775" width="12.42578125" style="2087" customWidth="1"/>
    <col min="776" max="777" width="0" style="2087" hidden="1" customWidth="1"/>
    <col min="778" max="778" width="12.7109375" style="2087" customWidth="1"/>
    <col min="779" max="780" width="0" style="2087" hidden="1" customWidth="1"/>
    <col min="781" max="1023" width="9.140625" style="2087"/>
    <col min="1024" max="1024" width="9.85546875" style="2087" customWidth="1"/>
    <col min="1025" max="1025" width="10.7109375" style="2087" customWidth="1"/>
    <col min="1026" max="1026" width="13" style="2087" customWidth="1"/>
    <col min="1027" max="1030" width="10.7109375" style="2087" customWidth="1"/>
    <col min="1031" max="1031" width="12.42578125" style="2087" customWidth="1"/>
    <col min="1032" max="1033" width="0" style="2087" hidden="1" customWidth="1"/>
    <col min="1034" max="1034" width="12.7109375" style="2087" customWidth="1"/>
    <col min="1035" max="1036" width="0" style="2087" hidden="1" customWidth="1"/>
    <col min="1037" max="1279" width="9.140625" style="2087"/>
    <col min="1280" max="1280" width="9.85546875" style="2087" customWidth="1"/>
    <col min="1281" max="1281" width="10.7109375" style="2087" customWidth="1"/>
    <col min="1282" max="1282" width="13" style="2087" customWidth="1"/>
    <col min="1283" max="1286" width="10.7109375" style="2087" customWidth="1"/>
    <col min="1287" max="1287" width="12.42578125" style="2087" customWidth="1"/>
    <col min="1288" max="1289" width="0" style="2087" hidden="1" customWidth="1"/>
    <col min="1290" max="1290" width="12.7109375" style="2087" customWidth="1"/>
    <col min="1291" max="1292" width="0" style="2087" hidden="1" customWidth="1"/>
    <col min="1293" max="1535" width="9.140625" style="2087"/>
    <col min="1536" max="1536" width="9.85546875" style="2087" customWidth="1"/>
    <col min="1537" max="1537" width="10.7109375" style="2087" customWidth="1"/>
    <col min="1538" max="1538" width="13" style="2087" customWidth="1"/>
    <col min="1539" max="1542" width="10.7109375" style="2087" customWidth="1"/>
    <col min="1543" max="1543" width="12.42578125" style="2087" customWidth="1"/>
    <col min="1544" max="1545" width="0" style="2087" hidden="1" customWidth="1"/>
    <col min="1546" max="1546" width="12.7109375" style="2087" customWidth="1"/>
    <col min="1547" max="1548" width="0" style="2087" hidden="1" customWidth="1"/>
    <col min="1549" max="1791" width="9.140625" style="2087"/>
    <col min="1792" max="1792" width="9.85546875" style="2087" customWidth="1"/>
    <col min="1793" max="1793" width="10.7109375" style="2087" customWidth="1"/>
    <col min="1794" max="1794" width="13" style="2087" customWidth="1"/>
    <col min="1795" max="1798" width="10.7109375" style="2087" customWidth="1"/>
    <col min="1799" max="1799" width="12.42578125" style="2087" customWidth="1"/>
    <col min="1800" max="1801" width="0" style="2087" hidden="1" customWidth="1"/>
    <col min="1802" max="1802" width="12.7109375" style="2087" customWidth="1"/>
    <col min="1803" max="1804" width="0" style="2087" hidden="1" customWidth="1"/>
    <col min="1805" max="2047" width="9.140625" style="2087"/>
    <col min="2048" max="2048" width="9.85546875" style="2087" customWidth="1"/>
    <col min="2049" max="2049" width="10.7109375" style="2087" customWidth="1"/>
    <col min="2050" max="2050" width="13" style="2087" customWidth="1"/>
    <col min="2051" max="2054" width="10.7109375" style="2087" customWidth="1"/>
    <col min="2055" max="2055" width="12.42578125" style="2087" customWidth="1"/>
    <col min="2056" max="2057" width="0" style="2087" hidden="1" customWidth="1"/>
    <col min="2058" max="2058" width="12.7109375" style="2087" customWidth="1"/>
    <col min="2059" max="2060" width="0" style="2087" hidden="1" customWidth="1"/>
    <col min="2061" max="2303" width="9.140625" style="2087"/>
    <col min="2304" max="2304" width="9.85546875" style="2087" customWidth="1"/>
    <col min="2305" max="2305" width="10.7109375" style="2087" customWidth="1"/>
    <col min="2306" max="2306" width="13" style="2087" customWidth="1"/>
    <col min="2307" max="2310" width="10.7109375" style="2087" customWidth="1"/>
    <col min="2311" max="2311" width="12.42578125" style="2087" customWidth="1"/>
    <col min="2312" max="2313" width="0" style="2087" hidden="1" customWidth="1"/>
    <col min="2314" max="2314" width="12.7109375" style="2087" customWidth="1"/>
    <col min="2315" max="2316" width="0" style="2087" hidden="1" customWidth="1"/>
    <col min="2317" max="2559" width="9.140625" style="2087"/>
    <col min="2560" max="2560" width="9.85546875" style="2087" customWidth="1"/>
    <col min="2561" max="2561" width="10.7109375" style="2087" customWidth="1"/>
    <col min="2562" max="2562" width="13" style="2087" customWidth="1"/>
    <col min="2563" max="2566" width="10.7109375" style="2087" customWidth="1"/>
    <col min="2567" max="2567" width="12.42578125" style="2087" customWidth="1"/>
    <col min="2568" max="2569" width="0" style="2087" hidden="1" customWidth="1"/>
    <col min="2570" max="2570" width="12.7109375" style="2087" customWidth="1"/>
    <col min="2571" max="2572" width="0" style="2087" hidden="1" customWidth="1"/>
    <col min="2573" max="2815" width="9.140625" style="2087"/>
    <col min="2816" max="2816" width="9.85546875" style="2087" customWidth="1"/>
    <col min="2817" max="2817" width="10.7109375" style="2087" customWidth="1"/>
    <col min="2818" max="2818" width="13" style="2087" customWidth="1"/>
    <col min="2819" max="2822" width="10.7109375" style="2087" customWidth="1"/>
    <col min="2823" max="2823" width="12.42578125" style="2087" customWidth="1"/>
    <col min="2824" max="2825" width="0" style="2087" hidden="1" customWidth="1"/>
    <col min="2826" max="2826" width="12.7109375" style="2087" customWidth="1"/>
    <col min="2827" max="2828" width="0" style="2087" hidden="1" customWidth="1"/>
    <col min="2829" max="3071" width="9.140625" style="2087"/>
    <col min="3072" max="3072" width="9.85546875" style="2087" customWidth="1"/>
    <col min="3073" max="3073" width="10.7109375" style="2087" customWidth="1"/>
    <col min="3074" max="3074" width="13" style="2087" customWidth="1"/>
    <col min="3075" max="3078" width="10.7109375" style="2087" customWidth="1"/>
    <col min="3079" max="3079" width="12.42578125" style="2087" customWidth="1"/>
    <col min="3080" max="3081" width="0" style="2087" hidden="1" customWidth="1"/>
    <col min="3082" max="3082" width="12.7109375" style="2087" customWidth="1"/>
    <col min="3083" max="3084" width="0" style="2087" hidden="1" customWidth="1"/>
    <col min="3085" max="3327" width="9.140625" style="2087"/>
    <col min="3328" max="3328" width="9.85546875" style="2087" customWidth="1"/>
    <col min="3329" max="3329" width="10.7109375" style="2087" customWidth="1"/>
    <col min="3330" max="3330" width="13" style="2087" customWidth="1"/>
    <col min="3331" max="3334" width="10.7109375" style="2087" customWidth="1"/>
    <col min="3335" max="3335" width="12.42578125" style="2087" customWidth="1"/>
    <col min="3336" max="3337" width="0" style="2087" hidden="1" customWidth="1"/>
    <col min="3338" max="3338" width="12.7109375" style="2087" customWidth="1"/>
    <col min="3339" max="3340" width="0" style="2087" hidden="1" customWidth="1"/>
    <col min="3341" max="3583" width="9.140625" style="2087"/>
    <col min="3584" max="3584" width="9.85546875" style="2087" customWidth="1"/>
    <col min="3585" max="3585" width="10.7109375" style="2087" customWidth="1"/>
    <col min="3586" max="3586" width="13" style="2087" customWidth="1"/>
    <col min="3587" max="3590" width="10.7109375" style="2087" customWidth="1"/>
    <col min="3591" max="3591" width="12.42578125" style="2087" customWidth="1"/>
    <col min="3592" max="3593" width="0" style="2087" hidden="1" customWidth="1"/>
    <col min="3594" max="3594" width="12.7109375" style="2087" customWidth="1"/>
    <col min="3595" max="3596" width="0" style="2087" hidden="1" customWidth="1"/>
    <col min="3597" max="3839" width="9.140625" style="2087"/>
    <col min="3840" max="3840" width="9.85546875" style="2087" customWidth="1"/>
    <col min="3841" max="3841" width="10.7109375" style="2087" customWidth="1"/>
    <col min="3842" max="3842" width="13" style="2087" customWidth="1"/>
    <col min="3843" max="3846" width="10.7109375" style="2087" customWidth="1"/>
    <col min="3847" max="3847" width="12.42578125" style="2087" customWidth="1"/>
    <col min="3848" max="3849" width="0" style="2087" hidden="1" customWidth="1"/>
    <col min="3850" max="3850" width="12.7109375" style="2087" customWidth="1"/>
    <col min="3851" max="3852" width="0" style="2087" hidden="1" customWidth="1"/>
    <col min="3853" max="4095" width="9.140625" style="2087"/>
    <col min="4096" max="4096" width="9.85546875" style="2087" customWidth="1"/>
    <col min="4097" max="4097" width="10.7109375" style="2087" customWidth="1"/>
    <col min="4098" max="4098" width="13" style="2087" customWidth="1"/>
    <col min="4099" max="4102" width="10.7109375" style="2087" customWidth="1"/>
    <col min="4103" max="4103" width="12.42578125" style="2087" customWidth="1"/>
    <col min="4104" max="4105" width="0" style="2087" hidden="1" customWidth="1"/>
    <col min="4106" max="4106" width="12.7109375" style="2087" customWidth="1"/>
    <col min="4107" max="4108" width="0" style="2087" hidden="1" customWidth="1"/>
    <col min="4109" max="4351" width="9.140625" style="2087"/>
    <col min="4352" max="4352" width="9.85546875" style="2087" customWidth="1"/>
    <col min="4353" max="4353" width="10.7109375" style="2087" customWidth="1"/>
    <col min="4354" max="4354" width="13" style="2087" customWidth="1"/>
    <col min="4355" max="4358" width="10.7109375" style="2087" customWidth="1"/>
    <col min="4359" max="4359" width="12.42578125" style="2087" customWidth="1"/>
    <col min="4360" max="4361" width="0" style="2087" hidden="1" customWidth="1"/>
    <col min="4362" max="4362" width="12.7109375" style="2087" customWidth="1"/>
    <col min="4363" max="4364" width="0" style="2087" hidden="1" customWidth="1"/>
    <col min="4365" max="4607" width="9.140625" style="2087"/>
    <col min="4608" max="4608" width="9.85546875" style="2087" customWidth="1"/>
    <col min="4609" max="4609" width="10.7109375" style="2087" customWidth="1"/>
    <col min="4610" max="4610" width="13" style="2087" customWidth="1"/>
    <col min="4611" max="4614" width="10.7109375" style="2087" customWidth="1"/>
    <col min="4615" max="4615" width="12.42578125" style="2087" customWidth="1"/>
    <col min="4616" max="4617" width="0" style="2087" hidden="1" customWidth="1"/>
    <col min="4618" max="4618" width="12.7109375" style="2087" customWidth="1"/>
    <col min="4619" max="4620" width="0" style="2087" hidden="1" customWidth="1"/>
    <col min="4621" max="4863" width="9.140625" style="2087"/>
    <col min="4864" max="4864" width="9.85546875" style="2087" customWidth="1"/>
    <col min="4865" max="4865" width="10.7109375" style="2087" customWidth="1"/>
    <col min="4866" max="4866" width="13" style="2087" customWidth="1"/>
    <col min="4867" max="4870" width="10.7109375" style="2087" customWidth="1"/>
    <col min="4871" max="4871" width="12.42578125" style="2087" customWidth="1"/>
    <col min="4872" max="4873" width="0" style="2087" hidden="1" customWidth="1"/>
    <col min="4874" max="4874" width="12.7109375" style="2087" customWidth="1"/>
    <col min="4875" max="4876" width="0" style="2087" hidden="1" customWidth="1"/>
    <col min="4877" max="5119" width="9.140625" style="2087"/>
    <col min="5120" max="5120" width="9.85546875" style="2087" customWidth="1"/>
    <col min="5121" max="5121" width="10.7109375" style="2087" customWidth="1"/>
    <col min="5122" max="5122" width="13" style="2087" customWidth="1"/>
    <col min="5123" max="5126" width="10.7109375" style="2087" customWidth="1"/>
    <col min="5127" max="5127" width="12.42578125" style="2087" customWidth="1"/>
    <col min="5128" max="5129" width="0" style="2087" hidden="1" customWidth="1"/>
    <col min="5130" max="5130" width="12.7109375" style="2087" customWidth="1"/>
    <col min="5131" max="5132" width="0" style="2087" hidden="1" customWidth="1"/>
    <col min="5133" max="5375" width="9.140625" style="2087"/>
    <col min="5376" max="5376" width="9.85546875" style="2087" customWidth="1"/>
    <col min="5377" max="5377" width="10.7109375" style="2087" customWidth="1"/>
    <col min="5378" max="5378" width="13" style="2087" customWidth="1"/>
    <col min="5379" max="5382" width="10.7109375" style="2087" customWidth="1"/>
    <col min="5383" max="5383" width="12.42578125" style="2087" customWidth="1"/>
    <col min="5384" max="5385" width="0" style="2087" hidden="1" customWidth="1"/>
    <col min="5386" max="5386" width="12.7109375" style="2087" customWidth="1"/>
    <col min="5387" max="5388" width="0" style="2087" hidden="1" customWidth="1"/>
    <col min="5389" max="5631" width="9.140625" style="2087"/>
    <col min="5632" max="5632" width="9.85546875" style="2087" customWidth="1"/>
    <col min="5633" max="5633" width="10.7109375" style="2087" customWidth="1"/>
    <col min="5634" max="5634" width="13" style="2087" customWidth="1"/>
    <col min="5635" max="5638" width="10.7109375" style="2087" customWidth="1"/>
    <col min="5639" max="5639" width="12.42578125" style="2087" customWidth="1"/>
    <col min="5640" max="5641" width="0" style="2087" hidden="1" customWidth="1"/>
    <col min="5642" max="5642" width="12.7109375" style="2087" customWidth="1"/>
    <col min="5643" max="5644" width="0" style="2087" hidden="1" customWidth="1"/>
    <col min="5645" max="5887" width="9.140625" style="2087"/>
    <col min="5888" max="5888" width="9.85546875" style="2087" customWidth="1"/>
    <col min="5889" max="5889" width="10.7109375" style="2087" customWidth="1"/>
    <col min="5890" max="5890" width="13" style="2087" customWidth="1"/>
    <col min="5891" max="5894" width="10.7109375" style="2087" customWidth="1"/>
    <col min="5895" max="5895" width="12.42578125" style="2087" customWidth="1"/>
    <col min="5896" max="5897" width="0" style="2087" hidden="1" customWidth="1"/>
    <col min="5898" max="5898" width="12.7109375" style="2087" customWidth="1"/>
    <col min="5899" max="5900" width="0" style="2087" hidden="1" customWidth="1"/>
    <col min="5901" max="6143" width="9.140625" style="2087"/>
    <col min="6144" max="6144" width="9.85546875" style="2087" customWidth="1"/>
    <col min="6145" max="6145" width="10.7109375" style="2087" customWidth="1"/>
    <col min="6146" max="6146" width="13" style="2087" customWidth="1"/>
    <col min="6147" max="6150" width="10.7109375" style="2087" customWidth="1"/>
    <col min="6151" max="6151" width="12.42578125" style="2087" customWidth="1"/>
    <col min="6152" max="6153" width="0" style="2087" hidden="1" customWidth="1"/>
    <col min="6154" max="6154" width="12.7109375" style="2087" customWidth="1"/>
    <col min="6155" max="6156" width="0" style="2087" hidden="1" customWidth="1"/>
    <col min="6157" max="6399" width="9.140625" style="2087"/>
    <col min="6400" max="6400" width="9.85546875" style="2087" customWidth="1"/>
    <col min="6401" max="6401" width="10.7109375" style="2087" customWidth="1"/>
    <col min="6402" max="6402" width="13" style="2087" customWidth="1"/>
    <col min="6403" max="6406" width="10.7109375" style="2087" customWidth="1"/>
    <col min="6407" max="6407" width="12.42578125" style="2087" customWidth="1"/>
    <col min="6408" max="6409" width="0" style="2087" hidden="1" customWidth="1"/>
    <col min="6410" max="6410" width="12.7109375" style="2087" customWidth="1"/>
    <col min="6411" max="6412" width="0" style="2087" hidden="1" customWidth="1"/>
    <col min="6413" max="6655" width="9.140625" style="2087"/>
    <col min="6656" max="6656" width="9.85546875" style="2087" customWidth="1"/>
    <col min="6657" max="6657" width="10.7109375" style="2087" customWidth="1"/>
    <col min="6658" max="6658" width="13" style="2087" customWidth="1"/>
    <col min="6659" max="6662" width="10.7109375" style="2087" customWidth="1"/>
    <col min="6663" max="6663" width="12.42578125" style="2087" customWidth="1"/>
    <col min="6664" max="6665" width="0" style="2087" hidden="1" customWidth="1"/>
    <col min="6666" max="6666" width="12.7109375" style="2087" customWidth="1"/>
    <col min="6667" max="6668" width="0" style="2087" hidden="1" customWidth="1"/>
    <col min="6669" max="6911" width="9.140625" style="2087"/>
    <col min="6912" max="6912" width="9.85546875" style="2087" customWidth="1"/>
    <col min="6913" max="6913" width="10.7109375" style="2087" customWidth="1"/>
    <col min="6914" max="6914" width="13" style="2087" customWidth="1"/>
    <col min="6915" max="6918" width="10.7109375" style="2087" customWidth="1"/>
    <col min="6919" max="6919" width="12.42578125" style="2087" customWidth="1"/>
    <col min="6920" max="6921" width="0" style="2087" hidden="1" customWidth="1"/>
    <col min="6922" max="6922" width="12.7109375" style="2087" customWidth="1"/>
    <col min="6923" max="6924" width="0" style="2087" hidden="1" customWidth="1"/>
    <col min="6925" max="7167" width="9.140625" style="2087"/>
    <col min="7168" max="7168" width="9.85546875" style="2087" customWidth="1"/>
    <col min="7169" max="7169" width="10.7109375" style="2087" customWidth="1"/>
    <col min="7170" max="7170" width="13" style="2087" customWidth="1"/>
    <col min="7171" max="7174" width="10.7109375" style="2087" customWidth="1"/>
    <col min="7175" max="7175" width="12.42578125" style="2087" customWidth="1"/>
    <col min="7176" max="7177" width="0" style="2087" hidden="1" customWidth="1"/>
    <col min="7178" max="7178" width="12.7109375" style="2087" customWidth="1"/>
    <col min="7179" max="7180" width="0" style="2087" hidden="1" customWidth="1"/>
    <col min="7181" max="7423" width="9.140625" style="2087"/>
    <col min="7424" max="7424" width="9.85546875" style="2087" customWidth="1"/>
    <col min="7425" max="7425" width="10.7109375" style="2087" customWidth="1"/>
    <col min="7426" max="7426" width="13" style="2087" customWidth="1"/>
    <col min="7427" max="7430" width="10.7109375" style="2087" customWidth="1"/>
    <col min="7431" max="7431" width="12.42578125" style="2087" customWidth="1"/>
    <col min="7432" max="7433" width="0" style="2087" hidden="1" customWidth="1"/>
    <col min="7434" max="7434" width="12.7109375" style="2087" customWidth="1"/>
    <col min="7435" max="7436" width="0" style="2087" hidden="1" customWidth="1"/>
    <col min="7437" max="7679" width="9.140625" style="2087"/>
    <col min="7680" max="7680" width="9.85546875" style="2087" customWidth="1"/>
    <col min="7681" max="7681" width="10.7109375" style="2087" customWidth="1"/>
    <col min="7682" max="7682" width="13" style="2087" customWidth="1"/>
    <col min="7683" max="7686" width="10.7109375" style="2087" customWidth="1"/>
    <col min="7687" max="7687" width="12.42578125" style="2087" customWidth="1"/>
    <col min="7688" max="7689" width="0" style="2087" hidden="1" customWidth="1"/>
    <col min="7690" max="7690" width="12.7109375" style="2087" customWidth="1"/>
    <col min="7691" max="7692" width="0" style="2087" hidden="1" customWidth="1"/>
    <col min="7693" max="7935" width="9.140625" style="2087"/>
    <col min="7936" max="7936" width="9.85546875" style="2087" customWidth="1"/>
    <col min="7937" max="7937" width="10.7109375" style="2087" customWidth="1"/>
    <col min="7938" max="7938" width="13" style="2087" customWidth="1"/>
    <col min="7939" max="7942" width="10.7109375" style="2087" customWidth="1"/>
    <col min="7943" max="7943" width="12.42578125" style="2087" customWidth="1"/>
    <col min="7944" max="7945" width="0" style="2087" hidden="1" customWidth="1"/>
    <col min="7946" max="7946" width="12.7109375" style="2087" customWidth="1"/>
    <col min="7947" max="7948" width="0" style="2087" hidden="1" customWidth="1"/>
    <col min="7949" max="8191" width="9.140625" style="2087"/>
    <col min="8192" max="8192" width="9.85546875" style="2087" customWidth="1"/>
    <col min="8193" max="8193" width="10.7109375" style="2087" customWidth="1"/>
    <col min="8194" max="8194" width="13" style="2087" customWidth="1"/>
    <col min="8195" max="8198" width="10.7109375" style="2087" customWidth="1"/>
    <col min="8199" max="8199" width="12.42578125" style="2087" customWidth="1"/>
    <col min="8200" max="8201" width="0" style="2087" hidden="1" customWidth="1"/>
    <col min="8202" max="8202" width="12.7109375" style="2087" customWidth="1"/>
    <col min="8203" max="8204" width="0" style="2087" hidden="1" customWidth="1"/>
    <col min="8205" max="8447" width="9.140625" style="2087"/>
    <col min="8448" max="8448" width="9.85546875" style="2087" customWidth="1"/>
    <col min="8449" max="8449" width="10.7109375" style="2087" customWidth="1"/>
    <col min="8450" max="8450" width="13" style="2087" customWidth="1"/>
    <col min="8451" max="8454" width="10.7109375" style="2087" customWidth="1"/>
    <col min="8455" max="8455" width="12.42578125" style="2087" customWidth="1"/>
    <col min="8456" max="8457" width="0" style="2087" hidden="1" customWidth="1"/>
    <col min="8458" max="8458" width="12.7109375" style="2087" customWidth="1"/>
    <col min="8459" max="8460" width="0" style="2087" hidden="1" customWidth="1"/>
    <col min="8461" max="8703" width="9.140625" style="2087"/>
    <col min="8704" max="8704" width="9.85546875" style="2087" customWidth="1"/>
    <col min="8705" max="8705" width="10.7109375" style="2087" customWidth="1"/>
    <col min="8706" max="8706" width="13" style="2087" customWidth="1"/>
    <col min="8707" max="8710" width="10.7109375" style="2087" customWidth="1"/>
    <col min="8711" max="8711" width="12.42578125" style="2087" customWidth="1"/>
    <col min="8712" max="8713" width="0" style="2087" hidden="1" customWidth="1"/>
    <col min="8714" max="8714" width="12.7109375" style="2087" customWidth="1"/>
    <col min="8715" max="8716" width="0" style="2087" hidden="1" customWidth="1"/>
    <col min="8717" max="8959" width="9.140625" style="2087"/>
    <col min="8960" max="8960" width="9.85546875" style="2087" customWidth="1"/>
    <col min="8961" max="8961" width="10.7109375" style="2087" customWidth="1"/>
    <col min="8962" max="8962" width="13" style="2087" customWidth="1"/>
    <col min="8963" max="8966" width="10.7109375" style="2087" customWidth="1"/>
    <col min="8967" max="8967" width="12.42578125" style="2087" customWidth="1"/>
    <col min="8968" max="8969" width="0" style="2087" hidden="1" customWidth="1"/>
    <col min="8970" max="8970" width="12.7109375" style="2087" customWidth="1"/>
    <col min="8971" max="8972" width="0" style="2087" hidden="1" customWidth="1"/>
    <col min="8973" max="9215" width="9.140625" style="2087"/>
    <col min="9216" max="9216" width="9.85546875" style="2087" customWidth="1"/>
    <col min="9217" max="9217" width="10.7109375" style="2087" customWidth="1"/>
    <col min="9218" max="9218" width="13" style="2087" customWidth="1"/>
    <col min="9219" max="9222" width="10.7109375" style="2087" customWidth="1"/>
    <col min="9223" max="9223" width="12.42578125" style="2087" customWidth="1"/>
    <col min="9224" max="9225" width="0" style="2087" hidden="1" customWidth="1"/>
    <col min="9226" max="9226" width="12.7109375" style="2087" customWidth="1"/>
    <col min="9227" max="9228" width="0" style="2087" hidden="1" customWidth="1"/>
    <col min="9229" max="9471" width="9.140625" style="2087"/>
    <col min="9472" max="9472" width="9.85546875" style="2087" customWidth="1"/>
    <col min="9473" max="9473" width="10.7109375" style="2087" customWidth="1"/>
    <col min="9474" max="9474" width="13" style="2087" customWidth="1"/>
    <col min="9475" max="9478" width="10.7109375" style="2087" customWidth="1"/>
    <col min="9479" max="9479" width="12.42578125" style="2087" customWidth="1"/>
    <col min="9480" max="9481" width="0" style="2087" hidden="1" customWidth="1"/>
    <col min="9482" max="9482" width="12.7109375" style="2087" customWidth="1"/>
    <col min="9483" max="9484" width="0" style="2087" hidden="1" customWidth="1"/>
    <col min="9485" max="9727" width="9.140625" style="2087"/>
    <col min="9728" max="9728" width="9.85546875" style="2087" customWidth="1"/>
    <col min="9729" max="9729" width="10.7109375" style="2087" customWidth="1"/>
    <col min="9730" max="9730" width="13" style="2087" customWidth="1"/>
    <col min="9731" max="9734" width="10.7109375" style="2087" customWidth="1"/>
    <col min="9735" max="9735" width="12.42578125" style="2087" customWidth="1"/>
    <col min="9736" max="9737" width="0" style="2087" hidden="1" customWidth="1"/>
    <col min="9738" max="9738" width="12.7109375" style="2087" customWidth="1"/>
    <col min="9739" max="9740" width="0" style="2087" hidden="1" customWidth="1"/>
    <col min="9741" max="9983" width="9.140625" style="2087"/>
    <col min="9984" max="9984" width="9.85546875" style="2087" customWidth="1"/>
    <col min="9985" max="9985" width="10.7109375" style="2087" customWidth="1"/>
    <col min="9986" max="9986" width="13" style="2087" customWidth="1"/>
    <col min="9987" max="9990" width="10.7109375" style="2087" customWidth="1"/>
    <col min="9991" max="9991" width="12.42578125" style="2087" customWidth="1"/>
    <col min="9992" max="9993" width="0" style="2087" hidden="1" customWidth="1"/>
    <col min="9994" max="9994" width="12.7109375" style="2087" customWidth="1"/>
    <col min="9995" max="9996" width="0" style="2087" hidden="1" customWidth="1"/>
    <col min="9997" max="10239" width="9.140625" style="2087"/>
    <col min="10240" max="10240" width="9.85546875" style="2087" customWidth="1"/>
    <col min="10241" max="10241" width="10.7109375" style="2087" customWidth="1"/>
    <col min="10242" max="10242" width="13" style="2087" customWidth="1"/>
    <col min="10243" max="10246" width="10.7109375" style="2087" customWidth="1"/>
    <col min="10247" max="10247" width="12.42578125" style="2087" customWidth="1"/>
    <col min="10248" max="10249" width="0" style="2087" hidden="1" customWidth="1"/>
    <col min="10250" max="10250" width="12.7109375" style="2087" customWidth="1"/>
    <col min="10251" max="10252" width="0" style="2087" hidden="1" customWidth="1"/>
    <col min="10253" max="10495" width="9.140625" style="2087"/>
    <col min="10496" max="10496" width="9.85546875" style="2087" customWidth="1"/>
    <col min="10497" max="10497" width="10.7109375" style="2087" customWidth="1"/>
    <col min="10498" max="10498" width="13" style="2087" customWidth="1"/>
    <col min="10499" max="10502" width="10.7109375" style="2087" customWidth="1"/>
    <col min="10503" max="10503" width="12.42578125" style="2087" customWidth="1"/>
    <col min="10504" max="10505" width="0" style="2087" hidden="1" customWidth="1"/>
    <col min="10506" max="10506" width="12.7109375" style="2087" customWidth="1"/>
    <col min="10507" max="10508" width="0" style="2087" hidden="1" customWidth="1"/>
    <col min="10509" max="10751" width="9.140625" style="2087"/>
    <col min="10752" max="10752" width="9.85546875" style="2087" customWidth="1"/>
    <col min="10753" max="10753" width="10.7109375" style="2087" customWidth="1"/>
    <col min="10754" max="10754" width="13" style="2087" customWidth="1"/>
    <col min="10755" max="10758" width="10.7109375" style="2087" customWidth="1"/>
    <col min="10759" max="10759" width="12.42578125" style="2087" customWidth="1"/>
    <col min="10760" max="10761" width="0" style="2087" hidden="1" customWidth="1"/>
    <col min="10762" max="10762" width="12.7109375" style="2087" customWidth="1"/>
    <col min="10763" max="10764" width="0" style="2087" hidden="1" customWidth="1"/>
    <col min="10765" max="11007" width="9.140625" style="2087"/>
    <col min="11008" max="11008" width="9.85546875" style="2087" customWidth="1"/>
    <col min="11009" max="11009" width="10.7109375" style="2087" customWidth="1"/>
    <col min="11010" max="11010" width="13" style="2087" customWidth="1"/>
    <col min="11011" max="11014" width="10.7109375" style="2087" customWidth="1"/>
    <col min="11015" max="11015" width="12.42578125" style="2087" customWidth="1"/>
    <col min="11016" max="11017" width="0" style="2087" hidden="1" customWidth="1"/>
    <col min="11018" max="11018" width="12.7109375" style="2087" customWidth="1"/>
    <col min="11019" max="11020" width="0" style="2087" hidden="1" customWidth="1"/>
    <col min="11021" max="11263" width="9.140625" style="2087"/>
    <col min="11264" max="11264" width="9.85546875" style="2087" customWidth="1"/>
    <col min="11265" max="11265" width="10.7109375" style="2087" customWidth="1"/>
    <col min="11266" max="11266" width="13" style="2087" customWidth="1"/>
    <col min="11267" max="11270" width="10.7109375" style="2087" customWidth="1"/>
    <col min="11271" max="11271" width="12.42578125" style="2087" customWidth="1"/>
    <col min="11272" max="11273" width="0" style="2087" hidden="1" customWidth="1"/>
    <col min="11274" max="11274" width="12.7109375" style="2087" customWidth="1"/>
    <col min="11275" max="11276" width="0" style="2087" hidden="1" customWidth="1"/>
    <col min="11277" max="11519" width="9.140625" style="2087"/>
    <col min="11520" max="11520" width="9.85546875" style="2087" customWidth="1"/>
    <col min="11521" max="11521" width="10.7109375" style="2087" customWidth="1"/>
    <col min="11522" max="11522" width="13" style="2087" customWidth="1"/>
    <col min="11523" max="11526" width="10.7109375" style="2087" customWidth="1"/>
    <col min="11527" max="11527" width="12.42578125" style="2087" customWidth="1"/>
    <col min="11528" max="11529" width="0" style="2087" hidden="1" customWidth="1"/>
    <col min="11530" max="11530" width="12.7109375" style="2087" customWidth="1"/>
    <col min="11531" max="11532" width="0" style="2087" hidden="1" customWidth="1"/>
    <col min="11533" max="11775" width="9.140625" style="2087"/>
    <col min="11776" max="11776" width="9.85546875" style="2087" customWidth="1"/>
    <col min="11777" max="11777" width="10.7109375" style="2087" customWidth="1"/>
    <col min="11778" max="11778" width="13" style="2087" customWidth="1"/>
    <col min="11779" max="11782" width="10.7109375" style="2087" customWidth="1"/>
    <col min="11783" max="11783" width="12.42578125" style="2087" customWidth="1"/>
    <col min="11784" max="11785" width="0" style="2087" hidden="1" customWidth="1"/>
    <col min="11786" max="11786" width="12.7109375" style="2087" customWidth="1"/>
    <col min="11787" max="11788" width="0" style="2087" hidden="1" customWidth="1"/>
    <col min="11789" max="12031" width="9.140625" style="2087"/>
    <col min="12032" max="12032" width="9.85546875" style="2087" customWidth="1"/>
    <col min="12033" max="12033" width="10.7109375" style="2087" customWidth="1"/>
    <col min="12034" max="12034" width="13" style="2087" customWidth="1"/>
    <col min="12035" max="12038" width="10.7109375" style="2087" customWidth="1"/>
    <col min="12039" max="12039" width="12.42578125" style="2087" customWidth="1"/>
    <col min="12040" max="12041" width="0" style="2087" hidden="1" customWidth="1"/>
    <col min="12042" max="12042" width="12.7109375" style="2087" customWidth="1"/>
    <col min="12043" max="12044" width="0" style="2087" hidden="1" customWidth="1"/>
    <col min="12045" max="12287" width="9.140625" style="2087"/>
    <col min="12288" max="12288" width="9.85546875" style="2087" customWidth="1"/>
    <col min="12289" max="12289" width="10.7109375" style="2087" customWidth="1"/>
    <col min="12290" max="12290" width="13" style="2087" customWidth="1"/>
    <col min="12291" max="12294" width="10.7109375" style="2087" customWidth="1"/>
    <col min="12295" max="12295" width="12.42578125" style="2087" customWidth="1"/>
    <col min="12296" max="12297" width="0" style="2087" hidden="1" customWidth="1"/>
    <col min="12298" max="12298" width="12.7109375" style="2087" customWidth="1"/>
    <col min="12299" max="12300" width="0" style="2087" hidden="1" customWidth="1"/>
    <col min="12301" max="12543" width="9.140625" style="2087"/>
    <col min="12544" max="12544" width="9.85546875" style="2087" customWidth="1"/>
    <col min="12545" max="12545" width="10.7109375" style="2087" customWidth="1"/>
    <col min="12546" max="12546" width="13" style="2087" customWidth="1"/>
    <col min="12547" max="12550" width="10.7109375" style="2087" customWidth="1"/>
    <col min="12551" max="12551" width="12.42578125" style="2087" customWidth="1"/>
    <col min="12552" max="12553" width="0" style="2087" hidden="1" customWidth="1"/>
    <col min="12554" max="12554" width="12.7109375" style="2087" customWidth="1"/>
    <col min="12555" max="12556" width="0" style="2087" hidden="1" customWidth="1"/>
    <col min="12557" max="12799" width="9.140625" style="2087"/>
    <col min="12800" max="12800" width="9.85546875" style="2087" customWidth="1"/>
    <col min="12801" max="12801" width="10.7109375" style="2087" customWidth="1"/>
    <col min="12802" max="12802" width="13" style="2087" customWidth="1"/>
    <col min="12803" max="12806" width="10.7109375" style="2087" customWidth="1"/>
    <col min="12807" max="12807" width="12.42578125" style="2087" customWidth="1"/>
    <col min="12808" max="12809" width="0" style="2087" hidden="1" customWidth="1"/>
    <col min="12810" max="12810" width="12.7109375" style="2087" customWidth="1"/>
    <col min="12811" max="12812" width="0" style="2087" hidden="1" customWidth="1"/>
    <col min="12813" max="13055" width="9.140625" style="2087"/>
    <col min="13056" max="13056" width="9.85546875" style="2087" customWidth="1"/>
    <col min="13057" max="13057" width="10.7109375" style="2087" customWidth="1"/>
    <col min="13058" max="13058" width="13" style="2087" customWidth="1"/>
    <col min="13059" max="13062" width="10.7109375" style="2087" customWidth="1"/>
    <col min="13063" max="13063" width="12.42578125" style="2087" customWidth="1"/>
    <col min="13064" max="13065" width="0" style="2087" hidden="1" customWidth="1"/>
    <col min="13066" max="13066" width="12.7109375" style="2087" customWidth="1"/>
    <col min="13067" max="13068" width="0" style="2087" hidden="1" customWidth="1"/>
    <col min="13069" max="13311" width="9.140625" style="2087"/>
    <col min="13312" max="13312" width="9.85546875" style="2087" customWidth="1"/>
    <col min="13313" max="13313" width="10.7109375" style="2087" customWidth="1"/>
    <col min="13314" max="13314" width="13" style="2087" customWidth="1"/>
    <col min="13315" max="13318" width="10.7109375" style="2087" customWidth="1"/>
    <col min="13319" max="13319" width="12.42578125" style="2087" customWidth="1"/>
    <col min="13320" max="13321" width="0" style="2087" hidden="1" customWidth="1"/>
    <col min="13322" max="13322" width="12.7109375" style="2087" customWidth="1"/>
    <col min="13323" max="13324" width="0" style="2087" hidden="1" customWidth="1"/>
    <col min="13325" max="13567" width="9.140625" style="2087"/>
    <col min="13568" max="13568" width="9.85546875" style="2087" customWidth="1"/>
    <col min="13569" max="13569" width="10.7109375" style="2087" customWidth="1"/>
    <col min="13570" max="13570" width="13" style="2087" customWidth="1"/>
    <col min="13571" max="13574" width="10.7109375" style="2087" customWidth="1"/>
    <col min="13575" max="13575" width="12.42578125" style="2087" customWidth="1"/>
    <col min="13576" max="13577" width="0" style="2087" hidden="1" customWidth="1"/>
    <col min="13578" max="13578" width="12.7109375" style="2087" customWidth="1"/>
    <col min="13579" max="13580" width="0" style="2087" hidden="1" customWidth="1"/>
    <col min="13581" max="13823" width="9.140625" style="2087"/>
    <col min="13824" max="13824" width="9.85546875" style="2087" customWidth="1"/>
    <col min="13825" max="13825" width="10.7109375" style="2087" customWidth="1"/>
    <col min="13826" max="13826" width="13" style="2087" customWidth="1"/>
    <col min="13827" max="13830" width="10.7109375" style="2087" customWidth="1"/>
    <col min="13831" max="13831" width="12.42578125" style="2087" customWidth="1"/>
    <col min="13832" max="13833" width="0" style="2087" hidden="1" customWidth="1"/>
    <col min="13834" max="13834" width="12.7109375" style="2087" customWidth="1"/>
    <col min="13835" max="13836" width="0" style="2087" hidden="1" customWidth="1"/>
    <col min="13837" max="14079" width="9.140625" style="2087"/>
    <col min="14080" max="14080" width="9.85546875" style="2087" customWidth="1"/>
    <col min="14081" max="14081" width="10.7109375" style="2087" customWidth="1"/>
    <col min="14082" max="14082" width="13" style="2087" customWidth="1"/>
    <col min="14083" max="14086" width="10.7109375" style="2087" customWidth="1"/>
    <col min="14087" max="14087" width="12.42578125" style="2087" customWidth="1"/>
    <col min="14088" max="14089" width="0" style="2087" hidden="1" customWidth="1"/>
    <col min="14090" max="14090" width="12.7109375" style="2087" customWidth="1"/>
    <col min="14091" max="14092" width="0" style="2087" hidden="1" customWidth="1"/>
    <col min="14093" max="14335" width="9.140625" style="2087"/>
    <col min="14336" max="14336" width="9.85546875" style="2087" customWidth="1"/>
    <col min="14337" max="14337" width="10.7109375" style="2087" customWidth="1"/>
    <col min="14338" max="14338" width="13" style="2087" customWidth="1"/>
    <col min="14339" max="14342" width="10.7109375" style="2087" customWidth="1"/>
    <col min="14343" max="14343" width="12.42578125" style="2087" customWidth="1"/>
    <col min="14344" max="14345" width="0" style="2087" hidden="1" customWidth="1"/>
    <col min="14346" max="14346" width="12.7109375" style="2087" customWidth="1"/>
    <col min="14347" max="14348" width="0" style="2087" hidden="1" customWidth="1"/>
    <col min="14349" max="14591" width="9.140625" style="2087"/>
    <col min="14592" max="14592" width="9.85546875" style="2087" customWidth="1"/>
    <col min="14593" max="14593" width="10.7109375" style="2087" customWidth="1"/>
    <col min="14594" max="14594" width="13" style="2087" customWidth="1"/>
    <col min="14595" max="14598" width="10.7109375" style="2087" customWidth="1"/>
    <col min="14599" max="14599" width="12.42578125" style="2087" customWidth="1"/>
    <col min="14600" max="14601" width="0" style="2087" hidden="1" customWidth="1"/>
    <col min="14602" max="14602" width="12.7109375" style="2087" customWidth="1"/>
    <col min="14603" max="14604" width="0" style="2087" hidden="1" customWidth="1"/>
    <col min="14605" max="14847" width="9.140625" style="2087"/>
    <col min="14848" max="14848" width="9.85546875" style="2087" customWidth="1"/>
    <col min="14849" max="14849" width="10.7109375" style="2087" customWidth="1"/>
    <col min="14850" max="14850" width="13" style="2087" customWidth="1"/>
    <col min="14851" max="14854" width="10.7109375" style="2087" customWidth="1"/>
    <col min="14855" max="14855" width="12.42578125" style="2087" customWidth="1"/>
    <col min="14856" max="14857" width="0" style="2087" hidden="1" customWidth="1"/>
    <col min="14858" max="14858" width="12.7109375" style="2087" customWidth="1"/>
    <col min="14859" max="14860" width="0" style="2087" hidden="1" customWidth="1"/>
    <col min="14861" max="15103" width="9.140625" style="2087"/>
    <col min="15104" max="15104" width="9.85546875" style="2087" customWidth="1"/>
    <col min="15105" max="15105" width="10.7109375" style="2087" customWidth="1"/>
    <col min="15106" max="15106" width="13" style="2087" customWidth="1"/>
    <col min="15107" max="15110" width="10.7109375" style="2087" customWidth="1"/>
    <col min="15111" max="15111" width="12.42578125" style="2087" customWidth="1"/>
    <col min="15112" max="15113" width="0" style="2087" hidden="1" customWidth="1"/>
    <col min="15114" max="15114" width="12.7109375" style="2087" customWidth="1"/>
    <col min="15115" max="15116" width="0" style="2087" hidden="1" customWidth="1"/>
    <col min="15117" max="15359" width="9.140625" style="2087"/>
    <col min="15360" max="15360" width="9.85546875" style="2087" customWidth="1"/>
    <col min="15361" max="15361" width="10.7109375" style="2087" customWidth="1"/>
    <col min="15362" max="15362" width="13" style="2087" customWidth="1"/>
    <col min="15363" max="15366" width="10.7109375" style="2087" customWidth="1"/>
    <col min="15367" max="15367" width="12.42578125" style="2087" customWidth="1"/>
    <col min="15368" max="15369" width="0" style="2087" hidden="1" customWidth="1"/>
    <col min="15370" max="15370" width="12.7109375" style="2087" customWidth="1"/>
    <col min="15371" max="15372" width="0" style="2087" hidden="1" customWidth="1"/>
    <col min="15373" max="15615" width="9.140625" style="2087"/>
    <col min="15616" max="15616" width="9.85546875" style="2087" customWidth="1"/>
    <col min="15617" max="15617" width="10.7109375" style="2087" customWidth="1"/>
    <col min="15618" max="15618" width="13" style="2087" customWidth="1"/>
    <col min="15619" max="15622" width="10.7109375" style="2087" customWidth="1"/>
    <col min="15623" max="15623" width="12.42578125" style="2087" customWidth="1"/>
    <col min="15624" max="15625" width="0" style="2087" hidden="1" customWidth="1"/>
    <col min="15626" max="15626" width="12.7109375" style="2087" customWidth="1"/>
    <col min="15627" max="15628" width="0" style="2087" hidden="1" customWidth="1"/>
    <col min="15629" max="15871" width="9.140625" style="2087"/>
    <col min="15872" max="15872" width="9.85546875" style="2087" customWidth="1"/>
    <col min="15873" max="15873" width="10.7109375" style="2087" customWidth="1"/>
    <col min="15874" max="15874" width="13" style="2087" customWidth="1"/>
    <col min="15875" max="15878" width="10.7109375" style="2087" customWidth="1"/>
    <col min="15879" max="15879" width="12.42578125" style="2087" customWidth="1"/>
    <col min="15880" max="15881" width="0" style="2087" hidden="1" customWidth="1"/>
    <col min="15882" max="15882" width="12.7109375" style="2087" customWidth="1"/>
    <col min="15883" max="15884" width="0" style="2087" hidden="1" customWidth="1"/>
    <col min="15885" max="16127" width="9.140625" style="2087"/>
    <col min="16128" max="16128" width="9.85546875" style="2087" customWidth="1"/>
    <col min="16129" max="16129" width="10.7109375" style="2087" customWidth="1"/>
    <col min="16130" max="16130" width="13" style="2087" customWidth="1"/>
    <col min="16131" max="16134" width="10.7109375" style="2087" customWidth="1"/>
    <col min="16135" max="16135" width="12.42578125" style="2087" customWidth="1"/>
    <col min="16136" max="16137" width="0" style="2087" hidden="1" customWidth="1"/>
    <col min="16138" max="16138" width="12.7109375" style="2087" customWidth="1"/>
    <col min="16139" max="16140" width="0" style="2087" hidden="1" customWidth="1"/>
    <col min="16141" max="16384" width="9.140625" style="2087"/>
  </cols>
  <sheetData>
    <row r="1" spans="1:17" s="2086" customFormat="1" ht="18" customHeight="1">
      <c r="B1" s="4634" t="s">
        <v>2071</v>
      </c>
      <c r="C1" s="4634"/>
      <c r="D1" s="4634"/>
      <c r="E1" s="4634"/>
      <c r="F1" s="4634"/>
      <c r="G1" s="4634"/>
      <c r="H1" s="4634"/>
      <c r="I1" s="4634"/>
      <c r="J1" s="4634"/>
      <c r="K1" s="4634"/>
      <c r="L1" s="4634"/>
    </row>
    <row r="2" spans="1:17" ht="18" customHeight="1">
      <c r="A2" s="2086"/>
      <c r="B2" s="3150" t="s">
        <v>1757</v>
      </c>
      <c r="C2" s="3519"/>
      <c r="D2" s="3149"/>
      <c r="E2" s="2278"/>
      <c r="F2" s="2278"/>
      <c r="G2" s="2278"/>
      <c r="H2" s="2278"/>
      <c r="I2" s="2278"/>
      <c r="J2" s="2278"/>
      <c r="K2" s="2278"/>
      <c r="L2" s="2277"/>
      <c r="M2" s="2086"/>
    </row>
    <row r="3" spans="1:17" ht="12" customHeight="1">
      <c r="A3" s="2086"/>
      <c r="B3" s="2279"/>
      <c r="C3" s="3520"/>
      <c r="D3" s="2280"/>
      <c r="E3" s="2280"/>
      <c r="F3" s="2280"/>
      <c r="G3" s="2280"/>
      <c r="H3" s="2280"/>
      <c r="I3" s="2280"/>
      <c r="J3" s="2280"/>
      <c r="K3" s="2280"/>
      <c r="L3" s="2281"/>
      <c r="M3" s="2086"/>
    </row>
    <row r="4" spans="1:17" ht="18" customHeight="1">
      <c r="A4" s="2086"/>
      <c r="B4" s="2171"/>
      <c r="C4" s="3475" t="s">
        <v>172</v>
      </c>
      <c r="D4" s="2194"/>
      <c r="E4" s="2194"/>
      <c r="F4" s="2194"/>
      <c r="G4" s="2194"/>
      <c r="H4" s="2194"/>
      <c r="I4" s="2194"/>
      <c r="J4" s="2194"/>
      <c r="K4" s="2194"/>
      <c r="L4" s="2282"/>
      <c r="M4" s="2086"/>
    </row>
    <row r="5" spans="1:17" ht="12" customHeight="1">
      <c r="A5" s="2086"/>
      <c r="B5" s="2171"/>
      <c r="C5" s="2165"/>
      <c r="D5" s="2165"/>
      <c r="E5" s="2283"/>
      <c r="F5" s="2091"/>
      <c r="G5" s="2091"/>
      <c r="H5" s="2165"/>
      <c r="I5" s="2165" t="s">
        <v>142</v>
      </c>
      <c r="J5" s="4638" t="s">
        <v>1611</v>
      </c>
      <c r="K5" s="4638" t="s">
        <v>1610</v>
      </c>
      <c r="L5" s="2284"/>
      <c r="M5" s="2086"/>
    </row>
    <row r="6" spans="1:17" ht="18" customHeight="1">
      <c r="A6" s="2086"/>
      <c r="B6" s="2171" t="s">
        <v>142</v>
      </c>
      <c r="C6" s="2165"/>
      <c r="D6" s="2165"/>
      <c r="E6" s="4635" t="s">
        <v>421</v>
      </c>
      <c r="F6" s="4636"/>
      <c r="G6" s="4637"/>
      <c r="H6" s="2165"/>
      <c r="I6" s="2165"/>
      <c r="J6" s="4639"/>
      <c r="K6" s="4639"/>
      <c r="L6" s="2172"/>
      <c r="M6" s="2086"/>
    </row>
    <row r="7" spans="1:17" ht="18" customHeight="1">
      <c r="A7" s="2086"/>
      <c r="B7" s="2171"/>
      <c r="C7" s="2165"/>
      <c r="D7" s="2165"/>
      <c r="E7" s="2165"/>
      <c r="F7" s="2165"/>
      <c r="G7" s="2165"/>
      <c r="H7" s="2089"/>
      <c r="I7" s="2165" t="s">
        <v>428</v>
      </c>
      <c r="J7" s="4639"/>
      <c r="K7" s="4639"/>
      <c r="L7" s="2099"/>
      <c r="M7" s="2086"/>
    </row>
    <row r="8" spans="1:17" ht="18" customHeight="1">
      <c r="A8" s="2086"/>
      <c r="B8" s="2171"/>
      <c r="C8" s="2165"/>
      <c r="D8" s="2165"/>
      <c r="E8" s="2165"/>
      <c r="F8" s="2165"/>
      <c r="G8" s="2165"/>
      <c r="H8" s="2089" t="s">
        <v>173</v>
      </c>
      <c r="I8" s="2165" t="s">
        <v>174</v>
      </c>
      <c r="J8" s="4639"/>
      <c r="K8" s="4639"/>
      <c r="L8" s="2172" t="s">
        <v>428</v>
      </c>
      <c r="M8" s="2086"/>
    </row>
    <row r="9" spans="1:17" ht="18" customHeight="1">
      <c r="A9" s="2086"/>
      <c r="B9" s="2171" t="s">
        <v>175</v>
      </c>
      <c r="C9" s="2165"/>
      <c r="D9" s="2285"/>
      <c r="E9" s="2165"/>
      <c r="F9" s="2165"/>
      <c r="G9" s="2165"/>
      <c r="H9" s="2089" t="s">
        <v>174</v>
      </c>
      <c r="I9" s="2165" t="s">
        <v>177</v>
      </c>
      <c r="J9" s="4639"/>
      <c r="K9" s="4639"/>
      <c r="L9" s="2172" t="s">
        <v>174</v>
      </c>
      <c r="M9" s="2086"/>
    </row>
    <row r="10" spans="1:17" ht="18" customHeight="1">
      <c r="A10" s="2086"/>
      <c r="B10" s="2173" t="s">
        <v>140</v>
      </c>
      <c r="C10" s="2174" t="s">
        <v>152</v>
      </c>
      <c r="D10" s="2174" t="s">
        <v>429</v>
      </c>
      <c r="E10" s="2174" t="s">
        <v>152</v>
      </c>
      <c r="F10" s="2174" t="s">
        <v>141</v>
      </c>
      <c r="G10" s="2174" t="s">
        <v>431</v>
      </c>
      <c r="H10" s="2174" t="s">
        <v>177</v>
      </c>
      <c r="I10" s="2193" t="s">
        <v>181</v>
      </c>
      <c r="J10" s="4640"/>
      <c r="K10" s="4640"/>
      <c r="L10" s="2175" t="s">
        <v>935</v>
      </c>
      <c r="M10" s="2086"/>
      <c r="Q10" s="2090"/>
    </row>
    <row r="11" spans="1:17" ht="12" customHeight="1">
      <c r="A11" s="2086"/>
      <c r="B11" s="2176"/>
      <c r="C11" s="2286"/>
      <c r="D11" s="2286"/>
      <c r="E11" s="2286"/>
      <c r="F11" s="2286"/>
      <c r="G11" s="2286"/>
      <c r="H11" s="2286"/>
      <c r="I11" s="2286"/>
      <c r="J11" s="2286"/>
      <c r="K11" s="2091"/>
      <c r="L11" s="2177"/>
      <c r="M11" s="2086"/>
      <c r="Q11" s="2090"/>
    </row>
    <row r="12" spans="1:17" ht="18" hidden="1" customHeight="1">
      <c r="A12" s="2086"/>
      <c r="B12" s="2444">
        <v>2010</v>
      </c>
      <c r="C12" s="3521"/>
      <c r="D12" s="2446"/>
      <c r="E12" s="2445"/>
      <c r="F12" s="2446"/>
      <c r="G12" s="2445"/>
      <c r="H12" s="2446"/>
      <c r="I12" s="2445"/>
      <c r="J12" s="2445"/>
      <c r="K12" s="2447"/>
      <c r="L12" s="2448"/>
      <c r="M12" s="2086"/>
    </row>
    <row r="13" spans="1:17" ht="18" hidden="1" customHeight="1">
      <c r="A13" s="2086"/>
      <c r="B13" s="2449" t="s">
        <v>164</v>
      </c>
      <c r="C13" s="2640">
        <v>328.11807713000002</v>
      </c>
      <c r="D13" s="2641">
        <v>87.799481079999993</v>
      </c>
      <c r="E13" s="2642">
        <v>2.0225803999999998</v>
      </c>
      <c r="F13" s="2641">
        <v>1.9681599999999999</v>
      </c>
      <c r="G13" s="2642">
        <v>5.4420400000000001E-2</v>
      </c>
      <c r="H13" s="2641">
        <v>0</v>
      </c>
      <c r="I13" s="2642">
        <v>0</v>
      </c>
      <c r="J13" s="2642">
        <v>0</v>
      </c>
      <c r="K13" s="2643">
        <v>238.29601565000004</v>
      </c>
      <c r="L13" s="2644">
        <v>0</v>
      </c>
      <c r="M13" s="2086"/>
    </row>
    <row r="14" spans="1:17" ht="18" hidden="1" customHeight="1">
      <c r="A14" s="2086"/>
      <c r="B14" s="2449" t="s">
        <v>165</v>
      </c>
      <c r="C14" s="2640">
        <v>526.29986138999993</v>
      </c>
      <c r="D14" s="2641">
        <v>168.79969396999999</v>
      </c>
      <c r="E14" s="2642">
        <v>3.5497580099999997</v>
      </c>
      <c r="F14" s="2641">
        <v>2.8421099999999999</v>
      </c>
      <c r="G14" s="2642">
        <v>0.70764800999999999</v>
      </c>
      <c r="H14" s="2641">
        <v>0</v>
      </c>
      <c r="I14" s="2642">
        <v>0</v>
      </c>
      <c r="J14" s="2642">
        <v>0</v>
      </c>
      <c r="K14" s="2643">
        <v>353.95040940999996</v>
      </c>
      <c r="L14" s="2644">
        <v>0</v>
      </c>
      <c r="M14" s="2086"/>
    </row>
    <row r="15" spans="1:17" ht="18" hidden="1" customHeight="1">
      <c r="A15" s="2086"/>
      <c r="B15" s="2450" t="s">
        <v>166</v>
      </c>
      <c r="C15" s="2640">
        <v>718.05551446999993</v>
      </c>
      <c r="D15" s="2641">
        <v>163.76346101000001</v>
      </c>
      <c r="E15" s="2642">
        <v>53.505103630000001</v>
      </c>
      <c r="F15" s="2641">
        <v>52.635440000000003</v>
      </c>
      <c r="G15" s="2642">
        <v>0.86966363000000002</v>
      </c>
      <c r="H15" s="2641">
        <v>0</v>
      </c>
      <c r="I15" s="2642">
        <v>0</v>
      </c>
      <c r="J15" s="2642">
        <v>0</v>
      </c>
      <c r="K15" s="2643">
        <v>500.78694982999997</v>
      </c>
      <c r="L15" s="2644">
        <v>0</v>
      </c>
      <c r="M15" s="2086"/>
    </row>
    <row r="16" spans="1:17" ht="18" hidden="1" customHeight="1">
      <c r="A16" s="2086"/>
      <c r="B16" s="2450" t="s">
        <v>167</v>
      </c>
      <c r="C16" s="2640">
        <v>927.86244570999997</v>
      </c>
      <c r="D16" s="2641">
        <v>240.84960531000002</v>
      </c>
      <c r="E16" s="2642">
        <v>66.193161959999998</v>
      </c>
      <c r="F16" s="2641">
        <v>64.622322929999996</v>
      </c>
      <c r="G16" s="2642">
        <v>1.5708390300000001</v>
      </c>
      <c r="H16" s="2641">
        <v>0</v>
      </c>
      <c r="I16" s="2642">
        <v>0</v>
      </c>
      <c r="J16" s="2642">
        <v>0</v>
      </c>
      <c r="K16" s="2643">
        <v>620.81967843999996</v>
      </c>
      <c r="L16" s="2644">
        <v>0</v>
      </c>
      <c r="M16" s="2086"/>
    </row>
    <row r="17" spans="1:17" ht="18" hidden="1" customHeight="1">
      <c r="A17" s="2086"/>
      <c r="B17" s="2450" t="s">
        <v>168</v>
      </c>
      <c r="C17" s="2640">
        <v>971.20453841999984</v>
      </c>
      <c r="D17" s="2641">
        <v>186.30203610000001</v>
      </c>
      <c r="E17" s="2642">
        <v>50.323908809999992</v>
      </c>
      <c r="F17" s="2641">
        <v>48.018311409999995</v>
      </c>
      <c r="G17" s="2642">
        <v>2.3055973999999999</v>
      </c>
      <c r="H17" s="2641">
        <v>0</v>
      </c>
      <c r="I17" s="2642">
        <v>0</v>
      </c>
      <c r="J17" s="2642">
        <v>0</v>
      </c>
      <c r="K17" s="2643">
        <v>734.57859350999991</v>
      </c>
      <c r="L17" s="2644">
        <v>0</v>
      </c>
      <c r="M17" s="2086"/>
    </row>
    <row r="18" spans="1:17" ht="18" hidden="1" customHeight="1">
      <c r="A18" s="2086"/>
      <c r="B18" s="2450" t="s">
        <v>169</v>
      </c>
      <c r="C18" s="2640">
        <v>1207.2560049299998</v>
      </c>
      <c r="D18" s="2641">
        <v>316.1102917</v>
      </c>
      <c r="E18" s="2642">
        <v>68.790313389999994</v>
      </c>
      <c r="F18" s="2641">
        <v>66.637615909999994</v>
      </c>
      <c r="G18" s="2642">
        <v>2.1526974800000001</v>
      </c>
      <c r="H18" s="2641">
        <v>0</v>
      </c>
      <c r="I18" s="2642">
        <v>0</v>
      </c>
      <c r="J18" s="2642">
        <v>0</v>
      </c>
      <c r="K18" s="2643">
        <v>822.35539983999979</v>
      </c>
      <c r="L18" s="2644">
        <v>0</v>
      </c>
      <c r="M18" s="2086"/>
    </row>
    <row r="19" spans="1:17" ht="18" hidden="1" customHeight="1">
      <c r="A19" s="2086"/>
      <c r="B19" s="2450" t="s">
        <v>170</v>
      </c>
      <c r="C19" s="2640">
        <v>1322.9334967100001</v>
      </c>
      <c r="D19" s="2641">
        <v>279.76506302000001</v>
      </c>
      <c r="E19" s="2642">
        <v>90.503057589999997</v>
      </c>
      <c r="F19" s="2641">
        <v>87.865660359999993</v>
      </c>
      <c r="G19" s="2642">
        <v>2.6373972299999999</v>
      </c>
      <c r="H19" s="2641">
        <v>0</v>
      </c>
      <c r="I19" s="2642">
        <v>0</v>
      </c>
      <c r="J19" s="2642">
        <v>0</v>
      </c>
      <c r="K19" s="2643">
        <v>952.66537610000012</v>
      </c>
      <c r="L19" s="2644">
        <v>0</v>
      </c>
      <c r="M19" s="2086"/>
    </row>
    <row r="20" spans="1:17" ht="18" hidden="1" customHeight="1">
      <c r="A20" s="2086"/>
      <c r="B20" s="2450" t="s">
        <v>171</v>
      </c>
      <c r="C20" s="2640">
        <v>1455.9346928199998</v>
      </c>
      <c r="D20" s="2641">
        <v>347.24947881000003</v>
      </c>
      <c r="E20" s="2642">
        <v>72.570361720000008</v>
      </c>
      <c r="F20" s="2641">
        <v>69.126944920000014</v>
      </c>
      <c r="G20" s="2642">
        <v>3.4434168000000005</v>
      </c>
      <c r="H20" s="2641">
        <v>0</v>
      </c>
      <c r="I20" s="2642">
        <v>0</v>
      </c>
      <c r="J20" s="2642">
        <v>0</v>
      </c>
      <c r="K20" s="2643">
        <v>1036.1148522899998</v>
      </c>
      <c r="L20" s="2644">
        <v>0</v>
      </c>
      <c r="M20" s="2086"/>
    </row>
    <row r="21" spans="1:17" ht="18" hidden="1" customHeight="1">
      <c r="A21" s="2086"/>
      <c r="B21" s="2947">
        <v>2010</v>
      </c>
      <c r="C21" s="2640">
        <v>1668.01491192</v>
      </c>
      <c r="D21" s="2641">
        <v>429.51245516999995</v>
      </c>
      <c r="E21" s="2642">
        <v>95.246229560000003</v>
      </c>
      <c r="F21" s="2641">
        <v>90.275228769999998</v>
      </c>
      <c r="G21" s="2642">
        <v>4.9710007899999997</v>
      </c>
      <c r="H21" s="2641">
        <v>0</v>
      </c>
      <c r="I21" s="2642">
        <v>0</v>
      </c>
      <c r="J21" s="2642">
        <v>0</v>
      </c>
      <c r="K21" s="2643">
        <v>1143.2562271900001</v>
      </c>
      <c r="L21" s="2644">
        <v>0</v>
      </c>
      <c r="M21" s="2086"/>
    </row>
    <row r="22" spans="1:17" ht="18" hidden="1" customHeight="1">
      <c r="A22" s="2086"/>
      <c r="B22" s="2451">
        <v>2011</v>
      </c>
      <c r="C22" s="2640"/>
      <c r="D22" s="2646"/>
      <c r="E22" s="2646"/>
      <c r="F22" s="2646"/>
      <c r="G22" s="2647"/>
      <c r="H22" s="2645"/>
      <c r="I22" s="2646"/>
      <c r="J22" s="2646"/>
      <c r="K22" s="2643"/>
      <c r="L22" s="2644"/>
      <c r="M22" s="2170"/>
    </row>
    <row r="23" spans="1:17" ht="18" hidden="1" customHeight="1">
      <c r="A23" s="2086"/>
      <c r="B23" s="2453" t="s">
        <v>161</v>
      </c>
      <c r="C23" s="2640">
        <v>1712.8422826700003</v>
      </c>
      <c r="D23" s="2645">
        <v>394.54382603000005</v>
      </c>
      <c r="E23" s="2646">
        <v>70.693422179999999</v>
      </c>
      <c r="F23" s="2645">
        <v>64.950128419999999</v>
      </c>
      <c r="G23" s="2646">
        <v>5.7432937600000002</v>
      </c>
      <c r="H23" s="2645">
        <v>0</v>
      </c>
      <c r="I23" s="2646">
        <v>0</v>
      </c>
      <c r="J23" s="2646">
        <v>0</v>
      </c>
      <c r="K23" s="2643">
        <v>1247.6050344600001</v>
      </c>
      <c r="L23" s="2644">
        <v>0</v>
      </c>
      <c r="M23" s="2086"/>
      <c r="Q23" s="2090"/>
    </row>
    <row r="24" spans="1:17" ht="18" hidden="1" customHeight="1">
      <c r="A24" s="2086"/>
      <c r="B24" s="2453" t="s">
        <v>162</v>
      </c>
      <c r="C24" s="2640">
        <v>1945.7273124900003</v>
      </c>
      <c r="D24" s="2645">
        <v>537.61951979000003</v>
      </c>
      <c r="E24" s="2646">
        <v>45.369144390000002</v>
      </c>
      <c r="F24" s="2645">
        <v>44.353085890000003</v>
      </c>
      <c r="G24" s="2646">
        <v>1.0160585</v>
      </c>
      <c r="H24" s="2645">
        <v>0</v>
      </c>
      <c r="I24" s="2646">
        <v>0</v>
      </c>
      <c r="J24" s="2646">
        <v>0</v>
      </c>
      <c r="K24" s="2643">
        <v>1362.7386483100001</v>
      </c>
      <c r="L24" s="2644">
        <v>0</v>
      </c>
      <c r="M24" s="2086"/>
    </row>
    <row r="25" spans="1:17" ht="18" hidden="1" customHeight="1">
      <c r="A25" s="2086"/>
      <c r="B25" s="2453" t="s">
        <v>163</v>
      </c>
      <c r="C25" s="2640">
        <v>2159.14063072</v>
      </c>
      <c r="D25" s="2645">
        <v>443.40602799999999</v>
      </c>
      <c r="E25" s="2646">
        <v>58.782355580000008</v>
      </c>
      <c r="F25" s="2645">
        <v>50.631731230000007</v>
      </c>
      <c r="G25" s="2646">
        <v>8.1506243500000011</v>
      </c>
      <c r="H25" s="2645">
        <v>0</v>
      </c>
      <c r="I25" s="2646">
        <v>0</v>
      </c>
      <c r="J25" s="2646">
        <v>0</v>
      </c>
      <c r="K25" s="2643">
        <v>1656.9522471399998</v>
      </c>
      <c r="L25" s="2644">
        <v>0</v>
      </c>
      <c r="M25" s="2086"/>
    </row>
    <row r="26" spans="1:17" ht="18" hidden="1" customHeight="1">
      <c r="A26" s="2086"/>
      <c r="B26" s="2453" t="s">
        <v>164</v>
      </c>
      <c r="C26" s="2640">
        <v>2181.2706849599999</v>
      </c>
      <c r="D26" s="2645">
        <v>482.02937531000003</v>
      </c>
      <c r="E26" s="2646">
        <v>37.332345629999992</v>
      </c>
      <c r="F26" s="2645">
        <v>28.292883219999997</v>
      </c>
      <c r="G26" s="2646">
        <v>9.0394624099999987</v>
      </c>
      <c r="H26" s="2645">
        <v>0</v>
      </c>
      <c r="I26" s="2646">
        <v>0</v>
      </c>
      <c r="J26" s="2646">
        <v>0</v>
      </c>
      <c r="K26" s="2643">
        <v>1661.90896402</v>
      </c>
      <c r="L26" s="2644">
        <v>0</v>
      </c>
      <c r="M26" s="2086"/>
    </row>
    <row r="27" spans="1:17" ht="18" hidden="1" customHeight="1">
      <c r="A27" s="2086"/>
      <c r="B27" s="2453" t="s">
        <v>165</v>
      </c>
      <c r="C27" s="2640">
        <v>2433.4845847399993</v>
      </c>
      <c r="D27" s="2645">
        <v>507.17445848</v>
      </c>
      <c r="E27" s="2646">
        <v>52.28275266</v>
      </c>
      <c r="F27" s="2645">
        <v>34.589244370000003</v>
      </c>
      <c r="G27" s="2646">
        <v>17.693508289999997</v>
      </c>
      <c r="H27" s="2645">
        <v>0</v>
      </c>
      <c r="I27" s="2646">
        <v>0</v>
      </c>
      <c r="J27" s="2646">
        <v>0</v>
      </c>
      <c r="K27" s="2643">
        <v>1874.0273735999995</v>
      </c>
      <c r="L27" s="2644">
        <v>0</v>
      </c>
      <c r="M27" s="2086"/>
    </row>
    <row r="28" spans="1:17" ht="18" hidden="1" customHeight="1">
      <c r="A28" s="2086"/>
      <c r="B28" s="2453" t="s">
        <v>166</v>
      </c>
      <c r="C28" s="2640">
        <v>2547.4314373500001</v>
      </c>
      <c r="D28" s="2645">
        <v>540.11224644000004</v>
      </c>
      <c r="E28" s="2646">
        <v>55.135507860000004</v>
      </c>
      <c r="F28" s="2645">
        <v>41.84796841</v>
      </c>
      <c r="G28" s="2646">
        <v>13.287539450000001</v>
      </c>
      <c r="H28" s="2645">
        <v>0</v>
      </c>
      <c r="I28" s="2646">
        <v>0</v>
      </c>
      <c r="J28" s="2646">
        <v>0</v>
      </c>
      <c r="K28" s="2643">
        <v>1952.1836830500004</v>
      </c>
      <c r="L28" s="2644">
        <v>0</v>
      </c>
      <c r="M28" s="2086"/>
    </row>
    <row r="29" spans="1:17" ht="18" hidden="1" customHeight="1">
      <c r="A29" s="2086"/>
      <c r="B29" s="2453" t="s">
        <v>167</v>
      </c>
      <c r="C29" s="2640">
        <v>2589.9921182700004</v>
      </c>
      <c r="D29" s="2645">
        <v>545.18586504000007</v>
      </c>
      <c r="E29" s="2646">
        <v>58.420065649999998</v>
      </c>
      <c r="F29" s="2645">
        <v>42.920921309999997</v>
      </c>
      <c r="G29" s="2646">
        <v>15.499144339999999</v>
      </c>
      <c r="H29" s="2645">
        <v>0</v>
      </c>
      <c r="I29" s="2646">
        <v>0</v>
      </c>
      <c r="J29" s="2646">
        <v>0</v>
      </c>
      <c r="K29" s="2643">
        <v>1986.3861875800005</v>
      </c>
      <c r="L29" s="2644">
        <v>0</v>
      </c>
      <c r="M29" s="2086"/>
    </row>
    <row r="30" spans="1:17" ht="18" hidden="1" customHeight="1">
      <c r="A30" s="2086"/>
      <c r="B30" s="2453" t="s">
        <v>168</v>
      </c>
      <c r="C30" s="2640">
        <v>2665.3774724</v>
      </c>
      <c r="D30" s="2645">
        <v>628.93114463000006</v>
      </c>
      <c r="E30" s="2646">
        <v>32.913819259999997</v>
      </c>
      <c r="F30" s="2645">
        <v>24.97305892</v>
      </c>
      <c r="G30" s="2646">
        <v>7.9407603399999998</v>
      </c>
      <c r="H30" s="2645">
        <v>0</v>
      </c>
      <c r="I30" s="2646">
        <v>0</v>
      </c>
      <c r="J30" s="2646">
        <v>60.491838850000001</v>
      </c>
      <c r="K30" s="2643">
        <v>1943.04066966</v>
      </c>
      <c r="L30" s="2644">
        <v>0</v>
      </c>
      <c r="M30" s="2086"/>
    </row>
    <row r="31" spans="1:17" ht="18" hidden="1" customHeight="1">
      <c r="A31" s="2086"/>
      <c r="B31" s="2453" t="s">
        <v>169</v>
      </c>
      <c r="C31" s="2640">
        <v>2761.2765894299996</v>
      </c>
      <c r="D31" s="2645">
        <v>621.43022566000002</v>
      </c>
      <c r="E31" s="2646">
        <v>58.695528560000007</v>
      </c>
      <c r="F31" s="2645">
        <v>52.455924980000006</v>
      </c>
      <c r="G31" s="2646">
        <v>6.2396035799999998</v>
      </c>
      <c r="H31" s="2645">
        <v>0</v>
      </c>
      <c r="I31" s="2646">
        <v>0</v>
      </c>
      <c r="J31" s="2646">
        <v>22.261527969999999</v>
      </c>
      <c r="K31" s="2643">
        <v>2055.8893072399997</v>
      </c>
      <c r="L31" s="2644">
        <v>3</v>
      </c>
      <c r="M31" s="2086"/>
    </row>
    <row r="32" spans="1:17" ht="18" hidden="1" customHeight="1">
      <c r="A32" s="2086"/>
      <c r="B32" s="2453" t="s">
        <v>170</v>
      </c>
      <c r="C32" s="2640">
        <v>2745.3460316200003</v>
      </c>
      <c r="D32" s="2645">
        <v>600.67883231999997</v>
      </c>
      <c r="E32" s="2646">
        <v>34.540340860000001</v>
      </c>
      <c r="F32" s="2645">
        <v>27.773785140000001</v>
      </c>
      <c r="G32" s="2646">
        <v>6.7665557199999995</v>
      </c>
      <c r="H32" s="2645">
        <v>0</v>
      </c>
      <c r="I32" s="2646">
        <v>0</v>
      </c>
      <c r="J32" s="2646">
        <v>22.18834214</v>
      </c>
      <c r="K32" s="2643">
        <v>2084.9385163000002</v>
      </c>
      <c r="L32" s="2644">
        <v>3</v>
      </c>
      <c r="M32" s="2086"/>
    </row>
    <row r="33" spans="1:13" ht="18" hidden="1" customHeight="1">
      <c r="A33" s="2086"/>
      <c r="B33" s="2453" t="s">
        <v>171</v>
      </c>
      <c r="C33" s="2640">
        <v>2761.0395150600002</v>
      </c>
      <c r="D33" s="2645">
        <v>607.80277091000005</v>
      </c>
      <c r="E33" s="2646">
        <v>22.439788440000001</v>
      </c>
      <c r="F33" s="2645">
        <v>19.89686292</v>
      </c>
      <c r="G33" s="2646">
        <v>2.5429255200000003</v>
      </c>
      <c r="H33" s="2645">
        <v>0</v>
      </c>
      <c r="I33" s="2646">
        <v>0</v>
      </c>
      <c r="J33" s="2646">
        <v>25.42542306</v>
      </c>
      <c r="K33" s="2643">
        <v>2102.3715326500001</v>
      </c>
      <c r="L33" s="2644">
        <v>3</v>
      </c>
      <c r="M33" s="2086"/>
    </row>
    <row r="34" spans="1:13" ht="18" hidden="1" customHeight="1">
      <c r="A34" s="2086"/>
      <c r="B34" s="2451">
        <v>2011</v>
      </c>
      <c r="C34" s="2640">
        <v>2895.5782598499995</v>
      </c>
      <c r="D34" s="2645">
        <v>588.12470770999994</v>
      </c>
      <c r="E34" s="2646">
        <v>86.76922313</v>
      </c>
      <c r="F34" s="2645">
        <v>84.079127360000001</v>
      </c>
      <c r="G34" s="2646">
        <v>2.6900957700000001</v>
      </c>
      <c r="H34" s="2645">
        <v>0</v>
      </c>
      <c r="I34" s="2646">
        <v>0</v>
      </c>
      <c r="J34" s="2646">
        <v>25.19096562</v>
      </c>
      <c r="K34" s="2643">
        <v>2192.5033633899998</v>
      </c>
      <c r="L34" s="2644">
        <v>2.99</v>
      </c>
      <c r="M34" s="2086"/>
    </row>
    <row r="35" spans="1:13" ht="20.25" hidden="1" customHeight="1">
      <c r="A35" s="2086"/>
      <c r="B35" s="2451">
        <v>2012</v>
      </c>
      <c r="C35" s="2640"/>
      <c r="D35" s="2648"/>
      <c r="E35" s="2648"/>
      <c r="F35" s="2648"/>
      <c r="G35" s="2648"/>
      <c r="H35" s="2649"/>
      <c r="I35" s="2648"/>
      <c r="J35" s="2648"/>
      <c r="K35" s="2650"/>
      <c r="L35" s="2651"/>
      <c r="M35" s="2086"/>
    </row>
    <row r="36" spans="1:13" ht="18" hidden="1" customHeight="1">
      <c r="A36" s="2086"/>
      <c r="B36" s="2453" t="s">
        <v>161</v>
      </c>
      <c r="C36" s="2640">
        <v>2949.3092983100005</v>
      </c>
      <c r="D36" s="2646">
        <v>601.43896511999992</v>
      </c>
      <c r="E36" s="2646">
        <v>69.347039970000012</v>
      </c>
      <c r="F36" s="2646">
        <v>45.526053450000006</v>
      </c>
      <c r="G36" s="2646">
        <v>23.820986520000002</v>
      </c>
      <c r="H36" s="2652">
        <v>0</v>
      </c>
      <c r="I36" s="2646">
        <v>0</v>
      </c>
      <c r="J36" s="2646">
        <v>25.18285912</v>
      </c>
      <c r="K36" s="2643">
        <v>2250.3504341000007</v>
      </c>
      <c r="L36" s="2653">
        <v>2.99</v>
      </c>
      <c r="M36" s="2086"/>
    </row>
    <row r="37" spans="1:13" ht="18" hidden="1" customHeight="1">
      <c r="A37" s="2086"/>
      <c r="B37" s="2453" t="s">
        <v>162</v>
      </c>
      <c r="C37" s="2640">
        <v>3075.2107488800002</v>
      </c>
      <c r="D37" s="2646">
        <v>668.13127920000011</v>
      </c>
      <c r="E37" s="2646">
        <v>66.972973709999991</v>
      </c>
      <c r="F37" s="2646">
        <v>47.38069698999999</v>
      </c>
      <c r="G37" s="2646">
        <v>19.592276720000001</v>
      </c>
      <c r="H37" s="2652">
        <v>0</v>
      </c>
      <c r="I37" s="2646">
        <v>0</v>
      </c>
      <c r="J37" s="2646">
        <v>25.166638859999999</v>
      </c>
      <c r="K37" s="2643">
        <v>2314.93985711</v>
      </c>
      <c r="L37" s="2653">
        <v>0</v>
      </c>
      <c r="M37" s="2086"/>
    </row>
    <row r="38" spans="1:13" ht="18" hidden="1" customHeight="1">
      <c r="A38" s="2086"/>
      <c r="B38" s="2453" t="s">
        <v>163</v>
      </c>
      <c r="C38" s="2640">
        <v>2866.5073272900004</v>
      </c>
      <c r="D38" s="2646">
        <v>446.07619810999995</v>
      </c>
      <c r="E38" s="2646">
        <v>60.933073839999992</v>
      </c>
      <c r="F38" s="2646">
        <v>44.207214199999996</v>
      </c>
      <c r="G38" s="2646">
        <v>16.725859639999999</v>
      </c>
      <c r="H38" s="2652">
        <v>0</v>
      </c>
      <c r="I38" s="2646">
        <v>0</v>
      </c>
      <c r="J38" s="2646">
        <v>28.182431899999997</v>
      </c>
      <c r="K38" s="2643">
        <v>2331.3156234400003</v>
      </c>
      <c r="L38" s="2653">
        <v>0</v>
      </c>
      <c r="M38" s="2086"/>
    </row>
    <row r="39" spans="1:13" ht="18" hidden="1" customHeight="1">
      <c r="A39" s="2086"/>
      <c r="B39" s="2453" t="s">
        <v>164</v>
      </c>
      <c r="C39" s="2640">
        <v>2993.4106900499996</v>
      </c>
      <c r="D39" s="2646">
        <v>575.94758854999998</v>
      </c>
      <c r="E39" s="2646">
        <v>64.8267764</v>
      </c>
      <c r="F39" s="2646">
        <v>52.872704989999995</v>
      </c>
      <c r="G39" s="2646">
        <v>11.954071410000001</v>
      </c>
      <c r="H39" s="2652">
        <v>0</v>
      </c>
      <c r="I39" s="2646">
        <v>0</v>
      </c>
      <c r="J39" s="2646">
        <v>28.174086249999998</v>
      </c>
      <c r="K39" s="2643">
        <v>2324.4622388499997</v>
      </c>
      <c r="L39" s="2653">
        <v>0</v>
      </c>
      <c r="M39" s="2086"/>
    </row>
    <row r="40" spans="1:13" ht="18" hidden="1" customHeight="1">
      <c r="A40" s="2086"/>
      <c r="B40" s="2453" t="s">
        <v>165</v>
      </c>
      <c r="C40" s="2640">
        <v>3155.4460344300005</v>
      </c>
      <c r="D40" s="2646">
        <v>692.58798075000004</v>
      </c>
      <c r="E40" s="2646">
        <v>110.90118615</v>
      </c>
      <c r="F40" s="2646">
        <v>104.11711723000001</v>
      </c>
      <c r="G40" s="2646">
        <v>6.7840689200000011</v>
      </c>
      <c r="H40" s="2652">
        <v>0</v>
      </c>
      <c r="I40" s="2646">
        <v>0</v>
      </c>
      <c r="J40" s="2646">
        <v>28.1809212</v>
      </c>
      <c r="K40" s="2643">
        <v>2323.7759463300004</v>
      </c>
      <c r="L40" s="2653">
        <v>0</v>
      </c>
      <c r="M40" s="2086"/>
    </row>
    <row r="41" spans="1:13" ht="18" hidden="1" customHeight="1">
      <c r="A41" s="2086"/>
      <c r="B41" s="2453" t="s">
        <v>166</v>
      </c>
      <c r="C41" s="2640">
        <v>2656.8561749800006</v>
      </c>
      <c r="D41" s="2646">
        <v>229.64139947999999</v>
      </c>
      <c r="E41" s="2646">
        <v>66.593656580000001</v>
      </c>
      <c r="F41" s="2646">
        <v>56.336559749999999</v>
      </c>
      <c r="G41" s="2646">
        <v>10.25709683</v>
      </c>
      <c r="H41" s="2652">
        <v>0</v>
      </c>
      <c r="I41" s="2646">
        <v>0</v>
      </c>
      <c r="J41" s="2646">
        <v>28.172300629999999</v>
      </c>
      <c r="K41" s="2643">
        <v>2332.4488182900004</v>
      </c>
      <c r="L41" s="2653">
        <v>0</v>
      </c>
      <c r="M41" s="2086"/>
    </row>
    <row r="42" spans="1:13" ht="18" hidden="1" customHeight="1">
      <c r="A42" s="2086"/>
      <c r="B42" s="2453" t="s">
        <v>167</v>
      </c>
      <c r="C42" s="2640">
        <v>2725.8894338899995</v>
      </c>
      <c r="D42" s="2646">
        <v>276.5542016</v>
      </c>
      <c r="E42" s="2646">
        <v>103.10796112</v>
      </c>
      <c r="F42" s="2646">
        <v>85.583640259999996</v>
      </c>
      <c r="G42" s="2646">
        <v>17.52432086</v>
      </c>
      <c r="H42" s="2652">
        <v>0</v>
      </c>
      <c r="I42" s="2646">
        <v>0</v>
      </c>
      <c r="J42" s="2646">
        <v>28.17953339</v>
      </c>
      <c r="K42" s="2643">
        <v>2318.0477377799994</v>
      </c>
      <c r="L42" s="2653">
        <v>0</v>
      </c>
      <c r="M42" s="2086"/>
    </row>
    <row r="43" spans="1:13" ht="18" hidden="1" customHeight="1">
      <c r="A43" s="2086"/>
      <c r="B43" s="2453" t="s">
        <v>168</v>
      </c>
      <c r="C43" s="2640">
        <v>2932.2767612400003</v>
      </c>
      <c r="D43" s="2646">
        <v>520.46337358000005</v>
      </c>
      <c r="E43" s="2646">
        <v>69.362247319999994</v>
      </c>
      <c r="F43" s="2646">
        <v>49.547739020000002</v>
      </c>
      <c r="G43" s="2646">
        <v>19.8145083</v>
      </c>
      <c r="H43" s="2652">
        <v>0</v>
      </c>
      <c r="I43" s="2646">
        <v>0</v>
      </c>
      <c r="J43" s="2646">
        <v>28.178689719999998</v>
      </c>
      <c r="K43" s="2643">
        <v>2314.2724506200002</v>
      </c>
      <c r="L43" s="2653">
        <v>0</v>
      </c>
      <c r="M43" s="2086"/>
    </row>
    <row r="44" spans="1:13" ht="18" hidden="1" customHeight="1">
      <c r="A44" s="2086"/>
      <c r="B44" s="2453" t="s">
        <v>169</v>
      </c>
      <c r="C44" s="2640">
        <v>2653.4914385999996</v>
      </c>
      <c r="D44" s="2646">
        <v>227.92252115999997</v>
      </c>
      <c r="E44" s="2646">
        <v>97.418419619999995</v>
      </c>
      <c r="F44" s="2646">
        <v>79.016911789999995</v>
      </c>
      <c r="G44" s="2646">
        <v>18.40150783</v>
      </c>
      <c r="H44" s="2652">
        <v>0</v>
      </c>
      <c r="I44" s="2646">
        <v>0</v>
      </c>
      <c r="J44" s="2646">
        <v>28.169959079999998</v>
      </c>
      <c r="K44" s="2643">
        <v>2299.9805387399997</v>
      </c>
      <c r="L44" s="2653">
        <v>0</v>
      </c>
      <c r="M44" s="2086"/>
    </row>
    <row r="45" spans="1:13" ht="18" hidden="1" customHeight="1">
      <c r="A45" s="2086"/>
      <c r="B45" s="2453" t="s">
        <v>170</v>
      </c>
      <c r="C45" s="2640">
        <v>2673.3965818600004</v>
      </c>
      <c r="D45" s="2646">
        <v>227.97885761000001</v>
      </c>
      <c r="E45" s="2646">
        <v>108.16094559</v>
      </c>
      <c r="F45" s="2646">
        <v>93.685210639999994</v>
      </c>
      <c r="G45" s="2646">
        <v>14.47573495</v>
      </c>
      <c r="H45" s="2646">
        <v>0</v>
      </c>
      <c r="I45" s="2646">
        <v>0</v>
      </c>
      <c r="J45" s="2646">
        <v>27.997575519999998</v>
      </c>
      <c r="K45" s="2643">
        <v>2309.2592031400004</v>
      </c>
      <c r="L45" s="2653">
        <v>0</v>
      </c>
      <c r="M45" s="2086"/>
    </row>
    <row r="46" spans="1:13" ht="18" hidden="1" customHeight="1">
      <c r="A46" s="2086"/>
      <c r="B46" s="2453" t="s">
        <v>171</v>
      </c>
      <c r="C46" s="2640">
        <v>2647.0964556000004</v>
      </c>
      <c r="D46" s="2646">
        <v>246.57557549000001</v>
      </c>
      <c r="E46" s="2646">
        <v>97.412624459999989</v>
      </c>
      <c r="F46" s="2646">
        <v>90.14787050999999</v>
      </c>
      <c r="G46" s="2646">
        <v>7.2647539500000002</v>
      </c>
      <c r="H46" s="2646">
        <v>0</v>
      </c>
      <c r="I46" s="2646">
        <v>0</v>
      </c>
      <c r="J46" s="2646">
        <v>27.754671519999999</v>
      </c>
      <c r="K46" s="2643">
        <v>2275.3535841300004</v>
      </c>
      <c r="L46" s="2653">
        <v>0</v>
      </c>
      <c r="M46" s="2086"/>
    </row>
    <row r="47" spans="1:13" ht="18" customHeight="1">
      <c r="A47" s="2086"/>
      <c r="B47" s="2451">
        <v>2012</v>
      </c>
      <c r="C47" s="2640">
        <v>3259.6959787545607</v>
      </c>
      <c r="D47" s="2646">
        <v>889.21315772000003</v>
      </c>
      <c r="E47" s="2646">
        <v>70.26602187456001</v>
      </c>
      <c r="F47" s="2646">
        <v>65.028422564560003</v>
      </c>
      <c r="G47" s="2646">
        <v>5.2375993100000002</v>
      </c>
      <c r="H47" s="2646">
        <v>0</v>
      </c>
      <c r="I47" s="2646">
        <v>0</v>
      </c>
      <c r="J47" s="2646">
        <v>27.997552980000002</v>
      </c>
      <c r="K47" s="2643">
        <v>2272.2192461800005</v>
      </c>
      <c r="L47" s="2653">
        <v>0</v>
      </c>
      <c r="M47" s="2086"/>
    </row>
    <row r="48" spans="1:13" ht="18" customHeight="1">
      <c r="A48" s="2086"/>
      <c r="B48" s="2454">
        <v>2013</v>
      </c>
      <c r="C48" s="2654"/>
      <c r="D48" s="2655"/>
      <c r="E48" s="2655"/>
      <c r="F48" s="2655"/>
      <c r="G48" s="2655"/>
      <c r="H48" s="2655"/>
      <c r="I48" s="2655"/>
      <c r="J48" s="2655"/>
      <c r="K48" s="2656"/>
      <c r="L48" s="2656"/>
      <c r="M48" s="2086"/>
    </row>
    <row r="49" spans="1:13" ht="18" customHeight="1">
      <c r="A49" s="2086"/>
      <c r="B49" s="2456" t="s">
        <v>161</v>
      </c>
      <c r="C49" s="2654">
        <v>2728.3141621299997</v>
      </c>
      <c r="D49" s="2655">
        <v>351.30835440999999</v>
      </c>
      <c r="E49" s="2655">
        <v>72.201421629999984</v>
      </c>
      <c r="F49" s="2655">
        <v>68.54678616999999</v>
      </c>
      <c r="G49" s="2655">
        <v>3.6546354600000002</v>
      </c>
      <c r="H49" s="2655">
        <v>0</v>
      </c>
      <c r="I49" s="2655">
        <v>0</v>
      </c>
      <c r="J49" s="2655">
        <v>27.997111559999997</v>
      </c>
      <c r="K49" s="2656">
        <v>2276.8072745299996</v>
      </c>
      <c r="L49" s="2656">
        <v>0</v>
      </c>
      <c r="M49" s="2086"/>
    </row>
    <row r="50" spans="1:13" ht="18" customHeight="1">
      <c r="A50" s="2086"/>
      <c r="B50" s="2456" t="s">
        <v>162</v>
      </c>
      <c r="C50" s="2654">
        <v>2670.1214912099995</v>
      </c>
      <c r="D50" s="2655">
        <v>333.94634922</v>
      </c>
      <c r="E50" s="2655">
        <v>49.056546350000005</v>
      </c>
      <c r="F50" s="2655">
        <v>41.634357810000004</v>
      </c>
      <c r="G50" s="2655">
        <v>7.4221885400000005</v>
      </c>
      <c r="H50" s="2655">
        <v>0</v>
      </c>
      <c r="I50" s="2655">
        <v>0</v>
      </c>
      <c r="J50" s="2655">
        <v>27.971553839999999</v>
      </c>
      <c r="K50" s="2656">
        <v>2259.1470417999994</v>
      </c>
      <c r="L50" s="2656">
        <v>0</v>
      </c>
      <c r="M50" s="2086"/>
    </row>
    <row r="51" spans="1:13" ht="18" customHeight="1">
      <c r="A51" s="2086"/>
      <c r="B51" s="2456" t="s">
        <v>163</v>
      </c>
      <c r="C51" s="2654">
        <v>2662.490845639999</v>
      </c>
      <c r="D51" s="2655">
        <v>330.08029046000001</v>
      </c>
      <c r="E51" s="2655">
        <v>36.81081957</v>
      </c>
      <c r="F51" s="2655">
        <v>29.066211749999997</v>
      </c>
      <c r="G51" s="2655">
        <v>7.7446078199999997</v>
      </c>
      <c r="H51" s="2655">
        <v>0</v>
      </c>
      <c r="I51" s="2655">
        <v>0</v>
      </c>
      <c r="J51" s="2655">
        <v>27.970903629999999</v>
      </c>
      <c r="K51" s="2656">
        <v>2267.6288319799992</v>
      </c>
      <c r="L51" s="2656">
        <v>0</v>
      </c>
      <c r="M51" s="2086"/>
    </row>
    <row r="52" spans="1:13" ht="18" customHeight="1">
      <c r="A52" s="2086"/>
      <c r="B52" s="2456" t="s">
        <v>164</v>
      </c>
      <c r="C52" s="2654">
        <v>2837.5140083300003</v>
      </c>
      <c r="D52" s="2655">
        <v>470.53982708000001</v>
      </c>
      <c r="E52" s="2655">
        <v>72.00570420999999</v>
      </c>
      <c r="F52" s="2655">
        <v>64.033142909999995</v>
      </c>
      <c r="G52" s="2655">
        <v>7.9725613000000006</v>
      </c>
      <c r="H52" s="2655">
        <v>0</v>
      </c>
      <c r="I52" s="2655">
        <v>0</v>
      </c>
      <c r="J52" s="2655">
        <v>27.961918829999998</v>
      </c>
      <c r="K52" s="2656">
        <v>2267.0065582100001</v>
      </c>
      <c r="L52" s="2656">
        <v>0</v>
      </c>
      <c r="M52" s="2086"/>
    </row>
    <row r="53" spans="1:13" ht="18" customHeight="1">
      <c r="A53" s="2086"/>
      <c r="B53" s="2456" t="s">
        <v>165</v>
      </c>
      <c r="C53" s="2654">
        <v>2697.0032141399997</v>
      </c>
      <c r="D53" s="2655">
        <v>352.20133600999998</v>
      </c>
      <c r="E53" s="2655">
        <v>68.379834160000001</v>
      </c>
      <c r="F53" s="2655">
        <v>60.253773890000005</v>
      </c>
      <c r="G53" s="2655">
        <v>8.1260602700000018</v>
      </c>
      <c r="H53" s="2655">
        <v>0</v>
      </c>
      <c r="I53" s="2655">
        <v>0</v>
      </c>
      <c r="J53" s="2655">
        <v>27.882442550000007</v>
      </c>
      <c r="K53" s="2656">
        <v>2248.5396014199996</v>
      </c>
      <c r="L53" s="2656">
        <v>0</v>
      </c>
      <c r="M53" s="2086"/>
    </row>
    <row r="54" spans="1:13" ht="18" customHeight="1">
      <c r="A54" s="2086"/>
      <c r="B54" s="2766" t="s">
        <v>166</v>
      </c>
      <c r="C54" s="2767">
        <v>2773.4703200799995</v>
      </c>
      <c r="D54" s="2768">
        <v>378.04882547</v>
      </c>
      <c r="E54" s="2768">
        <v>126.42953341999998</v>
      </c>
      <c r="F54" s="2768">
        <v>117.07208669999999</v>
      </c>
      <c r="G54" s="2768">
        <v>9.3574467200000004</v>
      </c>
      <c r="H54" s="2768">
        <v>0</v>
      </c>
      <c r="I54" s="2768">
        <v>0</v>
      </c>
      <c r="J54" s="2768">
        <v>27.952158559999997</v>
      </c>
      <c r="K54" s="2769">
        <v>2241.0398026299995</v>
      </c>
      <c r="L54" s="2769">
        <v>0</v>
      </c>
      <c r="M54" s="2086"/>
    </row>
    <row r="55" spans="1:13" ht="18" customHeight="1">
      <c r="A55" s="2086"/>
      <c r="B55" s="2766" t="s">
        <v>167</v>
      </c>
      <c r="C55" s="2767">
        <v>2712.75032685</v>
      </c>
      <c r="D55" s="2768">
        <v>305.55647541999997</v>
      </c>
      <c r="E55" s="2768">
        <v>148.00860847000001</v>
      </c>
      <c r="F55" s="2768">
        <v>139.86384387000001</v>
      </c>
      <c r="G55" s="2768">
        <v>8.1447645999999985</v>
      </c>
      <c r="H55" s="2768">
        <v>0</v>
      </c>
      <c r="I55" s="2768">
        <v>0</v>
      </c>
      <c r="J55" s="2768">
        <v>27.952158559999997</v>
      </c>
      <c r="K55" s="2769">
        <v>2231.2330843999998</v>
      </c>
      <c r="L55" s="2769">
        <v>0</v>
      </c>
      <c r="M55" s="2086"/>
    </row>
    <row r="56" spans="1:13" ht="18" customHeight="1">
      <c r="A56" s="2086"/>
      <c r="B56" s="2766" t="s">
        <v>168</v>
      </c>
      <c r="C56" s="2767">
        <v>2652.93479368</v>
      </c>
      <c r="D56" s="2768">
        <v>350.29574545000003</v>
      </c>
      <c r="E56" s="2768">
        <v>61.438297160000005</v>
      </c>
      <c r="F56" s="2768">
        <v>52.744676000000005</v>
      </c>
      <c r="G56" s="2768">
        <v>8.6936211599999993</v>
      </c>
      <c r="H56" s="2768">
        <v>0</v>
      </c>
      <c r="I56" s="2768">
        <v>0</v>
      </c>
      <c r="J56" s="2768">
        <v>27.950486770000001</v>
      </c>
      <c r="K56" s="2769">
        <v>2213.2502642999998</v>
      </c>
      <c r="L56" s="2769">
        <v>0</v>
      </c>
      <c r="M56" s="2086"/>
    </row>
    <row r="57" spans="1:13" ht="18" customHeight="1">
      <c r="A57" s="2086"/>
      <c r="B57" s="2766" t="s">
        <v>169</v>
      </c>
      <c r="C57" s="2767">
        <v>2727.6613831099999</v>
      </c>
      <c r="D57" s="2768">
        <v>447.14244910000002</v>
      </c>
      <c r="E57" s="2768">
        <v>34.252073729999999</v>
      </c>
      <c r="F57" s="2768">
        <v>26.344124990000001</v>
      </c>
      <c r="G57" s="2768">
        <v>7.9079487399999993</v>
      </c>
      <c r="H57" s="2768">
        <v>0</v>
      </c>
      <c r="I57" s="2768">
        <v>0</v>
      </c>
      <c r="J57" s="2768">
        <v>27.9411667</v>
      </c>
      <c r="K57" s="2769">
        <v>2218.32569358</v>
      </c>
      <c r="L57" s="2769">
        <v>0</v>
      </c>
      <c r="M57" s="2086"/>
    </row>
    <row r="58" spans="1:13" ht="18" customHeight="1">
      <c r="A58" s="2086"/>
      <c r="B58" s="2766" t="s">
        <v>170</v>
      </c>
      <c r="C58" s="2767">
        <v>2755.7408364999992</v>
      </c>
      <c r="D58" s="2768">
        <v>342.46753826000003</v>
      </c>
      <c r="E58" s="2768">
        <v>68.333891280000003</v>
      </c>
      <c r="F58" s="2768">
        <v>56.535528040000003</v>
      </c>
      <c r="G58" s="2768">
        <v>11.79836324</v>
      </c>
      <c r="H58" s="2768">
        <v>0</v>
      </c>
      <c r="I58" s="2768">
        <v>0</v>
      </c>
      <c r="J58" s="2768">
        <v>27.9411667</v>
      </c>
      <c r="K58" s="2769">
        <v>2316.9982402599994</v>
      </c>
      <c r="L58" s="2769">
        <v>0</v>
      </c>
      <c r="M58" s="2086"/>
    </row>
    <row r="59" spans="1:13" ht="18" customHeight="1">
      <c r="A59" s="2086"/>
      <c r="B59" s="2766" t="s">
        <v>171</v>
      </c>
      <c r="C59" s="2767">
        <v>2671.09521933</v>
      </c>
      <c r="D59" s="2768">
        <v>362.99278357000003</v>
      </c>
      <c r="E59" s="2768">
        <v>81.584678949999997</v>
      </c>
      <c r="F59" s="2768">
        <v>40.858632099999994</v>
      </c>
      <c r="G59" s="2768">
        <v>40.726046850000003</v>
      </c>
      <c r="H59" s="2768">
        <v>0</v>
      </c>
      <c r="I59" s="2768">
        <v>0</v>
      </c>
      <c r="J59" s="2768">
        <v>28.38543744</v>
      </c>
      <c r="K59" s="2769">
        <v>2198.13231937</v>
      </c>
      <c r="L59" s="2769">
        <v>0</v>
      </c>
      <c r="M59" s="2086"/>
    </row>
    <row r="60" spans="1:13" ht="18" customHeight="1">
      <c r="A60" s="2086"/>
      <c r="B60" s="2766" t="s">
        <v>148</v>
      </c>
      <c r="C60" s="2767">
        <v>3145.5686822900002</v>
      </c>
      <c r="D60" s="2768">
        <v>879.05602736000003</v>
      </c>
      <c r="E60" s="2768">
        <v>40.752994889999997</v>
      </c>
      <c r="F60" s="2768">
        <v>32.614132859999998</v>
      </c>
      <c r="G60" s="2768">
        <v>8.1388620299999985</v>
      </c>
      <c r="H60" s="2768">
        <v>0</v>
      </c>
      <c r="I60" s="2768">
        <v>0</v>
      </c>
      <c r="J60" s="2768">
        <v>21.929787770000001</v>
      </c>
      <c r="K60" s="2769">
        <v>2203.8298722700001</v>
      </c>
      <c r="L60" s="2769">
        <v>0</v>
      </c>
      <c r="M60" s="2086"/>
    </row>
    <row r="61" spans="1:13" ht="18" customHeight="1">
      <c r="A61" s="2086"/>
      <c r="B61" s="2919">
        <v>2014</v>
      </c>
      <c r="C61" s="2767"/>
      <c r="D61" s="2768"/>
      <c r="E61" s="2768"/>
      <c r="F61" s="2768"/>
      <c r="G61" s="2768"/>
      <c r="H61" s="2768"/>
      <c r="I61" s="2768"/>
      <c r="J61" s="2768"/>
      <c r="K61" s="2769"/>
      <c r="L61" s="2769"/>
      <c r="M61" s="2086"/>
    </row>
    <row r="62" spans="1:13" ht="18" customHeight="1">
      <c r="A62" s="2086"/>
      <c r="B62" s="2766" t="s">
        <v>161</v>
      </c>
      <c r="C62" s="2767">
        <v>2920.0568816</v>
      </c>
      <c r="D62" s="2768">
        <v>260.70010580000002</v>
      </c>
      <c r="E62" s="2768">
        <v>74.046473970000008</v>
      </c>
      <c r="F62" s="2768">
        <v>67.520078420000004</v>
      </c>
      <c r="G62" s="2768">
        <v>6.5263955499999993</v>
      </c>
      <c r="H62" s="2768">
        <v>0</v>
      </c>
      <c r="I62" s="2768">
        <v>0</v>
      </c>
      <c r="J62" s="2768">
        <v>21.928741280000001</v>
      </c>
      <c r="K62" s="2769">
        <v>2563.3815605499999</v>
      </c>
      <c r="L62" s="2769">
        <v>0</v>
      </c>
      <c r="M62" s="2086"/>
    </row>
    <row r="63" spans="1:13" ht="18" customHeight="1">
      <c r="A63" s="2086"/>
      <c r="B63" s="2766" t="s">
        <v>162</v>
      </c>
      <c r="C63" s="2767">
        <v>2575.8110900799998</v>
      </c>
      <c r="D63" s="2768">
        <v>240.42984376999999</v>
      </c>
      <c r="E63" s="2768">
        <v>92.244668480000001</v>
      </c>
      <c r="F63" s="2768">
        <v>82.795014390000006</v>
      </c>
      <c r="G63" s="2768">
        <v>9.449654090000001</v>
      </c>
      <c r="H63" s="2768">
        <v>0</v>
      </c>
      <c r="I63" s="2768">
        <v>0</v>
      </c>
      <c r="J63" s="2768">
        <v>22.328499899999997</v>
      </c>
      <c r="K63" s="2769">
        <v>2220.8080779299999</v>
      </c>
      <c r="L63" s="2769">
        <v>0</v>
      </c>
      <c r="M63" s="2086"/>
    </row>
    <row r="64" spans="1:13" ht="18" customHeight="1">
      <c r="A64" s="2086"/>
      <c r="B64" s="2766" t="s">
        <v>163</v>
      </c>
      <c r="C64" s="2767">
        <v>2533.1016896800006</v>
      </c>
      <c r="D64" s="2768">
        <v>266.13627000000002</v>
      </c>
      <c r="E64" s="2768">
        <v>40.50972281</v>
      </c>
      <c r="F64" s="2768">
        <v>30.814217870000004</v>
      </c>
      <c r="G64" s="2768">
        <v>9.6955049399999993</v>
      </c>
      <c r="H64" s="2768">
        <v>0</v>
      </c>
      <c r="I64" s="2768">
        <v>0</v>
      </c>
      <c r="J64" s="2768">
        <v>21.90268859</v>
      </c>
      <c r="K64" s="2769">
        <v>2204.5530082800005</v>
      </c>
      <c r="L64" s="2769">
        <v>0</v>
      </c>
      <c r="M64" s="2086"/>
    </row>
    <row r="65" spans="1:15" ht="18" customHeight="1">
      <c r="A65" s="2086"/>
      <c r="B65" s="2766" t="s">
        <v>164</v>
      </c>
      <c r="C65" s="2767">
        <v>2574.1652478399997</v>
      </c>
      <c r="D65" s="2768">
        <v>280.54222484999997</v>
      </c>
      <c r="E65" s="2768">
        <v>43.992752109999998</v>
      </c>
      <c r="F65" s="2768">
        <v>29.169912040000003</v>
      </c>
      <c r="G65" s="2768">
        <v>14.822840069999998</v>
      </c>
      <c r="H65" s="2768">
        <v>40</v>
      </c>
      <c r="I65" s="2768">
        <v>0</v>
      </c>
      <c r="J65" s="2768">
        <v>37.655858340000002</v>
      </c>
      <c r="K65" s="2769">
        <v>2171.9744125399998</v>
      </c>
      <c r="L65" s="2769">
        <v>0</v>
      </c>
      <c r="M65" s="2086"/>
    </row>
    <row r="66" spans="1:15" ht="18" customHeight="1">
      <c r="A66" s="2086"/>
      <c r="B66" s="2766" t="s">
        <v>165</v>
      </c>
      <c r="C66" s="2767">
        <v>2565.6598301000004</v>
      </c>
      <c r="D66" s="2768">
        <v>259.04158240999999</v>
      </c>
      <c r="E66" s="2768">
        <v>76.300361359999997</v>
      </c>
      <c r="F66" s="2768">
        <v>65.13545148</v>
      </c>
      <c r="G66" s="2768">
        <v>11.16490988</v>
      </c>
      <c r="H66" s="2768">
        <v>40</v>
      </c>
      <c r="I66" s="2768">
        <v>0</v>
      </c>
      <c r="J66" s="2768">
        <v>36.997343450000002</v>
      </c>
      <c r="K66" s="2769">
        <v>2153.3205428800002</v>
      </c>
      <c r="L66" s="2769">
        <v>0</v>
      </c>
      <c r="M66" s="2086"/>
    </row>
    <row r="67" spans="1:15" ht="18" customHeight="1">
      <c r="A67" s="2086"/>
      <c r="B67" s="2766" t="s">
        <v>166</v>
      </c>
      <c r="C67" s="2767">
        <v>2649.8691607999999</v>
      </c>
      <c r="D67" s="2768">
        <v>322.72914543000002</v>
      </c>
      <c r="E67" s="2768">
        <v>98.153831279999991</v>
      </c>
      <c r="F67" s="2768">
        <v>78.760959819999997</v>
      </c>
      <c r="G67" s="2768">
        <v>19.392871460000002</v>
      </c>
      <c r="H67" s="2768">
        <v>40</v>
      </c>
      <c r="I67" s="2768">
        <v>0</v>
      </c>
      <c r="J67" s="2768">
        <v>36.982897530000002</v>
      </c>
      <c r="K67" s="2769">
        <v>2152.0032865600001</v>
      </c>
      <c r="L67" s="2769">
        <v>0</v>
      </c>
      <c r="M67" s="2086"/>
    </row>
    <row r="68" spans="1:15" ht="17.25" customHeight="1">
      <c r="A68" s="2086"/>
      <c r="B68" s="3011" t="s">
        <v>167</v>
      </c>
      <c r="C68" s="3012">
        <v>2632.6448151800005</v>
      </c>
      <c r="D68" s="3013">
        <v>278.34874844000001</v>
      </c>
      <c r="E68" s="3013">
        <v>106.15181838000001</v>
      </c>
      <c r="F68" s="3013">
        <v>60.139779820000001</v>
      </c>
      <c r="G68" s="3013">
        <v>46.012038560000001</v>
      </c>
      <c r="H68" s="3013">
        <v>40</v>
      </c>
      <c r="I68" s="3013">
        <v>0</v>
      </c>
      <c r="J68" s="3013">
        <v>36.982301849999999</v>
      </c>
      <c r="K68" s="3014">
        <v>2171.1619465100007</v>
      </c>
      <c r="L68" s="3014">
        <v>0</v>
      </c>
      <c r="M68" s="2086"/>
    </row>
    <row r="69" spans="1:15" ht="17.25" customHeight="1">
      <c r="A69" s="2086"/>
      <c r="B69" s="2766" t="s">
        <v>168</v>
      </c>
      <c r="C69" s="2767">
        <v>2698.0269908099999</v>
      </c>
      <c r="D69" s="2768">
        <v>303.21645218000003</v>
      </c>
      <c r="E69" s="2768">
        <v>81.737060690000007</v>
      </c>
      <c r="F69" s="2768">
        <v>55.720853830000003</v>
      </c>
      <c r="G69" s="2768">
        <v>26.01620686</v>
      </c>
      <c r="H69" s="2768">
        <v>40</v>
      </c>
      <c r="I69" s="2768">
        <v>0</v>
      </c>
      <c r="J69" s="2768">
        <v>36.981530319999997</v>
      </c>
      <c r="K69" s="2769">
        <v>2236.0919476199997</v>
      </c>
      <c r="L69" s="2769">
        <v>0</v>
      </c>
      <c r="M69" s="2086"/>
    </row>
    <row r="70" spans="1:15" ht="17.25" customHeight="1">
      <c r="A70" s="2086"/>
      <c r="B70" s="2766" t="s">
        <v>169</v>
      </c>
      <c r="C70" s="2767">
        <v>2758.3372284300003</v>
      </c>
      <c r="D70" s="2768">
        <v>320.29903044000002</v>
      </c>
      <c r="E70" s="2768">
        <v>80.130018640000003</v>
      </c>
      <c r="F70" s="2768">
        <v>46.98769961</v>
      </c>
      <c r="G70" s="2768">
        <v>33.142319029999996</v>
      </c>
      <c r="H70" s="2768">
        <v>40</v>
      </c>
      <c r="I70" s="2768">
        <v>0</v>
      </c>
      <c r="J70" s="2768">
        <v>36.966902450000006</v>
      </c>
      <c r="K70" s="2769">
        <v>2280.9412769</v>
      </c>
      <c r="L70" s="2769">
        <v>0</v>
      </c>
      <c r="M70" s="2086"/>
    </row>
    <row r="71" spans="1:15" ht="17.25" customHeight="1">
      <c r="A71" s="2086"/>
      <c r="B71" s="2766" t="s">
        <v>170</v>
      </c>
      <c r="C71" s="2767">
        <v>2853.4856627500003</v>
      </c>
      <c r="D71" s="2768">
        <v>302.89108393000004</v>
      </c>
      <c r="E71" s="2768">
        <v>85.694583170000001</v>
      </c>
      <c r="F71" s="2768">
        <v>26.954827739999999</v>
      </c>
      <c r="G71" s="2768">
        <v>58.739755430000002</v>
      </c>
      <c r="H71" s="2768">
        <v>40</v>
      </c>
      <c r="I71" s="2768">
        <v>0</v>
      </c>
      <c r="J71" s="2768">
        <v>36.966116590000006</v>
      </c>
      <c r="K71" s="2769">
        <v>2387.9338790600004</v>
      </c>
      <c r="L71" s="2769">
        <v>0</v>
      </c>
      <c r="M71" s="2086"/>
    </row>
    <row r="72" spans="1:15" ht="17.25" customHeight="1">
      <c r="A72" s="2086"/>
      <c r="B72" s="2766" t="s">
        <v>171</v>
      </c>
      <c r="C72" s="2767">
        <v>2853.15351194</v>
      </c>
      <c r="D72" s="2768">
        <v>331.60297349000001</v>
      </c>
      <c r="E72" s="2768">
        <v>94.192619500000006</v>
      </c>
      <c r="F72" s="2768">
        <v>91.050800270000011</v>
      </c>
      <c r="G72" s="2768">
        <v>3.1418192300000003</v>
      </c>
      <c r="H72" s="2768">
        <v>40</v>
      </c>
      <c r="I72" s="2768">
        <v>0</v>
      </c>
      <c r="J72" s="2768">
        <v>37.782960240000001</v>
      </c>
      <c r="K72" s="2769">
        <v>2349.5749587099999</v>
      </c>
      <c r="L72" s="2769">
        <v>0</v>
      </c>
      <c r="M72" s="2086"/>
    </row>
    <row r="73" spans="1:15" ht="17.25" customHeight="1">
      <c r="A73" s="2086"/>
      <c r="B73" s="2766" t="s">
        <v>148</v>
      </c>
      <c r="C73" s="2767">
        <v>2955.1744209699996</v>
      </c>
      <c r="D73" s="2768">
        <v>424.31769793000001</v>
      </c>
      <c r="E73" s="2768">
        <v>65.959283970000001</v>
      </c>
      <c r="F73" s="2768">
        <v>42.073725240000002</v>
      </c>
      <c r="G73" s="2768">
        <v>23.885558730000003</v>
      </c>
      <c r="H73" s="2768">
        <v>40</v>
      </c>
      <c r="I73" s="2768">
        <v>0</v>
      </c>
      <c r="J73" s="2768">
        <v>36.9503421</v>
      </c>
      <c r="K73" s="2769">
        <v>2380.4470969699996</v>
      </c>
      <c r="L73" s="2769">
        <v>7.5</v>
      </c>
      <c r="M73" s="2086"/>
    </row>
    <row r="74" spans="1:15" ht="17.25" customHeight="1">
      <c r="A74" s="2086"/>
      <c r="B74" s="2919">
        <v>2015</v>
      </c>
      <c r="C74" s="2767"/>
      <c r="D74" s="2768"/>
      <c r="E74" s="2768"/>
      <c r="F74" s="2768"/>
      <c r="G74" s="2768"/>
      <c r="H74" s="2768"/>
      <c r="I74" s="2768"/>
      <c r="J74" s="2768"/>
      <c r="K74" s="2769"/>
      <c r="L74" s="2769"/>
      <c r="M74" s="2086"/>
    </row>
    <row r="75" spans="1:15" ht="17.25" customHeight="1">
      <c r="A75" s="2086"/>
      <c r="B75" s="2766" t="s">
        <v>161</v>
      </c>
      <c r="C75" s="2767">
        <v>2888.9505287300012</v>
      </c>
      <c r="D75" s="2768">
        <v>351.39586640000005</v>
      </c>
      <c r="E75" s="2768">
        <v>46.787056570000004</v>
      </c>
      <c r="F75" s="2768">
        <v>34.716767189999999</v>
      </c>
      <c r="G75" s="2768">
        <v>12.070289380000002</v>
      </c>
      <c r="H75" s="2768">
        <v>40</v>
      </c>
      <c r="I75" s="2768">
        <v>0</v>
      </c>
      <c r="J75" s="2768">
        <v>36.949528090000001</v>
      </c>
      <c r="K75" s="2769">
        <v>2406.318077670001</v>
      </c>
      <c r="L75" s="2769">
        <v>7.5</v>
      </c>
      <c r="M75" s="2086"/>
    </row>
    <row r="76" spans="1:15" ht="17.25" customHeight="1">
      <c r="A76" s="2086"/>
      <c r="B76" s="2766" t="s">
        <v>162</v>
      </c>
      <c r="C76" s="2767">
        <v>3086.5242657100007</v>
      </c>
      <c r="D76" s="2768">
        <v>571.03715942000008</v>
      </c>
      <c r="E76" s="2768">
        <v>64.670175920000005</v>
      </c>
      <c r="F76" s="2768">
        <v>44.767825880000004</v>
      </c>
      <c r="G76" s="2768">
        <v>19.902350040000002</v>
      </c>
      <c r="H76" s="2768">
        <v>40</v>
      </c>
      <c r="I76" s="2768">
        <v>0</v>
      </c>
      <c r="J76" s="2768">
        <v>37.692711799999998</v>
      </c>
      <c r="K76" s="2769">
        <v>2365.6242185700007</v>
      </c>
      <c r="L76" s="2769">
        <v>7.5</v>
      </c>
      <c r="M76" s="2086"/>
    </row>
    <row r="77" spans="1:15" ht="17.25" customHeight="1">
      <c r="A77" s="2086"/>
      <c r="B77" s="2766" t="s">
        <v>163</v>
      </c>
      <c r="C77" s="2767">
        <v>3102.8237125299997</v>
      </c>
      <c r="D77" s="2768">
        <v>539.17976424999995</v>
      </c>
      <c r="E77" s="2768">
        <v>87.898281809999986</v>
      </c>
      <c r="F77" s="2768">
        <v>74.967852959999988</v>
      </c>
      <c r="G77" s="2768">
        <v>12.930428850000002</v>
      </c>
      <c r="H77" s="2768">
        <v>40</v>
      </c>
      <c r="I77" s="2768">
        <v>0</v>
      </c>
      <c r="J77" s="2768">
        <v>51.940989789999996</v>
      </c>
      <c r="K77" s="2769">
        <v>2376.3046766799998</v>
      </c>
      <c r="L77" s="2769">
        <v>7.5</v>
      </c>
      <c r="M77" s="2086"/>
    </row>
    <row r="78" spans="1:15" ht="17.25" customHeight="1">
      <c r="A78" s="2086"/>
      <c r="B78" s="2766" t="s">
        <v>164</v>
      </c>
      <c r="C78" s="2767">
        <v>3247.7448996400003</v>
      </c>
      <c r="D78" s="2768">
        <v>633.01178521999998</v>
      </c>
      <c r="E78" s="2768">
        <v>85.581358440000002</v>
      </c>
      <c r="F78" s="2768">
        <v>76.892407810000009</v>
      </c>
      <c r="G78" s="2768">
        <v>8.6889506300000008</v>
      </c>
      <c r="H78" s="2768">
        <v>40</v>
      </c>
      <c r="I78" s="2768">
        <v>0</v>
      </c>
      <c r="J78" s="2768">
        <v>53.077333859999996</v>
      </c>
      <c r="K78" s="2769">
        <v>2428.5744221200002</v>
      </c>
      <c r="L78" s="2769">
        <v>7.5</v>
      </c>
      <c r="M78" s="2086"/>
      <c r="O78" s="3174"/>
    </row>
    <row r="79" spans="1:15" ht="17.25" customHeight="1">
      <c r="A79" s="2086"/>
      <c r="B79" s="2766" t="s">
        <v>165</v>
      </c>
      <c r="C79" s="2767">
        <v>3196.8895896000004</v>
      </c>
      <c r="D79" s="2768">
        <v>564.09036980999997</v>
      </c>
      <c r="E79" s="2768">
        <v>66.319013869999992</v>
      </c>
      <c r="F79" s="2768">
        <v>48.190168469999996</v>
      </c>
      <c r="G79" s="2768">
        <v>18.128845400000003</v>
      </c>
      <c r="H79" s="2768">
        <v>40</v>
      </c>
      <c r="I79" s="2768">
        <v>0</v>
      </c>
      <c r="J79" s="2768">
        <v>51.99748872</v>
      </c>
      <c r="K79" s="2769">
        <v>2466.9827172000005</v>
      </c>
      <c r="L79" s="2769">
        <v>7.5</v>
      </c>
      <c r="M79" s="2086"/>
      <c r="O79" s="3174"/>
    </row>
    <row r="80" spans="1:15" ht="17.25" customHeight="1">
      <c r="A80" s="2086"/>
      <c r="B80" s="2766" t="s">
        <v>166</v>
      </c>
      <c r="C80" s="2767">
        <v>3348.6284710299997</v>
      </c>
      <c r="D80" s="2768">
        <v>668.25184272999991</v>
      </c>
      <c r="E80" s="2768">
        <v>86.355495329999997</v>
      </c>
      <c r="F80" s="2768">
        <v>77.985357019999995</v>
      </c>
      <c r="G80" s="2768">
        <v>8.3701383100000015</v>
      </c>
      <c r="H80" s="2768">
        <v>40</v>
      </c>
      <c r="I80" s="2768">
        <v>0</v>
      </c>
      <c r="J80" s="2768">
        <v>51.975340369999998</v>
      </c>
      <c r="K80" s="2769">
        <v>2494.4832925999999</v>
      </c>
      <c r="L80" s="2769">
        <v>7.5625</v>
      </c>
      <c r="M80" s="2086"/>
      <c r="O80" s="3174"/>
    </row>
    <row r="81" spans="1:15" ht="17.25" customHeight="1">
      <c r="A81" s="2086"/>
      <c r="B81" s="2766" t="s">
        <v>167</v>
      </c>
      <c r="C81" s="2767">
        <v>3172.9538664500005</v>
      </c>
      <c r="D81" s="2768">
        <v>583.97190777000003</v>
      </c>
      <c r="E81" s="2768">
        <v>76.047207489999991</v>
      </c>
      <c r="F81" s="2768">
        <v>71.255647909999993</v>
      </c>
      <c r="G81" s="2768">
        <v>4.7915595799999995</v>
      </c>
      <c r="H81" s="2768">
        <v>40</v>
      </c>
      <c r="I81" s="2768">
        <v>0</v>
      </c>
      <c r="J81" s="2768">
        <v>51.973110720000001</v>
      </c>
      <c r="K81" s="2769">
        <v>2413.3991404700005</v>
      </c>
      <c r="L81" s="2769">
        <v>7.5625</v>
      </c>
      <c r="M81" s="2086"/>
      <c r="O81" s="3174"/>
    </row>
    <row r="82" spans="1:15" ht="17.25" customHeight="1">
      <c r="A82" s="2086"/>
      <c r="B82" s="2766" t="s">
        <v>168</v>
      </c>
      <c r="C82" s="2767">
        <v>3274.0855815800001</v>
      </c>
      <c r="D82" s="2768">
        <v>627.71811615999991</v>
      </c>
      <c r="E82" s="2768">
        <v>108.91800466999999</v>
      </c>
      <c r="F82" s="2768">
        <v>64.270916759999992</v>
      </c>
      <c r="G82" s="2768">
        <v>44.647087909999996</v>
      </c>
      <c r="H82" s="2768">
        <v>40</v>
      </c>
      <c r="I82" s="2768">
        <v>0</v>
      </c>
      <c r="J82" s="2768">
        <v>51.970854549999999</v>
      </c>
      <c r="K82" s="2769">
        <v>2437.9161062000003</v>
      </c>
      <c r="L82" s="2769">
        <v>7.5625</v>
      </c>
      <c r="M82" s="2086"/>
      <c r="O82" s="3174"/>
    </row>
    <row r="83" spans="1:15" ht="17.25" customHeight="1">
      <c r="A83" s="2086"/>
      <c r="B83" s="2766" t="s">
        <v>169</v>
      </c>
      <c r="C83" s="2767">
        <v>3255.1833375239989</v>
      </c>
      <c r="D83" s="2768">
        <v>623.16767755000001</v>
      </c>
      <c r="E83" s="2768">
        <v>110.24603927000001</v>
      </c>
      <c r="F83" s="2768">
        <v>81.610255890000005</v>
      </c>
      <c r="G83" s="2768">
        <v>28.635783380000003</v>
      </c>
      <c r="H83" s="2768">
        <v>40</v>
      </c>
      <c r="I83" s="2768">
        <v>0</v>
      </c>
      <c r="J83" s="2768">
        <v>52.568875340000005</v>
      </c>
      <c r="K83" s="2769">
        <v>2421.638245363999</v>
      </c>
      <c r="L83" s="2769">
        <v>7.5625</v>
      </c>
      <c r="M83" s="2086"/>
      <c r="O83" s="3174"/>
    </row>
    <row r="84" spans="1:15" ht="17.25" customHeight="1">
      <c r="A84" s="2086"/>
      <c r="B84" s="2766" t="s">
        <v>170</v>
      </c>
      <c r="C84" s="2767">
        <v>3214.48172686</v>
      </c>
      <c r="D84" s="2768">
        <v>596.50689602</v>
      </c>
      <c r="E84" s="2768">
        <v>129.89116645999999</v>
      </c>
      <c r="F84" s="2768">
        <v>95.600656299999997</v>
      </c>
      <c r="G84" s="2768">
        <v>34.290510159999997</v>
      </c>
      <c r="H84" s="2768">
        <v>40</v>
      </c>
      <c r="I84" s="2768">
        <v>0</v>
      </c>
      <c r="J84" s="2768">
        <v>51.948709100000002</v>
      </c>
      <c r="K84" s="2769">
        <v>2388.5724552800002</v>
      </c>
      <c r="L84" s="2769">
        <v>7.5625</v>
      </c>
      <c r="M84" s="2086"/>
      <c r="O84" s="3174"/>
    </row>
    <row r="85" spans="1:15" ht="17.25" customHeight="1">
      <c r="A85" s="2086"/>
      <c r="B85" s="4193" t="s">
        <v>171</v>
      </c>
      <c r="C85" s="4194">
        <v>3133.3606533769998</v>
      </c>
      <c r="D85" s="4195">
        <v>616.02918083999998</v>
      </c>
      <c r="E85" s="4195">
        <v>74.046826539999998</v>
      </c>
      <c r="F85" s="4195">
        <v>64.604491789999997</v>
      </c>
      <c r="G85" s="4195">
        <v>9.4423347500000006</v>
      </c>
      <c r="H85" s="4195">
        <v>40</v>
      </c>
      <c r="I85" s="4195">
        <v>0</v>
      </c>
      <c r="J85" s="4195">
        <v>52</v>
      </c>
      <c r="K85" s="4196">
        <v>2343.5346459970001</v>
      </c>
      <c r="L85" s="4196">
        <v>7.75</v>
      </c>
      <c r="M85" s="2086"/>
      <c r="O85" s="3174"/>
    </row>
    <row r="86" spans="1:15" ht="17.25" customHeight="1">
      <c r="A86" s="2086"/>
      <c r="B86" s="4193" t="s">
        <v>148</v>
      </c>
      <c r="C86" s="4194">
        <v>3138.8491503439996</v>
      </c>
      <c r="D86" s="4195">
        <v>574.22938243999999</v>
      </c>
      <c r="E86" s="4195">
        <v>81.852921729999991</v>
      </c>
      <c r="F86" s="4195">
        <v>53.961964960000003</v>
      </c>
      <c r="G86" s="4195">
        <v>27.890956769999995</v>
      </c>
      <c r="H86" s="4195">
        <v>40</v>
      </c>
      <c r="I86" s="4195">
        <v>0</v>
      </c>
      <c r="J86" s="4195">
        <v>51.923664389999999</v>
      </c>
      <c r="K86" s="4196">
        <v>2383.0931817839996</v>
      </c>
      <c r="L86" s="4196">
        <v>7.75</v>
      </c>
      <c r="M86" s="2086"/>
      <c r="O86" s="3174"/>
    </row>
    <row r="87" spans="1:15" ht="17.25" customHeight="1">
      <c r="A87" s="2086"/>
      <c r="B87" s="4319">
        <v>2016</v>
      </c>
      <c r="C87" s="4194"/>
      <c r="D87" s="4195"/>
      <c r="E87" s="4195"/>
      <c r="F87" s="4195"/>
      <c r="G87" s="4195"/>
      <c r="H87" s="4195"/>
      <c r="I87" s="4195"/>
      <c r="J87" s="4195"/>
      <c r="K87" s="4196"/>
      <c r="L87" s="4196"/>
      <c r="M87" s="2086"/>
      <c r="O87" s="3174"/>
    </row>
    <row r="88" spans="1:15" ht="17.25" customHeight="1">
      <c r="A88" s="2086"/>
      <c r="B88" s="4193" t="s">
        <v>161</v>
      </c>
      <c r="C88" s="4194">
        <v>3103.1210818299996</v>
      </c>
      <c r="D88" s="4195">
        <v>572.28151442000001</v>
      </c>
      <c r="E88" s="4195">
        <v>91.615470959999996</v>
      </c>
      <c r="F88" s="4195">
        <v>73.260119219999993</v>
      </c>
      <c r="G88" s="4195">
        <v>18.35535174</v>
      </c>
      <c r="H88" s="4195">
        <v>40</v>
      </c>
      <c r="I88" s="4195">
        <v>0</v>
      </c>
      <c r="J88" s="4195">
        <v>52.539371229999993</v>
      </c>
      <c r="K88" s="4196">
        <v>2338.9347252199996</v>
      </c>
      <c r="L88" s="4196">
        <v>7.75</v>
      </c>
      <c r="M88" s="2086"/>
      <c r="O88" s="3174"/>
    </row>
    <row r="89" spans="1:15" ht="17.25" customHeight="1">
      <c r="A89" s="2086"/>
      <c r="B89" s="4315" t="s">
        <v>162</v>
      </c>
      <c r="C89" s="4316">
        <v>3191.4515194500009</v>
      </c>
      <c r="D89" s="4317">
        <v>625.28246055</v>
      </c>
      <c r="E89" s="4317">
        <v>115.35212853</v>
      </c>
      <c r="F89" s="4317">
        <v>98.390611710000002</v>
      </c>
      <c r="G89" s="4317">
        <v>16.96151682</v>
      </c>
      <c r="H89" s="4317">
        <v>47.5</v>
      </c>
      <c r="I89" s="4317">
        <v>0</v>
      </c>
      <c r="J89" s="4317">
        <v>37.692711799999998</v>
      </c>
      <c r="K89" s="4318">
        <v>2365.6242185700007</v>
      </c>
      <c r="L89" s="4318">
        <v>0</v>
      </c>
      <c r="M89" s="2086"/>
      <c r="O89" s="3174"/>
    </row>
    <row r="90" spans="1:15" ht="33" customHeight="1">
      <c r="A90" s="2086"/>
      <c r="B90" s="4606" t="s">
        <v>1631</v>
      </c>
      <c r="C90" s="4606"/>
      <c r="D90" s="4606"/>
      <c r="E90" s="4606"/>
      <c r="F90" s="4606"/>
      <c r="G90" s="4606"/>
      <c r="H90" s="4606"/>
      <c r="I90" s="4606"/>
      <c r="J90" s="4606"/>
      <c r="K90" s="4606"/>
      <c r="L90" s="4606"/>
      <c r="M90" s="2086"/>
    </row>
    <row r="91" spans="1:15" ht="33.75" customHeight="1">
      <c r="A91" s="2086"/>
      <c r="B91" s="4633" t="s">
        <v>1762</v>
      </c>
      <c r="C91" s="4633"/>
      <c r="D91" s="4633"/>
      <c r="E91" s="4633"/>
      <c r="F91" s="4633"/>
      <c r="G91" s="4633"/>
      <c r="H91" s="4633"/>
      <c r="I91" s="4633"/>
      <c r="J91" s="4633"/>
      <c r="K91" s="4633"/>
      <c r="L91" s="4633"/>
      <c r="M91" s="2086"/>
    </row>
    <row r="92" spans="1:15">
      <c r="A92" s="2086"/>
      <c r="B92" s="2277"/>
      <c r="C92" s="3522"/>
      <c r="D92" s="2277"/>
      <c r="E92" s="2277"/>
      <c r="F92" s="2277"/>
      <c r="G92" s="2277"/>
      <c r="H92" s="2277"/>
      <c r="I92" s="2277"/>
      <c r="J92" s="2277"/>
      <c r="K92" s="2277"/>
      <c r="L92" s="2277"/>
      <c r="M92" s="2086"/>
    </row>
    <row r="93" spans="1:15">
      <c r="A93" s="2086"/>
      <c r="B93" s="2277"/>
      <c r="C93" s="3522"/>
      <c r="D93" s="2277"/>
      <c r="E93" s="2277"/>
      <c r="F93" s="2277"/>
      <c r="G93" s="2277"/>
      <c r="H93" s="2277"/>
      <c r="I93" s="2277"/>
      <c r="J93" s="2277"/>
      <c r="K93" s="2277"/>
      <c r="L93" s="2277"/>
      <c r="M93" s="2086"/>
    </row>
    <row r="94" spans="1:15">
      <c r="A94" s="2086"/>
      <c r="B94" s="2277"/>
      <c r="C94" s="3522"/>
      <c r="D94" s="2277"/>
      <c r="E94" s="2277"/>
      <c r="F94" s="2277"/>
      <c r="G94" s="2277"/>
      <c r="H94" s="2277"/>
      <c r="I94" s="2277"/>
      <c r="J94" s="2277"/>
      <c r="K94" s="2277"/>
      <c r="L94" s="2277"/>
      <c r="M94" s="2086"/>
    </row>
    <row r="95" spans="1:15">
      <c r="A95" s="2086"/>
      <c r="B95" s="2277"/>
      <c r="C95" s="3522"/>
      <c r="D95" s="2277"/>
      <c r="E95" s="2277"/>
      <c r="F95" s="2277"/>
      <c r="G95" s="2277"/>
      <c r="H95" s="2277"/>
      <c r="I95" s="2277"/>
      <c r="J95" s="2277"/>
      <c r="K95" s="2277"/>
      <c r="L95" s="2277"/>
      <c r="M95" s="2086"/>
    </row>
    <row r="96" spans="1:15">
      <c r="A96" s="2086"/>
      <c r="B96" s="2277"/>
      <c r="C96" s="3522"/>
      <c r="D96" s="2277"/>
      <c r="E96" s="2277"/>
      <c r="F96" s="2277"/>
      <c r="G96" s="2277"/>
      <c r="H96" s="2277"/>
      <c r="I96" s="2277"/>
      <c r="J96" s="2277"/>
      <c r="K96" s="2277"/>
      <c r="L96" s="2277"/>
      <c r="M96" s="2086"/>
    </row>
    <row r="97" spans="1:13">
      <c r="A97" s="2086"/>
      <c r="B97" s="2277"/>
      <c r="C97" s="3522"/>
      <c r="D97" s="2277"/>
      <c r="E97" s="2277"/>
      <c r="F97" s="2277"/>
      <c r="G97" s="2277"/>
      <c r="H97" s="2277"/>
      <c r="I97" s="2277"/>
      <c r="J97" s="2277"/>
      <c r="K97" s="2277"/>
      <c r="L97" s="2277"/>
      <c r="M97" s="2086"/>
    </row>
    <row r="98" spans="1:13">
      <c r="A98" s="2086"/>
      <c r="B98" s="2277"/>
      <c r="C98" s="3522"/>
      <c r="D98" s="2277"/>
      <c r="E98" s="2277"/>
      <c r="F98" s="2277"/>
      <c r="G98" s="2277"/>
      <c r="H98" s="2277"/>
      <c r="I98" s="2277"/>
      <c r="J98" s="2277"/>
      <c r="K98" s="2277"/>
      <c r="L98" s="2277"/>
      <c r="M98" s="2086"/>
    </row>
    <row r="99" spans="1:13">
      <c r="A99" s="2086"/>
      <c r="B99" s="2277"/>
      <c r="C99" s="3522"/>
      <c r="D99" s="2277"/>
      <c r="E99" s="2277"/>
      <c r="F99" s="2277"/>
      <c r="G99" s="2277"/>
      <c r="H99" s="2277"/>
      <c r="I99" s="2277"/>
      <c r="J99" s="2277"/>
      <c r="K99" s="2277"/>
      <c r="L99" s="2277"/>
      <c r="M99" s="2086"/>
    </row>
    <row r="100" spans="1:13">
      <c r="A100" s="2086"/>
      <c r="B100" s="2277"/>
      <c r="C100" s="3522"/>
      <c r="D100" s="2277"/>
      <c r="E100" s="2277"/>
      <c r="F100" s="2277"/>
      <c r="G100" s="2277"/>
      <c r="H100" s="2277"/>
      <c r="I100" s="2277"/>
      <c r="J100" s="2277"/>
      <c r="K100" s="2277"/>
      <c r="L100" s="2277"/>
      <c r="M100" s="2086"/>
    </row>
    <row r="101" spans="1:13">
      <c r="A101" s="2086"/>
      <c r="B101" s="2277"/>
      <c r="C101" s="3522"/>
      <c r="D101" s="2277"/>
      <c r="E101" s="2277"/>
      <c r="F101" s="2277"/>
      <c r="G101" s="2277"/>
      <c r="H101" s="2277"/>
      <c r="I101" s="2277"/>
      <c r="J101" s="2277"/>
      <c r="K101" s="2277"/>
      <c r="L101" s="2277"/>
      <c r="M101" s="2086"/>
    </row>
    <row r="102" spans="1:13">
      <c r="A102" s="2086"/>
      <c r="B102" s="2277"/>
      <c r="C102" s="3522"/>
      <c r="D102" s="2277"/>
      <c r="E102" s="2277"/>
      <c r="F102" s="2277"/>
      <c r="G102" s="2277"/>
      <c r="H102" s="2277"/>
      <c r="I102" s="2277"/>
      <c r="J102" s="2277"/>
      <c r="K102" s="2277"/>
      <c r="L102" s="2277"/>
      <c r="M102" s="2086"/>
    </row>
    <row r="103" spans="1:13">
      <c r="A103" s="2086"/>
      <c r="B103" s="2277"/>
      <c r="C103" s="3522"/>
      <c r="D103" s="2277"/>
      <c r="E103" s="2277"/>
      <c r="F103" s="2277"/>
      <c r="G103" s="2277"/>
      <c r="H103" s="2277"/>
      <c r="I103" s="2277"/>
      <c r="J103" s="2277"/>
      <c r="K103" s="2277"/>
      <c r="L103" s="2277"/>
      <c r="M103" s="2086"/>
    </row>
    <row r="104" spans="1:13">
      <c r="A104" s="2086"/>
      <c r="B104" s="2277"/>
      <c r="C104" s="3522"/>
      <c r="D104" s="2277"/>
      <c r="E104" s="2277"/>
      <c r="F104" s="2277"/>
      <c r="G104" s="2277"/>
      <c r="H104" s="2277"/>
      <c r="I104" s="2277"/>
      <c r="J104" s="2277"/>
      <c r="K104" s="2277"/>
      <c r="L104" s="2277"/>
      <c r="M104" s="2086"/>
    </row>
  </sheetData>
  <mergeCells count="6">
    <mergeCell ref="B91:L91"/>
    <mergeCell ref="B1:L1"/>
    <mergeCell ref="E6:G6"/>
    <mergeCell ref="K5:K10"/>
    <mergeCell ref="J5:J10"/>
    <mergeCell ref="B90:L90"/>
  </mergeCells>
  <pageMargins left="0.93" right="0.7" top="0.75" bottom="0.75" header="0.5" footer="0.3"/>
  <pageSetup paperSize="9" scale="71" orientation="portrait" r:id="rId1"/>
</worksheet>
</file>

<file path=xl/worksheets/sheet34.xml><?xml version="1.0" encoding="utf-8"?>
<worksheet xmlns="http://schemas.openxmlformats.org/spreadsheetml/2006/main" xmlns:r="http://schemas.openxmlformats.org/officeDocument/2006/relationships">
  <dimension ref="A1:P91"/>
  <sheetViews>
    <sheetView topLeftCell="A3" zoomScale="70" zoomScaleNormal="70" zoomScaleSheetLayoutView="80" workbookViewId="0">
      <pane xSplit="2" ySplit="9" topLeftCell="C12" activePane="bottomRight" state="frozen"/>
      <selection activeCell="K31" sqref="K31"/>
      <selection pane="topRight" activeCell="K31" sqref="K31"/>
      <selection pane="bottomLeft" activeCell="K31" sqref="K31"/>
      <selection pane="bottomRight" activeCell="A34" sqref="A34:XFD34"/>
    </sheetView>
  </sheetViews>
  <sheetFormatPr defaultRowHeight="16.5"/>
  <cols>
    <col min="1" max="1" width="9.140625" style="2087"/>
    <col min="2" max="2" width="10.140625" style="2202" customWidth="1"/>
    <col min="3" max="3" width="12" style="3523" customWidth="1"/>
    <col min="4" max="4" width="13.28515625" style="2202" customWidth="1"/>
    <col min="5" max="5" width="14.28515625" style="2202" customWidth="1"/>
    <col min="6" max="6" width="12.5703125" style="2202" customWidth="1"/>
    <col min="7" max="7" width="9.5703125" style="2202" customWidth="1"/>
    <col min="8" max="8" width="10.5703125" style="2202" customWidth="1"/>
    <col min="9" max="9" width="10.85546875" style="2202" customWidth="1"/>
    <col min="10" max="10" width="12.42578125" style="2202" customWidth="1"/>
    <col min="11" max="11" width="13.28515625" style="2202" customWidth="1"/>
    <col min="12" max="12" width="13" style="2202" customWidth="1"/>
    <col min="13" max="13" width="10.85546875" style="2202" customWidth="1"/>
    <col min="14" max="14" width="10.7109375" style="2087" customWidth="1"/>
    <col min="15" max="256" width="9.140625" style="2087"/>
    <col min="257" max="257" width="9" style="2087" customWidth="1"/>
    <col min="258" max="258" width="10.140625" style="2087" customWidth="1"/>
    <col min="259" max="259" width="12" style="2087" customWidth="1"/>
    <col min="260" max="260" width="12.140625" style="2087" customWidth="1"/>
    <col min="261" max="261" width="12.5703125" style="2087" customWidth="1"/>
    <col min="262" max="264" width="9.140625" style="2087"/>
    <col min="265" max="265" width="12.7109375" style="2087" customWidth="1"/>
    <col min="266" max="266" width="13.42578125" style="2087" customWidth="1"/>
    <col min="267" max="267" width="13" style="2087" customWidth="1"/>
    <col min="268" max="268" width="10.42578125" style="2087" customWidth="1"/>
    <col min="269" max="512" width="9.140625" style="2087"/>
    <col min="513" max="513" width="9" style="2087" customWidth="1"/>
    <col min="514" max="514" width="10.140625" style="2087" customWidth="1"/>
    <col min="515" max="515" width="12" style="2087" customWidth="1"/>
    <col min="516" max="516" width="12.140625" style="2087" customWidth="1"/>
    <col min="517" max="517" width="12.5703125" style="2087" customWidth="1"/>
    <col min="518" max="520" width="9.140625" style="2087"/>
    <col min="521" max="521" width="12.7109375" style="2087" customWidth="1"/>
    <col min="522" max="522" width="13.42578125" style="2087" customWidth="1"/>
    <col min="523" max="523" width="13" style="2087" customWidth="1"/>
    <col min="524" max="524" width="10.42578125" style="2087" customWidth="1"/>
    <col min="525" max="768" width="9.140625" style="2087"/>
    <col min="769" max="769" width="9" style="2087" customWidth="1"/>
    <col min="770" max="770" width="10.140625" style="2087" customWidth="1"/>
    <col min="771" max="771" width="12" style="2087" customWidth="1"/>
    <col min="772" max="772" width="12.140625" style="2087" customWidth="1"/>
    <col min="773" max="773" width="12.5703125" style="2087" customWidth="1"/>
    <col min="774" max="776" width="9.140625" style="2087"/>
    <col min="777" max="777" width="12.7109375" style="2087" customWidth="1"/>
    <col min="778" max="778" width="13.42578125" style="2087" customWidth="1"/>
    <col min="779" max="779" width="13" style="2087" customWidth="1"/>
    <col min="780" max="780" width="10.42578125" style="2087" customWidth="1"/>
    <col min="781" max="1024" width="9.140625" style="2087"/>
    <col min="1025" max="1025" width="9" style="2087" customWidth="1"/>
    <col min="1026" max="1026" width="10.140625" style="2087" customWidth="1"/>
    <col min="1027" max="1027" width="12" style="2087" customWidth="1"/>
    <col min="1028" max="1028" width="12.140625" style="2087" customWidth="1"/>
    <col min="1029" max="1029" width="12.5703125" style="2087" customWidth="1"/>
    <col min="1030" max="1032" width="9.140625" style="2087"/>
    <col min="1033" max="1033" width="12.7109375" style="2087" customWidth="1"/>
    <col min="1034" max="1034" width="13.42578125" style="2087" customWidth="1"/>
    <col min="1035" max="1035" width="13" style="2087" customWidth="1"/>
    <col min="1036" max="1036" width="10.42578125" style="2087" customWidth="1"/>
    <col min="1037" max="1280" width="9.140625" style="2087"/>
    <col min="1281" max="1281" width="9" style="2087" customWidth="1"/>
    <col min="1282" max="1282" width="10.140625" style="2087" customWidth="1"/>
    <col min="1283" max="1283" width="12" style="2087" customWidth="1"/>
    <col min="1284" max="1284" width="12.140625" style="2087" customWidth="1"/>
    <col min="1285" max="1285" width="12.5703125" style="2087" customWidth="1"/>
    <col min="1286" max="1288" width="9.140625" style="2087"/>
    <col min="1289" max="1289" width="12.7109375" style="2087" customWidth="1"/>
    <col min="1290" max="1290" width="13.42578125" style="2087" customWidth="1"/>
    <col min="1291" max="1291" width="13" style="2087" customWidth="1"/>
    <col min="1292" max="1292" width="10.42578125" style="2087" customWidth="1"/>
    <col min="1293" max="1536" width="9.140625" style="2087"/>
    <col min="1537" max="1537" width="9" style="2087" customWidth="1"/>
    <col min="1538" max="1538" width="10.140625" style="2087" customWidth="1"/>
    <col min="1539" max="1539" width="12" style="2087" customWidth="1"/>
    <col min="1540" max="1540" width="12.140625" style="2087" customWidth="1"/>
    <col min="1541" max="1541" width="12.5703125" style="2087" customWidth="1"/>
    <col min="1542" max="1544" width="9.140625" style="2087"/>
    <col min="1545" max="1545" width="12.7109375" style="2087" customWidth="1"/>
    <col min="1546" max="1546" width="13.42578125" style="2087" customWidth="1"/>
    <col min="1547" max="1547" width="13" style="2087" customWidth="1"/>
    <col min="1548" max="1548" width="10.42578125" style="2087" customWidth="1"/>
    <col min="1549" max="1792" width="9.140625" style="2087"/>
    <col min="1793" max="1793" width="9" style="2087" customWidth="1"/>
    <col min="1794" max="1794" width="10.140625" style="2087" customWidth="1"/>
    <col min="1795" max="1795" width="12" style="2087" customWidth="1"/>
    <col min="1796" max="1796" width="12.140625" style="2087" customWidth="1"/>
    <col min="1797" max="1797" width="12.5703125" style="2087" customWidth="1"/>
    <col min="1798" max="1800" width="9.140625" style="2087"/>
    <col min="1801" max="1801" width="12.7109375" style="2087" customWidth="1"/>
    <col min="1802" max="1802" width="13.42578125" style="2087" customWidth="1"/>
    <col min="1803" max="1803" width="13" style="2087" customWidth="1"/>
    <col min="1804" max="1804" width="10.42578125" style="2087" customWidth="1"/>
    <col min="1805" max="2048" width="9.140625" style="2087"/>
    <col min="2049" max="2049" width="9" style="2087" customWidth="1"/>
    <col min="2050" max="2050" width="10.140625" style="2087" customWidth="1"/>
    <col min="2051" max="2051" width="12" style="2087" customWidth="1"/>
    <col min="2052" max="2052" width="12.140625" style="2087" customWidth="1"/>
    <col min="2053" max="2053" width="12.5703125" style="2087" customWidth="1"/>
    <col min="2054" max="2056" width="9.140625" style="2087"/>
    <col min="2057" max="2057" width="12.7109375" style="2087" customWidth="1"/>
    <col min="2058" max="2058" width="13.42578125" style="2087" customWidth="1"/>
    <col min="2059" max="2059" width="13" style="2087" customWidth="1"/>
    <col min="2060" max="2060" width="10.42578125" style="2087" customWidth="1"/>
    <col min="2061" max="2304" width="9.140625" style="2087"/>
    <col min="2305" max="2305" width="9" style="2087" customWidth="1"/>
    <col min="2306" max="2306" width="10.140625" style="2087" customWidth="1"/>
    <col min="2307" max="2307" width="12" style="2087" customWidth="1"/>
    <col min="2308" max="2308" width="12.140625" style="2087" customWidth="1"/>
    <col min="2309" max="2309" width="12.5703125" style="2087" customWidth="1"/>
    <col min="2310" max="2312" width="9.140625" style="2087"/>
    <col min="2313" max="2313" width="12.7109375" style="2087" customWidth="1"/>
    <col min="2314" max="2314" width="13.42578125" style="2087" customWidth="1"/>
    <col min="2315" max="2315" width="13" style="2087" customWidth="1"/>
    <col min="2316" max="2316" width="10.42578125" style="2087" customWidth="1"/>
    <col min="2317" max="2560" width="9.140625" style="2087"/>
    <col min="2561" max="2561" width="9" style="2087" customWidth="1"/>
    <col min="2562" max="2562" width="10.140625" style="2087" customWidth="1"/>
    <col min="2563" max="2563" width="12" style="2087" customWidth="1"/>
    <col min="2564" max="2564" width="12.140625" style="2087" customWidth="1"/>
    <col min="2565" max="2565" width="12.5703125" style="2087" customWidth="1"/>
    <col min="2566" max="2568" width="9.140625" style="2087"/>
    <col min="2569" max="2569" width="12.7109375" style="2087" customWidth="1"/>
    <col min="2570" max="2570" width="13.42578125" style="2087" customWidth="1"/>
    <col min="2571" max="2571" width="13" style="2087" customWidth="1"/>
    <col min="2572" max="2572" width="10.42578125" style="2087" customWidth="1"/>
    <col min="2573" max="2816" width="9.140625" style="2087"/>
    <col min="2817" max="2817" width="9" style="2087" customWidth="1"/>
    <col min="2818" max="2818" width="10.140625" style="2087" customWidth="1"/>
    <col min="2819" max="2819" width="12" style="2087" customWidth="1"/>
    <col min="2820" max="2820" width="12.140625" style="2087" customWidth="1"/>
    <col min="2821" max="2821" width="12.5703125" style="2087" customWidth="1"/>
    <col min="2822" max="2824" width="9.140625" style="2087"/>
    <col min="2825" max="2825" width="12.7109375" style="2087" customWidth="1"/>
    <col min="2826" max="2826" width="13.42578125" style="2087" customWidth="1"/>
    <col min="2827" max="2827" width="13" style="2087" customWidth="1"/>
    <col min="2828" max="2828" width="10.42578125" style="2087" customWidth="1"/>
    <col min="2829" max="3072" width="9.140625" style="2087"/>
    <col min="3073" max="3073" width="9" style="2087" customWidth="1"/>
    <col min="3074" max="3074" width="10.140625" style="2087" customWidth="1"/>
    <col min="3075" max="3075" width="12" style="2087" customWidth="1"/>
    <col min="3076" max="3076" width="12.140625" style="2087" customWidth="1"/>
    <col min="3077" max="3077" width="12.5703125" style="2087" customWidth="1"/>
    <col min="3078" max="3080" width="9.140625" style="2087"/>
    <col min="3081" max="3081" width="12.7109375" style="2087" customWidth="1"/>
    <col min="3082" max="3082" width="13.42578125" style="2087" customWidth="1"/>
    <col min="3083" max="3083" width="13" style="2087" customWidth="1"/>
    <col min="3084" max="3084" width="10.42578125" style="2087" customWidth="1"/>
    <col min="3085" max="3328" width="9.140625" style="2087"/>
    <col min="3329" max="3329" width="9" style="2087" customWidth="1"/>
    <col min="3330" max="3330" width="10.140625" style="2087" customWidth="1"/>
    <col min="3331" max="3331" width="12" style="2087" customWidth="1"/>
    <col min="3332" max="3332" width="12.140625" style="2087" customWidth="1"/>
    <col min="3333" max="3333" width="12.5703125" style="2087" customWidth="1"/>
    <col min="3334" max="3336" width="9.140625" style="2087"/>
    <col min="3337" max="3337" width="12.7109375" style="2087" customWidth="1"/>
    <col min="3338" max="3338" width="13.42578125" style="2087" customWidth="1"/>
    <col min="3339" max="3339" width="13" style="2087" customWidth="1"/>
    <col min="3340" max="3340" width="10.42578125" style="2087" customWidth="1"/>
    <col min="3341" max="3584" width="9.140625" style="2087"/>
    <col min="3585" max="3585" width="9" style="2087" customWidth="1"/>
    <col min="3586" max="3586" width="10.140625" style="2087" customWidth="1"/>
    <col min="3587" max="3587" width="12" style="2087" customWidth="1"/>
    <col min="3588" max="3588" width="12.140625" style="2087" customWidth="1"/>
    <col min="3589" max="3589" width="12.5703125" style="2087" customWidth="1"/>
    <col min="3590" max="3592" width="9.140625" style="2087"/>
    <col min="3593" max="3593" width="12.7109375" style="2087" customWidth="1"/>
    <col min="3594" max="3594" width="13.42578125" style="2087" customWidth="1"/>
    <col min="3595" max="3595" width="13" style="2087" customWidth="1"/>
    <col min="3596" max="3596" width="10.42578125" style="2087" customWidth="1"/>
    <col min="3597" max="3840" width="9.140625" style="2087"/>
    <col min="3841" max="3841" width="9" style="2087" customWidth="1"/>
    <col min="3842" max="3842" width="10.140625" style="2087" customWidth="1"/>
    <col min="3843" max="3843" width="12" style="2087" customWidth="1"/>
    <col min="3844" max="3844" width="12.140625" style="2087" customWidth="1"/>
    <col min="3845" max="3845" width="12.5703125" style="2087" customWidth="1"/>
    <col min="3846" max="3848" width="9.140625" style="2087"/>
    <col min="3849" max="3849" width="12.7109375" style="2087" customWidth="1"/>
    <col min="3850" max="3850" width="13.42578125" style="2087" customWidth="1"/>
    <col min="3851" max="3851" width="13" style="2087" customWidth="1"/>
    <col min="3852" max="3852" width="10.42578125" style="2087" customWidth="1"/>
    <col min="3853" max="4096" width="9.140625" style="2087"/>
    <col min="4097" max="4097" width="9" style="2087" customWidth="1"/>
    <col min="4098" max="4098" width="10.140625" style="2087" customWidth="1"/>
    <col min="4099" max="4099" width="12" style="2087" customWidth="1"/>
    <col min="4100" max="4100" width="12.140625" style="2087" customWidth="1"/>
    <col min="4101" max="4101" width="12.5703125" style="2087" customWidth="1"/>
    <col min="4102" max="4104" width="9.140625" style="2087"/>
    <col min="4105" max="4105" width="12.7109375" style="2087" customWidth="1"/>
    <col min="4106" max="4106" width="13.42578125" style="2087" customWidth="1"/>
    <col min="4107" max="4107" width="13" style="2087" customWidth="1"/>
    <col min="4108" max="4108" width="10.42578125" style="2087" customWidth="1"/>
    <col min="4109" max="4352" width="9.140625" style="2087"/>
    <col min="4353" max="4353" width="9" style="2087" customWidth="1"/>
    <col min="4354" max="4354" width="10.140625" style="2087" customWidth="1"/>
    <col min="4355" max="4355" width="12" style="2087" customWidth="1"/>
    <col min="4356" max="4356" width="12.140625" style="2087" customWidth="1"/>
    <col min="4357" max="4357" width="12.5703125" style="2087" customWidth="1"/>
    <col min="4358" max="4360" width="9.140625" style="2087"/>
    <col min="4361" max="4361" width="12.7109375" style="2087" customWidth="1"/>
    <col min="4362" max="4362" width="13.42578125" style="2087" customWidth="1"/>
    <col min="4363" max="4363" width="13" style="2087" customWidth="1"/>
    <col min="4364" max="4364" width="10.42578125" style="2087" customWidth="1"/>
    <col min="4365" max="4608" width="9.140625" style="2087"/>
    <col min="4609" max="4609" width="9" style="2087" customWidth="1"/>
    <col min="4610" max="4610" width="10.140625" style="2087" customWidth="1"/>
    <col min="4611" max="4611" width="12" style="2087" customWidth="1"/>
    <col min="4612" max="4612" width="12.140625" style="2087" customWidth="1"/>
    <col min="4613" max="4613" width="12.5703125" style="2087" customWidth="1"/>
    <col min="4614" max="4616" width="9.140625" style="2087"/>
    <col min="4617" max="4617" width="12.7109375" style="2087" customWidth="1"/>
    <col min="4618" max="4618" width="13.42578125" style="2087" customWidth="1"/>
    <col min="4619" max="4619" width="13" style="2087" customWidth="1"/>
    <col min="4620" max="4620" width="10.42578125" style="2087" customWidth="1"/>
    <col min="4621" max="4864" width="9.140625" style="2087"/>
    <col min="4865" max="4865" width="9" style="2087" customWidth="1"/>
    <col min="4866" max="4866" width="10.140625" style="2087" customWidth="1"/>
    <col min="4867" max="4867" width="12" style="2087" customWidth="1"/>
    <col min="4868" max="4868" width="12.140625" style="2087" customWidth="1"/>
    <col min="4869" max="4869" width="12.5703125" style="2087" customWidth="1"/>
    <col min="4870" max="4872" width="9.140625" style="2087"/>
    <col min="4873" max="4873" width="12.7109375" style="2087" customWidth="1"/>
    <col min="4874" max="4874" width="13.42578125" style="2087" customWidth="1"/>
    <col min="4875" max="4875" width="13" style="2087" customWidth="1"/>
    <col min="4876" max="4876" width="10.42578125" style="2087" customWidth="1"/>
    <col min="4877" max="5120" width="9.140625" style="2087"/>
    <col min="5121" max="5121" width="9" style="2087" customWidth="1"/>
    <col min="5122" max="5122" width="10.140625" style="2087" customWidth="1"/>
    <col min="5123" max="5123" width="12" style="2087" customWidth="1"/>
    <col min="5124" max="5124" width="12.140625" style="2087" customWidth="1"/>
    <col min="5125" max="5125" width="12.5703125" style="2087" customWidth="1"/>
    <col min="5126" max="5128" width="9.140625" style="2087"/>
    <col min="5129" max="5129" width="12.7109375" style="2087" customWidth="1"/>
    <col min="5130" max="5130" width="13.42578125" style="2087" customWidth="1"/>
    <col min="5131" max="5131" width="13" style="2087" customWidth="1"/>
    <col min="5132" max="5132" width="10.42578125" style="2087" customWidth="1"/>
    <col min="5133" max="5376" width="9.140625" style="2087"/>
    <col min="5377" max="5377" width="9" style="2087" customWidth="1"/>
    <col min="5378" max="5378" width="10.140625" style="2087" customWidth="1"/>
    <col min="5379" max="5379" width="12" style="2087" customWidth="1"/>
    <col min="5380" max="5380" width="12.140625" style="2087" customWidth="1"/>
    <col min="5381" max="5381" width="12.5703125" style="2087" customWidth="1"/>
    <col min="5382" max="5384" width="9.140625" style="2087"/>
    <col min="5385" max="5385" width="12.7109375" style="2087" customWidth="1"/>
    <col min="5386" max="5386" width="13.42578125" style="2087" customWidth="1"/>
    <col min="5387" max="5387" width="13" style="2087" customWidth="1"/>
    <col min="5388" max="5388" width="10.42578125" style="2087" customWidth="1"/>
    <col min="5389" max="5632" width="9.140625" style="2087"/>
    <col min="5633" max="5633" width="9" style="2087" customWidth="1"/>
    <col min="5634" max="5634" width="10.140625" style="2087" customWidth="1"/>
    <col min="5635" max="5635" width="12" style="2087" customWidth="1"/>
    <col min="5636" max="5636" width="12.140625" style="2087" customWidth="1"/>
    <col min="5637" max="5637" width="12.5703125" style="2087" customWidth="1"/>
    <col min="5638" max="5640" width="9.140625" style="2087"/>
    <col min="5641" max="5641" width="12.7109375" style="2087" customWidth="1"/>
    <col min="5642" max="5642" width="13.42578125" style="2087" customWidth="1"/>
    <col min="5643" max="5643" width="13" style="2087" customWidth="1"/>
    <col min="5644" max="5644" width="10.42578125" style="2087" customWidth="1"/>
    <col min="5645" max="5888" width="9.140625" style="2087"/>
    <col min="5889" max="5889" width="9" style="2087" customWidth="1"/>
    <col min="5890" max="5890" width="10.140625" style="2087" customWidth="1"/>
    <col min="5891" max="5891" width="12" style="2087" customWidth="1"/>
    <col min="5892" max="5892" width="12.140625" style="2087" customWidth="1"/>
    <col min="5893" max="5893" width="12.5703125" style="2087" customWidth="1"/>
    <col min="5894" max="5896" width="9.140625" style="2087"/>
    <col min="5897" max="5897" width="12.7109375" style="2087" customWidth="1"/>
    <col min="5898" max="5898" width="13.42578125" style="2087" customWidth="1"/>
    <col min="5899" max="5899" width="13" style="2087" customWidth="1"/>
    <col min="5900" max="5900" width="10.42578125" style="2087" customWidth="1"/>
    <col min="5901" max="6144" width="9.140625" style="2087"/>
    <col min="6145" max="6145" width="9" style="2087" customWidth="1"/>
    <col min="6146" max="6146" width="10.140625" style="2087" customWidth="1"/>
    <col min="6147" max="6147" width="12" style="2087" customWidth="1"/>
    <col min="6148" max="6148" width="12.140625" style="2087" customWidth="1"/>
    <col min="6149" max="6149" width="12.5703125" style="2087" customWidth="1"/>
    <col min="6150" max="6152" width="9.140625" style="2087"/>
    <col min="6153" max="6153" width="12.7109375" style="2087" customWidth="1"/>
    <col min="6154" max="6154" width="13.42578125" style="2087" customWidth="1"/>
    <col min="6155" max="6155" width="13" style="2087" customWidth="1"/>
    <col min="6156" max="6156" width="10.42578125" style="2087" customWidth="1"/>
    <col min="6157" max="6400" width="9.140625" style="2087"/>
    <col min="6401" max="6401" width="9" style="2087" customWidth="1"/>
    <col min="6402" max="6402" width="10.140625" style="2087" customWidth="1"/>
    <col min="6403" max="6403" width="12" style="2087" customWidth="1"/>
    <col min="6404" max="6404" width="12.140625" style="2087" customWidth="1"/>
    <col min="6405" max="6405" width="12.5703125" style="2087" customWidth="1"/>
    <col min="6406" max="6408" width="9.140625" style="2087"/>
    <col min="6409" max="6409" width="12.7109375" style="2087" customWidth="1"/>
    <col min="6410" max="6410" width="13.42578125" style="2087" customWidth="1"/>
    <col min="6411" max="6411" width="13" style="2087" customWidth="1"/>
    <col min="6412" max="6412" width="10.42578125" style="2087" customWidth="1"/>
    <col min="6413" max="6656" width="9.140625" style="2087"/>
    <col min="6657" max="6657" width="9" style="2087" customWidth="1"/>
    <col min="6658" max="6658" width="10.140625" style="2087" customWidth="1"/>
    <col min="6659" max="6659" width="12" style="2087" customWidth="1"/>
    <col min="6660" max="6660" width="12.140625" style="2087" customWidth="1"/>
    <col min="6661" max="6661" width="12.5703125" style="2087" customWidth="1"/>
    <col min="6662" max="6664" width="9.140625" style="2087"/>
    <col min="6665" max="6665" width="12.7109375" style="2087" customWidth="1"/>
    <col min="6666" max="6666" width="13.42578125" style="2087" customWidth="1"/>
    <col min="6667" max="6667" width="13" style="2087" customWidth="1"/>
    <col min="6668" max="6668" width="10.42578125" style="2087" customWidth="1"/>
    <col min="6669" max="6912" width="9.140625" style="2087"/>
    <col min="6913" max="6913" width="9" style="2087" customWidth="1"/>
    <col min="6914" max="6914" width="10.140625" style="2087" customWidth="1"/>
    <col min="6915" max="6915" width="12" style="2087" customWidth="1"/>
    <col min="6916" max="6916" width="12.140625" style="2087" customWidth="1"/>
    <col min="6917" max="6917" width="12.5703125" style="2087" customWidth="1"/>
    <col min="6918" max="6920" width="9.140625" style="2087"/>
    <col min="6921" max="6921" width="12.7109375" style="2087" customWidth="1"/>
    <col min="6922" max="6922" width="13.42578125" style="2087" customWidth="1"/>
    <col min="6923" max="6923" width="13" style="2087" customWidth="1"/>
    <col min="6924" max="6924" width="10.42578125" style="2087" customWidth="1"/>
    <col min="6925" max="7168" width="9.140625" style="2087"/>
    <col min="7169" max="7169" width="9" style="2087" customWidth="1"/>
    <col min="7170" max="7170" width="10.140625" style="2087" customWidth="1"/>
    <col min="7171" max="7171" width="12" style="2087" customWidth="1"/>
    <col min="7172" max="7172" width="12.140625" style="2087" customWidth="1"/>
    <col min="7173" max="7173" width="12.5703125" style="2087" customWidth="1"/>
    <col min="7174" max="7176" width="9.140625" style="2087"/>
    <col min="7177" max="7177" width="12.7109375" style="2087" customWidth="1"/>
    <col min="7178" max="7178" width="13.42578125" style="2087" customWidth="1"/>
    <col min="7179" max="7179" width="13" style="2087" customWidth="1"/>
    <col min="7180" max="7180" width="10.42578125" style="2087" customWidth="1"/>
    <col min="7181" max="7424" width="9.140625" style="2087"/>
    <col min="7425" max="7425" width="9" style="2087" customWidth="1"/>
    <col min="7426" max="7426" width="10.140625" style="2087" customWidth="1"/>
    <col min="7427" max="7427" width="12" style="2087" customWidth="1"/>
    <col min="7428" max="7428" width="12.140625" style="2087" customWidth="1"/>
    <col min="7429" max="7429" width="12.5703125" style="2087" customWidth="1"/>
    <col min="7430" max="7432" width="9.140625" style="2087"/>
    <col min="7433" max="7433" width="12.7109375" style="2087" customWidth="1"/>
    <col min="7434" max="7434" width="13.42578125" style="2087" customWidth="1"/>
    <col min="7435" max="7435" width="13" style="2087" customWidth="1"/>
    <col min="7436" max="7436" width="10.42578125" style="2087" customWidth="1"/>
    <col min="7437" max="7680" width="9.140625" style="2087"/>
    <col min="7681" max="7681" width="9" style="2087" customWidth="1"/>
    <col min="7682" max="7682" width="10.140625" style="2087" customWidth="1"/>
    <col min="7683" max="7683" width="12" style="2087" customWidth="1"/>
    <col min="7684" max="7684" width="12.140625" style="2087" customWidth="1"/>
    <col min="7685" max="7685" width="12.5703125" style="2087" customWidth="1"/>
    <col min="7686" max="7688" width="9.140625" style="2087"/>
    <col min="7689" max="7689" width="12.7109375" style="2087" customWidth="1"/>
    <col min="7690" max="7690" width="13.42578125" style="2087" customWidth="1"/>
    <col min="7691" max="7691" width="13" style="2087" customWidth="1"/>
    <col min="7692" max="7692" width="10.42578125" style="2087" customWidth="1"/>
    <col min="7693" max="7936" width="9.140625" style="2087"/>
    <col min="7937" max="7937" width="9" style="2087" customWidth="1"/>
    <col min="7938" max="7938" width="10.140625" style="2087" customWidth="1"/>
    <col min="7939" max="7939" width="12" style="2087" customWidth="1"/>
    <col min="7940" max="7940" width="12.140625" style="2087" customWidth="1"/>
    <col min="7941" max="7941" width="12.5703125" style="2087" customWidth="1"/>
    <col min="7942" max="7944" width="9.140625" style="2087"/>
    <col min="7945" max="7945" width="12.7109375" style="2087" customWidth="1"/>
    <col min="7946" max="7946" width="13.42578125" style="2087" customWidth="1"/>
    <col min="7947" max="7947" width="13" style="2087" customWidth="1"/>
    <col min="7948" max="7948" width="10.42578125" style="2087" customWidth="1"/>
    <col min="7949" max="8192" width="9.140625" style="2087"/>
    <col min="8193" max="8193" width="9" style="2087" customWidth="1"/>
    <col min="8194" max="8194" width="10.140625" style="2087" customWidth="1"/>
    <col min="8195" max="8195" width="12" style="2087" customWidth="1"/>
    <col min="8196" max="8196" width="12.140625" style="2087" customWidth="1"/>
    <col min="8197" max="8197" width="12.5703125" style="2087" customWidth="1"/>
    <col min="8198" max="8200" width="9.140625" style="2087"/>
    <col min="8201" max="8201" width="12.7109375" style="2087" customWidth="1"/>
    <col min="8202" max="8202" width="13.42578125" style="2087" customWidth="1"/>
    <col min="8203" max="8203" width="13" style="2087" customWidth="1"/>
    <col min="8204" max="8204" width="10.42578125" style="2087" customWidth="1"/>
    <col min="8205" max="8448" width="9.140625" style="2087"/>
    <col min="8449" max="8449" width="9" style="2087" customWidth="1"/>
    <col min="8450" max="8450" width="10.140625" style="2087" customWidth="1"/>
    <col min="8451" max="8451" width="12" style="2087" customWidth="1"/>
    <col min="8452" max="8452" width="12.140625" style="2087" customWidth="1"/>
    <col min="8453" max="8453" width="12.5703125" style="2087" customWidth="1"/>
    <col min="8454" max="8456" width="9.140625" style="2087"/>
    <col min="8457" max="8457" width="12.7109375" style="2087" customWidth="1"/>
    <col min="8458" max="8458" width="13.42578125" style="2087" customWidth="1"/>
    <col min="8459" max="8459" width="13" style="2087" customWidth="1"/>
    <col min="8460" max="8460" width="10.42578125" style="2087" customWidth="1"/>
    <col min="8461" max="8704" width="9.140625" style="2087"/>
    <col min="8705" max="8705" width="9" style="2087" customWidth="1"/>
    <col min="8706" max="8706" width="10.140625" style="2087" customWidth="1"/>
    <col min="8707" max="8707" width="12" style="2087" customWidth="1"/>
    <col min="8708" max="8708" width="12.140625" style="2087" customWidth="1"/>
    <col min="8709" max="8709" width="12.5703125" style="2087" customWidth="1"/>
    <col min="8710" max="8712" width="9.140625" style="2087"/>
    <col min="8713" max="8713" width="12.7109375" style="2087" customWidth="1"/>
    <col min="8714" max="8714" width="13.42578125" style="2087" customWidth="1"/>
    <col min="8715" max="8715" width="13" style="2087" customWidth="1"/>
    <col min="8716" max="8716" width="10.42578125" style="2087" customWidth="1"/>
    <col min="8717" max="8960" width="9.140625" style="2087"/>
    <col min="8961" max="8961" width="9" style="2087" customWidth="1"/>
    <col min="8962" max="8962" width="10.140625" style="2087" customWidth="1"/>
    <col min="8963" max="8963" width="12" style="2087" customWidth="1"/>
    <col min="8964" max="8964" width="12.140625" style="2087" customWidth="1"/>
    <col min="8965" max="8965" width="12.5703125" style="2087" customWidth="1"/>
    <col min="8966" max="8968" width="9.140625" style="2087"/>
    <col min="8969" max="8969" width="12.7109375" style="2087" customWidth="1"/>
    <col min="8970" max="8970" width="13.42578125" style="2087" customWidth="1"/>
    <col min="8971" max="8971" width="13" style="2087" customWidth="1"/>
    <col min="8972" max="8972" width="10.42578125" style="2087" customWidth="1"/>
    <col min="8973" max="9216" width="9.140625" style="2087"/>
    <col min="9217" max="9217" width="9" style="2087" customWidth="1"/>
    <col min="9218" max="9218" width="10.140625" style="2087" customWidth="1"/>
    <col min="9219" max="9219" width="12" style="2087" customWidth="1"/>
    <col min="9220" max="9220" width="12.140625" style="2087" customWidth="1"/>
    <col min="9221" max="9221" width="12.5703125" style="2087" customWidth="1"/>
    <col min="9222" max="9224" width="9.140625" style="2087"/>
    <col min="9225" max="9225" width="12.7109375" style="2087" customWidth="1"/>
    <col min="9226" max="9226" width="13.42578125" style="2087" customWidth="1"/>
    <col min="9227" max="9227" width="13" style="2087" customWidth="1"/>
    <col min="9228" max="9228" width="10.42578125" style="2087" customWidth="1"/>
    <col min="9229" max="9472" width="9.140625" style="2087"/>
    <col min="9473" max="9473" width="9" style="2087" customWidth="1"/>
    <col min="9474" max="9474" width="10.140625" style="2087" customWidth="1"/>
    <col min="9475" max="9475" width="12" style="2087" customWidth="1"/>
    <col min="9476" max="9476" width="12.140625" style="2087" customWidth="1"/>
    <col min="9477" max="9477" width="12.5703125" style="2087" customWidth="1"/>
    <col min="9478" max="9480" width="9.140625" style="2087"/>
    <col min="9481" max="9481" width="12.7109375" style="2087" customWidth="1"/>
    <col min="9482" max="9482" width="13.42578125" style="2087" customWidth="1"/>
    <col min="9483" max="9483" width="13" style="2087" customWidth="1"/>
    <col min="9484" max="9484" width="10.42578125" style="2087" customWidth="1"/>
    <col min="9485" max="9728" width="9.140625" style="2087"/>
    <col min="9729" max="9729" width="9" style="2087" customWidth="1"/>
    <col min="9730" max="9730" width="10.140625" style="2087" customWidth="1"/>
    <col min="9731" max="9731" width="12" style="2087" customWidth="1"/>
    <col min="9732" max="9732" width="12.140625" style="2087" customWidth="1"/>
    <col min="9733" max="9733" width="12.5703125" style="2087" customWidth="1"/>
    <col min="9734" max="9736" width="9.140625" style="2087"/>
    <col min="9737" max="9737" width="12.7109375" style="2087" customWidth="1"/>
    <col min="9738" max="9738" width="13.42578125" style="2087" customWidth="1"/>
    <col min="9739" max="9739" width="13" style="2087" customWidth="1"/>
    <col min="9740" max="9740" width="10.42578125" style="2087" customWidth="1"/>
    <col min="9741" max="9984" width="9.140625" style="2087"/>
    <col min="9985" max="9985" width="9" style="2087" customWidth="1"/>
    <col min="9986" max="9986" width="10.140625" style="2087" customWidth="1"/>
    <col min="9987" max="9987" width="12" style="2087" customWidth="1"/>
    <col min="9988" max="9988" width="12.140625" style="2087" customWidth="1"/>
    <col min="9989" max="9989" width="12.5703125" style="2087" customWidth="1"/>
    <col min="9990" max="9992" width="9.140625" style="2087"/>
    <col min="9993" max="9993" width="12.7109375" style="2087" customWidth="1"/>
    <col min="9994" max="9994" width="13.42578125" style="2087" customWidth="1"/>
    <col min="9995" max="9995" width="13" style="2087" customWidth="1"/>
    <col min="9996" max="9996" width="10.42578125" style="2087" customWidth="1"/>
    <col min="9997" max="10240" width="9.140625" style="2087"/>
    <col min="10241" max="10241" width="9" style="2087" customWidth="1"/>
    <col min="10242" max="10242" width="10.140625" style="2087" customWidth="1"/>
    <col min="10243" max="10243" width="12" style="2087" customWidth="1"/>
    <col min="10244" max="10244" width="12.140625" style="2087" customWidth="1"/>
    <col min="10245" max="10245" width="12.5703125" style="2087" customWidth="1"/>
    <col min="10246" max="10248" width="9.140625" style="2087"/>
    <col min="10249" max="10249" width="12.7109375" style="2087" customWidth="1"/>
    <col min="10250" max="10250" width="13.42578125" style="2087" customWidth="1"/>
    <col min="10251" max="10251" width="13" style="2087" customWidth="1"/>
    <col min="10252" max="10252" width="10.42578125" style="2087" customWidth="1"/>
    <col min="10253" max="10496" width="9.140625" style="2087"/>
    <col min="10497" max="10497" width="9" style="2087" customWidth="1"/>
    <col min="10498" max="10498" width="10.140625" style="2087" customWidth="1"/>
    <col min="10499" max="10499" width="12" style="2087" customWidth="1"/>
    <col min="10500" max="10500" width="12.140625" style="2087" customWidth="1"/>
    <col min="10501" max="10501" width="12.5703125" style="2087" customWidth="1"/>
    <col min="10502" max="10504" width="9.140625" style="2087"/>
    <col min="10505" max="10505" width="12.7109375" style="2087" customWidth="1"/>
    <col min="10506" max="10506" width="13.42578125" style="2087" customWidth="1"/>
    <col min="10507" max="10507" width="13" style="2087" customWidth="1"/>
    <col min="10508" max="10508" width="10.42578125" style="2087" customWidth="1"/>
    <col min="10509" max="10752" width="9.140625" style="2087"/>
    <col min="10753" max="10753" width="9" style="2087" customWidth="1"/>
    <col min="10754" max="10754" width="10.140625" style="2087" customWidth="1"/>
    <col min="10755" max="10755" width="12" style="2087" customWidth="1"/>
    <col min="10756" max="10756" width="12.140625" style="2087" customWidth="1"/>
    <col min="10757" max="10757" width="12.5703125" style="2087" customWidth="1"/>
    <col min="10758" max="10760" width="9.140625" style="2087"/>
    <col min="10761" max="10761" width="12.7109375" style="2087" customWidth="1"/>
    <col min="10762" max="10762" width="13.42578125" style="2087" customWidth="1"/>
    <col min="10763" max="10763" width="13" style="2087" customWidth="1"/>
    <col min="10764" max="10764" width="10.42578125" style="2087" customWidth="1"/>
    <col min="10765" max="11008" width="9.140625" style="2087"/>
    <col min="11009" max="11009" width="9" style="2087" customWidth="1"/>
    <col min="11010" max="11010" width="10.140625" style="2087" customWidth="1"/>
    <col min="11011" max="11011" width="12" style="2087" customWidth="1"/>
    <col min="11012" max="11012" width="12.140625" style="2087" customWidth="1"/>
    <col min="11013" max="11013" width="12.5703125" style="2087" customWidth="1"/>
    <col min="11014" max="11016" width="9.140625" style="2087"/>
    <col min="11017" max="11017" width="12.7109375" style="2087" customWidth="1"/>
    <col min="11018" max="11018" width="13.42578125" style="2087" customWidth="1"/>
    <col min="11019" max="11019" width="13" style="2087" customWidth="1"/>
    <col min="11020" max="11020" width="10.42578125" style="2087" customWidth="1"/>
    <col min="11021" max="11264" width="9.140625" style="2087"/>
    <col min="11265" max="11265" width="9" style="2087" customWidth="1"/>
    <col min="11266" max="11266" width="10.140625" style="2087" customWidth="1"/>
    <col min="11267" max="11267" width="12" style="2087" customWidth="1"/>
    <col min="11268" max="11268" width="12.140625" style="2087" customWidth="1"/>
    <col min="11269" max="11269" width="12.5703125" style="2087" customWidth="1"/>
    <col min="11270" max="11272" width="9.140625" style="2087"/>
    <col min="11273" max="11273" width="12.7109375" style="2087" customWidth="1"/>
    <col min="11274" max="11274" width="13.42578125" style="2087" customWidth="1"/>
    <col min="11275" max="11275" width="13" style="2087" customWidth="1"/>
    <col min="11276" max="11276" width="10.42578125" style="2087" customWidth="1"/>
    <col min="11277" max="11520" width="9.140625" style="2087"/>
    <col min="11521" max="11521" width="9" style="2087" customWidth="1"/>
    <col min="11522" max="11522" width="10.140625" style="2087" customWidth="1"/>
    <col min="11523" max="11523" width="12" style="2087" customWidth="1"/>
    <col min="11524" max="11524" width="12.140625" style="2087" customWidth="1"/>
    <col min="11525" max="11525" width="12.5703125" style="2087" customWidth="1"/>
    <col min="11526" max="11528" width="9.140625" style="2087"/>
    <col min="11529" max="11529" width="12.7109375" style="2087" customWidth="1"/>
    <col min="11530" max="11530" width="13.42578125" style="2087" customWidth="1"/>
    <col min="11531" max="11531" width="13" style="2087" customWidth="1"/>
    <col min="11532" max="11532" width="10.42578125" style="2087" customWidth="1"/>
    <col min="11533" max="11776" width="9.140625" style="2087"/>
    <col min="11777" max="11777" width="9" style="2087" customWidth="1"/>
    <col min="11778" max="11778" width="10.140625" style="2087" customWidth="1"/>
    <col min="11779" max="11779" width="12" style="2087" customWidth="1"/>
    <col min="11780" max="11780" width="12.140625" style="2087" customWidth="1"/>
    <col min="11781" max="11781" width="12.5703125" style="2087" customWidth="1"/>
    <col min="11782" max="11784" width="9.140625" style="2087"/>
    <col min="11785" max="11785" width="12.7109375" style="2087" customWidth="1"/>
    <col min="11786" max="11786" width="13.42578125" style="2087" customWidth="1"/>
    <col min="11787" max="11787" width="13" style="2087" customWidth="1"/>
    <col min="11788" max="11788" width="10.42578125" style="2087" customWidth="1"/>
    <col min="11789" max="12032" width="9.140625" style="2087"/>
    <col min="12033" max="12033" width="9" style="2087" customWidth="1"/>
    <col min="12034" max="12034" width="10.140625" style="2087" customWidth="1"/>
    <col min="12035" max="12035" width="12" style="2087" customWidth="1"/>
    <col min="12036" max="12036" width="12.140625" style="2087" customWidth="1"/>
    <col min="12037" max="12037" width="12.5703125" style="2087" customWidth="1"/>
    <col min="12038" max="12040" width="9.140625" style="2087"/>
    <col min="12041" max="12041" width="12.7109375" style="2087" customWidth="1"/>
    <col min="12042" max="12042" width="13.42578125" style="2087" customWidth="1"/>
    <col min="12043" max="12043" width="13" style="2087" customWidth="1"/>
    <col min="12044" max="12044" width="10.42578125" style="2087" customWidth="1"/>
    <col min="12045" max="12288" width="9.140625" style="2087"/>
    <col min="12289" max="12289" width="9" style="2087" customWidth="1"/>
    <col min="12290" max="12290" width="10.140625" style="2087" customWidth="1"/>
    <col min="12291" max="12291" width="12" style="2087" customWidth="1"/>
    <col min="12292" max="12292" width="12.140625" style="2087" customWidth="1"/>
    <col min="12293" max="12293" width="12.5703125" style="2087" customWidth="1"/>
    <col min="12294" max="12296" width="9.140625" style="2087"/>
    <col min="12297" max="12297" width="12.7109375" style="2087" customWidth="1"/>
    <col min="12298" max="12298" width="13.42578125" style="2087" customWidth="1"/>
    <col min="12299" max="12299" width="13" style="2087" customWidth="1"/>
    <col min="12300" max="12300" width="10.42578125" style="2087" customWidth="1"/>
    <col min="12301" max="12544" width="9.140625" style="2087"/>
    <col min="12545" max="12545" width="9" style="2087" customWidth="1"/>
    <col min="12546" max="12546" width="10.140625" style="2087" customWidth="1"/>
    <col min="12547" max="12547" width="12" style="2087" customWidth="1"/>
    <col min="12548" max="12548" width="12.140625" style="2087" customWidth="1"/>
    <col min="12549" max="12549" width="12.5703125" style="2087" customWidth="1"/>
    <col min="12550" max="12552" width="9.140625" style="2087"/>
    <col min="12553" max="12553" width="12.7109375" style="2087" customWidth="1"/>
    <col min="12554" max="12554" width="13.42578125" style="2087" customWidth="1"/>
    <col min="12555" max="12555" width="13" style="2087" customWidth="1"/>
    <col min="12556" max="12556" width="10.42578125" style="2087" customWidth="1"/>
    <col min="12557" max="12800" width="9.140625" style="2087"/>
    <col min="12801" max="12801" width="9" style="2087" customWidth="1"/>
    <col min="12802" max="12802" width="10.140625" style="2087" customWidth="1"/>
    <col min="12803" max="12803" width="12" style="2087" customWidth="1"/>
    <col min="12804" max="12804" width="12.140625" style="2087" customWidth="1"/>
    <col min="12805" max="12805" width="12.5703125" style="2087" customWidth="1"/>
    <col min="12806" max="12808" width="9.140625" style="2087"/>
    <col min="12809" max="12809" width="12.7109375" style="2087" customWidth="1"/>
    <col min="12810" max="12810" width="13.42578125" style="2087" customWidth="1"/>
    <col min="12811" max="12811" width="13" style="2087" customWidth="1"/>
    <col min="12812" max="12812" width="10.42578125" style="2087" customWidth="1"/>
    <col min="12813" max="13056" width="9.140625" style="2087"/>
    <col min="13057" max="13057" width="9" style="2087" customWidth="1"/>
    <col min="13058" max="13058" width="10.140625" style="2087" customWidth="1"/>
    <col min="13059" max="13059" width="12" style="2087" customWidth="1"/>
    <col min="13060" max="13060" width="12.140625" style="2087" customWidth="1"/>
    <col min="13061" max="13061" width="12.5703125" style="2087" customWidth="1"/>
    <col min="13062" max="13064" width="9.140625" style="2087"/>
    <col min="13065" max="13065" width="12.7109375" style="2087" customWidth="1"/>
    <col min="13066" max="13066" width="13.42578125" style="2087" customWidth="1"/>
    <col min="13067" max="13067" width="13" style="2087" customWidth="1"/>
    <col min="13068" max="13068" width="10.42578125" style="2087" customWidth="1"/>
    <col min="13069" max="13312" width="9.140625" style="2087"/>
    <col min="13313" max="13313" width="9" style="2087" customWidth="1"/>
    <col min="13314" max="13314" width="10.140625" style="2087" customWidth="1"/>
    <col min="13315" max="13315" width="12" style="2087" customWidth="1"/>
    <col min="13316" max="13316" width="12.140625" style="2087" customWidth="1"/>
    <col min="13317" max="13317" width="12.5703125" style="2087" customWidth="1"/>
    <col min="13318" max="13320" width="9.140625" style="2087"/>
    <col min="13321" max="13321" width="12.7109375" style="2087" customWidth="1"/>
    <col min="13322" max="13322" width="13.42578125" style="2087" customWidth="1"/>
    <col min="13323" max="13323" width="13" style="2087" customWidth="1"/>
    <col min="13324" max="13324" width="10.42578125" style="2087" customWidth="1"/>
    <col min="13325" max="13568" width="9.140625" style="2087"/>
    <col min="13569" max="13569" width="9" style="2087" customWidth="1"/>
    <col min="13570" max="13570" width="10.140625" style="2087" customWidth="1"/>
    <col min="13571" max="13571" width="12" style="2087" customWidth="1"/>
    <col min="13572" max="13572" width="12.140625" style="2087" customWidth="1"/>
    <col min="13573" max="13573" width="12.5703125" style="2087" customWidth="1"/>
    <col min="13574" max="13576" width="9.140625" style="2087"/>
    <col min="13577" max="13577" width="12.7109375" style="2087" customWidth="1"/>
    <col min="13578" max="13578" width="13.42578125" style="2087" customWidth="1"/>
    <col min="13579" max="13579" width="13" style="2087" customWidth="1"/>
    <col min="13580" max="13580" width="10.42578125" style="2087" customWidth="1"/>
    <col min="13581" max="13824" width="9.140625" style="2087"/>
    <col min="13825" max="13825" width="9" style="2087" customWidth="1"/>
    <col min="13826" max="13826" width="10.140625" style="2087" customWidth="1"/>
    <col min="13827" max="13827" width="12" style="2087" customWidth="1"/>
    <col min="13828" max="13828" width="12.140625" style="2087" customWidth="1"/>
    <col min="13829" max="13829" width="12.5703125" style="2087" customWidth="1"/>
    <col min="13830" max="13832" width="9.140625" style="2087"/>
    <col min="13833" max="13833" width="12.7109375" style="2087" customWidth="1"/>
    <col min="13834" max="13834" width="13.42578125" style="2087" customWidth="1"/>
    <col min="13835" max="13835" width="13" style="2087" customWidth="1"/>
    <col min="13836" max="13836" width="10.42578125" style="2087" customWidth="1"/>
    <col min="13837" max="14080" width="9.140625" style="2087"/>
    <col min="14081" max="14081" width="9" style="2087" customWidth="1"/>
    <col min="14082" max="14082" width="10.140625" style="2087" customWidth="1"/>
    <col min="14083" max="14083" width="12" style="2087" customWidth="1"/>
    <col min="14084" max="14084" width="12.140625" style="2087" customWidth="1"/>
    <col min="14085" max="14085" width="12.5703125" style="2087" customWidth="1"/>
    <col min="14086" max="14088" width="9.140625" style="2087"/>
    <col min="14089" max="14089" width="12.7109375" style="2087" customWidth="1"/>
    <col min="14090" max="14090" width="13.42578125" style="2087" customWidth="1"/>
    <col min="14091" max="14091" width="13" style="2087" customWidth="1"/>
    <col min="14092" max="14092" width="10.42578125" style="2087" customWidth="1"/>
    <col min="14093" max="14336" width="9.140625" style="2087"/>
    <col min="14337" max="14337" width="9" style="2087" customWidth="1"/>
    <col min="14338" max="14338" width="10.140625" style="2087" customWidth="1"/>
    <col min="14339" max="14339" width="12" style="2087" customWidth="1"/>
    <col min="14340" max="14340" width="12.140625" style="2087" customWidth="1"/>
    <col min="14341" max="14341" width="12.5703125" style="2087" customWidth="1"/>
    <col min="14342" max="14344" width="9.140625" style="2087"/>
    <col min="14345" max="14345" width="12.7109375" style="2087" customWidth="1"/>
    <col min="14346" max="14346" width="13.42578125" style="2087" customWidth="1"/>
    <col min="14347" max="14347" width="13" style="2087" customWidth="1"/>
    <col min="14348" max="14348" width="10.42578125" style="2087" customWidth="1"/>
    <col min="14349" max="14592" width="9.140625" style="2087"/>
    <col min="14593" max="14593" width="9" style="2087" customWidth="1"/>
    <col min="14594" max="14594" width="10.140625" style="2087" customWidth="1"/>
    <col min="14595" max="14595" width="12" style="2087" customWidth="1"/>
    <col min="14596" max="14596" width="12.140625" style="2087" customWidth="1"/>
    <col min="14597" max="14597" width="12.5703125" style="2087" customWidth="1"/>
    <col min="14598" max="14600" width="9.140625" style="2087"/>
    <col min="14601" max="14601" width="12.7109375" style="2087" customWidth="1"/>
    <col min="14602" max="14602" width="13.42578125" style="2087" customWidth="1"/>
    <col min="14603" max="14603" width="13" style="2087" customWidth="1"/>
    <col min="14604" max="14604" width="10.42578125" style="2087" customWidth="1"/>
    <col min="14605" max="14848" width="9.140625" style="2087"/>
    <col min="14849" max="14849" width="9" style="2087" customWidth="1"/>
    <col min="14850" max="14850" width="10.140625" style="2087" customWidth="1"/>
    <col min="14851" max="14851" width="12" style="2087" customWidth="1"/>
    <col min="14852" max="14852" width="12.140625" style="2087" customWidth="1"/>
    <col min="14853" max="14853" width="12.5703125" style="2087" customWidth="1"/>
    <col min="14854" max="14856" width="9.140625" style="2087"/>
    <col min="14857" max="14857" width="12.7109375" style="2087" customWidth="1"/>
    <col min="14858" max="14858" width="13.42578125" style="2087" customWidth="1"/>
    <col min="14859" max="14859" width="13" style="2087" customWidth="1"/>
    <col min="14860" max="14860" width="10.42578125" style="2087" customWidth="1"/>
    <col min="14861" max="15104" width="9.140625" style="2087"/>
    <col min="15105" max="15105" width="9" style="2087" customWidth="1"/>
    <col min="15106" max="15106" width="10.140625" style="2087" customWidth="1"/>
    <col min="15107" max="15107" width="12" style="2087" customWidth="1"/>
    <col min="15108" max="15108" width="12.140625" style="2087" customWidth="1"/>
    <col min="15109" max="15109" width="12.5703125" style="2087" customWidth="1"/>
    <col min="15110" max="15112" width="9.140625" style="2087"/>
    <col min="15113" max="15113" width="12.7109375" style="2087" customWidth="1"/>
    <col min="15114" max="15114" width="13.42578125" style="2087" customWidth="1"/>
    <col min="15115" max="15115" width="13" style="2087" customWidth="1"/>
    <col min="15116" max="15116" width="10.42578125" style="2087" customWidth="1"/>
    <col min="15117" max="15360" width="9.140625" style="2087"/>
    <col min="15361" max="15361" width="9" style="2087" customWidth="1"/>
    <col min="15362" max="15362" width="10.140625" style="2087" customWidth="1"/>
    <col min="15363" max="15363" width="12" style="2087" customWidth="1"/>
    <col min="15364" max="15364" width="12.140625" style="2087" customWidth="1"/>
    <col min="15365" max="15365" width="12.5703125" style="2087" customWidth="1"/>
    <col min="15366" max="15368" width="9.140625" style="2087"/>
    <col min="15369" max="15369" width="12.7109375" style="2087" customWidth="1"/>
    <col min="15370" max="15370" width="13.42578125" style="2087" customWidth="1"/>
    <col min="15371" max="15371" width="13" style="2087" customWidth="1"/>
    <col min="15372" max="15372" width="10.42578125" style="2087" customWidth="1"/>
    <col min="15373" max="15616" width="9.140625" style="2087"/>
    <col min="15617" max="15617" width="9" style="2087" customWidth="1"/>
    <col min="15618" max="15618" width="10.140625" style="2087" customWidth="1"/>
    <col min="15619" max="15619" width="12" style="2087" customWidth="1"/>
    <col min="15620" max="15620" width="12.140625" style="2087" customWidth="1"/>
    <col min="15621" max="15621" width="12.5703125" style="2087" customWidth="1"/>
    <col min="15622" max="15624" width="9.140625" style="2087"/>
    <col min="15625" max="15625" width="12.7109375" style="2087" customWidth="1"/>
    <col min="15626" max="15626" width="13.42578125" style="2087" customWidth="1"/>
    <col min="15627" max="15627" width="13" style="2087" customWidth="1"/>
    <col min="15628" max="15628" width="10.42578125" style="2087" customWidth="1"/>
    <col min="15629" max="15872" width="9.140625" style="2087"/>
    <col min="15873" max="15873" width="9" style="2087" customWidth="1"/>
    <col min="15874" max="15874" width="10.140625" style="2087" customWidth="1"/>
    <col min="15875" max="15875" width="12" style="2087" customWidth="1"/>
    <col min="15876" max="15876" width="12.140625" style="2087" customWidth="1"/>
    <col min="15877" max="15877" width="12.5703125" style="2087" customWidth="1"/>
    <col min="15878" max="15880" width="9.140625" style="2087"/>
    <col min="15881" max="15881" width="12.7109375" style="2087" customWidth="1"/>
    <col min="15882" max="15882" width="13.42578125" style="2087" customWidth="1"/>
    <col min="15883" max="15883" width="13" style="2087" customWidth="1"/>
    <col min="15884" max="15884" width="10.42578125" style="2087" customWidth="1"/>
    <col min="15885" max="16128" width="9.140625" style="2087"/>
    <col min="16129" max="16129" width="9" style="2087" customWidth="1"/>
    <col min="16130" max="16130" width="10.140625" style="2087" customWidth="1"/>
    <col min="16131" max="16131" width="12" style="2087" customWidth="1"/>
    <col min="16132" max="16132" width="12.140625" style="2087" customWidth="1"/>
    <col min="16133" max="16133" width="12.5703125" style="2087" customWidth="1"/>
    <col min="16134" max="16136" width="9.140625" style="2087"/>
    <col min="16137" max="16137" width="12.7109375" style="2087" customWidth="1"/>
    <col min="16138" max="16138" width="13.42578125" style="2087" customWidth="1"/>
    <col min="16139" max="16139" width="13" style="2087" customWidth="1"/>
    <col min="16140" max="16140" width="10.42578125" style="2087" customWidth="1"/>
    <col min="16141" max="16384" width="9.140625" style="2087"/>
  </cols>
  <sheetData>
    <row r="1" spans="1:14" hidden="1"/>
    <row r="2" spans="1:14" s="2086" customFormat="1" hidden="1">
      <c r="B2" s="2277"/>
      <c r="C2" s="3522"/>
      <c r="D2" s="2277"/>
      <c r="E2" s="2277"/>
      <c r="F2" s="2277"/>
      <c r="G2" s="2277"/>
      <c r="H2" s="2277"/>
      <c r="I2" s="2277"/>
      <c r="J2" s="2277"/>
      <c r="K2" s="2277"/>
      <c r="L2" s="2277"/>
      <c r="M2" s="2277"/>
    </row>
    <row r="3" spans="1:14" s="2086" customFormat="1" ht="18" customHeight="1">
      <c r="B3" s="4647" t="s">
        <v>2077</v>
      </c>
      <c r="C3" s="4647"/>
      <c r="D3" s="4647"/>
      <c r="E3" s="4647"/>
      <c r="F3" s="4647"/>
      <c r="G3" s="4647"/>
      <c r="H3" s="4647"/>
      <c r="I3" s="4647"/>
      <c r="J3" s="4647"/>
      <c r="K3" s="4647"/>
      <c r="L3" s="4647"/>
      <c r="M3" s="4647"/>
    </row>
    <row r="4" spans="1:14" ht="18" customHeight="1">
      <c r="A4" s="2086"/>
      <c r="B4" s="3150" t="s">
        <v>1757</v>
      </c>
      <c r="C4" s="2570"/>
      <c r="D4" s="2338"/>
      <c r="E4" s="2338"/>
      <c r="F4" s="2100"/>
      <c r="G4" s="2278"/>
      <c r="H4" s="2278"/>
      <c r="I4" s="2278"/>
      <c r="J4" s="2278"/>
      <c r="K4" s="2278"/>
      <c r="L4" s="2278"/>
      <c r="M4" s="2278"/>
      <c r="N4" s="2086"/>
    </row>
    <row r="5" spans="1:14" ht="18" customHeight="1">
      <c r="A5" s="2086"/>
      <c r="B5" s="2367"/>
      <c r="C5" s="4644" t="s">
        <v>188</v>
      </c>
      <c r="D5" s="4645"/>
      <c r="E5" s="4645"/>
      <c r="F5" s="4645"/>
      <c r="G5" s="4645"/>
      <c r="H5" s="4645"/>
      <c r="I5" s="4645"/>
      <c r="J5" s="4645"/>
      <c r="K5" s="4645"/>
      <c r="L5" s="4645"/>
      <c r="M5" s="4646"/>
      <c r="N5" s="2086"/>
    </row>
    <row r="6" spans="1:14" ht="12" customHeight="1">
      <c r="A6" s="2086"/>
      <c r="B6" s="2368"/>
      <c r="C6" s="2091"/>
      <c r="D6" s="2165"/>
      <c r="E6" s="2178"/>
      <c r="F6" s="2178"/>
      <c r="G6" s="2366"/>
      <c r="H6" s="2091"/>
      <c r="I6" s="2091"/>
      <c r="J6" s="2165"/>
      <c r="K6" s="2369"/>
      <c r="L6" s="2165"/>
      <c r="M6" s="2365"/>
      <c r="N6" s="2086"/>
    </row>
    <row r="7" spans="1:14" ht="18" customHeight="1">
      <c r="A7" s="2086"/>
      <c r="B7" s="2368"/>
      <c r="C7" s="2091"/>
      <c r="D7" s="2165"/>
      <c r="E7" s="2178"/>
      <c r="F7" s="2178" t="s">
        <v>142</v>
      </c>
      <c r="G7" s="4641" t="s">
        <v>432</v>
      </c>
      <c r="H7" s="4642"/>
      <c r="I7" s="4643"/>
      <c r="J7" s="2165"/>
      <c r="K7" s="2289"/>
      <c r="L7" s="2165" t="s">
        <v>142</v>
      </c>
      <c r="M7" s="2365"/>
      <c r="N7" s="2086"/>
    </row>
    <row r="8" spans="1:14" ht="12" customHeight="1">
      <c r="A8" s="2086"/>
      <c r="B8" s="2875"/>
      <c r="C8" s="2091"/>
      <c r="D8" s="2165"/>
      <c r="E8" s="2178"/>
      <c r="F8" s="2178"/>
      <c r="G8" s="2165"/>
      <c r="H8" s="2165"/>
      <c r="I8" s="2165"/>
      <c r="J8" s="2165"/>
      <c r="K8" s="2289"/>
      <c r="L8" s="2165"/>
      <c r="M8" s="2365"/>
      <c r="N8" s="2086"/>
    </row>
    <row r="9" spans="1:14" ht="18" customHeight="1">
      <c r="A9" s="2086"/>
      <c r="B9" s="2875"/>
      <c r="C9" s="2091"/>
      <c r="D9" s="2742"/>
      <c r="E9" s="2165"/>
      <c r="F9" s="2178" t="s">
        <v>176</v>
      </c>
      <c r="G9" s="2165"/>
      <c r="H9" s="2165"/>
      <c r="I9" s="2165"/>
      <c r="J9" s="2178"/>
      <c r="K9" s="2092" t="s">
        <v>1276</v>
      </c>
      <c r="L9" s="2165"/>
      <c r="M9" s="2365" t="s">
        <v>189</v>
      </c>
      <c r="N9" s="2086"/>
    </row>
    <row r="10" spans="1:14" ht="18" customHeight="1">
      <c r="A10" s="2086"/>
      <c r="B10" s="3486" t="s">
        <v>175</v>
      </c>
      <c r="C10" s="2091"/>
      <c r="D10" s="2165" t="s">
        <v>193</v>
      </c>
      <c r="E10" s="2165" t="s">
        <v>434</v>
      </c>
      <c r="F10" s="2178" t="s">
        <v>179</v>
      </c>
      <c r="G10" s="2165"/>
      <c r="H10" s="2165"/>
      <c r="I10" s="2165"/>
      <c r="J10" s="2165" t="s">
        <v>177</v>
      </c>
      <c r="K10" s="2092" t="s">
        <v>1567</v>
      </c>
      <c r="L10" s="2165" t="s">
        <v>435</v>
      </c>
      <c r="M10" s="2365" t="s">
        <v>191</v>
      </c>
      <c r="N10" s="2086"/>
    </row>
    <row r="11" spans="1:14" ht="18" customHeight="1">
      <c r="A11" s="2086"/>
      <c r="B11" s="3488" t="s">
        <v>140</v>
      </c>
      <c r="C11" s="2876" t="s">
        <v>152</v>
      </c>
      <c r="D11" s="2877" t="s">
        <v>192</v>
      </c>
      <c r="E11" s="2877" t="s">
        <v>192</v>
      </c>
      <c r="F11" s="2878" t="s">
        <v>192</v>
      </c>
      <c r="G11" s="2877" t="s">
        <v>152</v>
      </c>
      <c r="H11" s="2877" t="s">
        <v>141</v>
      </c>
      <c r="I11" s="2877" t="s">
        <v>431</v>
      </c>
      <c r="J11" s="2877" t="s">
        <v>192</v>
      </c>
      <c r="K11" s="2879" t="s">
        <v>1568</v>
      </c>
      <c r="L11" s="2877" t="s">
        <v>436</v>
      </c>
      <c r="M11" s="2880" t="s">
        <v>180</v>
      </c>
      <c r="N11" s="2086"/>
    </row>
    <row r="12" spans="1:14" ht="18" hidden="1" customHeight="1">
      <c r="A12" s="2086"/>
      <c r="B12" s="3487">
        <v>2010</v>
      </c>
      <c r="C12" s="2457"/>
      <c r="D12" s="2459"/>
      <c r="E12" s="2459"/>
      <c r="F12" s="2459"/>
      <c r="G12" s="2459"/>
      <c r="H12" s="2459"/>
      <c r="I12" s="2459"/>
      <c r="J12" s="2459"/>
      <c r="K12" s="2459"/>
      <c r="L12" s="2459"/>
      <c r="M12" s="2459"/>
      <c r="N12" s="2086"/>
    </row>
    <row r="13" spans="1:14" s="2395" customFormat="1" ht="18" hidden="1" customHeight="1">
      <c r="A13" s="2086"/>
      <c r="B13" s="2458" t="s">
        <v>164</v>
      </c>
      <c r="C13" s="2654">
        <v>328.11807713000002</v>
      </c>
      <c r="D13" s="2657">
        <v>100.12386524999999</v>
      </c>
      <c r="E13" s="2657">
        <v>87.976878770000013</v>
      </c>
      <c r="F13" s="2657">
        <v>0</v>
      </c>
      <c r="G13" s="2657">
        <v>0</v>
      </c>
      <c r="H13" s="2657">
        <v>0</v>
      </c>
      <c r="I13" s="2657">
        <v>0</v>
      </c>
      <c r="J13" s="2657">
        <v>0</v>
      </c>
      <c r="K13" s="2657">
        <v>0</v>
      </c>
      <c r="L13" s="2657">
        <v>129.93078346999999</v>
      </c>
      <c r="M13" s="2657">
        <v>10.086549639999987</v>
      </c>
      <c r="N13" s="2743"/>
    </row>
    <row r="14" spans="1:14" s="2395" customFormat="1" ht="18" hidden="1" customHeight="1">
      <c r="A14" s="2086"/>
      <c r="B14" s="2458" t="s">
        <v>165</v>
      </c>
      <c r="C14" s="2654">
        <v>526.29986138999993</v>
      </c>
      <c r="D14" s="2657">
        <v>92.628681119999996</v>
      </c>
      <c r="E14" s="2657">
        <v>86.407918773000006</v>
      </c>
      <c r="F14" s="2657">
        <v>0</v>
      </c>
      <c r="G14" s="2657">
        <v>0</v>
      </c>
      <c r="H14" s="2657">
        <v>0</v>
      </c>
      <c r="I14" s="2657">
        <v>0</v>
      </c>
      <c r="J14" s="2657">
        <v>0</v>
      </c>
      <c r="K14" s="2657">
        <v>0</v>
      </c>
      <c r="L14" s="2657">
        <v>130.13801881999998</v>
      </c>
      <c r="M14" s="2657">
        <v>217.12524267699996</v>
      </c>
      <c r="N14" s="2743"/>
    </row>
    <row r="15" spans="1:14" s="2395" customFormat="1" ht="18" hidden="1" customHeight="1">
      <c r="A15" s="2086"/>
      <c r="B15" s="2458" t="s">
        <v>166</v>
      </c>
      <c r="C15" s="2654">
        <v>718.05551446999993</v>
      </c>
      <c r="D15" s="2657">
        <v>117.17075364</v>
      </c>
      <c r="E15" s="2657">
        <v>96.812238769999993</v>
      </c>
      <c r="F15" s="2657">
        <v>0</v>
      </c>
      <c r="G15" s="2657">
        <v>0</v>
      </c>
      <c r="H15" s="2657">
        <v>0</v>
      </c>
      <c r="I15" s="2657">
        <v>0</v>
      </c>
      <c r="J15" s="2657">
        <v>0</v>
      </c>
      <c r="K15" s="2657">
        <v>0</v>
      </c>
      <c r="L15" s="2657">
        <v>131.47758085999999</v>
      </c>
      <c r="M15" s="2657">
        <v>372.59494119999994</v>
      </c>
      <c r="N15" s="2743"/>
    </row>
    <row r="16" spans="1:14" s="2395" customFormat="1" ht="18" hidden="1" customHeight="1">
      <c r="A16" s="2086"/>
      <c r="B16" s="2458" t="s">
        <v>167</v>
      </c>
      <c r="C16" s="2654">
        <v>927.86244570999997</v>
      </c>
      <c r="D16" s="2657">
        <v>91.897372500000003</v>
      </c>
      <c r="E16" s="2657">
        <v>198.67785283000006</v>
      </c>
      <c r="F16" s="2657">
        <v>0</v>
      </c>
      <c r="G16" s="2657">
        <v>0</v>
      </c>
      <c r="H16" s="2657">
        <v>0</v>
      </c>
      <c r="I16" s="2657">
        <v>0</v>
      </c>
      <c r="J16" s="2657">
        <v>0</v>
      </c>
      <c r="K16" s="2657">
        <v>0</v>
      </c>
      <c r="L16" s="2657">
        <v>133.89600747</v>
      </c>
      <c r="M16" s="2657">
        <v>503.39121290999992</v>
      </c>
      <c r="N16" s="2743"/>
    </row>
    <row r="17" spans="1:16" s="2395" customFormat="1" ht="18" hidden="1" customHeight="1">
      <c r="A17" s="2086"/>
      <c r="B17" s="2458" t="s">
        <v>168</v>
      </c>
      <c r="C17" s="2654">
        <v>971.20453841999984</v>
      </c>
      <c r="D17" s="2657">
        <v>115.01162364999999</v>
      </c>
      <c r="E17" s="2657">
        <v>250.98863877000011</v>
      </c>
      <c r="F17" s="2657">
        <v>0</v>
      </c>
      <c r="G17" s="2657">
        <v>0</v>
      </c>
      <c r="H17" s="2657">
        <v>0</v>
      </c>
      <c r="I17" s="2657">
        <v>0</v>
      </c>
      <c r="J17" s="2657">
        <v>0</v>
      </c>
      <c r="K17" s="2657">
        <v>0</v>
      </c>
      <c r="L17" s="2657">
        <v>137.40664162141002</v>
      </c>
      <c r="M17" s="2657">
        <v>467.79763437858969</v>
      </c>
      <c r="N17" s="2743"/>
    </row>
    <row r="18" spans="1:16" s="2395" customFormat="1" ht="18" hidden="1" customHeight="1">
      <c r="A18" s="2086"/>
      <c r="B18" s="2458" t="s">
        <v>169</v>
      </c>
      <c r="C18" s="2654">
        <v>1207.2560049299998</v>
      </c>
      <c r="D18" s="2657">
        <v>135.28322904000001</v>
      </c>
      <c r="E18" s="2657">
        <v>260.41323877000002</v>
      </c>
      <c r="F18" s="2657">
        <v>0</v>
      </c>
      <c r="G18" s="2657">
        <v>0</v>
      </c>
      <c r="H18" s="2657">
        <v>0</v>
      </c>
      <c r="I18" s="2657">
        <v>0</v>
      </c>
      <c r="J18" s="2657">
        <v>0</v>
      </c>
      <c r="K18" s="2657">
        <v>0</v>
      </c>
      <c r="L18" s="2657">
        <v>138.06500212686998</v>
      </c>
      <c r="M18" s="2657">
        <v>673.49453499312972</v>
      </c>
      <c r="N18" s="2743"/>
    </row>
    <row r="19" spans="1:16" s="2395" customFormat="1" ht="18" hidden="1" customHeight="1">
      <c r="A19" s="2086"/>
      <c r="B19" s="2458" t="s">
        <v>170</v>
      </c>
      <c r="C19" s="2654">
        <v>1322.9334967100001</v>
      </c>
      <c r="D19" s="2657">
        <v>167.78325132999998</v>
      </c>
      <c r="E19" s="2657">
        <v>268.14774900999998</v>
      </c>
      <c r="F19" s="2657">
        <v>0</v>
      </c>
      <c r="G19" s="2657">
        <v>0</v>
      </c>
      <c r="H19" s="2657">
        <v>0</v>
      </c>
      <c r="I19" s="2657">
        <v>0</v>
      </c>
      <c r="J19" s="2657">
        <v>0</v>
      </c>
      <c r="K19" s="2657">
        <v>0</v>
      </c>
      <c r="L19" s="2657">
        <v>142.750549942265</v>
      </c>
      <c r="M19" s="2657">
        <v>744.25194642773511</v>
      </c>
      <c r="N19" s="2743"/>
    </row>
    <row r="20" spans="1:16" s="2395" customFormat="1" ht="18" hidden="1" customHeight="1">
      <c r="A20" s="2086"/>
      <c r="B20" s="2458" t="s">
        <v>171</v>
      </c>
      <c r="C20" s="2654">
        <v>1455.9346928199998</v>
      </c>
      <c r="D20" s="2657">
        <v>169.18234935250001</v>
      </c>
      <c r="E20" s="2657">
        <v>333.78483718000007</v>
      </c>
      <c r="F20" s="2657">
        <v>0</v>
      </c>
      <c r="G20" s="2657">
        <v>0</v>
      </c>
      <c r="H20" s="2657">
        <v>0</v>
      </c>
      <c r="I20" s="2657">
        <v>0</v>
      </c>
      <c r="J20" s="2657">
        <v>0</v>
      </c>
      <c r="K20" s="2657">
        <v>0</v>
      </c>
      <c r="L20" s="2657">
        <v>144.294902656175</v>
      </c>
      <c r="M20" s="2657">
        <v>808.67260363132471</v>
      </c>
      <c r="N20" s="2743"/>
      <c r="O20" s="2396"/>
    </row>
    <row r="21" spans="1:16" s="2395" customFormat="1" ht="18" hidden="1" customHeight="1">
      <c r="A21" s="2086"/>
      <c r="B21" s="2457">
        <v>2010</v>
      </c>
      <c r="C21" s="2654">
        <v>1668.01491192</v>
      </c>
      <c r="D21" s="2657">
        <v>181.21521681000002</v>
      </c>
      <c r="E21" s="2657">
        <v>453.68807901000002</v>
      </c>
      <c r="F21" s="2657">
        <v>0</v>
      </c>
      <c r="G21" s="2657">
        <v>0</v>
      </c>
      <c r="H21" s="2657">
        <v>0</v>
      </c>
      <c r="I21" s="2657">
        <v>0</v>
      </c>
      <c r="J21" s="2657">
        <v>0</v>
      </c>
      <c r="K21" s="2657">
        <v>0</v>
      </c>
      <c r="L21" s="2657">
        <v>119.67110688</v>
      </c>
      <c r="M21" s="2657">
        <v>913.44050921999997</v>
      </c>
      <c r="N21" s="2743"/>
    </row>
    <row r="22" spans="1:16" ht="18" hidden="1" customHeight="1">
      <c r="A22" s="2086"/>
      <c r="B22" s="2457">
        <v>2011</v>
      </c>
      <c r="C22" s="2654"/>
      <c r="D22" s="2657"/>
      <c r="E22" s="2657"/>
      <c r="F22" s="2657"/>
      <c r="G22" s="2657"/>
      <c r="H22" s="2657"/>
      <c r="I22" s="2657"/>
      <c r="J22" s="2657"/>
      <c r="K22" s="2657"/>
      <c r="L22" s="2657"/>
      <c r="M22" s="2657"/>
      <c r="N22" s="2086"/>
    </row>
    <row r="23" spans="1:16" ht="18" hidden="1" customHeight="1">
      <c r="A23" s="2086"/>
      <c r="B23" s="2458" t="s">
        <v>161</v>
      </c>
      <c r="C23" s="2654">
        <v>1712.8422826700003</v>
      </c>
      <c r="D23" s="2658">
        <v>153.43611514</v>
      </c>
      <c r="E23" s="2656">
        <v>474.25492900999996</v>
      </c>
      <c r="F23" s="2656">
        <v>0</v>
      </c>
      <c r="G23" s="2656">
        <v>0</v>
      </c>
      <c r="H23" s="2656">
        <v>0</v>
      </c>
      <c r="I23" s="2656">
        <v>0</v>
      </c>
      <c r="J23" s="2656">
        <v>0</v>
      </c>
      <c r="K23" s="2656">
        <v>0</v>
      </c>
      <c r="L23" s="2656">
        <v>137.53395980799999</v>
      </c>
      <c r="M23" s="2656">
        <v>947.61727871200037</v>
      </c>
      <c r="N23" s="2743"/>
      <c r="O23" s="2090"/>
      <c r="P23" s="2093"/>
    </row>
    <row r="24" spans="1:16" ht="18" hidden="1" customHeight="1">
      <c r="A24" s="2086"/>
      <c r="B24" s="2458" t="s">
        <v>162</v>
      </c>
      <c r="C24" s="2654">
        <v>1945.7273124900003</v>
      </c>
      <c r="D24" s="2658">
        <v>184.84629379999987</v>
      </c>
      <c r="E24" s="2656">
        <v>494.63650502999997</v>
      </c>
      <c r="F24" s="2656">
        <v>0</v>
      </c>
      <c r="G24" s="2656">
        <v>0</v>
      </c>
      <c r="H24" s="2656">
        <v>0</v>
      </c>
      <c r="I24" s="2656">
        <v>0</v>
      </c>
      <c r="J24" s="2656">
        <v>0</v>
      </c>
      <c r="K24" s="2656">
        <v>0</v>
      </c>
      <c r="L24" s="2656">
        <v>142.24055612800001</v>
      </c>
      <c r="M24" s="2656">
        <v>1124.0039575320004</v>
      </c>
      <c r="N24" s="2743"/>
    </row>
    <row r="25" spans="1:16" ht="18" hidden="1" customHeight="1">
      <c r="A25" s="2086"/>
      <c r="B25" s="2458" t="s">
        <v>163</v>
      </c>
      <c r="C25" s="2654">
        <v>2159.14063072</v>
      </c>
      <c r="D25" s="2656">
        <v>235.31822839999975</v>
      </c>
      <c r="E25" s="2656">
        <v>522.96870906999993</v>
      </c>
      <c r="F25" s="2656">
        <v>0</v>
      </c>
      <c r="G25" s="2656">
        <v>0</v>
      </c>
      <c r="H25" s="2659">
        <v>0</v>
      </c>
      <c r="I25" s="2656">
        <v>0</v>
      </c>
      <c r="J25" s="2656">
        <v>0</v>
      </c>
      <c r="K25" s="2656">
        <v>0</v>
      </c>
      <c r="L25" s="2656">
        <v>215.09478594699999</v>
      </c>
      <c r="M25" s="2656">
        <v>1185.7589073030003</v>
      </c>
      <c r="N25" s="2743"/>
    </row>
    <row r="26" spans="1:16" ht="18" hidden="1" customHeight="1">
      <c r="A26" s="2086"/>
      <c r="B26" s="2460" t="s">
        <v>164</v>
      </c>
      <c r="C26" s="2654">
        <v>2181.2706849599999</v>
      </c>
      <c r="D26" s="2656">
        <v>294.13542139800001</v>
      </c>
      <c r="E26" s="2656">
        <v>482.23839729999997</v>
      </c>
      <c r="F26" s="2656">
        <v>0</v>
      </c>
      <c r="G26" s="2659">
        <v>0</v>
      </c>
      <c r="H26" s="2656">
        <v>0</v>
      </c>
      <c r="I26" s="2656">
        <v>0</v>
      </c>
      <c r="J26" s="2656">
        <v>0</v>
      </c>
      <c r="K26" s="2656">
        <v>0</v>
      </c>
      <c r="L26" s="2656">
        <v>238.57256648000001</v>
      </c>
      <c r="M26" s="2659">
        <v>1166.324299782</v>
      </c>
      <c r="N26" s="2743"/>
    </row>
    <row r="27" spans="1:16" ht="18" hidden="1" customHeight="1">
      <c r="A27" s="2086"/>
      <c r="B27" s="2458" t="s">
        <v>165</v>
      </c>
      <c r="C27" s="2654">
        <v>2433.4845847399993</v>
      </c>
      <c r="D27" s="2656">
        <v>236.09796089</v>
      </c>
      <c r="E27" s="2656">
        <v>578.29421406999995</v>
      </c>
      <c r="F27" s="2656">
        <v>0</v>
      </c>
      <c r="G27" s="2656">
        <v>0</v>
      </c>
      <c r="H27" s="2656">
        <v>0</v>
      </c>
      <c r="I27" s="2656">
        <v>0</v>
      </c>
      <c r="J27" s="2656">
        <v>0</v>
      </c>
      <c r="K27" s="2656">
        <v>0</v>
      </c>
      <c r="L27" s="2656">
        <v>234.21585943604998</v>
      </c>
      <c r="M27" s="2656">
        <v>1384.8765503439495</v>
      </c>
      <c r="N27" s="2743"/>
    </row>
    <row r="28" spans="1:16" ht="18" hidden="1" customHeight="1">
      <c r="A28" s="2086"/>
      <c r="B28" s="2458" t="s">
        <v>166</v>
      </c>
      <c r="C28" s="2654">
        <v>2547.4314373500001</v>
      </c>
      <c r="D28" s="2656">
        <v>266.03493581999999</v>
      </c>
      <c r="E28" s="2656">
        <v>685.84491406999996</v>
      </c>
      <c r="F28" s="2656">
        <v>0</v>
      </c>
      <c r="G28" s="2656">
        <v>0</v>
      </c>
      <c r="H28" s="2656">
        <v>0</v>
      </c>
      <c r="I28" s="2656">
        <v>0</v>
      </c>
      <c r="J28" s="2656">
        <v>0</v>
      </c>
      <c r="K28" s="2656">
        <v>0</v>
      </c>
      <c r="L28" s="2656">
        <v>225.64566054707001</v>
      </c>
      <c r="M28" s="2656">
        <v>1369.9059269129302</v>
      </c>
      <c r="N28" s="2743"/>
    </row>
    <row r="29" spans="1:16" ht="18" hidden="1" customHeight="1">
      <c r="A29" s="2086"/>
      <c r="B29" s="2458" t="s">
        <v>167</v>
      </c>
      <c r="C29" s="2654">
        <v>2589.9921182700004</v>
      </c>
      <c r="D29" s="2656">
        <v>280.1437641880002</v>
      </c>
      <c r="E29" s="2656">
        <v>775.19606407000003</v>
      </c>
      <c r="F29" s="2656">
        <v>0</v>
      </c>
      <c r="G29" s="2656">
        <v>0</v>
      </c>
      <c r="H29" s="2656">
        <v>0</v>
      </c>
      <c r="I29" s="2656">
        <v>0</v>
      </c>
      <c r="J29" s="2656">
        <v>0</v>
      </c>
      <c r="K29" s="2656">
        <v>0</v>
      </c>
      <c r="L29" s="2656">
        <v>236.65691731093</v>
      </c>
      <c r="M29" s="2656">
        <v>1297.9953727010702</v>
      </c>
      <c r="N29" s="2743"/>
      <c r="O29" s="2090"/>
    </row>
    <row r="30" spans="1:16" ht="18" hidden="1" customHeight="1">
      <c r="A30" s="2086"/>
      <c r="B30" s="2458" t="s">
        <v>168</v>
      </c>
      <c r="C30" s="2654">
        <v>2665.3774724</v>
      </c>
      <c r="D30" s="2656">
        <v>420.472507748</v>
      </c>
      <c r="E30" s="2656">
        <v>806.22948804999999</v>
      </c>
      <c r="F30" s="2656">
        <v>0</v>
      </c>
      <c r="G30" s="2656">
        <v>0</v>
      </c>
      <c r="H30" s="2656">
        <v>0</v>
      </c>
      <c r="I30" s="2656">
        <v>0</v>
      </c>
      <c r="J30" s="2656">
        <v>0</v>
      </c>
      <c r="K30" s="2656">
        <v>0</v>
      </c>
      <c r="L30" s="2656">
        <v>236.14793193072001</v>
      </c>
      <c r="M30" s="2656">
        <v>1202.5275446712799</v>
      </c>
      <c r="N30" s="2743"/>
    </row>
    <row r="31" spans="1:16" ht="18" hidden="1" customHeight="1">
      <c r="A31" s="2086"/>
      <c r="B31" s="2458" t="s">
        <v>169</v>
      </c>
      <c r="C31" s="2654">
        <v>2761.2765894299996</v>
      </c>
      <c r="D31" s="2656">
        <v>352.53371444999999</v>
      </c>
      <c r="E31" s="2656">
        <v>1011.8697305100001</v>
      </c>
      <c r="F31" s="2656">
        <v>0</v>
      </c>
      <c r="G31" s="2656">
        <v>0</v>
      </c>
      <c r="H31" s="2656">
        <v>0</v>
      </c>
      <c r="I31" s="2656">
        <v>0</v>
      </c>
      <c r="J31" s="2656">
        <v>0</v>
      </c>
      <c r="K31" s="2656">
        <v>0</v>
      </c>
      <c r="L31" s="2656">
        <v>242.54540932807001</v>
      </c>
      <c r="M31" s="2656">
        <v>1154.3277351419295</v>
      </c>
      <c r="N31" s="2743"/>
    </row>
    <row r="32" spans="1:16" ht="18" hidden="1" customHeight="1">
      <c r="A32" s="2086"/>
      <c r="B32" s="2458" t="s">
        <v>170</v>
      </c>
      <c r="C32" s="2654">
        <v>2745.3460316200003</v>
      </c>
      <c r="D32" s="2656">
        <v>385.43979547000055</v>
      </c>
      <c r="E32" s="2656">
        <v>1236.41813531</v>
      </c>
      <c r="F32" s="2656">
        <v>0</v>
      </c>
      <c r="G32" s="2656">
        <v>0</v>
      </c>
      <c r="H32" s="2656">
        <v>0</v>
      </c>
      <c r="I32" s="2656">
        <v>0</v>
      </c>
      <c r="J32" s="2656">
        <v>0</v>
      </c>
      <c r="K32" s="2656">
        <v>0</v>
      </c>
      <c r="L32" s="2656">
        <v>244.90377922272998</v>
      </c>
      <c r="M32" s="2656">
        <v>878.58432161726978</v>
      </c>
      <c r="N32" s="2743"/>
    </row>
    <row r="33" spans="1:14" ht="18" hidden="1" customHeight="1">
      <c r="A33" s="2086"/>
      <c r="B33" s="2458" t="s">
        <v>171</v>
      </c>
      <c r="C33" s="2654">
        <v>2761.0395150600002</v>
      </c>
      <c r="D33" s="2656">
        <v>396.97696526999994</v>
      </c>
      <c r="E33" s="2656">
        <v>1233.7933353100002</v>
      </c>
      <c r="F33" s="2656">
        <v>0</v>
      </c>
      <c r="G33" s="2656">
        <v>0</v>
      </c>
      <c r="H33" s="2656">
        <v>0</v>
      </c>
      <c r="I33" s="2656">
        <v>0</v>
      </c>
      <c r="J33" s="2656">
        <v>0</v>
      </c>
      <c r="K33" s="2656">
        <v>0</v>
      </c>
      <c r="L33" s="2656">
        <v>252.18377941200995</v>
      </c>
      <c r="M33" s="2656">
        <v>878.08543506799015</v>
      </c>
      <c r="N33" s="2743"/>
    </row>
    <row r="34" spans="1:14" ht="18" hidden="1" customHeight="1">
      <c r="A34" s="2086"/>
      <c r="B34" s="2457">
        <v>2011</v>
      </c>
      <c r="C34" s="2654">
        <v>2895.5782598499995</v>
      </c>
      <c r="D34" s="2656">
        <v>450.07363801000002</v>
      </c>
      <c r="E34" s="2656">
        <v>1318.8811018900001</v>
      </c>
      <c r="F34" s="2656">
        <v>0</v>
      </c>
      <c r="G34" s="2656">
        <v>0</v>
      </c>
      <c r="H34" s="2656">
        <v>0</v>
      </c>
      <c r="I34" s="2656">
        <v>0</v>
      </c>
      <c r="J34" s="2656">
        <v>0</v>
      </c>
      <c r="K34" s="2656">
        <v>0</v>
      </c>
      <c r="L34" s="2656">
        <v>274.34516953200006</v>
      </c>
      <c r="M34" s="2656">
        <v>852.27835041799949</v>
      </c>
      <c r="N34" s="2743"/>
    </row>
    <row r="35" spans="1:14" ht="18" hidden="1" customHeight="1">
      <c r="A35" s="2086"/>
      <c r="B35" s="2479">
        <v>2012</v>
      </c>
      <c r="C35" s="2640"/>
      <c r="D35" s="2642"/>
      <c r="E35" s="2642"/>
      <c r="F35" s="2642"/>
      <c r="G35" s="2642"/>
      <c r="H35" s="2642"/>
      <c r="I35" s="2642"/>
      <c r="J35" s="2642"/>
      <c r="K35" s="2642"/>
      <c r="L35" s="2642"/>
      <c r="M35" s="2653"/>
      <c r="N35" s="2086"/>
    </row>
    <row r="36" spans="1:14" ht="18" hidden="1" customHeight="1">
      <c r="A36" s="2086"/>
      <c r="B36" s="2461" t="s">
        <v>161</v>
      </c>
      <c r="C36" s="2640">
        <v>2949.3092983100005</v>
      </c>
      <c r="D36" s="2642">
        <v>415.99771005000019</v>
      </c>
      <c r="E36" s="2642">
        <v>1331.8545807600001</v>
      </c>
      <c r="F36" s="2642">
        <v>0</v>
      </c>
      <c r="G36" s="2642">
        <v>0</v>
      </c>
      <c r="H36" s="2642">
        <v>0</v>
      </c>
      <c r="I36" s="2642">
        <v>0</v>
      </c>
      <c r="J36" s="2642">
        <v>0</v>
      </c>
      <c r="K36" s="2642">
        <v>0</v>
      </c>
      <c r="L36" s="2642">
        <v>242.59280801299997</v>
      </c>
      <c r="M36" s="2653">
        <v>958.86419948700018</v>
      </c>
      <c r="N36" s="2743"/>
    </row>
    <row r="37" spans="1:14" ht="18" hidden="1" customHeight="1">
      <c r="A37" s="2086"/>
      <c r="B37" s="2461" t="s">
        <v>162</v>
      </c>
      <c r="C37" s="2640">
        <v>3075.2107488800002</v>
      </c>
      <c r="D37" s="2642">
        <v>323.56733587999895</v>
      </c>
      <c r="E37" s="2642">
        <v>1330.8570616699999</v>
      </c>
      <c r="F37" s="2642">
        <v>0</v>
      </c>
      <c r="G37" s="2642">
        <v>0</v>
      </c>
      <c r="H37" s="2642">
        <v>0</v>
      </c>
      <c r="I37" s="2642">
        <v>0</v>
      </c>
      <c r="J37" s="2642">
        <v>0</v>
      </c>
      <c r="K37" s="2642">
        <v>0</v>
      </c>
      <c r="L37" s="2642">
        <v>246.40779832800004</v>
      </c>
      <c r="M37" s="2653">
        <v>1174.3785530020011</v>
      </c>
      <c r="N37" s="2743"/>
    </row>
    <row r="38" spans="1:14" ht="18" hidden="1" customHeight="1">
      <c r="A38" s="2086"/>
      <c r="B38" s="2461" t="s">
        <v>163</v>
      </c>
      <c r="C38" s="2640">
        <v>2866.5073272900004</v>
      </c>
      <c r="D38" s="2642">
        <v>392.85824676000004</v>
      </c>
      <c r="E38" s="2642">
        <v>1351.0437709999997</v>
      </c>
      <c r="F38" s="2642">
        <v>0</v>
      </c>
      <c r="G38" s="2642">
        <v>0</v>
      </c>
      <c r="H38" s="2642">
        <v>0</v>
      </c>
      <c r="I38" s="2642">
        <v>0</v>
      </c>
      <c r="J38" s="2642">
        <v>0</v>
      </c>
      <c r="K38" s="2642">
        <v>280.28239602999997</v>
      </c>
      <c r="L38" s="2642">
        <v>262.78539000885002</v>
      </c>
      <c r="M38" s="2653">
        <v>579.53752349115075</v>
      </c>
      <c r="N38" s="2743"/>
    </row>
    <row r="39" spans="1:14" ht="18" hidden="1" customHeight="1">
      <c r="A39" s="2086"/>
      <c r="B39" s="2461" t="s">
        <v>164</v>
      </c>
      <c r="C39" s="2640">
        <v>2993.4106900499996</v>
      </c>
      <c r="D39" s="2642">
        <v>403.36458541999968</v>
      </c>
      <c r="E39" s="2642">
        <v>1342.3238484000001</v>
      </c>
      <c r="F39" s="2642">
        <v>0</v>
      </c>
      <c r="G39" s="2642">
        <v>0</v>
      </c>
      <c r="H39" s="2642">
        <v>0</v>
      </c>
      <c r="I39" s="2642">
        <v>0</v>
      </c>
      <c r="J39" s="2642">
        <v>0</v>
      </c>
      <c r="K39" s="2642">
        <v>208.27726774000001</v>
      </c>
      <c r="L39" s="2642">
        <v>269.5587827120001</v>
      </c>
      <c r="M39" s="2653">
        <v>769.88620577799975</v>
      </c>
      <c r="N39" s="2743"/>
    </row>
    <row r="40" spans="1:14" ht="18" hidden="1" customHeight="1">
      <c r="A40" s="2086"/>
      <c r="B40" s="2461" t="s">
        <v>165</v>
      </c>
      <c r="C40" s="2640">
        <v>3155.4460344300005</v>
      </c>
      <c r="D40" s="2642">
        <v>382.44373679999984</v>
      </c>
      <c r="E40" s="2642">
        <v>1108.23371664</v>
      </c>
      <c r="F40" s="2642">
        <v>0</v>
      </c>
      <c r="G40" s="2642">
        <v>0</v>
      </c>
      <c r="H40" s="2642">
        <v>0</v>
      </c>
      <c r="I40" s="2642">
        <v>0</v>
      </c>
      <c r="J40" s="2642">
        <v>0</v>
      </c>
      <c r="K40" s="2642">
        <v>552.88496883000005</v>
      </c>
      <c r="L40" s="2642">
        <v>266.75640407500003</v>
      </c>
      <c r="M40" s="2653">
        <v>845.1272080850008</v>
      </c>
      <c r="N40" s="2743"/>
    </row>
    <row r="41" spans="1:14" ht="18" hidden="1" customHeight="1">
      <c r="A41" s="2086"/>
      <c r="B41" s="2461" t="s">
        <v>166</v>
      </c>
      <c r="C41" s="2640">
        <v>2656.8561749800006</v>
      </c>
      <c r="D41" s="2642">
        <v>503.19674506000052</v>
      </c>
      <c r="E41" s="2642">
        <v>1002.8587666400001</v>
      </c>
      <c r="F41" s="2642">
        <v>0</v>
      </c>
      <c r="G41" s="2642">
        <v>0</v>
      </c>
      <c r="H41" s="2642">
        <v>0</v>
      </c>
      <c r="I41" s="2642">
        <v>0</v>
      </c>
      <c r="J41" s="2642">
        <v>0</v>
      </c>
      <c r="K41" s="2642">
        <v>0</v>
      </c>
      <c r="L41" s="2642">
        <v>289.53196798805504</v>
      </c>
      <c r="M41" s="2653">
        <v>861.26869529194482</v>
      </c>
      <c r="N41" s="2743"/>
    </row>
    <row r="42" spans="1:14" ht="18" hidden="1" customHeight="1">
      <c r="A42" s="2086"/>
      <c r="B42" s="2461" t="s">
        <v>167</v>
      </c>
      <c r="C42" s="2640">
        <v>2725.8894338899995</v>
      </c>
      <c r="D42" s="2642">
        <v>762.09828257999914</v>
      </c>
      <c r="E42" s="2642">
        <v>1080.3406969499999</v>
      </c>
      <c r="F42" s="2642">
        <v>0</v>
      </c>
      <c r="G42" s="2642">
        <v>0</v>
      </c>
      <c r="H42" s="2642">
        <v>0</v>
      </c>
      <c r="I42" s="2642">
        <v>0</v>
      </c>
      <c r="J42" s="2642">
        <v>0</v>
      </c>
      <c r="K42" s="2642">
        <v>0</v>
      </c>
      <c r="L42" s="2642">
        <v>300.19373868505505</v>
      </c>
      <c r="M42" s="2653">
        <v>583.25671567494555</v>
      </c>
      <c r="N42" s="2086"/>
    </row>
    <row r="43" spans="1:14" ht="18" hidden="1" customHeight="1">
      <c r="A43" s="2086"/>
      <c r="B43" s="2461" t="s">
        <v>168</v>
      </c>
      <c r="C43" s="2640">
        <v>2932.2767612400003</v>
      </c>
      <c r="D43" s="2642">
        <v>667.70637261999821</v>
      </c>
      <c r="E43" s="2642">
        <v>1360.3955475400001</v>
      </c>
      <c r="F43" s="2642">
        <v>0</v>
      </c>
      <c r="G43" s="2642">
        <v>0</v>
      </c>
      <c r="H43" s="2642">
        <v>0</v>
      </c>
      <c r="I43" s="2642">
        <v>0</v>
      </c>
      <c r="J43" s="2642">
        <v>0</v>
      </c>
      <c r="K43" s="2642">
        <v>0</v>
      </c>
      <c r="L43" s="2642">
        <v>305.59056079535503</v>
      </c>
      <c r="M43" s="2653">
        <v>598.58428028464687</v>
      </c>
      <c r="N43" s="2086"/>
    </row>
    <row r="44" spans="1:14" ht="18" hidden="1" customHeight="1">
      <c r="A44" s="2086"/>
      <c r="B44" s="2461" t="s">
        <v>169</v>
      </c>
      <c r="C44" s="2640">
        <v>2653.4914385999996</v>
      </c>
      <c r="D44" s="2642">
        <v>674.37107657999866</v>
      </c>
      <c r="E44" s="2642">
        <v>1421.99858995</v>
      </c>
      <c r="F44" s="2642">
        <v>0</v>
      </c>
      <c r="G44" s="2642">
        <v>0</v>
      </c>
      <c r="H44" s="2642">
        <v>0</v>
      </c>
      <c r="I44" s="2642">
        <v>0</v>
      </c>
      <c r="J44" s="2642">
        <v>0</v>
      </c>
      <c r="K44" s="2642">
        <v>0</v>
      </c>
      <c r="L44" s="2642">
        <v>324.52810821756009</v>
      </c>
      <c r="M44" s="2653">
        <v>232.59366385244084</v>
      </c>
      <c r="N44" s="2086"/>
    </row>
    <row r="45" spans="1:14" ht="18" hidden="1" customHeight="1">
      <c r="A45" s="2086"/>
      <c r="B45" s="2461" t="s">
        <v>170</v>
      </c>
      <c r="C45" s="2640">
        <v>2673.3965818600004</v>
      </c>
      <c r="D45" s="2642">
        <v>676.9576786499988</v>
      </c>
      <c r="E45" s="2642">
        <v>1514.6935399499998</v>
      </c>
      <c r="F45" s="2642">
        <v>0</v>
      </c>
      <c r="G45" s="2642">
        <v>0</v>
      </c>
      <c r="H45" s="2642">
        <v>0</v>
      </c>
      <c r="I45" s="2642">
        <v>0</v>
      </c>
      <c r="J45" s="2642">
        <v>0</v>
      </c>
      <c r="K45" s="2642">
        <v>0</v>
      </c>
      <c r="L45" s="2642">
        <v>306.10839251378007</v>
      </c>
      <c r="M45" s="2653">
        <v>175.63697074622178</v>
      </c>
      <c r="N45" s="2086"/>
    </row>
    <row r="46" spans="1:14" ht="18" hidden="1" customHeight="1">
      <c r="A46" s="2086"/>
      <c r="B46" s="2461" t="s">
        <v>171</v>
      </c>
      <c r="C46" s="2640">
        <v>2647.0964556000004</v>
      </c>
      <c r="D46" s="2642">
        <v>622.99392077000607</v>
      </c>
      <c r="E46" s="2642">
        <v>1519.5038399499999</v>
      </c>
      <c r="F46" s="2642">
        <v>0</v>
      </c>
      <c r="G46" s="2642">
        <v>0</v>
      </c>
      <c r="H46" s="2642">
        <v>0</v>
      </c>
      <c r="I46" s="2642">
        <v>0</v>
      </c>
      <c r="J46" s="2642">
        <v>0</v>
      </c>
      <c r="K46" s="2642">
        <v>0</v>
      </c>
      <c r="L46" s="2642">
        <v>285.29360683420003</v>
      </c>
      <c r="M46" s="2653">
        <v>219.30508804579404</v>
      </c>
      <c r="N46" s="2086"/>
    </row>
    <row r="47" spans="1:14" ht="18" customHeight="1">
      <c r="A47" s="2086"/>
      <c r="B47" s="2479">
        <v>2012</v>
      </c>
      <c r="C47" s="2640">
        <v>3259.6959787545607</v>
      </c>
      <c r="D47" s="2642">
        <v>766.74546442999895</v>
      </c>
      <c r="E47" s="2642">
        <v>1533.2334690299999</v>
      </c>
      <c r="F47" s="2642">
        <v>0</v>
      </c>
      <c r="G47" s="2642">
        <v>0</v>
      </c>
      <c r="H47" s="2642">
        <v>0</v>
      </c>
      <c r="I47" s="2642">
        <v>0</v>
      </c>
      <c r="J47" s="2642">
        <v>0</v>
      </c>
      <c r="K47" s="2642">
        <v>0</v>
      </c>
      <c r="L47" s="2642">
        <v>356.90297634918505</v>
      </c>
      <c r="M47" s="2653">
        <v>602.81406894537668</v>
      </c>
      <c r="N47" s="2086"/>
    </row>
    <row r="48" spans="1:14" ht="18" customHeight="1">
      <c r="A48" s="2086"/>
      <c r="B48" s="2457">
        <v>2013</v>
      </c>
      <c r="C48" s="2654"/>
      <c r="D48" s="2656"/>
      <c r="E48" s="2656"/>
      <c r="F48" s="2656"/>
      <c r="G48" s="2656"/>
      <c r="H48" s="2656"/>
      <c r="I48" s="2656"/>
      <c r="J48" s="2656"/>
      <c r="K48" s="2656"/>
      <c r="L48" s="2656"/>
      <c r="M48" s="2656"/>
      <c r="N48" s="2086"/>
    </row>
    <row r="49" spans="1:14" ht="18" customHeight="1">
      <c r="A49" s="2086"/>
      <c r="B49" s="2455" t="s">
        <v>161</v>
      </c>
      <c r="C49" s="2654">
        <v>2728.3141621299997</v>
      </c>
      <c r="D49" s="2656">
        <v>724.26001601000166</v>
      </c>
      <c r="E49" s="2656">
        <v>1535.8067601600001</v>
      </c>
      <c r="F49" s="2656">
        <v>0</v>
      </c>
      <c r="G49" s="2656">
        <v>0</v>
      </c>
      <c r="H49" s="2656">
        <v>0</v>
      </c>
      <c r="I49" s="2656">
        <v>0</v>
      </c>
      <c r="J49" s="2656">
        <v>0</v>
      </c>
      <c r="K49" s="2656">
        <v>0</v>
      </c>
      <c r="L49" s="2656">
        <v>302.31914708649998</v>
      </c>
      <c r="M49" s="2656">
        <v>165.92823887349823</v>
      </c>
      <c r="N49" s="2086"/>
    </row>
    <row r="50" spans="1:14" ht="18" customHeight="1">
      <c r="A50" s="2086"/>
      <c r="B50" s="2455" t="s">
        <v>162</v>
      </c>
      <c r="C50" s="2654">
        <v>2670.1214912099995</v>
      </c>
      <c r="D50" s="2656">
        <v>636.90645903999939</v>
      </c>
      <c r="E50" s="2656">
        <v>1423.5875440099999</v>
      </c>
      <c r="F50" s="2656">
        <v>0</v>
      </c>
      <c r="G50" s="2656">
        <v>0</v>
      </c>
      <c r="H50" s="2656">
        <v>0</v>
      </c>
      <c r="I50" s="2656">
        <v>0</v>
      </c>
      <c r="J50" s="2656">
        <v>0</v>
      </c>
      <c r="K50" s="2656">
        <v>0</v>
      </c>
      <c r="L50" s="2656">
        <v>309.1527035414</v>
      </c>
      <c r="M50" s="2656">
        <v>300.4747846186001</v>
      </c>
      <c r="N50" s="2086"/>
    </row>
    <row r="51" spans="1:14" ht="18" customHeight="1">
      <c r="A51" s="2086"/>
      <c r="B51" s="2455" t="s">
        <v>163</v>
      </c>
      <c r="C51" s="2654">
        <v>2662.490845639999</v>
      </c>
      <c r="D51" s="2656">
        <v>667.18037546000346</v>
      </c>
      <c r="E51" s="2656">
        <v>1286.44303601</v>
      </c>
      <c r="F51" s="2656">
        <v>0</v>
      </c>
      <c r="G51" s="2656">
        <v>0</v>
      </c>
      <c r="H51" s="2656">
        <v>0</v>
      </c>
      <c r="I51" s="2656">
        <v>0</v>
      </c>
      <c r="J51" s="2656">
        <v>0</v>
      </c>
      <c r="K51" s="2656">
        <v>0</v>
      </c>
      <c r="L51" s="2656">
        <v>371.47489178410001</v>
      </c>
      <c r="M51" s="2656">
        <v>337.39254238589547</v>
      </c>
      <c r="N51" s="2086"/>
    </row>
    <row r="52" spans="1:14" ht="18" customHeight="1">
      <c r="A52" s="2086"/>
      <c r="B52" s="2458" t="s">
        <v>164</v>
      </c>
      <c r="C52" s="2654">
        <v>2837.5140083300003</v>
      </c>
      <c r="D52" s="2656">
        <v>451.90357859000056</v>
      </c>
      <c r="E52" s="2656">
        <v>1285.82058738</v>
      </c>
      <c r="F52" s="2656">
        <v>0</v>
      </c>
      <c r="G52" s="2656">
        <v>0</v>
      </c>
      <c r="H52" s="2656">
        <v>0</v>
      </c>
      <c r="I52" s="2656">
        <v>0</v>
      </c>
      <c r="J52" s="2656">
        <v>0</v>
      </c>
      <c r="K52" s="2656">
        <v>0</v>
      </c>
      <c r="L52" s="2656">
        <v>355.10407395309994</v>
      </c>
      <c r="M52" s="2656">
        <v>744.68576840690002</v>
      </c>
      <c r="N52" s="2086"/>
    </row>
    <row r="53" spans="1:14" ht="18" customHeight="1">
      <c r="A53" s="2086"/>
      <c r="B53" s="2458" t="s">
        <v>165</v>
      </c>
      <c r="C53" s="2654">
        <v>2697.0032141399997</v>
      </c>
      <c r="D53" s="2656">
        <v>418.2487418699987</v>
      </c>
      <c r="E53" s="2656">
        <v>1307.3350474100002</v>
      </c>
      <c r="F53" s="2656">
        <v>0</v>
      </c>
      <c r="G53" s="2656">
        <v>0</v>
      </c>
      <c r="H53" s="2656">
        <v>0</v>
      </c>
      <c r="I53" s="2656">
        <v>0</v>
      </c>
      <c r="J53" s="2656">
        <v>0</v>
      </c>
      <c r="K53" s="2656">
        <v>0</v>
      </c>
      <c r="L53" s="2656">
        <v>329.03036463259997</v>
      </c>
      <c r="M53" s="2656">
        <v>642.38906022740093</v>
      </c>
      <c r="N53" s="2086"/>
    </row>
    <row r="54" spans="1:14" ht="18" customHeight="1">
      <c r="A54" s="2086"/>
      <c r="B54" s="2770" t="s">
        <v>166</v>
      </c>
      <c r="C54" s="2767">
        <v>2773.4703200799995</v>
      </c>
      <c r="D54" s="2769">
        <v>531.94646520000072</v>
      </c>
      <c r="E54" s="2769">
        <v>1458.4371910700002</v>
      </c>
      <c r="F54" s="2769">
        <v>0</v>
      </c>
      <c r="G54" s="2769">
        <v>0</v>
      </c>
      <c r="H54" s="2769">
        <v>0</v>
      </c>
      <c r="I54" s="2769">
        <v>0</v>
      </c>
      <c r="J54" s="2769">
        <v>0</v>
      </c>
      <c r="K54" s="2769">
        <v>0</v>
      </c>
      <c r="L54" s="2769">
        <v>370.37795878499998</v>
      </c>
      <c r="M54" s="2769">
        <v>412.70870502499884</v>
      </c>
      <c r="N54" s="2086"/>
    </row>
    <row r="55" spans="1:14" ht="18" customHeight="1">
      <c r="A55" s="2086"/>
      <c r="B55" s="2770" t="s">
        <v>167</v>
      </c>
      <c r="C55" s="2767">
        <v>2712.75032685</v>
      </c>
      <c r="D55" s="2769">
        <v>504.2595604099987</v>
      </c>
      <c r="E55" s="2769">
        <v>1623.8480745800002</v>
      </c>
      <c r="F55" s="2769">
        <v>0</v>
      </c>
      <c r="G55" s="2769">
        <v>0</v>
      </c>
      <c r="H55" s="2769">
        <v>0</v>
      </c>
      <c r="I55" s="2769">
        <v>0</v>
      </c>
      <c r="J55" s="2769">
        <v>0</v>
      </c>
      <c r="K55" s="2769">
        <v>0</v>
      </c>
      <c r="L55" s="2769">
        <v>335.89260288539998</v>
      </c>
      <c r="M55" s="2769">
        <v>248.75008897460111</v>
      </c>
      <c r="N55" s="2086"/>
    </row>
    <row r="56" spans="1:14" ht="18" customHeight="1">
      <c r="A56" s="2086"/>
      <c r="B56" s="2770" t="s">
        <v>168</v>
      </c>
      <c r="C56" s="2767">
        <v>2652.93479368</v>
      </c>
      <c r="D56" s="2769">
        <v>472.35395417000029</v>
      </c>
      <c r="E56" s="2769">
        <v>1639.9939413999998</v>
      </c>
      <c r="F56" s="2769">
        <v>0</v>
      </c>
      <c r="G56" s="2769">
        <v>0</v>
      </c>
      <c r="H56" s="2769">
        <v>0</v>
      </c>
      <c r="I56" s="2769">
        <v>0</v>
      </c>
      <c r="J56" s="2769">
        <v>0</v>
      </c>
      <c r="K56" s="2769">
        <v>0</v>
      </c>
      <c r="L56" s="2769">
        <v>337.56325753859994</v>
      </c>
      <c r="M56" s="2769">
        <v>203.02364057139994</v>
      </c>
      <c r="N56" s="2086"/>
    </row>
    <row r="57" spans="1:14" ht="18" customHeight="1">
      <c r="A57" s="2086"/>
      <c r="B57" s="2770" t="s">
        <v>169</v>
      </c>
      <c r="C57" s="2767">
        <v>2727.6613831099999</v>
      </c>
      <c r="D57" s="2769">
        <v>513.6673320700005</v>
      </c>
      <c r="E57" s="2769">
        <v>1203.16183976</v>
      </c>
      <c r="F57" s="2769">
        <v>0</v>
      </c>
      <c r="G57" s="2769">
        <v>0</v>
      </c>
      <c r="H57" s="2769">
        <v>0</v>
      </c>
      <c r="I57" s="2769">
        <v>0</v>
      </c>
      <c r="J57" s="2769">
        <v>0</v>
      </c>
      <c r="K57" s="2769">
        <v>0</v>
      </c>
      <c r="L57" s="2769">
        <v>346.86136231309996</v>
      </c>
      <c r="M57" s="2769">
        <v>663.97084896689921</v>
      </c>
      <c r="N57" s="2086"/>
    </row>
    <row r="58" spans="1:14" ht="18" customHeight="1">
      <c r="A58" s="2086"/>
      <c r="B58" s="2770" t="s">
        <v>170</v>
      </c>
      <c r="C58" s="2767">
        <v>2755.7408364999992</v>
      </c>
      <c r="D58" s="2769">
        <v>505.47006767000175</v>
      </c>
      <c r="E58" s="2769">
        <v>835.9913223499999</v>
      </c>
      <c r="F58" s="2769">
        <v>0</v>
      </c>
      <c r="G58" s="2769">
        <v>0</v>
      </c>
      <c r="H58" s="2769">
        <v>0</v>
      </c>
      <c r="I58" s="2769">
        <v>0</v>
      </c>
      <c r="J58" s="2769">
        <v>0</v>
      </c>
      <c r="K58" s="2769">
        <v>0</v>
      </c>
      <c r="L58" s="2769">
        <v>362.98436434659993</v>
      </c>
      <c r="M58" s="2769">
        <v>1051.2950821333977</v>
      </c>
      <c r="N58" s="2086"/>
    </row>
    <row r="59" spans="1:14" ht="18" customHeight="1">
      <c r="A59" s="2086"/>
      <c r="B59" s="2770" t="s">
        <v>171</v>
      </c>
      <c r="C59" s="2767">
        <v>2671.09521933</v>
      </c>
      <c r="D59" s="2769">
        <v>522.67153247999943</v>
      </c>
      <c r="E59" s="2769">
        <v>1202.43741847</v>
      </c>
      <c r="F59" s="2769">
        <v>0</v>
      </c>
      <c r="G59" s="2769">
        <v>0</v>
      </c>
      <c r="H59" s="2769">
        <v>0</v>
      </c>
      <c r="I59" s="2769">
        <v>0</v>
      </c>
      <c r="J59" s="2769">
        <v>0</v>
      </c>
      <c r="K59" s="2769">
        <v>0</v>
      </c>
      <c r="L59" s="2769">
        <v>386.34809597310004</v>
      </c>
      <c r="M59" s="2769">
        <v>559.63817240690059</v>
      </c>
      <c r="N59" s="2086"/>
    </row>
    <row r="60" spans="1:14" ht="18" customHeight="1">
      <c r="A60" s="2086"/>
      <c r="B60" s="2770" t="s">
        <v>148</v>
      </c>
      <c r="C60" s="2767">
        <v>3145.5686822900002</v>
      </c>
      <c r="D60" s="2769">
        <v>516.22049611999887</v>
      </c>
      <c r="E60" s="2769">
        <v>1231.7884463400001</v>
      </c>
      <c r="F60" s="2769">
        <v>0</v>
      </c>
      <c r="G60" s="2769">
        <v>0</v>
      </c>
      <c r="H60" s="2769">
        <v>0</v>
      </c>
      <c r="I60" s="2769">
        <v>0</v>
      </c>
      <c r="J60" s="2769">
        <v>0</v>
      </c>
      <c r="K60" s="2769">
        <v>0</v>
      </c>
      <c r="L60" s="2769">
        <v>396.28367135999997</v>
      </c>
      <c r="M60" s="2769">
        <v>1001.2760684700011</v>
      </c>
      <c r="N60" s="2086"/>
    </row>
    <row r="61" spans="1:14" ht="18" customHeight="1">
      <c r="A61" s="2086"/>
      <c r="B61" s="2920">
        <v>2014</v>
      </c>
      <c r="C61" s="2767"/>
      <c r="D61" s="2769"/>
      <c r="E61" s="2769"/>
      <c r="F61" s="2769"/>
      <c r="G61" s="2769"/>
      <c r="H61" s="2769"/>
      <c r="I61" s="2769"/>
      <c r="J61" s="2769"/>
      <c r="K61" s="2769"/>
      <c r="L61" s="2769"/>
      <c r="M61" s="2769"/>
      <c r="N61" s="2086"/>
    </row>
    <row r="62" spans="1:14" ht="18" customHeight="1">
      <c r="A62" s="2086"/>
      <c r="B62" s="2770" t="s">
        <v>161</v>
      </c>
      <c r="C62" s="2767">
        <v>2920.0568816</v>
      </c>
      <c r="D62" s="2769">
        <v>498.09984620000023</v>
      </c>
      <c r="E62" s="2769">
        <v>1267.2667188299999</v>
      </c>
      <c r="F62" s="2769">
        <v>0</v>
      </c>
      <c r="G62" s="2769">
        <v>0</v>
      </c>
      <c r="H62" s="2769">
        <v>0</v>
      </c>
      <c r="I62" s="2769">
        <v>0</v>
      </c>
      <c r="J62" s="2769">
        <v>0</v>
      </c>
      <c r="K62" s="2769">
        <v>0</v>
      </c>
      <c r="L62" s="2769">
        <v>401.00679808865004</v>
      </c>
      <c r="M62" s="2769">
        <v>753.68351848134989</v>
      </c>
      <c r="N62" s="2086"/>
    </row>
    <row r="63" spans="1:14" ht="18" customHeight="1">
      <c r="A63" s="2086"/>
      <c r="B63" s="2770" t="s">
        <v>162</v>
      </c>
      <c r="C63" s="2767">
        <v>2575.8110900799998</v>
      </c>
      <c r="D63" s="2769">
        <v>716.72244421000084</v>
      </c>
      <c r="E63" s="2769">
        <v>1195.3055703099999</v>
      </c>
      <c r="F63" s="2769">
        <v>0</v>
      </c>
      <c r="G63" s="2769">
        <v>0</v>
      </c>
      <c r="H63" s="2769">
        <v>0</v>
      </c>
      <c r="I63" s="2769">
        <v>0</v>
      </c>
      <c r="J63" s="2769">
        <v>0</v>
      </c>
      <c r="K63" s="2769">
        <v>0</v>
      </c>
      <c r="L63" s="2769">
        <v>367.15993025300003</v>
      </c>
      <c r="M63" s="2769">
        <v>296.62314530699905</v>
      </c>
      <c r="N63" s="2086"/>
    </row>
    <row r="64" spans="1:14" ht="18" customHeight="1">
      <c r="A64" s="2086"/>
      <c r="B64" s="2770" t="s">
        <v>163</v>
      </c>
      <c r="C64" s="2767">
        <v>2533.1016896800006</v>
      </c>
      <c r="D64" s="2769">
        <v>258.62315523000001</v>
      </c>
      <c r="E64" s="2769">
        <v>1318.4040766099999</v>
      </c>
      <c r="F64" s="2769">
        <v>0</v>
      </c>
      <c r="G64" s="2769">
        <v>0</v>
      </c>
      <c r="H64" s="2769">
        <v>0</v>
      </c>
      <c r="I64" s="2769">
        <v>0</v>
      </c>
      <c r="J64" s="2769">
        <v>0</v>
      </c>
      <c r="K64" s="2769">
        <v>0</v>
      </c>
      <c r="L64" s="2769">
        <v>404.04410080050002</v>
      </c>
      <c r="M64" s="2769">
        <v>552.03035703950059</v>
      </c>
      <c r="N64" s="2086"/>
    </row>
    <row r="65" spans="1:14" ht="18" customHeight="1">
      <c r="A65" s="2086"/>
      <c r="B65" s="2770" t="s">
        <v>164</v>
      </c>
      <c r="C65" s="2767">
        <v>2574.1652478399997</v>
      </c>
      <c r="D65" s="2769">
        <v>500.53652954000199</v>
      </c>
      <c r="E65" s="2769">
        <v>1324.6293981499998</v>
      </c>
      <c r="F65" s="2769">
        <v>0</v>
      </c>
      <c r="G65" s="2769">
        <v>0</v>
      </c>
      <c r="H65" s="2769">
        <v>0</v>
      </c>
      <c r="I65" s="2769">
        <v>0</v>
      </c>
      <c r="J65" s="2769">
        <v>0</v>
      </c>
      <c r="K65" s="2769">
        <v>0</v>
      </c>
      <c r="L65" s="2769">
        <v>536.51324760050011</v>
      </c>
      <c r="M65" s="2769">
        <v>212.48607254949775</v>
      </c>
      <c r="N65" s="2086"/>
    </row>
    <row r="66" spans="1:14" ht="18" customHeight="1">
      <c r="A66" s="2086"/>
      <c r="B66" s="2770" t="s">
        <v>165</v>
      </c>
      <c r="C66" s="2767">
        <v>2565.6598301000004</v>
      </c>
      <c r="D66" s="2769">
        <v>515.41141163999964</v>
      </c>
      <c r="E66" s="2769">
        <v>1316.9027880900001</v>
      </c>
      <c r="F66" s="2769">
        <v>0</v>
      </c>
      <c r="G66" s="2769">
        <v>0</v>
      </c>
      <c r="H66" s="2769">
        <v>0</v>
      </c>
      <c r="I66" s="2769">
        <v>0</v>
      </c>
      <c r="J66" s="2769">
        <v>0</v>
      </c>
      <c r="K66" s="2769">
        <v>0</v>
      </c>
      <c r="L66" s="2769">
        <v>555.39049706349999</v>
      </c>
      <c r="M66" s="2769">
        <v>177.95513330650056</v>
      </c>
      <c r="N66" s="2086"/>
    </row>
    <row r="67" spans="1:14" ht="18" customHeight="1">
      <c r="A67" s="2086"/>
      <c r="B67" s="2770" t="s">
        <v>166</v>
      </c>
      <c r="C67" s="2767">
        <v>2649.8691607999999</v>
      </c>
      <c r="D67" s="2769">
        <v>618.00178250000033</v>
      </c>
      <c r="E67" s="2769">
        <v>1324.5085767999999</v>
      </c>
      <c r="F67" s="2769">
        <v>0</v>
      </c>
      <c r="G67" s="2769">
        <v>0</v>
      </c>
      <c r="H67" s="2769">
        <v>0</v>
      </c>
      <c r="I67" s="2769">
        <v>0</v>
      </c>
      <c r="J67" s="2769">
        <v>0</v>
      </c>
      <c r="K67" s="2769">
        <v>0</v>
      </c>
      <c r="L67" s="2769">
        <v>544.09555972865007</v>
      </c>
      <c r="M67" s="2769">
        <v>163.26324177134939</v>
      </c>
      <c r="N67" s="2086"/>
    </row>
    <row r="68" spans="1:14" ht="18" customHeight="1">
      <c r="A68" s="2086"/>
      <c r="B68" s="3015" t="s">
        <v>167</v>
      </c>
      <c r="C68" s="3012">
        <v>2632.6448151800005</v>
      </c>
      <c r="D68" s="3014">
        <v>631.00982311999996</v>
      </c>
      <c r="E68" s="3014">
        <v>1295.45162998</v>
      </c>
      <c r="F68" s="3014">
        <v>12.72645861</v>
      </c>
      <c r="G68" s="3014">
        <v>0</v>
      </c>
      <c r="H68" s="3014">
        <v>0</v>
      </c>
      <c r="I68" s="3014">
        <v>0</v>
      </c>
      <c r="J68" s="3014">
        <v>0</v>
      </c>
      <c r="K68" s="3014">
        <v>0</v>
      </c>
      <c r="L68" s="3014">
        <v>544.29061529620003</v>
      </c>
      <c r="M68" s="3014">
        <v>149.16628817380024</v>
      </c>
      <c r="N68" s="2086"/>
    </row>
    <row r="69" spans="1:14">
      <c r="A69" s="2086"/>
      <c r="B69" s="2770" t="s">
        <v>168</v>
      </c>
      <c r="C69" s="2767">
        <v>2698.0269908099999</v>
      </c>
      <c r="D69" s="2769">
        <v>683.84775544000001</v>
      </c>
      <c r="E69" s="2769">
        <v>1032.6750083300003</v>
      </c>
      <c r="F69" s="2769">
        <v>18.340668870000002</v>
      </c>
      <c r="G69" s="2769">
        <v>0</v>
      </c>
      <c r="H69" s="2769">
        <v>0</v>
      </c>
      <c r="I69" s="2769">
        <v>0</v>
      </c>
      <c r="J69" s="2769">
        <v>0</v>
      </c>
      <c r="K69" s="2769">
        <v>0</v>
      </c>
      <c r="L69" s="2769">
        <v>545.42242671974998</v>
      </c>
      <c r="M69" s="2769">
        <v>417.74113145024967</v>
      </c>
      <c r="N69" s="2086"/>
    </row>
    <row r="70" spans="1:14">
      <c r="A70" s="2086"/>
      <c r="B70" s="2770" t="s">
        <v>169</v>
      </c>
      <c r="C70" s="2767">
        <v>2758.3372284300003</v>
      </c>
      <c r="D70" s="2769">
        <v>702.67318209000007</v>
      </c>
      <c r="E70" s="2769">
        <v>1022.1517591499997</v>
      </c>
      <c r="F70" s="2769">
        <v>18.914897449999998</v>
      </c>
      <c r="G70" s="2769">
        <v>0</v>
      </c>
      <c r="H70" s="2769">
        <v>0</v>
      </c>
      <c r="I70" s="2769">
        <v>0</v>
      </c>
      <c r="J70" s="2769">
        <v>0</v>
      </c>
      <c r="K70" s="2769">
        <v>0</v>
      </c>
      <c r="L70" s="2769">
        <v>545.7406378874</v>
      </c>
      <c r="M70" s="2769">
        <v>468.85675185260061</v>
      </c>
      <c r="N70" s="2086"/>
    </row>
    <row r="71" spans="1:14">
      <c r="A71" s="2086"/>
      <c r="B71" s="2770" t="s">
        <v>170</v>
      </c>
      <c r="C71" s="2767">
        <v>2853.4856627500003</v>
      </c>
      <c r="D71" s="2769">
        <v>776.99300160999996</v>
      </c>
      <c r="E71" s="2769">
        <v>1037.5291291700005</v>
      </c>
      <c r="F71" s="2769">
        <v>19.168926850000002</v>
      </c>
      <c r="G71" s="2769">
        <v>0</v>
      </c>
      <c r="H71" s="2769">
        <v>0</v>
      </c>
      <c r="I71" s="2769">
        <v>0</v>
      </c>
      <c r="J71" s="2769">
        <v>0</v>
      </c>
      <c r="K71" s="2769">
        <v>0</v>
      </c>
      <c r="L71" s="2769">
        <v>546.09450236725002</v>
      </c>
      <c r="M71" s="2769">
        <v>473.7001027527499</v>
      </c>
      <c r="N71" s="2086"/>
    </row>
    <row r="72" spans="1:14">
      <c r="A72" s="2086"/>
      <c r="B72" s="2770" t="s">
        <v>171</v>
      </c>
      <c r="C72" s="2767">
        <v>2853.15351194</v>
      </c>
      <c r="D72" s="2769">
        <v>841.77567962000012</v>
      </c>
      <c r="E72" s="2769">
        <v>1244.9001979299999</v>
      </c>
      <c r="F72" s="2769">
        <v>10.337415829999999</v>
      </c>
      <c r="G72" s="2769">
        <v>0</v>
      </c>
      <c r="H72" s="2769">
        <v>0</v>
      </c>
      <c r="I72" s="2769">
        <v>0</v>
      </c>
      <c r="J72" s="2769">
        <v>0</v>
      </c>
      <c r="K72" s="2769">
        <v>0</v>
      </c>
      <c r="L72" s="2769">
        <v>541.08335298589998</v>
      </c>
      <c r="M72" s="2769">
        <v>215.0568655740999</v>
      </c>
      <c r="N72" s="2086"/>
    </row>
    <row r="73" spans="1:14">
      <c r="A73" s="2086"/>
      <c r="B73" s="2770" t="s">
        <v>148</v>
      </c>
      <c r="C73" s="2767">
        <v>2955.1744209699996</v>
      </c>
      <c r="D73" s="2769">
        <v>925.29936370000007</v>
      </c>
      <c r="E73" s="2769">
        <v>1265.6174279499999</v>
      </c>
      <c r="F73" s="2769">
        <v>13.08829523</v>
      </c>
      <c r="G73" s="2769">
        <v>0</v>
      </c>
      <c r="H73" s="2769">
        <v>0</v>
      </c>
      <c r="I73" s="2769">
        <v>0</v>
      </c>
      <c r="J73" s="2769">
        <v>0</v>
      </c>
      <c r="K73" s="2769">
        <v>0</v>
      </c>
      <c r="L73" s="2769">
        <v>565.75848765030003</v>
      </c>
      <c r="M73" s="2769">
        <v>185.41084643969953</v>
      </c>
      <c r="N73" s="2086"/>
    </row>
    <row r="74" spans="1:14">
      <c r="A74" s="2086"/>
      <c r="B74" s="2920">
        <v>2015</v>
      </c>
      <c r="C74" s="2767"/>
      <c r="D74" s="2769"/>
      <c r="E74" s="2769"/>
      <c r="F74" s="2769"/>
      <c r="G74" s="2769"/>
      <c r="H74" s="2769"/>
      <c r="I74" s="2769"/>
      <c r="J74" s="2769"/>
      <c r="K74" s="2769"/>
      <c r="L74" s="2769"/>
      <c r="M74" s="2769"/>
      <c r="N74" s="2086"/>
    </row>
    <row r="75" spans="1:14">
      <c r="A75" s="2086"/>
      <c r="B75" s="2770" t="s">
        <v>161</v>
      </c>
      <c r="C75" s="2767">
        <v>2888.9505287300008</v>
      </c>
      <c r="D75" s="2769">
        <v>903.13057786000002</v>
      </c>
      <c r="E75" s="2769">
        <v>1279.4489569100001</v>
      </c>
      <c r="F75" s="2769">
        <v>15.0526999</v>
      </c>
      <c r="G75" s="2769">
        <v>0</v>
      </c>
      <c r="H75" s="2769">
        <v>0</v>
      </c>
      <c r="I75" s="2769">
        <v>0</v>
      </c>
      <c r="J75" s="2769">
        <v>0</v>
      </c>
      <c r="K75" s="2769">
        <v>0</v>
      </c>
      <c r="L75" s="2769">
        <v>645.46873818857011</v>
      </c>
      <c r="M75" s="2769">
        <v>45.849555871430766</v>
      </c>
      <c r="N75" s="2086"/>
    </row>
    <row r="76" spans="1:14">
      <c r="A76" s="2086"/>
      <c r="B76" s="2770" t="s">
        <v>162</v>
      </c>
      <c r="C76" s="2767">
        <v>3086.5242657100007</v>
      </c>
      <c r="D76" s="2769">
        <v>846.61579734000009</v>
      </c>
      <c r="E76" s="2769">
        <v>1272.8750774700002</v>
      </c>
      <c r="F76" s="2769">
        <v>12.139863570000001</v>
      </c>
      <c r="G76" s="2769">
        <v>0</v>
      </c>
      <c r="H76" s="2769">
        <v>0</v>
      </c>
      <c r="I76" s="2769">
        <v>0</v>
      </c>
      <c r="J76" s="2769">
        <v>0</v>
      </c>
      <c r="K76" s="2769">
        <v>0</v>
      </c>
      <c r="L76" s="2769">
        <v>547.36956404613341</v>
      </c>
      <c r="M76" s="2769">
        <v>407.52396328386703</v>
      </c>
      <c r="N76" s="2086"/>
    </row>
    <row r="77" spans="1:14">
      <c r="A77" s="2086"/>
      <c r="B77" s="2770" t="s">
        <v>163</v>
      </c>
      <c r="C77" s="2767">
        <v>3102.8237125299997</v>
      </c>
      <c r="D77" s="2769">
        <v>818.91363110999987</v>
      </c>
      <c r="E77" s="2769">
        <v>1124.5121309800002</v>
      </c>
      <c r="F77" s="2769">
        <v>6.92019056</v>
      </c>
      <c r="G77" s="2769">
        <v>0</v>
      </c>
      <c r="H77" s="2769">
        <v>0</v>
      </c>
      <c r="I77" s="2769">
        <v>0</v>
      </c>
      <c r="J77" s="2769">
        <v>0</v>
      </c>
      <c r="K77" s="2769">
        <v>0</v>
      </c>
      <c r="L77" s="2769">
        <v>576.88345982930002</v>
      </c>
      <c r="M77" s="2769">
        <v>575.59430005069953</v>
      </c>
      <c r="N77" s="2086"/>
    </row>
    <row r="78" spans="1:14">
      <c r="A78" s="2086"/>
      <c r="B78" s="2770" t="s">
        <v>164</v>
      </c>
      <c r="C78" s="2767">
        <v>3247.7448996400003</v>
      </c>
      <c r="D78" s="2769">
        <v>888.70535545999655</v>
      </c>
      <c r="E78" s="2769">
        <v>1141.2659950899999</v>
      </c>
      <c r="F78" s="2769">
        <v>10.010452730000001</v>
      </c>
      <c r="G78" s="2769">
        <v>0</v>
      </c>
      <c r="H78" s="2769">
        <v>0</v>
      </c>
      <c r="I78" s="2769">
        <v>0</v>
      </c>
      <c r="J78" s="2769">
        <v>0</v>
      </c>
      <c r="K78" s="2769">
        <v>0</v>
      </c>
      <c r="L78" s="2769">
        <v>535.24139483529996</v>
      </c>
      <c r="M78" s="2769">
        <v>672.52170152470399</v>
      </c>
      <c r="N78" s="2086"/>
    </row>
    <row r="79" spans="1:14">
      <c r="A79" s="2086"/>
      <c r="B79" s="2770" t="s">
        <v>165</v>
      </c>
      <c r="C79" s="2767">
        <v>3196.8895896000004</v>
      </c>
      <c r="D79" s="2769">
        <v>944.06898540999998</v>
      </c>
      <c r="E79" s="2769">
        <v>1189.3287265900001</v>
      </c>
      <c r="F79" s="2769">
        <v>1.7710693799999999</v>
      </c>
      <c r="G79" s="2769">
        <v>0</v>
      </c>
      <c r="H79" s="2769">
        <v>0</v>
      </c>
      <c r="I79" s="2769">
        <v>0</v>
      </c>
      <c r="J79" s="2769">
        <v>0</v>
      </c>
      <c r="K79" s="2769">
        <v>0</v>
      </c>
      <c r="L79" s="2769">
        <v>555.74880222479999</v>
      </c>
      <c r="M79" s="2769">
        <v>505.97200599520056</v>
      </c>
      <c r="N79" s="2086"/>
    </row>
    <row r="80" spans="1:14">
      <c r="A80" s="2086"/>
      <c r="B80" s="2770" t="s">
        <v>166</v>
      </c>
      <c r="C80" s="2767">
        <v>3348.6284710299997</v>
      </c>
      <c r="D80" s="2769">
        <v>1100.288324729996</v>
      </c>
      <c r="E80" s="2769">
        <v>1173.1080339099999</v>
      </c>
      <c r="F80" s="2769">
        <v>3.8319744199999999</v>
      </c>
      <c r="G80" s="2769">
        <v>0</v>
      </c>
      <c r="H80" s="2769">
        <v>0</v>
      </c>
      <c r="I80" s="2769">
        <v>0</v>
      </c>
      <c r="J80" s="2769">
        <v>0</v>
      </c>
      <c r="K80" s="2769">
        <v>0</v>
      </c>
      <c r="L80" s="2769">
        <v>578.33570574152998</v>
      </c>
      <c r="M80" s="2769">
        <v>493.06443222847383</v>
      </c>
      <c r="N80" s="2086"/>
    </row>
    <row r="81" spans="1:14">
      <c r="A81" s="2086"/>
      <c r="B81" s="2770" t="s">
        <v>167</v>
      </c>
      <c r="C81" s="2767">
        <v>3172.9538664500005</v>
      </c>
      <c r="D81" s="2769">
        <v>863.63314130999879</v>
      </c>
      <c r="E81" s="2769">
        <v>1474.50089738</v>
      </c>
      <c r="F81" s="2769">
        <v>7.6841433600000002</v>
      </c>
      <c r="G81" s="2769">
        <v>0</v>
      </c>
      <c r="H81" s="2769">
        <v>0</v>
      </c>
      <c r="I81" s="2769">
        <v>0</v>
      </c>
      <c r="J81" s="2769">
        <v>0</v>
      </c>
      <c r="K81" s="2769">
        <v>0</v>
      </c>
      <c r="L81" s="2769">
        <v>514.16569960480001</v>
      </c>
      <c r="M81" s="2769">
        <v>312.96998479520198</v>
      </c>
      <c r="N81" s="2086"/>
    </row>
    <row r="82" spans="1:14">
      <c r="A82" s="2086"/>
      <c r="B82" s="2770" t="s">
        <v>168</v>
      </c>
      <c r="C82" s="2767">
        <v>3274.0855815800001</v>
      </c>
      <c r="D82" s="2769">
        <v>884.48181241000009</v>
      </c>
      <c r="E82" s="2769">
        <v>1311.93291161</v>
      </c>
      <c r="F82" s="2769">
        <v>11.4967706</v>
      </c>
      <c r="G82" s="2769">
        <v>0</v>
      </c>
      <c r="H82" s="2769">
        <v>0</v>
      </c>
      <c r="I82" s="2769">
        <v>0</v>
      </c>
      <c r="J82" s="2769">
        <v>0</v>
      </c>
      <c r="K82" s="2769">
        <v>0</v>
      </c>
      <c r="L82" s="2769">
        <v>536.51046422379954</v>
      </c>
      <c r="M82" s="2769">
        <v>529.66362273620007</v>
      </c>
      <c r="N82" s="2086"/>
    </row>
    <row r="83" spans="1:14">
      <c r="A83" s="2086"/>
      <c r="B83" s="2770" t="s">
        <v>169</v>
      </c>
      <c r="C83" s="2767">
        <v>3255.1833375239989</v>
      </c>
      <c r="D83" s="2769">
        <v>853.59026600999994</v>
      </c>
      <c r="E83" s="2769">
        <v>1497.56919859</v>
      </c>
      <c r="F83" s="2769">
        <v>18.914897449999998</v>
      </c>
      <c r="G83" s="2769">
        <v>0</v>
      </c>
      <c r="H83" s="2769">
        <v>0</v>
      </c>
      <c r="I83" s="2769">
        <v>0</v>
      </c>
      <c r="J83" s="2769">
        <v>0</v>
      </c>
      <c r="K83" s="2769">
        <v>0</v>
      </c>
      <c r="L83" s="2769">
        <v>574.52410425690664</v>
      </c>
      <c r="M83" s="2769">
        <v>310.58487121709231</v>
      </c>
      <c r="N83" s="2086"/>
    </row>
    <row r="84" spans="1:14">
      <c r="A84" s="2086"/>
      <c r="B84" s="2770" t="s">
        <v>170</v>
      </c>
      <c r="C84" s="2767">
        <v>3214.4817268600004</v>
      </c>
      <c r="D84" s="2769">
        <v>882.76608430300007</v>
      </c>
      <c r="E84" s="2769">
        <v>1329.02376108</v>
      </c>
      <c r="F84" s="2769">
        <v>10.86896555</v>
      </c>
      <c r="G84" s="2769">
        <v>0</v>
      </c>
      <c r="H84" s="2769">
        <v>0</v>
      </c>
      <c r="I84" s="2769">
        <v>0</v>
      </c>
      <c r="J84" s="2769">
        <v>0</v>
      </c>
      <c r="K84" s="2769">
        <v>0</v>
      </c>
      <c r="L84" s="2769">
        <v>568.9838755740019</v>
      </c>
      <c r="M84" s="2769">
        <v>422.83904035299793</v>
      </c>
      <c r="N84" s="2086"/>
    </row>
    <row r="85" spans="1:14">
      <c r="A85" s="2086"/>
      <c r="B85" s="4197" t="s">
        <v>171</v>
      </c>
      <c r="C85" s="4194">
        <v>3133.3606533770003</v>
      </c>
      <c r="D85" s="4196">
        <v>840.8143237499994</v>
      </c>
      <c r="E85" s="4196">
        <v>1267.2690740099999</v>
      </c>
      <c r="F85" s="4196">
        <v>2.59402636</v>
      </c>
      <c r="G85" s="4196">
        <v>0</v>
      </c>
      <c r="H85" s="4196">
        <v>0</v>
      </c>
      <c r="I85" s="4196">
        <v>0</v>
      </c>
      <c r="J85" s="4196">
        <v>0</v>
      </c>
      <c r="K85" s="4196">
        <v>0</v>
      </c>
      <c r="L85" s="4196">
        <v>579.58653862972005</v>
      </c>
      <c r="M85" s="4196">
        <v>443.09669062728062</v>
      </c>
      <c r="N85" s="2086"/>
    </row>
    <row r="86" spans="1:14">
      <c r="A86" s="2086"/>
      <c r="B86" s="4320" t="s">
        <v>148</v>
      </c>
      <c r="C86" s="4314">
        <v>3138.8491503439991</v>
      </c>
      <c r="D86" s="4196">
        <v>857.25032015299985</v>
      </c>
      <c r="E86" s="4196">
        <v>1258.84841807</v>
      </c>
      <c r="F86" s="4196">
        <v>8.2007468699999997</v>
      </c>
      <c r="G86" s="4196">
        <v>0</v>
      </c>
      <c r="H86" s="4196">
        <v>0</v>
      </c>
      <c r="I86" s="2641">
        <v>0</v>
      </c>
      <c r="J86" s="4196">
        <v>0</v>
      </c>
      <c r="K86" s="4196">
        <v>0</v>
      </c>
      <c r="L86" s="4196">
        <v>603.33281946990007</v>
      </c>
      <c r="M86" s="4321">
        <v>411.21684578109944</v>
      </c>
      <c r="N86" s="2086"/>
    </row>
    <row r="87" spans="1:14">
      <c r="A87" s="2086"/>
      <c r="B87" s="4322">
        <v>2016</v>
      </c>
      <c r="C87" s="4194"/>
      <c r="D87" s="4196"/>
      <c r="E87" s="4196"/>
      <c r="F87" s="4196"/>
      <c r="G87" s="4196"/>
      <c r="H87" s="4196"/>
      <c r="I87" s="4196"/>
      <c r="J87" s="4196"/>
      <c r="K87" s="4196"/>
      <c r="L87" s="4196"/>
      <c r="M87" s="4196"/>
      <c r="N87" s="2086"/>
    </row>
    <row r="88" spans="1:14">
      <c r="A88" s="2086"/>
      <c r="B88" s="4197" t="s">
        <v>161</v>
      </c>
      <c r="C88" s="4194">
        <v>3103.1210818299992</v>
      </c>
      <c r="D88" s="4196">
        <v>854.04478115300003</v>
      </c>
      <c r="E88" s="4196">
        <v>1287.8649311300001</v>
      </c>
      <c r="F88" s="4196">
        <v>4.8713740000000003</v>
      </c>
      <c r="G88" s="4196">
        <v>0</v>
      </c>
      <c r="H88" s="4196">
        <v>0</v>
      </c>
      <c r="I88" s="4196">
        <v>0</v>
      </c>
      <c r="J88" s="4196">
        <v>0</v>
      </c>
      <c r="K88" s="4196">
        <v>0</v>
      </c>
      <c r="L88" s="4196">
        <v>574.24079284887409</v>
      </c>
      <c r="M88" s="4196">
        <v>382.09920269812528</v>
      </c>
      <c r="N88" s="2086"/>
    </row>
    <row r="89" spans="1:14">
      <c r="A89" s="2086"/>
      <c r="B89" s="4323" t="s">
        <v>162</v>
      </c>
      <c r="C89" s="4316">
        <v>3191.4515194500009</v>
      </c>
      <c r="D89" s="4318">
        <v>972.60394152000003</v>
      </c>
      <c r="E89" s="4318">
        <v>1106.6534440299999</v>
      </c>
      <c r="F89" s="4318">
        <v>8.8960063500000004</v>
      </c>
      <c r="G89" s="4318">
        <v>0</v>
      </c>
      <c r="H89" s="4318">
        <v>0</v>
      </c>
      <c r="I89" s="4318">
        <v>0</v>
      </c>
      <c r="J89" s="4318">
        <v>0</v>
      </c>
      <c r="K89" s="4318">
        <v>0</v>
      </c>
      <c r="L89" s="4318">
        <v>569.26127605030001</v>
      </c>
      <c r="M89" s="4318">
        <v>534.03685149970079</v>
      </c>
      <c r="N89" s="2086"/>
    </row>
    <row r="90" spans="1:14">
      <c r="A90" s="2086"/>
      <c r="B90" s="2277"/>
      <c r="C90" s="3522"/>
      <c r="D90" s="2277"/>
      <c r="E90" s="2277"/>
      <c r="F90" s="2277"/>
      <c r="G90" s="2277"/>
      <c r="H90" s="2277"/>
      <c r="I90" s="2277"/>
      <c r="J90" s="2277"/>
      <c r="K90" s="2277"/>
      <c r="L90" s="2277"/>
      <c r="M90" s="2277"/>
      <c r="N90" s="2086"/>
    </row>
    <row r="91" spans="1:14">
      <c r="A91" s="2086"/>
      <c r="B91" s="2277"/>
      <c r="C91" s="3522"/>
      <c r="D91" s="2277"/>
      <c r="E91" s="2277"/>
      <c r="F91" s="2277"/>
      <c r="G91" s="2277"/>
      <c r="H91" s="2277"/>
      <c r="I91" s="2277"/>
      <c r="J91" s="2277"/>
      <c r="K91" s="2277"/>
      <c r="L91" s="2277"/>
      <c r="M91" s="2277"/>
      <c r="N91" s="2086"/>
    </row>
  </sheetData>
  <mergeCells count="3">
    <mergeCell ref="G7:I7"/>
    <mergeCell ref="C5:M5"/>
    <mergeCell ref="B3:M3"/>
  </mergeCells>
  <pageMargins left="0.49" right="0.21" top="0.75" bottom="0.75" header="0.5" footer="0.3"/>
  <pageSetup paperSize="9" scale="72" orientation="portrait" r:id="rId1"/>
  <colBreaks count="1" manualBreakCount="1">
    <brk id="13" max="1048575" man="1"/>
  </colBreaks>
</worksheet>
</file>

<file path=xl/worksheets/sheet35.xml><?xml version="1.0" encoding="utf-8"?>
<worksheet xmlns="http://schemas.openxmlformats.org/spreadsheetml/2006/main" xmlns:r="http://schemas.openxmlformats.org/officeDocument/2006/relationships">
  <dimension ref="A1:R100"/>
  <sheetViews>
    <sheetView zoomScale="70" zoomScaleNormal="70" workbookViewId="0">
      <pane xSplit="2" ySplit="12" topLeftCell="C13" activePane="bottomRight" state="frozen"/>
      <selection activeCell="K31" sqref="K31"/>
      <selection pane="topRight" activeCell="K31" sqref="K31"/>
      <selection pane="bottomLeft" activeCell="K31" sqref="K31"/>
      <selection pane="bottomRight" activeCell="Q92" sqref="Q92"/>
    </sheetView>
  </sheetViews>
  <sheetFormatPr defaultRowHeight="16.5"/>
  <cols>
    <col min="1" max="1" width="9.140625" style="2095"/>
    <col min="2" max="2" width="9.85546875" style="2303" customWidth="1"/>
    <col min="3" max="3" width="14.140625" style="3525" customWidth="1"/>
    <col min="4" max="4" width="13" style="2303" customWidth="1"/>
    <col min="5" max="8" width="10.7109375" style="2303" customWidth="1"/>
    <col min="9" max="9" width="11.28515625" style="2303" customWidth="1"/>
    <col min="10" max="10" width="11.140625" style="2303" customWidth="1"/>
    <col min="11" max="11" width="12.42578125" style="2303" customWidth="1"/>
    <col min="12" max="12" width="9.140625" style="2303" customWidth="1"/>
    <col min="13" max="255" width="9.140625" style="2095"/>
    <col min="256" max="256" width="9.85546875" style="2095" customWidth="1"/>
    <col min="257" max="257" width="10.7109375" style="2095" customWidth="1"/>
    <col min="258" max="258" width="13" style="2095" customWidth="1"/>
    <col min="259" max="262" width="10.7109375" style="2095" customWidth="1"/>
    <col min="263" max="263" width="14.140625" style="2095" customWidth="1"/>
    <col min="264" max="265" width="0" style="2095" hidden="1" customWidth="1"/>
    <col min="266" max="266" width="15.140625" style="2095" customWidth="1"/>
    <col min="267" max="268" width="0" style="2095" hidden="1" customWidth="1"/>
    <col min="269" max="511" width="9.140625" style="2095"/>
    <col min="512" max="512" width="9.85546875" style="2095" customWidth="1"/>
    <col min="513" max="513" width="10.7109375" style="2095" customWidth="1"/>
    <col min="514" max="514" width="13" style="2095" customWidth="1"/>
    <col min="515" max="518" width="10.7109375" style="2095" customWidth="1"/>
    <col min="519" max="519" width="14.140625" style="2095" customWidth="1"/>
    <col min="520" max="521" width="0" style="2095" hidden="1" customWidth="1"/>
    <col min="522" max="522" width="15.140625" style="2095" customWidth="1"/>
    <col min="523" max="524" width="0" style="2095" hidden="1" customWidth="1"/>
    <col min="525" max="767" width="9.140625" style="2095"/>
    <col min="768" max="768" width="9.85546875" style="2095" customWidth="1"/>
    <col min="769" max="769" width="10.7109375" style="2095" customWidth="1"/>
    <col min="770" max="770" width="13" style="2095" customWidth="1"/>
    <col min="771" max="774" width="10.7109375" style="2095" customWidth="1"/>
    <col min="775" max="775" width="14.140625" style="2095" customWidth="1"/>
    <col min="776" max="777" width="0" style="2095" hidden="1" customWidth="1"/>
    <col min="778" max="778" width="15.140625" style="2095" customWidth="1"/>
    <col min="779" max="780" width="0" style="2095" hidden="1" customWidth="1"/>
    <col min="781" max="1023" width="9.140625" style="2095"/>
    <col min="1024" max="1024" width="9.85546875" style="2095" customWidth="1"/>
    <col min="1025" max="1025" width="10.7109375" style="2095" customWidth="1"/>
    <col min="1026" max="1026" width="13" style="2095" customWidth="1"/>
    <col min="1027" max="1030" width="10.7109375" style="2095" customWidth="1"/>
    <col min="1031" max="1031" width="14.140625" style="2095" customWidth="1"/>
    <col min="1032" max="1033" width="0" style="2095" hidden="1" customWidth="1"/>
    <col min="1034" max="1034" width="15.140625" style="2095" customWidth="1"/>
    <col min="1035" max="1036" width="0" style="2095" hidden="1" customWidth="1"/>
    <col min="1037" max="1279" width="9.140625" style="2095"/>
    <col min="1280" max="1280" width="9.85546875" style="2095" customWidth="1"/>
    <col min="1281" max="1281" width="10.7109375" style="2095" customWidth="1"/>
    <col min="1282" max="1282" width="13" style="2095" customWidth="1"/>
    <col min="1283" max="1286" width="10.7109375" style="2095" customWidth="1"/>
    <col min="1287" max="1287" width="14.140625" style="2095" customWidth="1"/>
    <col min="1288" max="1289" width="0" style="2095" hidden="1" customWidth="1"/>
    <col min="1290" max="1290" width="15.140625" style="2095" customWidth="1"/>
    <col min="1291" max="1292" width="0" style="2095" hidden="1" customWidth="1"/>
    <col min="1293" max="1535" width="9.140625" style="2095"/>
    <col min="1536" max="1536" width="9.85546875" style="2095" customWidth="1"/>
    <col min="1537" max="1537" width="10.7109375" style="2095" customWidth="1"/>
    <col min="1538" max="1538" width="13" style="2095" customWidth="1"/>
    <col min="1539" max="1542" width="10.7109375" style="2095" customWidth="1"/>
    <col min="1543" max="1543" width="14.140625" style="2095" customWidth="1"/>
    <col min="1544" max="1545" width="0" style="2095" hidden="1" customWidth="1"/>
    <col min="1546" max="1546" width="15.140625" style="2095" customWidth="1"/>
    <col min="1547" max="1548" width="0" style="2095" hidden="1" customWidth="1"/>
    <col min="1549" max="1791" width="9.140625" style="2095"/>
    <col min="1792" max="1792" width="9.85546875" style="2095" customWidth="1"/>
    <col min="1793" max="1793" width="10.7109375" style="2095" customWidth="1"/>
    <col min="1794" max="1794" width="13" style="2095" customWidth="1"/>
    <col min="1795" max="1798" width="10.7109375" style="2095" customWidth="1"/>
    <col min="1799" max="1799" width="14.140625" style="2095" customWidth="1"/>
    <col min="1800" max="1801" width="0" style="2095" hidden="1" customWidth="1"/>
    <col min="1802" max="1802" width="15.140625" style="2095" customWidth="1"/>
    <col min="1803" max="1804" width="0" style="2095" hidden="1" customWidth="1"/>
    <col min="1805" max="2047" width="9.140625" style="2095"/>
    <col min="2048" max="2048" width="9.85546875" style="2095" customWidth="1"/>
    <col min="2049" max="2049" width="10.7109375" style="2095" customWidth="1"/>
    <col min="2050" max="2050" width="13" style="2095" customWidth="1"/>
    <col min="2051" max="2054" width="10.7109375" style="2095" customWidth="1"/>
    <col min="2055" max="2055" width="14.140625" style="2095" customWidth="1"/>
    <col min="2056" max="2057" width="0" style="2095" hidden="1" customWidth="1"/>
    <col min="2058" max="2058" width="15.140625" style="2095" customWidth="1"/>
    <col min="2059" max="2060" width="0" style="2095" hidden="1" customWidth="1"/>
    <col min="2061" max="2303" width="9.140625" style="2095"/>
    <col min="2304" max="2304" width="9.85546875" style="2095" customWidth="1"/>
    <col min="2305" max="2305" width="10.7109375" style="2095" customWidth="1"/>
    <col min="2306" max="2306" width="13" style="2095" customWidth="1"/>
    <col min="2307" max="2310" width="10.7109375" style="2095" customWidth="1"/>
    <col min="2311" max="2311" width="14.140625" style="2095" customWidth="1"/>
    <col min="2312" max="2313" width="0" style="2095" hidden="1" customWidth="1"/>
    <col min="2314" max="2314" width="15.140625" style="2095" customWidth="1"/>
    <col min="2315" max="2316" width="0" style="2095" hidden="1" customWidth="1"/>
    <col min="2317" max="2559" width="9.140625" style="2095"/>
    <col min="2560" max="2560" width="9.85546875" style="2095" customWidth="1"/>
    <col min="2561" max="2561" width="10.7109375" style="2095" customWidth="1"/>
    <col min="2562" max="2562" width="13" style="2095" customWidth="1"/>
    <col min="2563" max="2566" width="10.7109375" style="2095" customWidth="1"/>
    <col min="2567" max="2567" width="14.140625" style="2095" customWidth="1"/>
    <col min="2568" max="2569" width="0" style="2095" hidden="1" customWidth="1"/>
    <col min="2570" max="2570" width="15.140625" style="2095" customWidth="1"/>
    <col min="2571" max="2572" width="0" style="2095" hidden="1" customWidth="1"/>
    <col min="2573" max="2815" width="9.140625" style="2095"/>
    <col min="2816" max="2816" width="9.85546875" style="2095" customWidth="1"/>
    <col min="2817" max="2817" width="10.7109375" style="2095" customWidth="1"/>
    <col min="2818" max="2818" width="13" style="2095" customWidth="1"/>
    <col min="2819" max="2822" width="10.7109375" style="2095" customWidth="1"/>
    <col min="2823" max="2823" width="14.140625" style="2095" customWidth="1"/>
    <col min="2824" max="2825" width="0" style="2095" hidden="1" customWidth="1"/>
    <col min="2826" max="2826" width="15.140625" style="2095" customWidth="1"/>
    <col min="2827" max="2828" width="0" style="2095" hidden="1" customWidth="1"/>
    <col min="2829" max="3071" width="9.140625" style="2095"/>
    <col min="3072" max="3072" width="9.85546875" style="2095" customWidth="1"/>
    <col min="3073" max="3073" width="10.7109375" style="2095" customWidth="1"/>
    <col min="3074" max="3074" width="13" style="2095" customWidth="1"/>
    <col min="3075" max="3078" width="10.7109375" style="2095" customWidth="1"/>
    <col min="3079" max="3079" width="14.140625" style="2095" customWidth="1"/>
    <col min="3080" max="3081" width="0" style="2095" hidden="1" customWidth="1"/>
    <col min="3082" max="3082" width="15.140625" style="2095" customWidth="1"/>
    <col min="3083" max="3084" width="0" style="2095" hidden="1" customWidth="1"/>
    <col min="3085" max="3327" width="9.140625" style="2095"/>
    <col min="3328" max="3328" width="9.85546875" style="2095" customWidth="1"/>
    <col min="3329" max="3329" width="10.7109375" style="2095" customWidth="1"/>
    <col min="3330" max="3330" width="13" style="2095" customWidth="1"/>
    <col min="3331" max="3334" width="10.7109375" style="2095" customWidth="1"/>
    <col min="3335" max="3335" width="14.140625" style="2095" customWidth="1"/>
    <col min="3336" max="3337" width="0" style="2095" hidden="1" customWidth="1"/>
    <col min="3338" max="3338" width="15.140625" style="2095" customWidth="1"/>
    <col min="3339" max="3340" width="0" style="2095" hidden="1" customWidth="1"/>
    <col min="3341" max="3583" width="9.140625" style="2095"/>
    <col min="3584" max="3584" width="9.85546875" style="2095" customWidth="1"/>
    <col min="3585" max="3585" width="10.7109375" style="2095" customWidth="1"/>
    <col min="3586" max="3586" width="13" style="2095" customWidth="1"/>
    <col min="3587" max="3590" width="10.7109375" style="2095" customWidth="1"/>
    <col min="3591" max="3591" width="14.140625" style="2095" customWidth="1"/>
    <col min="3592" max="3593" width="0" style="2095" hidden="1" customWidth="1"/>
    <col min="3594" max="3594" width="15.140625" style="2095" customWidth="1"/>
    <col min="3595" max="3596" width="0" style="2095" hidden="1" customWidth="1"/>
    <col min="3597" max="3839" width="9.140625" style="2095"/>
    <col min="3840" max="3840" width="9.85546875" style="2095" customWidth="1"/>
    <col min="3841" max="3841" width="10.7109375" style="2095" customWidth="1"/>
    <col min="3842" max="3842" width="13" style="2095" customWidth="1"/>
    <col min="3843" max="3846" width="10.7109375" style="2095" customWidth="1"/>
    <col min="3847" max="3847" width="14.140625" style="2095" customWidth="1"/>
    <col min="3848" max="3849" width="0" style="2095" hidden="1" customWidth="1"/>
    <col min="3850" max="3850" width="15.140625" style="2095" customWidth="1"/>
    <col min="3851" max="3852" width="0" style="2095" hidden="1" customWidth="1"/>
    <col min="3853" max="4095" width="9.140625" style="2095"/>
    <col min="4096" max="4096" width="9.85546875" style="2095" customWidth="1"/>
    <col min="4097" max="4097" width="10.7109375" style="2095" customWidth="1"/>
    <col min="4098" max="4098" width="13" style="2095" customWidth="1"/>
    <col min="4099" max="4102" width="10.7109375" style="2095" customWidth="1"/>
    <col min="4103" max="4103" width="14.140625" style="2095" customWidth="1"/>
    <col min="4104" max="4105" width="0" style="2095" hidden="1" customWidth="1"/>
    <col min="4106" max="4106" width="15.140625" style="2095" customWidth="1"/>
    <col min="4107" max="4108" width="0" style="2095" hidden="1" customWidth="1"/>
    <col min="4109" max="4351" width="9.140625" style="2095"/>
    <col min="4352" max="4352" width="9.85546875" style="2095" customWidth="1"/>
    <col min="4353" max="4353" width="10.7109375" style="2095" customWidth="1"/>
    <col min="4354" max="4354" width="13" style="2095" customWidth="1"/>
    <col min="4355" max="4358" width="10.7109375" style="2095" customWidth="1"/>
    <col min="4359" max="4359" width="14.140625" style="2095" customWidth="1"/>
    <col min="4360" max="4361" width="0" style="2095" hidden="1" customWidth="1"/>
    <col min="4362" max="4362" width="15.140625" style="2095" customWidth="1"/>
    <col min="4363" max="4364" width="0" style="2095" hidden="1" customWidth="1"/>
    <col min="4365" max="4607" width="9.140625" style="2095"/>
    <col min="4608" max="4608" width="9.85546875" style="2095" customWidth="1"/>
    <col min="4609" max="4609" width="10.7109375" style="2095" customWidth="1"/>
    <col min="4610" max="4610" width="13" style="2095" customWidth="1"/>
    <col min="4611" max="4614" width="10.7109375" style="2095" customWidth="1"/>
    <col min="4615" max="4615" width="14.140625" style="2095" customWidth="1"/>
    <col min="4616" max="4617" width="0" style="2095" hidden="1" customWidth="1"/>
    <col min="4618" max="4618" width="15.140625" style="2095" customWidth="1"/>
    <col min="4619" max="4620" width="0" style="2095" hidden="1" customWidth="1"/>
    <col min="4621" max="4863" width="9.140625" style="2095"/>
    <col min="4864" max="4864" width="9.85546875" style="2095" customWidth="1"/>
    <col min="4865" max="4865" width="10.7109375" style="2095" customWidth="1"/>
    <col min="4866" max="4866" width="13" style="2095" customWidth="1"/>
    <col min="4867" max="4870" width="10.7109375" style="2095" customWidth="1"/>
    <col min="4871" max="4871" width="14.140625" style="2095" customWidth="1"/>
    <col min="4872" max="4873" width="0" style="2095" hidden="1" customWidth="1"/>
    <col min="4874" max="4874" width="15.140625" style="2095" customWidth="1"/>
    <col min="4875" max="4876" width="0" style="2095" hidden="1" customWidth="1"/>
    <col min="4877" max="5119" width="9.140625" style="2095"/>
    <col min="5120" max="5120" width="9.85546875" style="2095" customWidth="1"/>
    <col min="5121" max="5121" width="10.7109375" style="2095" customWidth="1"/>
    <col min="5122" max="5122" width="13" style="2095" customWidth="1"/>
    <col min="5123" max="5126" width="10.7109375" style="2095" customWidth="1"/>
    <col min="5127" max="5127" width="14.140625" style="2095" customWidth="1"/>
    <col min="5128" max="5129" width="0" style="2095" hidden="1" customWidth="1"/>
    <col min="5130" max="5130" width="15.140625" style="2095" customWidth="1"/>
    <col min="5131" max="5132" width="0" style="2095" hidden="1" customWidth="1"/>
    <col min="5133" max="5375" width="9.140625" style="2095"/>
    <col min="5376" max="5376" width="9.85546875" style="2095" customWidth="1"/>
    <col min="5377" max="5377" width="10.7109375" style="2095" customWidth="1"/>
    <col min="5378" max="5378" width="13" style="2095" customWidth="1"/>
    <col min="5379" max="5382" width="10.7109375" style="2095" customWidth="1"/>
    <col min="5383" max="5383" width="14.140625" style="2095" customWidth="1"/>
    <col min="5384" max="5385" width="0" style="2095" hidden="1" customWidth="1"/>
    <col min="5386" max="5386" width="15.140625" style="2095" customWidth="1"/>
    <col min="5387" max="5388" width="0" style="2095" hidden="1" customWidth="1"/>
    <col min="5389" max="5631" width="9.140625" style="2095"/>
    <col min="5632" max="5632" width="9.85546875" style="2095" customWidth="1"/>
    <col min="5633" max="5633" width="10.7109375" style="2095" customWidth="1"/>
    <col min="5634" max="5634" width="13" style="2095" customWidth="1"/>
    <col min="5635" max="5638" width="10.7109375" style="2095" customWidth="1"/>
    <col min="5639" max="5639" width="14.140625" style="2095" customWidth="1"/>
    <col min="5640" max="5641" width="0" style="2095" hidden="1" customWidth="1"/>
    <col min="5642" max="5642" width="15.140625" style="2095" customWidth="1"/>
    <col min="5643" max="5644" width="0" style="2095" hidden="1" customWidth="1"/>
    <col min="5645" max="5887" width="9.140625" style="2095"/>
    <col min="5888" max="5888" width="9.85546875" style="2095" customWidth="1"/>
    <col min="5889" max="5889" width="10.7109375" style="2095" customWidth="1"/>
    <col min="5890" max="5890" width="13" style="2095" customWidth="1"/>
    <col min="5891" max="5894" width="10.7109375" style="2095" customWidth="1"/>
    <col min="5895" max="5895" width="14.140625" style="2095" customWidth="1"/>
    <col min="5896" max="5897" width="0" style="2095" hidden="1" customWidth="1"/>
    <col min="5898" max="5898" width="15.140625" style="2095" customWidth="1"/>
    <col min="5899" max="5900" width="0" style="2095" hidden="1" customWidth="1"/>
    <col min="5901" max="6143" width="9.140625" style="2095"/>
    <col min="6144" max="6144" width="9.85546875" style="2095" customWidth="1"/>
    <col min="6145" max="6145" width="10.7109375" style="2095" customWidth="1"/>
    <col min="6146" max="6146" width="13" style="2095" customWidth="1"/>
    <col min="6147" max="6150" width="10.7109375" style="2095" customWidth="1"/>
    <col min="6151" max="6151" width="14.140625" style="2095" customWidth="1"/>
    <col min="6152" max="6153" width="0" style="2095" hidden="1" customWidth="1"/>
    <col min="6154" max="6154" width="15.140625" style="2095" customWidth="1"/>
    <col min="6155" max="6156" width="0" style="2095" hidden="1" customWidth="1"/>
    <col min="6157" max="6399" width="9.140625" style="2095"/>
    <col min="6400" max="6400" width="9.85546875" style="2095" customWidth="1"/>
    <col min="6401" max="6401" width="10.7109375" style="2095" customWidth="1"/>
    <col min="6402" max="6402" width="13" style="2095" customWidth="1"/>
    <col min="6403" max="6406" width="10.7109375" style="2095" customWidth="1"/>
    <col min="6407" max="6407" width="14.140625" style="2095" customWidth="1"/>
    <col min="6408" max="6409" width="0" style="2095" hidden="1" customWidth="1"/>
    <col min="6410" max="6410" width="15.140625" style="2095" customWidth="1"/>
    <col min="6411" max="6412" width="0" style="2095" hidden="1" customWidth="1"/>
    <col min="6413" max="6655" width="9.140625" style="2095"/>
    <col min="6656" max="6656" width="9.85546875" style="2095" customWidth="1"/>
    <col min="6657" max="6657" width="10.7109375" style="2095" customWidth="1"/>
    <col min="6658" max="6658" width="13" style="2095" customWidth="1"/>
    <col min="6659" max="6662" width="10.7109375" style="2095" customWidth="1"/>
    <col min="6663" max="6663" width="14.140625" style="2095" customWidth="1"/>
    <col min="6664" max="6665" width="0" style="2095" hidden="1" customWidth="1"/>
    <col min="6666" max="6666" width="15.140625" style="2095" customWidth="1"/>
    <col min="6667" max="6668" width="0" style="2095" hidden="1" customWidth="1"/>
    <col min="6669" max="6911" width="9.140625" style="2095"/>
    <col min="6912" max="6912" width="9.85546875" style="2095" customWidth="1"/>
    <col min="6913" max="6913" width="10.7109375" style="2095" customWidth="1"/>
    <col min="6914" max="6914" width="13" style="2095" customWidth="1"/>
    <col min="6915" max="6918" width="10.7109375" style="2095" customWidth="1"/>
    <col min="6919" max="6919" width="14.140625" style="2095" customWidth="1"/>
    <col min="6920" max="6921" width="0" style="2095" hidden="1" customWidth="1"/>
    <col min="6922" max="6922" width="15.140625" style="2095" customWidth="1"/>
    <col min="6923" max="6924" width="0" style="2095" hidden="1" customWidth="1"/>
    <col min="6925" max="7167" width="9.140625" style="2095"/>
    <col min="7168" max="7168" width="9.85546875" style="2095" customWidth="1"/>
    <col min="7169" max="7169" width="10.7109375" style="2095" customWidth="1"/>
    <col min="7170" max="7170" width="13" style="2095" customWidth="1"/>
    <col min="7171" max="7174" width="10.7109375" style="2095" customWidth="1"/>
    <col min="7175" max="7175" width="14.140625" style="2095" customWidth="1"/>
    <col min="7176" max="7177" width="0" style="2095" hidden="1" customWidth="1"/>
    <col min="7178" max="7178" width="15.140625" style="2095" customWidth="1"/>
    <col min="7179" max="7180" width="0" style="2095" hidden="1" customWidth="1"/>
    <col min="7181" max="7423" width="9.140625" style="2095"/>
    <col min="7424" max="7424" width="9.85546875" style="2095" customWidth="1"/>
    <col min="7425" max="7425" width="10.7109375" style="2095" customWidth="1"/>
    <col min="7426" max="7426" width="13" style="2095" customWidth="1"/>
    <col min="7427" max="7430" width="10.7109375" style="2095" customWidth="1"/>
    <col min="7431" max="7431" width="14.140625" style="2095" customWidth="1"/>
    <col min="7432" max="7433" width="0" style="2095" hidden="1" customWidth="1"/>
    <col min="7434" max="7434" width="15.140625" style="2095" customWidth="1"/>
    <col min="7435" max="7436" width="0" style="2095" hidden="1" customWidth="1"/>
    <col min="7437" max="7679" width="9.140625" style="2095"/>
    <col min="7680" max="7680" width="9.85546875" style="2095" customWidth="1"/>
    <col min="7681" max="7681" width="10.7109375" style="2095" customWidth="1"/>
    <col min="7682" max="7682" width="13" style="2095" customWidth="1"/>
    <col min="7683" max="7686" width="10.7109375" style="2095" customWidth="1"/>
    <col min="7687" max="7687" width="14.140625" style="2095" customWidth="1"/>
    <col min="7688" max="7689" width="0" style="2095" hidden="1" customWidth="1"/>
    <col min="7690" max="7690" width="15.140625" style="2095" customWidth="1"/>
    <col min="7691" max="7692" width="0" style="2095" hidden="1" customWidth="1"/>
    <col min="7693" max="7935" width="9.140625" style="2095"/>
    <col min="7936" max="7936" width="9.85546875" style="2095" customWidth="1"/>
    <col min="7937" max="7937" width="10.7109375" style="2095" customWidth="1"/>
    <col min="7938" max="7938" width="13" style="2095" customWidth="1"/>
    <col min="7939" max="7942" width="10.7109375" style="2095" customWidth="1"/>
    <col min="7943" max="7943" width="14.140625" style="2095" customWidth="1"/>
    <col min="7944" max="7945" width="0" style="2095" hidden="1" customWidth="1"/>
    <col min="7946" max="7946" width="15.140625" style="2095" customWidth="1"/>
    <col min="7947" max="7948" width="0" style="2095" hidden="1" customWidth="1"/>
    <col min="7949" max="8191" width="9.140625" style="2095"/>
    <col min="8192" max="8192" width="9.85546875" style="2095" customWidth="1"/>
    <col min="8193" max="8193" width="10.7109375" style="2095" customWidth="1"/>
    <col min="8194" max="8194" width="13" style="2095" customWidth="1"/>
    <col min="8195" max="8198" width="10.7109375" style="2095" customWidth="1"/>
    <col min="8199" max="8199" width="14.140625" style="2095" customWidth="1"/>
    <col min="8200" max="8201" width="0" style="2095" hidden="1" customWidth="1"/>
    <col min="8202" max="8202" width="15.140625" style="2095" customWidth="1"/>
    <col min="8203" max="8204" width="0" style="2095" hidden="1" customWidth="1"/>
    <col min="8205" max="8447" width="9.140625" style="2095"/>
    <col min="8448" max="8448" width="9.85546875" style="2095" customWidth="1"/>
    <col min="8449" max="8449" width="10.7109375" style="2095" customWidth="1"/>
    <col min="8450" max="8450" width="13" style="2095" customWidth="1"/>
    <col min="8451" max="8454" width="10.7109375" style="2095" customWidth="1"/>
    <col min="8455" max="8455" width="14.140625" style="2095" customWidth="1"/>
    <col min="8456" max="8457" width="0" style="2095" hidden="1" customWidth="1"/>
    <col min="8458" max="8458" width="15.140625" style="2095" customWidth="1"/>
    <col min="8459" max="8460" width="0" style="2095" hidden="1" customWidth="1"/>
    <col min="8461" max="8703" width="9.140625" style="2095"/>
    <col min="8704" max="8704" width="9.85546875" style="2095" customWidth="1"/>
    <col min="8705" max="8705" width="10.7109375" style="2095" customWidth="1"/>
    <col min="8706" max="8706" width="13" style="2095" customWidth="1"/>
    <col min="8707" max="8710" width="10.7109375" style="2095" customWidth="1"/>
    <col min="8711" max="8711" width="14.140625" style="2095" customWidth="1"/>
    <col min="8712" max="8713" width="0" style="2095" hidden="1" customWidth="1"/>
    <col min="8714" max="8714" width="15.140625" style="2095" customWidth="1"/>
    <col min="8715" max="8716" width="0" style="2095" hidden="1" customWidth="1"/>
    <col min="8717" max="8959" width="9.140625" style="2095"/>
    <col min="8960" max="8960" width="9.85546875" style="2095" customWidth="1"/>
    <col min="8961" max="8961" width="10.7109375" style="2095" customWidth="1"/>
    <col min="8962" max="8962" width="13" style="2095" customWidth="1"/>
    <col min="8963" max="8966" width="10.7109375" style="2095" customWidth="1"/>
    <col min="8967" max="8967" width="14.140625" style="2095" customWidth="1"/>
    <col min="8968" max="8969" width="0" style="2095" hidden="1" customWidth="1"/>
    <col min="8970" max="8970" width="15.140625" style="2095" customWidth="1"/>
    <col min="8971" max="8972" width="0" style="2095" hidden="1" customWidth="1"/>
    <col min="8973" max="9215" width="9.140625" style="2095"/>
    <col min="9216" max="9216" width="9.85546875" style="2095" customWidth="1"/>
    <col min="9217" max="9217" width="10.7109375" style="2095" customWidth="1"/>
    <col min="9218" max="9218" width="13" style="2095" customWidth="1"/>
    <col min="9219" max="9222" width="10.7109375" style="2095" customWidth="1"/>
    <col min="9223" max="9223" width="14.140625" style="2095" customWidth="1"/>
    <col min="9224" max="9225" width="0" style="2095" hidden="1" customWidth="1"/>
    <col min="9226" max="9226" width="15.140625" style="2095" customWidth="1"/>
    <col min="9227" max="9228" width="0" style="2095" hidden="1" customWidth="1"/>
    <col min="9229" max="9471" width="9.140625" style="2095"/>
    <col min="9472" max="9472" width="9.85546875" style="2095" customWidth="1"/>
    <col min="9473" max="9473" width="10.7109375" style="2095" customWidth="1"/>
    <col min="9474" max="9474" width="13" style="2095" customWidth="1"/>
    <col min="9475" max="9478" width="10.7109375" style="2095" customWidth="1"/>
    <col min="9479" max="9479" width="14.140625" style="2095" customWidth="1"/>
    <col min="9480" max="9481" width="0" style="2095" hidden="1" customWidth="1"/>
    <col min="9482" max="9482" width="15.140625" style="2095" customWidth="1"/>
    <col min="9483" max="9484" width="0" style="2095" hidden="1" customWidth="1"/>
    <col min="9485" max="9727" width="9.140625" style="2095"/>
    <col min="9728" max="9728" width="9.85546875" style="2095" customWidth="1"/>
    <col min="9729" max="9729" width="10.7109375" style="2095" customWidth="1"/>
    <col min="9730" max="9730" width="13" style="2095" customWidth="1"/>
    <col min="9731" max="9734" width="10.7109375" style="2095" customWidth="1"/>
    <col min="9735" max="9735" width="14.140625" style="2095" customWidth="1"/>
    <col min="9736" max="9737" width="0" style="2095" hidden="1" customWidth="1"/>
    <col min="9738" max="9738" width="15.140625" style="2095" customWidth="1"/>
    <col min="9739" max="9740" width="0" style="2095" hidden="1" customWidth="1"/>
    <col min="9741" max="9983" width="9.140625" style="2095"/>
    <col min="9984" max="9984" width="9.85546875" style="2095" customWidth="1"/>
    <col min="9985" max="9985" width="10.7109375" style="2095" customWidth="1"/>
    <col min="9986" max="9986" width="13" style="2095" customWidth="1"/>
    <col min="9987" max="9990" width="10.7109375" style="2095" customWidth="1"/>
    <col min="9991" max="9991" width="14.140625" style="2095" customWidth="1"/>
    <col min="9992" max="9993" width="0" style="2095" hidden="1" customWidth="1"/>
    <col min="9994" max="9994" width="15.140625" style="2095" customWidth="1"/>
    <col min="9995" max="9996" width="0" style="2095" hidden="1" customWidth="1"/>
    <col min="9997" max="10239" width="9.140625" style="2095"/>
    <col min="10240" max="10240" width="9.85546875" style="2095" customWidth="1"/>
    <col min="10241" max="10241" width="10.7109375" style="2095" customWidth="1"/>
    <col min="10242" max="10242" width="13" style="2095" customWidth="1"/>
    <col min="10243" max="10246" width="10.7109375" style="2095" customWidth="1"/>
    <col min="10247" max="10247" width="14.140625" style="2095" customWidth="1"/>
    <col min="10248" max="10249" width="0" style="2095" hidden="1" customWidth="1"/>
    <col min="10250" max="10250" width="15.140625" style="2095" customWidth="1"/>
    <col min="10251" max="10252" width="0" style="2095" hidden="1" customWidth="1"/>
    <col min="10253" max="10495" width="9.140625" style="2095"/>
    <col min="10496" max="10496" width="9.85546875" style="2095" customWidth="1"/>
    <col min="10497" max="10497" width="10.7109375" style="2095" customWidth="1"/>
    <col min="10498" max="10498" width="13" style="2095" customWidth="1"/>
    <col min="10499" max="10502" width="10.7109375" style="2095" customWidth="1"/>
    <col min="10503" max="10503" width="14.140625" style="2095" customWidth="1"/>
    <col min="10504" max="10505" width="0" style="2095" hidden="1" customWidth="1"/>
    <col min="10506" max="10506" width="15.140625" style="2095" customWidth="1"/>
    <col min="10507" max="10508" width="0" style="2095" hidden="1" customWidth="1"/>
    <col min="10509" max="10751" width="9.140625" style="2095"/>
    <col min="10752" max="10752" width="9.85546875" style="2095" customWidth="1"/>
    <col min="10753" max="10753" width="10.7109375" style="2095" customWidth="1"/>
    <col min="10754" max="10754" width="13" style="2095" customWidth="1"/>
    <col min="10755" max="10758" width="10.7109375" style="2095" customWidth="1"/>
    <col min="10759" max="10759" width="14.140625" style="2095" customWidth="1"/>
    <col min="10760" max="10761" width="0" style="2095" hidden="1" customWidth="1"/>
    <col min="10762" max="10762" width="15.140625" style="2095" customWidth="1"/>
    <col min="10763" max="10764" width="0" style="2095" hidden="1" customWidth="1"/>
    <col min="10765" max="11007" width="9.140625" style="2095"/>
    <col min="11008" max="11008" width="9.85546875" style="2095" customWidth="1"/>
    <col min="11009" max="11009" width="10.7109375" style="2095" customWidth="1"/>
    <col min="11010" max="11010" width="13" style="2095" customWidth="1"/>
    <col min="11011" max="11014" width="10.7109375" style="2095" customWidth="1"/>
    <col min="11015" max="11015" width="14.140625" style="2095" customWidth="1"/>
    <col min="11016" max="11017" width="0" style="2095" hidden="1" customWidth="1"/>
    <col min="11018" max="11018" width="15.140625" style="2095" customWidth="1"/>
    <col min="11019" max="11020" width="0" style="2095" hidden="1" customWidth="1"/>
    <col min="11021" max="11263" width="9.140625" style="2095"/>
    <col min="11264" max="11264" width="9.85546875" style="2095" customWidth="1"/>
    <col min="11265" max="11265" width="10.7109375" style="2095" customWidth="1"/>
    <col min="11266" max="11266" width="13" style="2095" customWidth="1"/>
    <col min="11267" max="11270" width="10.7109375" style="2095" customWidth="1"/>
    <col min="11271" max="11271" width="14.140625" style="2095" customWidth="1"/>
    <col min="11272" max="11273" width="0" style="2095" hidden="1" customWidth="1"/>
    <col min="11274" max="11274" width="15.140625" style="2095" customWidth="1"/>
    <col min="11275" max="11276" width="0" style="2095" hidden="1" customWidth="1"/>
    <col min="11277" max="11519" width="9.140625" style="2095"/>
    <col min="11520" max="11520" width="9.85546875" style="2095" customWidth="1"/>
    <col min="11521" max="11521" width="10.7109375" style="2095" customWidth="1"/>
    <col min="11522" max="11522" width="13" style="2095" customWidth="1"/>
    <col min="11523" max="11526" width="10.7109375" style="2095" customWidth="1"/>
    <col min="11527" max="11527" width="14.140625" style="2095" customWidth="1"/>
    <col min="11528" max="11529" width="0" style="2095" hidden="1" customWidth="1"/>
    <col min="11530" max="11530" width="15.140625" style="2095" customWidth="1"/>
    <col min="11531" max="11532" width="0" style="2095" hidden="1" customWidth="1"/>
    <col min="11533" max="11775" width="9.140625" style="2095"/>
    <col min="11776" max="11776" width="9.85546875" style="2095" customWidth="1"/>
    <col min="11777" max="11777" width="10.7109375" style="2095" customWidth="1"/>
    <col min="11778" max="11778" width="13" style="2095" customWidth="1"/>
    <col min="11779" max="11782" width="10.7109375" style="2095" customWidth="1"/>
    <col min="11783" max="11783" width="14.140625" style="2095" customWidth="1"/>
    <col min="11784" max="11785" width="0" style="2095" hidden="1" customWidth="1"/>
    <col min="11786" max="11786" width="15.140625" style="2095" customWidth="1"/>
    <col min="11787" max="11788" width="0" style="2095" hidden="1" customWidth="1"/>
    <col min="11789" max="12031" width="9.140625" style="2095"/>
    <col min="12032" max="12032" width="9.85546875" style="2095" customWidth="1"/>
    <col min="12033" max="12033" width="10.7109375" style="2095" customWidth="1"/>
    <col min="12034" max="12034" width="13" style="2095" customWidth="1"/>
    <col min="12035" max="12038" width="10.7109375" style="2095" customWidth="1"/>
    <col min="12039" max="12039" width="14.140625" style="2095" customWidth="1"/>
    <col min="12040" max="12041" width="0" style="2095" hidden="1" customWidth="1"/>
    <col min="12042" max="12042" width="15.140625" style="2095" customWidth="1"/>
    <col min="12043" max="12044" width="0" style="2095" hidden="1" customWidth="1"/>
    <col min="12045" max="12287" width="9.140625" style="2095"/>
    <col min="12288" max="12288" width="9.85546875" style="2095" customWidth="1"/>
    <col min="12289" max="12289" width="10.7109375" style="2095" customWidth="1"/>
    <col min="12290" max="12290" width="13" style="2095" customWidth="1"/>
    <col min="12291" max="12294" width="10.7109375" style="2095" customWidth="1"/>
    <col min="12295" max="12295" width="14.140625" style="2095" customWidth="1"/>
    <col min="12296" max="12297" width="0" style="2095" hidden="1" customWidth="1"/>
    <col min="12298" max="12298" width="15.140625" style="2095" customWidth="1"/>
    <col min="12299" max="12300" width="0" style="2095" hidden="1" customWidth="1"/>
    <col min="12301" max="12543" width="9.140625" style="2095"/>
    <col min="12544" max="12544" width="9.85546875" style="2095" customWidth="1"/>
    <col min="12545" max="12545" width="10.7109375" style="2095" customWidth="1"/>
    <col min="12546" max="12546" width="13" style="2095" customWidth="1"/>
    <col min="12547" max="12550" width="10.7109375" style="2095" customWidth="1"/>
    <col min="12551" max="12551" width="14.140625" style="2095" customWidth="1"/>
    <col min="12552" max="12553" width="0" style="2095" hidden="1" customWidth="1"/>
    <col min="12554" max="12554" width="15.140625" style="2095" customWidth="1"/>
    <col min="12555" max="12556" width="0" style="2095" hidden="1" customWidth="1"/>
    <col min="12557" max="12799" width="9.140625" style="2095"/>
    <col min="12800" max="12800" width="9.85546875" style="2095" customWidth="1"/>
    <col min="12801" max="12801" width="10.7109375" style="2095" customWidth="1"/>
    <col min="12802" max="12802" width="13" style="2095" customWidth="1"/>
    <col min="12803" max="12806" width="10.7109375" style="2095" customWidth="1"/>
    <col min="12807" max="12807" width="14.140625" style="2095" customWidth="1"/>
    <col min="12808" max="12809" width="0" style="2095" hidden="1" customWidth="1"/>
    <col min="12810" max="12810" width="15.140625" style="2095" customWidth="1"/>
    <col min="12811" max="12812" width="0" style="2095" hidden="1" customWidth="1"/>
    <col min="12813" max="13055" width="9.140625" style="2095"/>
    <col min="13056" max="13056" width="9.85546875" style="2095" customWidth="1"/>
    <col min="13057" max="13057" width="10.7109375" style="2095" customWidth="1"/>
    <col min="13058" max="13058" width="13" style="2095" customWidth="1"/>
    <col min="13059" max="13062" width="10.7109375" style="2095" customWidth="1"/>
    <col min="13063" max="13063" width="14.140625" style="2095" customWidth="1"/>
    <col min="13064" max="13065" width="0" style="2095" hidden="1" customWidth="1"/>
    <col min="13066" max="13066" width="15.140625" style="2095" customWidth="1"/>
    <col min="13067" max="13068" width="0" style="2095" hidden="1" customWidth="1"/>
    <col min="13069" max="13311" width="9.140625" style="2095"/>
    <col min="13312" max="13312" width="9.85546875" style="2095" customWidth="1"/>
    <col min="13313" max="13313" width="10.7109375" style="2095" customWidth="1"/>
    <col min="13314" max="13314" width="13" style="2095" customWidth="1"/>
    <col min="13315" max="13318" width="10.7109375" style="2095" customWidth="1"/>
    <col min="13319" max="13319" width="14.140625" style="2095" customWidth="1"/>
    <col min="13320" max="13321" width="0" style="2095" hidden="1" customWidth="1"/>
    <col min="13322" max="13322" width="15.140625" style="2095" customWidth="1"/>
    <col min="13323" max="13324" width="0" style="2095" hidden="1" customWidth="1"/>
    <col min="13325" max="13567" width="9.140625" style="2095"/>
    <col min="13568" max="13568" width="9.85546875" style="2095" customWidth="1"/>
    <col min="13569" max="13569" width="10.7109375" style="2095" customWidth="1"/>
    <col min="13570" max="13570" width="13" style="2095" customWidth="1"/>
    <col min="13571" max="13574" width="10.7109375" style="2095" customWidth="1"/>
    <col min="13575" max="13575" width="14.140625" style="2095" customWidth="1"/>
    <col min="13576" max="13577" width="0" style="2095" hidden="1" customWidth="1"/>
    <col min="13578" max="13578" width="15.140625" style="2095" customWidth="1"/>
    <col min="13579" max="13580" width="0" style="2095" hidden="1" customWidth="1"/>
    <col min="13581" max="13823" width="9.140625" style="2095"/>
    <col min="13824" max="13824" width="9.85546875" style="2095" customWidth="1"/>
    <col min="13825" max="13825" width="10.7109375" style="2095" customWidth="1"/>
    <col min="13826" max="13826" width="13" style="2095" customWidth="1"/>
    <col min="13827" max="13830" width="10.7109375" style="2095" customWidth="1"/>
    <col min="13831" max="13831" width="14.140625" style="2095" customWidth="1"/>
    <col min="13832" max="13833" width="0" style="2095" hidden="1" customWidth="1"/>
    <col min="13834" max="13834" width="15.140625" style="2095" customWidth="1"/>
    <col min="13835" max="13836" width="0" style="2095" hidden="1" customWidth="1"/>
    <col min="13837" max="14079" width="9.140625" style="2095"/>
    <col min="14080" max="14080" width="9.85546875" style="2095" customWidth="1"/>
    <col min="14081" max="14081" width="10.7109375" style="2095" customWidth="1"/>
    <col min="14082" max="14082" width="13" style="2095" customWidth="1"/>
    <col min="14083" max="14086" width="10.7109375" style="2095" customWidth="1"/>
    <col min="14087" max="14087" width="14.140625" style="2095" customWidth="1"/>
    <col min="14088" max="14089" width="0" style="2095" hidden="1" customWidth="1"/>
    <col min="14090" max="14090" width="15.140625" style="2095" customWidth="1"/>
    <col min="14091" max="14092" width="0" style="2095" hidden="1" customWidth="1"/>
    <col min="14093" max="14335" width="9.140625" style="2095"/>
    <col min="14336" max="14336" width="9.85546875" style="2095" customWidth="1"/>
    <col min="14337" max="14337" width="10.7109375" style="2095" customWidth="1"/>
    <col min="14338" max="14338" width="13" style="2095" customWidth="1"/>
    <col min="14339" max="14342" width="10.7109375" style="2095" customWidth="1"/>
    <col min="14343" max="14343" width="14.140625" style="2095" customWidth="1"/>
    <col min="14344" max="14345" width="0" style="2095" hidden="1" customWidth="1"/>
    <col min="14346" max="14346" width="15.140625" style="2095" customWidth="1"/>
    <col min="14347" max="14348" width="0" style="2095" hidden="1" customWidth="1"/>
    <col min="14349" max="14591" width="9.140625" style="2095"/>
    <col min="14592" max="14592" width="9.85546875" style="2095" customWidth="1"/>
    <col min="14593" max="14593" width="10.7109375" style="2095" customWidth="1"/>
    <col min="14594" max="14594" width="13" style="2095" customWidth="1"/>
    <col min="14595" max="14598" width="10.7109375" style="2095" customWidth="1"/>
    <col min="14599" max="14599" width="14.140625" style="2095" customWidth="1"/>
    <col min="14600" max="14601" width="0" style="2095" hidden="1" customWidth="1"/>
    <col min="14602" max="14602" width="15.140625" style="2095" customWidth="1"/>
    <col min="14603" max="14604" width="0" style="2095" hidden="1" customWidth="1"/>
    <col min="14605" max="14847" width="9.140625" style="2095"/>
    <col min="14848" max="14848" width="9.85546875" style="2095" customWidth="1"/>
    <col min="14849" max="14849" width="10.7109375" style="2095" customWidth="1"/>
    <col min="14850" max="14850" width="13" style="2095" customWidth="1"/>
    <col min="14851" max="14854" width="10.7109375" style="2095" customWidth="1"/>
    <col min="14855" max="14855" width="14.140625" style="2095" customWidth="1"/>
    <col min="14856" max="14857" width="0" style="2095" hidden="1" customWidth="1"/>
    <col min="14858" max="14858" width="15.140625" style="2095" customWidth="1"/>
    <col min="14859" max="14860" width="0" style="2095" hidden="1" customWidth="1"/>
    <col min="14861" max="15103" width="9.140625" style="2095"/>
    <col min="15104" max="15104" width="9.85546875" style="2095" customWidth="1"/>
    <col min="15105" max="15105" width="10.7109375" style="2095" customWidth="1"/>
    <col min="15106" max="15106" width="13" style="2095" customWidth="1"/>
    <col min="15107" max="15110" width="10.7109375" style="2095" customWidth="1"/>
    <col min="15111" max="15111" width="14.140625" style="2095" customWidth="1"/>
    <col min="15112" max="15113" width="0" style="2095" hidden="1" customWidth="1"/>
    <col min="15114" max="15114" width="15.140625" style="2095" customWidth="1"/>
    <col min="15115" max="15116" width="0" style="2095" hidden="1" customWidth="1"/>
    <col min="15117" max="15359" width="9.140625" style="2095"/>
    <col min="15360" max="15360" width="9.85546875" style="2095" customWidth="1"/>
    <col min="15361" max="15361" width="10.7109375" style="2095" customWidth="1"/>
    <col min="15362" max="15362" width="13" style="2095" customWidth="1"/>
    <col min="15363" max="15366" width="10.7109375" style="2095" customWidth="1"/>
    <col min="15367" max="15367" width="14.140625" style="2095" customWidth="1"/>
    <col min="15368" max="15369" width="0" style="2095" hidden="1" customWidth="1"/>
    <col min="15370" max="15370" width="15.140625" style="2095" customWidth="1"/>
    <col min="15371" max="15372" width="0" style="2095" hidden="1" customWidth="1"/>
    <col min="15373" max="15615" width="9.140625" style="2095"/>
    <col min="15616" max="15616" width="9.85546875" style="2095" customWidth="1"/>
    <col min="15617" max="15617" width="10.7109375" style="2095" customWidth="1"/>
    <col min="15618" max="15618" width="13" style="2095" customWidth="1"/>
    <col min="15619" max="15622" width="10.7109375" style="2095" customWidth="1"/>
    <col min="15623" max="15623" width="14.140625" style="2095" customWidth="1"/>
    <col min="15624" max="15625" width="0" style="2095" hidden="1" customWidth="1"/>
    <col min="15626" max="15626" width="15.140625" style="2095" customWidth="1"/>
    <col min="15627" max="15628" width="0" style="2095" hidden="1" customWidth="1"/>
    <col min="15629" max="15871" width="9.140625" style="2095"/>
    <col min="15872" max="15872" width="9.85546875" style="2095" customWidth="1"/>
    <col min="15873" max="15873" width="10.7109375" style="2095" customWidth="1"/>
    <col min="15874" max="15874" width="13" style="2095" customWidth="1"/>
    <col min="15875" max="15878" width="10.7109375" style="2095" customWidth="1"/>
    <col min="15879" max="15879" width="14.140625" style="2095" customWidth="1"/>
    <col min="15880" max="15881" width="0" style="2095" hidden="1" customWidth="1"/>
    <col min="15882" max="15882" width="15.140625" style="2095" customWidth="1"/>
    <col min="15883" max="15884" width="0" style="2095" hidden="1" customWidth="1"/>
    <col min="15885" max="16127" width="9.140625" style="2095"/>
    <col min="16128" max="16128" width="9.85546875" style="2095" customWidth="1"/>
    <col min="16129" max="16129" width="10.7109375" style="2095" customWidth="1"/>
    <col min="16130" max="16130" width="13" style="2095" customWidth="1"/>
    <col min="16131" max="16134" width="10.7109375" style="2095" customWidth="1"/>
    <col min="16135" max="16135" width="14.140625" style="2095" customWidth="1"/>
    <col min="16136" max="16137" width="0" style="2095" hidden="1" customWidth="1"/>
    <col min="16138" max="16138" width="15.140625" style="2095" customWidth="1"/>
    <col min="16139" max="16140" width="0" style="2095" hidden="1" customWidth="1"/>
    <col min="16141" max="16384" width="9.140625" style="2095"/>
  </cols>
  <sheetData>
    <row r="1" spans="1:18" s="2094" customFormat="1" ht="18" customHeight="1">
      <c r="B1" s="4634" t="s">
        <v>2022</v>
      </c>
      <c r="C1" s="4634"/>
      <c r="D1" s="4634"/>
      <c r="E1" s="4634"/>
      <c r="F1" s="4634"/>
      <c r="G1" s="4634"/>
      <c r="H1" s="4634"/>
      <c r="I1" s="4634"/>
      <c r="J1" s="4634"/>
      <c r="K1" s="4634"/>
      <c r="L1" s="4634"/>
    </row>
    <row r="2" spans="1:18" s="2094" customFormat="1" ht="12" customHeight="1">
      <c r="B2" s="2290"/>
      <c r="C2" s="2290"/>
      <c r="D2" s="2291"/>
      <c r="E2" s="2291"/>
      <c r="F2" s="2291"/>
      <c r="G2" s="2291"/>
      <c r="H2" s="2291"/>
      <c r="I2" s="2291"/>
      <c r="J2" s="2291"/>
      <c r="K2" s="2291"/>
      <c r="L2" s="2291"/>
    </row>
    <row r="3" spans="1:18" ht="18" customHeight="1">
      <c r="A3" s="2094"/>
      <c r="B3" s="3150" t="s">
        <v>1757</v>
      </c>
      <c r="C3" s="2337"/>
      <c r="D3" s="2292"/>
      <c r="E3" s="2292"/>
      <c r="F3" s="2292"/>
      <c r="G3" s="2292"/>
      <c r="H3" s="2292"/>
      <c r="I3" s="2292"/>
      <c r="J3" s="2292"/>
      <c r="K3" s="2292"/>
      <c r="L3" s="2293"/>
      <c r="M3" s="2094"/>
    </row>
    <row r="4" spans="1:18" ht="12" customHeight="1">
      <c r="A4" s="2094"/>
      <c r="B4" s="2294"/>
      <c r="C4" s="3524"/>
      <c r="D4" s="2296"/>
      <c r="E4" s="2296"/>
      <c r="F4" s="2296"/>
      <c r="G4" s="2296"/>
      <c r="H4" s="2296"/>
      <c r="I4" s="2296"/>
      <c r="J4" s="2296"/>
      <c r="K4" s="2296"/>
      <c r="L4" s="2297"/>
      <c r="M4" s="2094"/>
    </row>
    <row r="5" spans="1:18" ht="18" customHeight="1">
      <c r="A5" s="2094"/>
      <c r="B5" s="2096"/>
      <c r="C5" s="3476" t="s">
        <v>172</v>
      </c>
      <c r="D5" s="2195"/>
      <c r="E5" s="2195"/>
      <c r="F5" s="2195"/>
      <c r="G5" s="2195"/>
      <c r="H5" s="2195"/>
      <c r="I5" s="2195"/>
      <c r="J5" s="2195"/>
      <c r="K5" s="2195"/>
      <c r="L5" s="2298"/>
      <c r="M5" s="2094"/>
    </row>
    <row r="6" spans="1:18" ht="12" customHeight="1">
      <c r="A6" s="2094"/>
      <c r="B6" s="2096"/>
      <c r="C6" s="2096"/>
      <c r="D6" s="2096"/>
      <c r="E6" s="2295"/>
      <c r="F6" s="2299"/>
      <c r="G6" s="2299"/>
      <c r="H6" s="2300"/>
      <c r="I6" s="2294" t="s">
        <v>142</v>
      </c>
      <c r="J6" s="2301"/>
      <c r="K6" s="2301"/>
      <c r="L6" s="2167"/>
      <c r="M6" s="2094"/>
    </row>
    <row r="7" spans="1:18" ht="18" customHeight="1">
      <c r="A7" s="2094"/>
      <c r="B7" s="2096" t="s">
        <v>142</v>
      </c>
      <c r="C7" s="2096"/>
      <c r="D7" s="2096"/>
      <c r="E7" s="4650" t="s">
        <v>421</v>
      </c>
      <c r="F7" s="4651"/>
      <c r="G7" s="4651"/>
      <c r="H7" s="3055"/>
      <c r="I7" s="2166"/>
      <c r="J7" s="4639" t="s">
        <v>1611</v>
      </c>
      <c r="K7" s="4639" t="s">
        <v>1610</v>
      </c>
      <c r="L7" s="3056"/>
      <c r="M7" s="2094"/>
    </row>
    <row r="8" spans="1:18" ht="18" customHeight="1">
      <c r="A8" s="2094"/>
      <c r="B8" s="2096"/>
      <c r="C8" s="2096"/>
      <c r="D8" s="2096"/>
      <c r="E8" s="2096"/>
      <c r="F8" s="2096"/>
      <c r="G8" s="2096"/>
      <c r="H8" s="3055"/>
      <c r="I8" s="2166" t="s">
        <v>428</v>
      </c>
      <c r="J8" s="4639"/>
      <c r="K8" s="4639"/>
      <c r="L8" s="3057"/>
      <c r="M8" s="2094"/>
    </row>
    <row r="9" spans="1:18" ht="18" customHeight="1">
      <c r="A9" s="2094"/>
      <c r="B9" s="2096"/>
      <c r="C9" s="2096"/>
      <c r="D9" s="2096"/>
      <c r="E9" s="2096"/>
      <c r="F9" s="2096"/>
      <c r="G9" s="2096"/>
      <c r="H9" s="3055" t="s">
        <v>428</v>
      </c>
      <c r="I9" s="2166" t="s">
        <v>174</v>
      </c>
      <c r="J9" s="4639"/>
      <c r="K9" s="4639"/>
      <c r="L9" s="3056" t="s">
        <v>428</v>
      </c>
      <c r="M9" s="2094"/>
    </row>
    <row r="10" spans="1:18" ht="18" customHeight="1">
      <c r="A10" s="2094"/>
      <c r="B10" s="2096" t="s">
        <v>175</v>
      </c>
      <c r="C10" s="2096"/>
      <c r="D10" s="2302"/>
      <c r="E10" s="2096"/>
      <c r="F10" s="2096"/>
      <c r="G10" s="2096"/>
      <c r="H10" s="3055" t="s">
        <v>174</v>
      </c>
      <c r="I10" s="2166" t="s">
        <v>177</v>
      </c>
      <c r="J10" s="4639"/>
      <c r="K10" s="4639"/>
      <c r="L10" s="3056" t="s">
        <v>174</v>
      </c>
      <c r="M10" s="2094"/>
    </row>
    <row r="11" spans="1:18" ht="18" customHeight="1">
      <c r="A11" s="2094"/>
      <c r="B11" s="2162" t="s">
        <v>140</v>
      </c>
      <c r="C11" s="2162" t="s">
        <v>152</v>
      </c>
      <c r="D11" s="2162" t="s">
        <v>429</v>
      </c>
      <c r="E11" s="2162" t="s">
        <v>152</v>
      </c>
      <c r="F11" s="2162" t="s">
        <v>141</v>
      </c>
      <c r="G11" s="2162" t="s">
        <v>431</v>
      </c>
      <c r="H11" s="3058" t="s">
        <v>177</v>
      </c>
      <c r="I11" s="3059" t="s">
        <v>181</v>
      </c>
      <c r="J11" s="4652"/>
      <c r="K11" s="4652"/>
      <c r="L11" s="3060" t="s">
        <v>935</v>
      </c>
      <c r="M11" s="2094"/>
      <c r="Q11" s="2097"/>
      <c r="R11" s="2097"/>
    </row>
    <row r="12" spans="1:18" ht="12" customHeight="1">
      <c r="A12" s="2094"/>
      <c r="B12" s="2161"/>
      <c r="C12" s="2161"/>
      <c r="D12" s="2161"/>
      <c r="E12" s="2161"/>
      <c r="F12" s="2161"/>
      <c r="G12" s="2161"/>
      <c r="H12" s="3206"/>
      <c r="I12" s="3207"/>
      <c r="J12" s="3208"/>
      <c r="K12" s="3208"/>
      <c r="L12" s="3209"/>
      <c r="M12" s="2094"/>
      <c r="Q12" s="2097"/>
      <c r="R12" s="2097"/>
    </row>
    <row r="13" spans="1:18" ht="18" hidden="1" customHeight="1">
      <c r="A13" s="2094"/>
      <c r="B13" s="2462">
        <v>2010</v>
      </c>
      <c r="C13" s="2462"/>
      <c r="D13" s="2463"/>
      <c r="E13" s="2463"/>
      <c r="F13" s="2463"/>
      <c r="G13" s="2463"/>
      <c r="H13" s="2771"/>
      <c r="I13" s="2771"/>
      <c r="J13" s="2771"/>
      <c r="K13" s="2771"/>
      <c r="L13" s="2771"/>
      <c r="M13" s="2094"/>
      <c r="Q13" s="2097"/>
      <c r="R13" s="2097"/>
    </row>
    <row r="14" spans="1:18" ht="18" hidden="1" customHeight="1">
      <c r="A14" s="2094"/>
      <c r="B14" s="2463" t="s">
        <v>164</v>
      </c>
      <c r="C14" s="2660">
        <v>1058.61221144</v>
      </c>
      <c r="D14" s="2661">
        <v>489.62465936999996</v>
      </c>
      <c r="E14" s="2661">
        <v>113.20704092000001</v>
      </c>
      <c r="F14" s="2661">
        <v>108.90842029000001</v>
      </c>
      <c r="G14" s="2661">
        <v>4.2986206300000003</v>
      </c>
      <c r="H14" s="2661">
        <v>0</v>
      </c>
      <c r="I14" s="2661">
        <v>0</v>
      </c>
      <c r="J14" s="2661">
        <v>0</v>
      </c>
      <c r="K14" s="2661">
        <v>455.78051115000005</v>
      </c>
      <c r="L14" s="2661">
        <v>0</v>
      </c>
      <c r="M14" s="2094"/>
      <c r="Q14" s="2097"/>
      <c r="R14" s="2097"/>
    </row>
    <row r="15" spans="1:18" ht="18" hidden="1" customHeight="1">
      <c r="A15" s="2094"/>
      <c r="B15" s="2463" t="s">
        <v>165</v>
      </c>
      <c r="C15" s="2660">
        <v>1227.5224571700001</v>
      </c>
      <c r="D15" s="2661">
        <v>512.53091969000002</v>
      </c>
      <c r="E15" s="2661">
        <v>83.247797750000004</v>
      </c>
      <c r="F15" s="2661">
        <v>80.646661710000004</v>
      </c>
      <c r="G15" s="2661">
        <v>2.6011360400000001</v>
      </c>
      <c r="H15" s="2661">
        <v>0</v>
      </c>
      <c r="I15" s="2661">
        <v>0</v>
      </c>
      <c r="J15" s="2661">
        <v>0</v>
      </c>
      <c r="K15" s="2661">
        <v>631.74373973000002</v>
      </c>
      <c r="L15" s="2661">
        <v>0</v>
      </c>
      <c r="M15" s="2094"/>
      <c r="Q15" s="2097"/>
      <c r="R15" s="2097"/>
    </row>
    <row r="16" spans="1:18" ht="18" hidden="1" customHeight="1">
      <c r="A16" s="2094"/>
      <c r="B16" s="2463" t="s">
        <v>166</v>
      </c>
      <c r="C16" s="2660">
        <v>1290.0664846299999</v>
      </c>
      <c r="D16" s="2661">
        <v>384.68553973999997</v>
      </c>
      <c r="E16" s="2661">
        <v>82.084367959999994</v>
      </c>
      <c r="F16" s="2661">
        <v>73.063681989999992</v>
      </c>
      <c r="G16" s="2661">
        <v>9.0206859699999988</v>
      </c>
      <c r="H16" s="2661">
        <v>0</v>
      </c>
      <c r="I16" s="2661">
        <v>0</v>
      </c>
      <c r="J16" s="2661">
        <v>0</v>
      </c>
      <c r="K16" s="2661">
        <v>622.7484869299999</v>
      </c>
      <c r="L16" s="2661">
        <v>200.54809</v>
      </c>
      <c r="M16" s="2094"/>
      <c r="Q16" s="2097"/>
      <c r="R16" s="2097"/>
    </row>
    <row r="17" spans="1:17" ht="18" hidden="1" customHeight="1">
      <c r="A17" s="2094"/>
      <c r="B17" s="2463" t="s">
        <v>167</v>
      </c>
      <c r="C17" s="2660">
        <v>1578.0218555699998</v>
      </c>
      <c r="D17" s="2661">
        <v>379.45164215</v>
      </c>
      <c r="E17" s="2661">
        <v>71.977994030000005</v>
      </c>
      <c r="F17" s="2661">
        <v>64.66658357</v>
      </c>
      <c r="G17" s="2661">
        <v>7.3114104600000003</v>
      </c>
      <c r="H17" s="2661">
        <v>0</v>
      </c>
      <c r="I17" s="2661">
        <v>99.3125</v>
      </c>
      <c r="J17" s="2661">
        <v>0</v>
      </c>
      <c r="K17" s="2661">
        <v>826.05031038999994</v>
      </c>
      <c r="L17" s="2661">
        <v>201.229409</v>
      </c>
      <c r="M17" s="2094"/>
    </row>
    <row r="18" spans="1:17" ht="18" hidden="1" customHeight="1">
      <c r="A18" s="2094"/>
      <c r="B18" s="2463" t="s">
        <v>168</v>
      </c>
      <c r="C18" s="2660">
        <v>6142.0452442700007</v>
      </c>
      <c r="D18" s="2661">
        <v>696.52375508</v>
      </c>
      <c r="E18" s="2661">
        <v>4311.5310650199999</v>
      </c>
      <c r="F18" s="2661">
        <v>4305.2020058999997</v>
      </c>
      <c r="G18" s="2661">
        <v>6.3290591200000001</v>
      </c>
      <c r="H18" s="2661">
        <v>0</v>
      </c>
      <c r="I18" s="2661">
        <v>99.3125</v>
      </c>
      <c r="J18" s="2661">
        <v>0</v>
      </c>
      <c r="K18" s="2661">
        <v>933.81758917000002</v>
      </c>
      <c r="L18" s="2661">
        <v>100.86033500000001</v>
      </c>
      <c r="M18" s="2094"/>
    </row>
    <row r="19" spans="1:17" ht="18" hidden="1" customHeight="1">
      <c r="A19" s="2094"/>
      <c r="B19" s="2463" t="s">
        <v>169</v>
      </c>
      <c r="C19" s="2660">
        <v>2960.7873144799996</v>
      </c>
      <c r="D19" s="2661">
        <v>1403.68065469</v>
      </c>
      <c r="E19" s="2661">
        <v>314.19455172999994</v>
      </c>
      <c r="F19" s="2661">
        <v>260.08787603999997</v>
      </c>
      <c r="G19" s="2661">
        <v>54.106675689999996</v>
      </c>
      <c r="H19" s="2661">
        <v>0</v>
      </c>
      <c r="I19" s="2661">
        <v>99.3125</v>
      </c>
      <c r="J19" s="2661">
        <v>0</v>
      </c>
      <c r="K19" s="2661">
        <v>1043.39581606</v>
      </c>
      <c r="L19" s="2661">
        <v>100.20379200000001</v>
      </c>
      <c r="M19" s="2094"/>
    </row>
    <row r="20" spans="1:17" ht="18" hidden="1" customHeight="1">
      <c r="A20" s="2094"/>
      <c r="B20" s="2463" t="s">
        <v>170</v>
      </c>
      <c r="C20" s="2660">
        <v>3751.2123787199998</v>
      </c>
      <c r="D20" s="2661">
        <v>1721.3190826399998</v>
      </c>
      <c r="E20" s="2661">
        <v>756.19163779999997</v>
      </c>
      <c r="F20" s="2661">
        <v>240.56282734000001</v>
      </c>
      <c r="G20" s="2661">
        <v>515.62881045999995</v>
      </c>
      <c r="H20" s="2661">
        <v>0</v>
      </c>
      <c r="I20" s="2661">
        <v>0</v>
      </c>
      <c r="J20" s="2661">
        <v>0</v>
      </c>
      <c r="K20" s="2661">
        <v>1273.7016582799999</v>
      </c>
      <c r="L20" s="2661">
        <v>0</v>
      </c>
      <c r="M20" s="2094"/>
    </row>
    <row r="21" spans="1:17" ht="18" hidden="1" customHeight="1">
      <c r="A21" s="2094"/>
      <c r="B21" s="2463" t="s">
        <v>171</v>
      </c>
      <c r="C21" s="2660">
        <v>5153.3772848099998</v>
      </c>
      <c r="D21" s="2661">
        <v>2831.0037229700001</v>
      </c>
      <c r="E21" s="2661">
        <v>809.00760657000001</v>
      </c>
      <c r="F21" s="2661">
        <v>615.82871446000001</v>
      </c>
      <c r="G21" s="2661">
        <v>193.17889210999999</v>
      </c>
      <c r="H21" s="2661">
        <v>0</v>
      </c>
      <c r="I21" s="2661">
        <v>0</v>
      </c>
      <c r="J21" s="2661">
        <v>0</v>
      </c>
      <c r="K21" s="2661">
        <v>1412.4911892699999</v>
      </c>
      <c r="L21" s="2661">
        <v>100.87476599999999</v>
      </c>
      <c r="M21" s="2094"/>
    </row>
    <row r="22" spans="1:17" ht="18" hidden="1" customHeight="1">
      <c r="A22" s="2094"/>
      <c r="B22" s="2462">
        <v>2010</v>
      </c>
      <c r="C22" s="2660">
        <v>4228.6851296100003</v>
      </c>
      <c r="D22" s="2661">
        <v>1835.90399187</v>
      </c>
      <c r="E22" s="2661">
        <v>673.89931809999996</v>
      </c>
      <c r="F22" s="2661">
        <v>440.07946606000002</v>
      </c>
      <c r="G22" s="2661">
        <v>233.81985203999997</v>
      </c>
      <c r="H22" s="2661">
        <v>0</v>
      </c>
      <c r="I22" s="2661">
        <v>0</v>
      </c>
      <c r="J22" s="2661">
        <v>0</v>
      </c>
      <c r="K22" s="2661">
        <v>1568.4724866400002</v>
      </c>
      <c r="L22" s="2661">
        <v>150.409333</v>
      </c>
      <c r="M22" s="2094"/>
      <c r="Q22" s="2097"/>
    </row>
    <row r="23" spans="1:17" ht="18" hidden="1" customHeight="1">
      <c r="A23" s="2094"/>
      <c r="B23" s="2462">
        <v>2011</v>
      </c>
      <c r="C23" s="2660"/>
      <c r="D23" s="2661"/>
      <c r="E23" s="2661"/>
      <c r="F23" s="2661"/>
      <c r="G23" s="2661"/>
      <c r="H23" s="2661"/>
      <c r="I23" s="2661"/>
      <c r="J23" s="2661"/>
      <c r="K23" s="2661"/>
      <c r="L23" s="2661"/>
      <c r="M23" s="2750"/>
    </row>
    <row r="24" spans="1:17" ht="18" hidden="1" customHeight="1">
      <c r="A24" s="2094"/>
      <c r="B24" s="2463" t="s">
        <v>161</v>
      </c>
      <c r="C24" s="2660">
        <v>3873.54151176</v>
      </c>
      <c r="D24" s="2661">
        <v>1248.0967495699999</v>
      </c>
      <c r="E24" s="2661">
        <v>653.34696335000001</v>
      </c>
      <c r="F24" s="2661">
        <v>272.78839518000001</v>
      </c>
      <c r="G24" s="2661">
        <v>380.55856817</v>
      </c>
      <c r="H24" s="2661">
        <v>0</v>
      </c>
      <c r="I24" s="2661">
        <v>0</v>
      </c>
      <c r="J24" s="2661">
        <v>0</v>
      </c>
      <c r="K24" s="2661">
        <v>1785.93655984</v>
      </c>
      <c r="L24" s="2661">
        <v>186.16123899999999</v>
      </c>
      <c r="M24" s="2094"/>
    </row>
    <row r="25" spans="1:17" ht="18" hidden="1" customHeight="1">
      <c r="A25" s="2094"/>
      <c r="B25" s="2463" t="s">
        <v>162</v>
      </c>
      <c r="C25" s="2660">
        <v>4099.7468491700001</v>
      </c>
      <c r="D25" s="2661">
        <v>1536.91054399</v>
      </c>
      <c r="E25" s="2661">
        <v>512.31303604000004</v>
      </c>
      <c r="F25" s="2661">
        <v>216.57583184999999</v>
      </c>
      <c r="G25" s="2661">
        <v>295.73720419</v>
      </c>
      <c r="H25" s="2661">
        <v>0</v>
      </c>
      <c r="I25" s="2661">
        <v>0</v>
      </c>
      <c r="J25" s="2661">
        <v>0</v>
      </c>
      <c r="K25" s="2661">
        <v>1864.3620301400001</v>
      </c>
      <c r="L25" s="2661">
        <v>186.16123899999999</v>
      </c>
      <c r="M25" s="2094"/>
    </row>
    <row r="26" spans="1:17" ht="18" hidden="1" customHeight="1">
      <c r="A26" s="2094"/>
      <c r="B26" s="2463" t="s">
        <v>163</v>
      </c>
      <c r="C26" s="2660">
        <v>4193.4977901799994</v>
      </c>
      <c r="D26" s="2661">
        <v>1687.4284378400002</v>
      </c>
      <c r="E26" s="2661">
        <v>463.73499435999997</v>
      </c>
      <c r="F26" s="2661">
        <v>216.00148709000001</v>
      </c>
      <c r="G26" s="2661">
        <v>247.73350726999999</v>
      </c>
      <c r="H26" s="2661">
        <v>0</v>
      </c>
      <c r="I26" s="2661">
        <v>0</v>
      </c>
      <c r="J26" s="2661">
        <v>0</v>
      </c>
      <c r="K26" s="2661">
        <v>1856.1731189799998</v>
      </c>
      <c r="L26" s="2661">
        <v>186.16123899999999</v>
      </c>
      <c r="M26" s="2094"/>
      <c r="P26" s="2097"/>
    </row>
    <row r="27" spans="1:17" ht="18" hidden="1" customHeight="1">
      <c r="A27" s="2094"/>
      <c r="B27" s="2463" t="s">
        <v>164</v>
      </c>
      <c r="C27" s="2660">
        <v>3915.28739326</v>
      </c>
      <c r="D27" s="2661">
        <v>1457.1160542799998</v>
      </c>
      <c r="E27" s="2661">
        <v>396.94642099999999</v>
      </c>
      <c r="F27" s="2661">
        <v>344.66183869999998</v>
      </c>
      <c r="G27" s="2661">
        <v>52.284582299999997</v>
      </c>
      <c r="H27" s="2661">
        <v>0</v>
      </c>
      <c r="I27" s="2661">
        <v>0</v>
      </c>
      <c r="J27" s="2661">
        <v>0</v>
      </c>
      <c r="K27" s="2661">
        <v>1975.9105339800001</v>
      </c>
      <c r="L27" s="2661">
        <v>85.314384000000004</v>
      </c>
      <c r="M27" s="2094"/>
    </row>
    <row r="28" spans="1:17" ht="18" hidden="1" customHeight="1">
      <c r="A28" s="2094"/>
      <c r="B28" s="2463" t="s">
        <v>165</v>
      </c>
      <c r="C28" s="2660">
        <v>4035.5385184299998</v>
      </c>
      <c r="D28" s="2661">
        <v>962.21127686000011</v>
      </c>
      <c r="E28" s="2661">
        <v>920.44944849000001</v>
      </c>
      <c r="F28" s="2661">
        <v>258.27403449999997</v>
      </c>
      <c r="G28" s="2661">
        <v>662.17541399000004</v>
      </c>
      <c r="H28" s="2661">
        <v>0</v>
      </c>
      <c r="I28" s="2661">
        <v>0</v>
      </c>
      <c r="J28" s="2661">
        <v>0</v>
      </c>
      <c r="K28" s="2661">
        <v>2067.5528530799997</v>
      </c>
      <c r="L28" s="2661">
        <v>85.324939999999998</v>
      </c>
      <c r="M28" s="2094"/>
    </row>
    <row r="29" spans="1:17" ht="18" hidden="1" customHeight="1">
      <c r="A29" s="2094"/>
      <c r="B29" s="2463" t="s">
        <v>166</v>
      </c>
      <c r="C29" s="2660">
        <v>3496.7096523299997</v>
      </c>
      <c r="D29" s="2661">
        <v>1007.91355981</v>
      </c>
      <c r="E29" s="2661">
        <v>306.91150892000002</v>
      </c>
      <c r="F29" s="2661">
        <v>217.83513233000002</v>
      </c>
      <c r="G29" s="2661">
        <v>89.076376589999995</v>
      </c>
      <c r="H29" s="2661">
        <v>0</v>
      </c>
      <c r="I29" s="2661">
        <v>0</v>
      </c>
      <c r="J29" s="2661">
        <v>0</v>
      </c>
      <c r="K29" s="2661">
        <v>2096.5701995999998</v>
      </c>
      <c r="L29" s="2661">
        <v>85.314384000000004</v>
      </c>
      <c r="M29" s="2094"/>
    </row>
    <row r="30" spans="1:17" ht="18" hidden="1" customHeight="1">
      <c r="A30" s="2094"/>
      <c r="B30" s="2463" t="s">
        <v>167</v>
      </c>
      <c r="C30" s="2660">
        <v>3967.0379180100003</v>
      </c>
      <c r="D30" s="2661">
        <v>1358.13771524</v>
      </c>
      <c r="E30" s="2661">
        <v>351.84577573000001</v>
      </c>
      <c r="F30" s="2661">
        <v>37.486788480000001</v>
      </c>
      <c r="G30" s="2661">
        <v>314.35898724999998</v>
      </c>
      <c r="H30" s="2661">
        <v>0</v>
      </c>
      <c r="I30" s="2661">
        <v>0</v>
      </c>
      <c r="J30" s="2661">
        <v>0</v>
      </c>
      <c r="K30" s="2661">
        <v>2171.72897104</v>
      </c>
      <c r="L30" s="2661">
        <v>85.325456000000003</v>
      </c>
      <c r="M30" s="2094"/>
    </row>
    <row r="31" spans="1:17" ht="18" hidden="1" customHeight="1">
      <c r="A31" s="2094"/>
      <c r="B31" s="2463" t="s">
        <v>168</v>
      </c>
      <c r="C31" s="2660">
        <v>4219.2458169399997</v>
      </c>
      <c r="D31" s="2661">
        <v>1205.95438442</v>
      </c>
      <c r="E31" s="2661">
        <v>455.48424396999997</v>
      </c>
      <c r="F31" s="2661">
        <v>394.97529930999997</v>
      </c>
      <c r="G31" s="2661">
        <v>60.508944659999997</v>
      </c>
      <c r="H31" s="2661">
        <v>199.005</v>
      </c>
      <c r="I31" s="2661">
        <v>0</v>
      </c>
      <c r="J31" s="2661">
        <v>0</v>
      </c>
      <c r="K31" s="2661">
        <v>2273.4773255499999</v>
      </c>
      <c r="L31" s="2661">
        <v>85.324862999999993</v>
      </c>
      <c r="M31" s="2094"/>
    </row>
    <row r="32" spans="1:17" ht="18" hidden="1" customHeight="1">
      <c r="A32" s="2094"/>
      <c r="B32" s="2463" t="s">
        <v>169</v>
      </c>
      <c r="C32" s="2660">
        <v>3632.4809062199997</v>
      </c>
      <c r="D32" s="2661">
        <v>1004.1438745899999</v>
      </c>
      <c r="E32" s="2661">
        <v>38.54458855</v>
      </c>
      <c r="F32" s="2661">
        <v>11.725311880000001</v>
      </c>
      <c r="G32" s="2661">
        <v>26.819276669999997</v>
      </c>
      <c r="H32" s="2661">
        <v>199.005</v>
      </c>
      <c r="I32" s="2661">
        <v>0</v>
      </c>
      <c r="J32" s="2661">
        <v>0</v>
      </c>
      <c r="K32" s="2661">
        <v>2305.47305908</v>
      </c>
      <c r="L32" s="2661">
        <v>85.314384000000004</v>
      </c>
      <c r="M32" s="2094"/>
    </row>
    <row r="33" spans="1:13" ht="18" hidden="1" customHeight="1">
      <c r="A33" s="2094"/>
      <c r="B33" s="2463" t="s">
        <v>170</v>
      </c>
      <c r="C33" s="2660">
        <v>4152.3360999099996</v>
      </c>
      <c r="D33" s="2661">
        <v>1301.2229077100001</v>
      </c>
      <c r="E33" s="2661">
        <v>384.45846095999991</v>
      </c>
      <c r="F33" s="2661">
        <v>307.41771190999992</v>
      </c>
      <c r="G33" s="2661">
        <v>77.040749050000002</v>
      </c>
      <c r="H33" s="2661">
        <v>0</v>
      </c>
      <c r="I33" s="2661">
        <v>0</v>
      </c>
      <c r="J33" s="2661">
        <v>0</v>
      </c>
      <c r="K33" s="2661">
        <v>2381.32986824</v>
      </c>
      <c r="L33" s="2661">
        <v>85.324862999999993</v>
      </c>
      <c r="M33" s="2094"/>
    </row>
    <row r="34" spans="1:13" ht="18" hidden="1" customHeight="1">
      <c r="A34" s="2094"/>
      <c r="B34" s="2463" t="s">
        <v>171</v>
      </c>
      <c r="C34" s="2660">
        <v>4650.4896097299998</v>
      </c>
      <c r="D34" s="2661">
        <v>1629.2804748399999</v>
      </c>
      <c r="E34" s="2661">
        <v>527.33352694999996</v>
      </c>
      <c r="F34" s="2661">
        <v>463.3044347</v>
      </c>
      <c r="G34" s="2661">
        <v>64.029092249999991</v>
      </c>
      <c r="H34" s="2661">
        <v>0</v>
      </c>
      <c r="I34" s="2661">
        <v>0</v>
      </c>
      <c r="J34" s="2661">
        <v>0</v>
      </c>
      <c r="K34" s="2661">
        <v>2408.5611839399999</v>
      </c>
      <c r="L34" s="2661">
        <v>85.314424000000002</v>
      </c>
      <c r="M34" s="2094"/>
    </row>
    <row r="35" spans="1:13" ht="18" hidden="1" customHeight="1">
      <c r="A35" s="2094"/>
      <c r="B35" s="2462">
        <v>2011</v>
      </c>
      <c r="C35" s="2660">
        <v>4548.7025713300009</v>
      </c>
      <c r="D35" s="2661">
        <v>1693.9781581900002</v>
      </c>
      <c r="E35" s="2661">
        <v>38.17494207</v>
      </c>
      <c r="F35" s="2661">
        <v>19.770547050000001</v>
      </c>
      <c r="G35" s="2661">
        <v>18.404395019999999</v>
      </c>
      <c r="H35" s="2661">
        <v>0</v>
      </c>
      <c r="I35" s="2661">
        <v>0</v>
      </c>
      <c r="J35" s="2661">
        <v>0</v>
      </c>
      <c r="K35" s="2661">
        <v>2781.4157040700002</v>
      </c>
      <c r="L35" s="2661">
        <v>35.133766999999999</v>
      </c>
      <c r="M35" s="2094"/>
    </row>
    <row r="36" spans="1:13" ht="18" hidden="1" customHeight="1">
      <c r="A36" s="2094"/>
      <c r="B36" s="2462">
        <v>2012</v>
      </c>
      <c r="C36" s="2660"/>
      <c r="D36" s="2661"/>
      <c r="E36" s="2661"/>
      <c r="F36" s="2661"/>
      <c r="G36" s="2661"/>
      <c r="H36" s="2661"/>
      <c r="I36" s="2661"/>
      <c r="J36" s="2661"/>
      <c r="K36" s="2661"/>
      <c r="L36" s="2661"/>
      <c r="M36" s="2094"/>
    </row>
    <row r="37" spans="1:13" ht="18" hidden="1" customHeight="1">
      <c r="A37" s="2094"/>
      <c r="B37" s="2463" t="s">
        <v>161</v>
      </c>
      <c r="C37" s="2660">
        <v>5411.3597409699996</v>
      </c>
      <c r="D37" s="2661">
        <v>2005.6012423500001</v>
      </c>
      <c r="E37" s="2661">
        <v>363.45006767999996</v>
      </c>
      <c r="F37" s="2661">
        <v>281.46826514999998</v>
      </c>
      <c r="G37" s="2661">
        <v>81.98180253000001</v>
      </c>
      <c r="H37" s="2661">
        <v>0</v>
      </c>
      <c r="I37" s="2661">
        <v>0</v>
      </c>
      <c r="J37" s="2661">
        <v>0</v>
      </c>
      <c r="K37" s="2661">
        <v>3042.3084309400001</v>
      </c>
      <c r="L37" s="2661">
        <v>0</v>
      </c>
      <c r="M37" s="2094"/>
    </row>
    <row r="38" spans="1:13" ht="18" hidden="1" customHeight="1">
      <c r="A38" s="2094"/>
      <c r="B38" s="2463" t="s">
        <v>162</v>
      </c>
      <c r="C38" s="2660">
        <v>4937.2129231500003</v>
      </c>
      <c r="D38" s="2661">
        <v>1534.2005009899999</v>
      </c>
      <c r="E38" s="2661">
        <v>276.22493762000005</v>
      </c>
      <c r="F38" s="2661">
        <v>46.776249079999999</v>
      </c>
      <c r="G38" s="2661">
        <v>229.44868854000003</v>
      </c>
      <c r="H38" s="2661">
        <v>0</v>
      </c>
      <c r="I38" s="2661">
        <v>0</v>
      </c>
      <c r="J38" s="2661">
        <v>0</v>
      </c>
      <c r="K38" s="2661">
        <v>3126.7874845400002</v>
      </c>
      <c r="L38" s="2661">
        <v>0</v>
      </c>
      <c r="M38" s="2094"/>
    </row>
    <row r="39" spans="1:13" ht="18" hidden="1" customHeight="1">
      <c r="A39" s="2094"/>
      <c r="B39" s="2463" t="s">
        <v>163</v>
      </c>
      <c r="C39" s="2660">
        <v>4380.9811514900002</v>
      </c>
      <c r="D39" s="2661">
        <v>953.03446845999997</v>
      </c>
      <c r="E39" s="2661">
        <v>206.9088156</v>
      </c>
      <c r="F39" s="2661">
        <v>105.07217568999999</v>
      </c>
      <c r="G39" s="2661">
        <v>101.83663991</v>
      </c>
      <c r="H39" s="2661">
        <v>0</v>
      </c>
      <c r="I39" s="2661">
        <v>0</v>
      </c>
      <c r="J39" s="2661">
        <v>0</v>
      </c>
      <c r="K39" s="2661">
        <v>3221.03786743</v>
      </c>
      <c r="L39" s="2661">
        <v>0</v>
      </c>
      <c r="M39" s="2094"/>
    </row>
    <row r="40" spans="1:13" ht="18" hidden="1" customHeight="1">
      <c r="A40" s="2094"/>
      <c r="B40" s="2463" t="s">
        <v>164</v>
      </c>
      <c r="C40" s="2660">
        <v>4215.5697988100001</v>
      </c>
      <c r="D40" s="2661">
        <v>855.44963284000005</v>
      </c>
      <c r="E40" s="2661">
        <v>90.211798369999997</v>
      </c>
      <c r="F40" s="2661">
        <v>2.8838703400000001</v>
      </c>
      <c r="G40" s="2661">
        <v>87.327928029999995</v>
      </c>
      <c r="H40" s="2661">
        <v>0</v>
      </c>
      <c r="I40" s="2661">
        <v>0</v>
      </c>
      <c r="J40" s="2661">
        <v>0</v>
      </c>
      <c r="K40" s="2661">
        <v>3269.9083676</v>
      </c>
      <c r="L40" s="2661">
        <v>0</v>
      </c>
      <c r="M40" s="2094"/>
    </row>
    <row r="41" spans="1:13" ht="18" hidden="1" customHeight="1">
      <c r="A41" s="2094"/>
      <c r="B41" s="2463" t="s">
        <v>165</v>
      </c>
      <c r="C41" s="2660">
        <v>4727.5102883999998</v>
      </c>
      <c r="D41" s="2661">
        <v>878.66679858999998</v>
      </c>
      <c r="E41" s="2661">
        <v>538.78654042999995</v>
      </c>
      <c r="F41" s="2661">
        <v>312.29132496999995</v>
      </c>
      <c r="G41" s="2661">
        <v>226.49521546</v>
      </c>
      <c r="H41" s="2661">
        <v>0</v>
      </c>
      <c r="I41" s="2661">
        <v>135.51522494</v>
      </c>
      <c r="J41" s="2661">
        <v>0</v>
      </c>
      <c r="K41" s="2661">
        <v>2938.0346634399998</v>
      </c>
      <c r="L41" s="2661">
        <v>236.50706099999999</v>
      </c>
      <c r="M41" s="2094"/>
    </row>
    <row r="42" spans="1:13" ht="18" hidden="1" customHeight="1">
      <c r="A42" s="2094"/>
      <c r="B42" s="2463" t="s">
        <v>166</v>
      </c>
      <c r="C42" s="2660">
        <v>4175.6635023800009</v>
      </c>
      <c r="D42" s="2661">
        <v>557.29525523000007</v>
      </c>
      <c r="E42" s="2661">
        <v>250.78851330000003</v>
      </c>
      <c r="F42" s="2661">
        <v>204.12038463000005</v>
      </c>
      <c r="G42" s="2661">
        <v>46.668128670000002</v>
      </c>
      <c r="H42" s="2661">
        <v>0</v>
      </c>
      <c r="I42" s="2661">
        <v>0</v>
      </c>
      <c r="J42" s="2661">
        <v>0</v>
      </c>
      <c r="K42" s="2661">
        <v>3131.1218578500002</v>
      </c>
      <c r="L42" s="2661">
        <v>236.457876</v>
      </c>
      <c r="M42" s="2094"/>
    </row>
    <row r="43" spans="1:13" ht="18" hidden="1" customHeight="1">
      <c r="A43" s="2094"/>
      <c r="B43" s="2463" t="s">
        <v>167</v>
      </c>
      <c r="C43" s="2660">
        <v>4366.3692871499998</v>
      </c>
      <c r="D43" s="2661">
        <v>695.84353911999995</v>
      </c>
      <c r="E43" s="2661">
        <v>186.47065125</v>
      </c>
      <c r="F43" s="2661">
        <v>95.821686130000003</v>
      </c>
      <c r="G43" s="2661">
        <v>90.648965120000014</v>
      </c>
      <c r="H43" s="2661">
        <v>0</v>
      </c>
      <c r="I43" s="2661">
        <v>0</v>
      </c>
      <c r="J43" s="2661">
        <v>0</v>
      </c>
      <c r="K43" s="2661">
        <v>3247.4520537799999</v>
      </c>
      <c r="L43" s="2661">
        <v>236.60304300000001</v>
      </c>
      <c r="M43" s="2094"/>
    </row>
    <row r="44" spans="1:13" ht="18" hidden="1" customHeight="1">
      <c r="A44" s="2094"/>
      <c r="B44" s="2463" t="s">
        <v>168</v>
      </c>
      <c r="C44" s="2660">
        <v>4351.7884410699999</v>
      </c>
      <c r="D44" s="2661">
        <v>492.24658581</v>
      </c>
      <c r="E44" s="2661">
        <v>326.15150404000002</v>
      </c>
      <c r="F44" s="2661">
        <v>233.78382503</v>
      </c>
      <c r="G44" s="2661">
        <v>92.367679010000003</v>
      </c>
      <c r="H44" s="2661">
        <v>0</v>
      </c>
      <c r="I44" s="2661">
        <v>0</v>
      </c>
      <c r="J44" s="2661">
        <v>0</v>
      </c>
      <c r="K44" s="2661">
        <v>3296.7564812199998</v>
      </c>
      <c r="L44" s="2661">
        <v>236.63387</v>
      </c>
      <c r="M44" s="2094"/>
    </row>
    <row r="45" spans="1:13" ht="18" hidden="1" customHeight="1">
      <c r="A45" s="2094"/>
      <c r="B45" s="2463" t="s">
        <v>169</v>
      </c>
      <c r="C45" s="2660">
        <v>4839.2259150400005</v>
      </c>
      <c r="D45" s="2661">
        <v>393.98626883000003</v>
      </c>
      <c r="E45" s="2661">
        <v>871.19858835000002</v>
      </c>
      <c r="F45" s="2661">
        <v>786.67041261999998</v>
      </c>
      <c r="G45" s="2661">
        <v>84.528175730000001</v>
      </c>
      <c r="H45" s="2661">
        <v>0</v>
      </c>
      <c r="I45" s="2661">
        <v>0</v>
      </c>
      <c r="J45" s="2661">
        <v>0</v>
      </c>
      <c r="K45" s="2661">
        <v>3337.4598938600002</v>
      </c>
      <c r="L45" s="2661">
        <v>236.581164</v>
      </c>
      <c r="M45" s="2094"/>
    </row>
    <row r="46" spans="1:13" ht="18" hidden="1" customHeight="1">
      <c r="A46" s="2094"/>
      <c r="B46" s="2463" t="s">
        <v>170</v>
      </c>
      <c r="C46" s="2660">
        <v>4524.1699931899993</v>
      </c>
      <c r="D46" s="2661">
        <v>567.79865989000007</v>
      </c>
      <c r="E46" s="2661">
        <v>226.66971912000002</v>
      </c>
      <c r="F46" s="2661">
        <v>145.98893240000001</v>
      </c>
      <c r="G46" s="2661">
        <v>80.68078672</v>
      </c>
      <c r="H46" s="2661">
        <v>149.75880000000001</v>
      </c>
      <c r="I46" s="2661">
        <v>18.105796329999997</v>
      </c>
      <c r="J46" s="2661">
        <v>137.17556894000001</v>
      </c>
      <c r="K46" s="2661">
        <v>3238.3142229099994</v>
      </c>
      <c r="L46" s="2661">
        <v>186.34722600000001</v>
      </c>
      <c r="M46" s="2094"/>
    </row>
    <row r="47" spans="1:13" ht="18" hidden="1" customHeight="1">
      <c r="A47" s="2094"/>
      <c r="B47" s="2463" t="s">
        <v>171</v>
      </c>
      <c r="C47" s="2660">
        <v>4573.3175687200001</v>
      </c>
      <c r="D47" s="2661">
        <v>885.18033046999994</v>
      </c>
      <c r="E47" s="2661">
        <v>115.6490489</v>
      </c>
      <c r="F47" s="2661">
        <v>28.182384770000002</v>
      </c>
      <c r="G47" s="2661">
        <v>87.466664129999998</v>
      </c>
      <c r="H47" s="2661">
        <v>0</v>
      </c>
      <c r="I47" s="2661">
        <v>0</v>
      </c>
      <c r="J47" s="2661">
        <v>0</v>
      </c>
      <c r="K47" s="2661">
        <v>3386.1841023500001</v>
      </c>
      <c r="L47" s="2661">
        <v>186.30408700000001</v>
      </c>
      <c r="M47" s="2094"/>
    </row>
    <row r="48" spans="1:13" ht="18" customHeight="1">
      <c r="A48" s="2094"/>
      <c r="B48" s="2462">
        <v>2012</v>
      </c>
      <c r="C48" s="2662">
        <v>5534.9403842399997</v>
      </c>
      <c r="D48" s="2663">
        <v>1317.87030815</v>
      </c>
      <c r="E48" s="2663">
        <v>550.66495544999998</v>
      </c>
      <c r="F48" s="2663">
        <v>477.52693307999999</v>
      </c>
      <c r="G48" s="2663">
        <v>73.138022370000002</v>
      </c>
      <c r="H48" s="2663">
        <v>90.643818440000004</v>
      </c>
      <c r="I48" s="2663">
        <v>0</v>
      </c>
      <c r="J48" s="2663">
        <v>0</v>
      </c>
      <c r="K48" s="2663">
        <v>3389.4140761999997</v>
      </c>
      <c r="L48" s="2663">
        <v>186.34722600000001</v>
      </c>
      <c r="M48" s="2094"/>
    </row>
    <row r="49" spans="1:13" ht="18" customHeight="1">
      <c r="A49" s="2094"/>
      <c r="B49" s="2465">
        <v>2013</v>
      </c>
      <c r="C49" s="2662"/>
      <c r="D49" s="2663"/>
      <c r="E49" s="2663"/>
      <c r="F49" s="2663"/>
      <c r="G49" s="2663"/>
      <c r="H49" s="2663"/>
      <c r="I49" s="2663"/>
      <c r="J49" s="2663"/>
      <c r="K49" s="2663"/>
      <c r="L49" s="2663"/>
      <c r="M49" s="2094"/>
    </row>
    <row r="50" spans="1:13" ht="18" customHeight="1">
      <c r="A50" s="2094"/>
      <c r="B50" s="2464" t="s">
        <v>161</v>
      </c>
      <c r="C50" s="2662">
        <v>5387.7149235000006</v>
      </c>
      <c r="D50" s="2663">
        <v>1215.4193596800001</v>
      </c>
      <c r="E50" s="2663">
        <v>552.02839879999999</v>
      </c>
      <c r="F50" s="2663">
        <v>478.13433307999998</v>
      </c>
      <c r="G50" s="2663">
        <v>73.89406572</v>
      </c>
      <c r="H50" s="2663">
        <v>47.380904999999998</v>
      </c>
      <c r="I50" s="2663">
        <v>0</v>
      </c>
      <c r="J50" s="2663">
        <v>0</v>
      </c>
      <c r="K50" s="2663">
        <v>3386.5380750200002</v>
      </c>
      <c r="L50" s="2663">
        <v>186.348185</v>
      </c>
      <c r="M50" s="2094"/>
    </row>
    <row r="51" spans="1:13" ht="18" customHeight="1">
      <c r="A51" s="2094"/>
      <c r="B51" s="2464" t="s">
        <v>162</v>
      </c>
      <c r="C51" s="2662">
        <v>4729.1710940100002</v>
      </c>
      <c r="D51" s="2663">
        <v>746.88068659999999</v>
      </c>
      <c r="E51" s="2663">
        <v>339.21456720999998</v>
      </c>
      <c r="F51" s="2663">
        <v>100.80024422999999</v>
      </c>
      <c r="G51" s="2663">
        <v>238.41432298000001</v>
      </c>
      <c r="H51" s="2663">
        <v>47.380904999999998</v>
      </c>
      <c r="I51" s="2663">
        <v>0</v>
      </c>
      <c r="J51" s="2663">
        <v>0</v>
      </c>
      <c r="K51" s="2663">
        <v>3360.4264451999998</v>
      </c>
      <c r="L51" s="2663">
        <v>235.26849000000001</v>
      </c>
      <c r="M51" s="2094"/>
    </row>
    <row r="52" spans="1:13" ht="18" customHeight="1">
      <c r="A52" s="2094"/>
      <c r="B52" s="2464" t="s">
        <v>163</v>
      </c>
      <c r="C52" s="2662">
        <v>4717.2155527200002</v>
      </c>
      <c r="D52" s="2663">
        <v>321.60610922999996</v>
      </c>
      <c r="E52" s="2663">
        <v>733.84573696000007</v>
      </c>
      <c r="F52" s="2663">
        <v>611.88604639000005</v>
      </c>
      <c r="G52" s="2663">
        <v>121.95969056999999</v>
      </c>
      <c r="H52" s="2663">
        <v>0</v>
      </c>
      <c r="I52" s="2663">
        <v>0</v>
      </c>
      <c r="J52" s="2663">
        <v>0</v>
      </c>
      <c r="K52" s="2663">
        <v>3626.4664465300002</v>
      </c>
      <c r="L52" s="2663">
        <v>35.297260000000001</v>
      </c>
      <c r="M52" s="2094"/>
    </row>
    <row r="53" spans="1:13" ht="18" customHeight="1">
      <c r="A53" s="2094"/>
      <c r="B53" s="2464" t="s">
        <v>164</v>
      </c>
      <c r="C53" s="2662">
        <v>4547.10004802</v>
      </c>
      <c r="D53" s="2663">
        <v>710.68659484</v>
      </c>
      <c r="E53" s="2663">
        <v>162.34741080999999</v>
      </c>
      <c r="F53" s="2663">
        <v>44.960223540000001</v>
      </c>
      <c r="G53" s="2663">
        <v>117.38718727</v>
      </c>
      <c r="H53" s="2663">
        <v>0</v>
      </c>
      <c r="I53" s="2663">
        <v>0</v>
      </c>
      <c r="J53" s="2663">
        <v>0</v>
      </c>
      <c r="K53" s="2663">
        <v>3638.7783713700001</v>
      </c>
      <c r="L53" s="2663">
        <v>35.287671000000003</v>
      </c>
      <c r="M53" s="2094"/>
    </row>
    <row r="54" spans="1:13" ht="18" customHeight="1">
      <c r="A54" s="2094"/>
      <c r="B54" s="2464" t="s">
        <v>165</v>
      </c>
      <c r="C54" s="2662">
        <v>5502.5016602900005</v>
      </c>
      <c r="D54" s="2663">
        <v>694.74305641000001</v>
      </c>
      <c r="E54" s="2663">
        <v>1095.1683593800001</v>
      </c>
      <c r="F54" s="2663">
        <v>158.66379556999999</v>
      </c>
      <c r="G54" s="2663">
        <v>936.50456381000004</v>
      </c>
      <c r="H54" s="2663">
        <v>0</v>
      </c>
      <c r="I54" s="2663">
        <v>0</v>
      </c>
      <c r="J54" s="2663">
        <v>0</v>
      </c>
      <c r="K54" s="2663">
        <v>3677.5902445000002</v>
      </c>
      <c r="L54" s="2663">
        <v>35</v>
      </c>
      <c r="M54" s="2094"/>
    </row>
    <row r="55" spans="1:13" ht="18" customHeight="1">
      <c r="A55" s="2094"/>
      <c r="B55" s="2771" t="s">
        <v>166</v>
      </c>
      <c r="C55" s="2772">
        <v>5479.0311672400012</v>
      </c>
      <c r="D55" s="2773">
        <v>1406.5130575300002</v>
      </c>
      <c r="E55" s="2773">
        <v>379.62773888000004</v>
      </c>
      <c r="F55" s="2773">
        <v>245.88167404000004</v>
      </c>
      <c r="G55" s="2773">
        <v>133.74606484</v>
      </c>
      <c r="H55" s="2773">
        <v>0</v>
      </c>
      <c r="I55" s="2773">
        <v>0</v>
      </c>
      <c r="J55" s="2773">
        <v>0</v>
      </c>
      <c r="K55" s="2773">
        <v>3472.6112838300005</v>
      </c>
      <c r="L55" s="2773">
        <v>220.279087</v>
      </c>
      <c r="M55" s="2094"/>
    </row>
    <row r="56" spans="1:13" ht="18" customHeight="1">
      <c r="A56" s="2094"/>
      <c r="B56" s="2771" t="s">
        <v>167</v>
      </c>
      <c r="C56" s="2772">
        <v>4985.2344821500001</v>
      </c>
      <c r="D56" s="2773">
        <v>827.10402333000002</v>
      </c>
      <c r="E56" s="2773">
        <v>265.53476398999999</v>
      </c>
      <c r="F56" s="2773">
        <v>144.24674295</v>
      </c>
      <c r="G56" s="2773">
        <v>121.28802103999999</v>
      </c>
      <c r="H56" s="2773">
        <v>169.17609125000001</v>
      </c>
      <c r="I56" s="2773">
        <v>0</v>
      </c>
      <c r="J56" s="2773">
        <v>0</v>
      </c>
      <c r="K56" s="2773">
        <v>3503.0762585799998</v>
      </c>
      <c r="L56" s="2773">
        <v>220.343345</v>
      </c>
      <c r="M56" s="2094"/>
    </row>
    <row r="57" spans="1:13" ht="18" customHeight="1">
      <c r="A57" s="2094"/>
      <c r="B57" s="2771" t="s">
        <v>168</v>
      </c>
      <c r="C57" s="2772">
        <v>5177.1361338300003</v>
      </c>
      <c r="D57" s="2773">
        <v>1046.72365894</v>
      </c>
      <c r="E57" s="2773">
        <v>209.87941501</v>
      </c>
      <c r="F57" s="2773">
        <v>95.827184959999997</v>
      </c>
      <c r="G57" s="2773">
        <v>114.05223004999999</v>
      </c>
      <c r="H57" s="2773">
        <v>169.17609125000001</v>
      </c>
      <c r="I57" s="2773">
        <v>0</v>
      </c>
      <c r="J57" s="2773">
        <v>0</v>
      </c>
      <c r="K57" s="2773">
        <v>3533.02366863</v>
      </c>
      <c r="L57" s="2773">
        <v>218.33330000000001</v>
      </c>
      <c r="M57" s="2094"/>
    </row>
    <row r="58" spans="1:13" ht="18" customHeight="1">
      <c r="A58" s="2094"/>
      <c r="B58" s="2771" t="s">
        <v>169</v>
      </c>
      <c r="C58" s="2772">
        <v>6665.2320008500001</v>
      </c>
      <c r="D58" s="2773">
        <v>2479.1674398900004</v>
      </c>
      <c r="E58" s="2773">
        <v>277.56461672</v>
      </c>
      <c r="F58" s="2773">
        <v>179.28740464000003</v>
      </c>
      <c r="G58" s="2773">
        <v>98.277212079999998</v>
      </c>
      <c r="H58" s="2773">
        <v>169.17609125000001</v>
      </c>
      <c r="I58" s="2773">
        <v>145.87937624</v>
      </c>
      <c r="J58" s="2773">
        <v>0</v>
      </c>
      <c r="K58" s="2773">
        <v>3389.9692597499998</v>
      </c>
      <c r="L58" s="2773">
        <v>203.47521699999999</v>
      </c>
      <c r="M58" s="2094"/>
    </row>
    <row r="59" spans="1:13" ht="18" customHeight="1">
      <c r="A59" s="2094"/>
      <c r="B59" s="2771" t="s">
        <v>170</v>
      </c>
      <c r="C59" s="2772">
        <v>7262.8466266400001</v>
      </c>
      <c r="D59" s="2773">
        <v>2967.5610389799999</v>
      </c>
      <c r="E59" s="2773">
        <v>179.80264216</v>
      </c>
      <c r="F59" s="2773">
        <v>79.73548534999999</v>
      </c>
      <c r="G59" s="2773">
        <v>100.06715681</v>
      </c>
      <c r="H59" s="2773">
        <v>397.5</v>
      </c>
      <c r="I59" s="2773">
        <v>0</v>
      </c>
      <c r="J59" s="2773">
        <v>0</v>
      </c>
      <c r="K59" s="2773">
        <v>3516.3163455000004</v>
      </c>
      <c r="L59" s="2773">
        <v>201.66659999999999</v>
      </c>
      <c r="M59" s="2094"/>
    </row>
    <row r="60" spans="1:13" ht="18" customHeight="1">
      <c r="A60" s="2094"/>
      <c r="B60" s="2771" t="s">
        <v>171</v>
      </c>
      <c r="C60" s="2772">
        <v>7948.8928114600003</v>
      </c>
      <c r="D60" s="2773">
        <v>3564.4808680800002</v>
      </c>
      <c r="E60" s="2773">
        <v>225.74559982</v>
      </c>
      <c r="F60" s="2773">
        <v>79.279448020000004</v>
      </c>
      <c r="G60" s="2773">
        <v>146.46615180000001</v>
      </c>
      <c r="H60" s="2773">
        <v>397.5</v>
      </c>
      <c r="I60" s="2773">
        <v>0</v>
      </c>
      <c r="J60" s="2773">
        <v>0</v>
      </c>
      <c r="K60" s="2773">
        <v>3557.7033105599999</v>
      </c>
      <c r="L60" s="2773">
        <v>203.463033</v>
      </c>
      <c r="M60" s="2094"/>
    </row>
    <row r="61" spans="1:13" ht="18" customHeight="1">
      <c r="A61" s="2094"/>
      <c r="B61" s="2771" t="s">
        <v>148</v>
      </c>
      <c r="C61" s="2772">
        <v>5638.9597367800006</v>
      </c>
      <c r="D61" s="2773">
        <v>1381.60922968</v>
      </c>
      <c r="E61" s="2773">
        <v>325.09952851999998</v>
      </c>
      <c r="F61" s="2773">
        <v>50.985734919999992</v>
      </c>
      <c r="G61" s="2773">
        <v>274.11379360000001</v>
      </c>
      <c r="H61" s="2773">
        <v>198.5</v>
      </c>
      <c r="I61" s="2773">
        <v>0</v>
      </c>
      <c r="J61" s="2773">
        <v>0</v>
      </c>
      <c r="K61" s="2773">
        <v>3547.0336605800003</v>
      </c>
      <c r="L61" s="2773">
        <v>186.71731800000001</v>
      </c>
      <c r="M61" s="2094"/>
    </row>
    <row r="62" spans="1:13" ht="18" customHeight="1">
      <c r="A62" s="2094"/>
      <c r="B62" s="2921">
        <v>2014</v>
      </c>
      <c r="C62" s="2772"/>
      <c r="D62" s="2773"/>
      <c r="E62" s="2773"/>
      <c r="F62" s="2773"/>
      <c r="G62" s="2773"/>
      <c r="H62" s="2773"/>
      <c r="I62" s="2773"/>
      <c r="J62" s="2773"/>
      <c r="K62" s="2773"/>
      <c r="L62" s="2773"/>
      <c r="M62" s="2094"/>
    </row>
    <row r="63" spans="1:13" ht="18" customHeight="1">
      <c r="A63" s="2094"/>
      <c r="B63" s="2771" t="s">
        <v>161</v>
      </c>
      <c r="C63" s="2772">
        <v>5926.3066415900012</v>
      </c>
      <c r="D63" s="2773">
        <v>1629.49066124</v>
      </c>
      <c r="E63" s="2773">
        <v>420.14936586000005</v>
      </c>
      <c r="F63" s="2773">
        <v>151.71745927000001</v>
      </c>
      <c r="G63" s="2773">
        <v>268.43190659000004</v>
      </c>
      <c r="H63" s="2773">
        <v>0</v>
      </c>
      <c r="I63" s="2773">
        <v>0</v>
      </c>
      <c r="J63" s="2773">
        <v>0</v>
      </c>
      <c r="K63" s="2773">
        <v>3689.9666584900001</v>
      </c>
      <c r="L63" s="2773">
        <v>186.69995599999999</v>
      </c>
      <c r="M63" s="2094"/>
    </row>
    <row r="64" spans="1:13" ht="18" customHeight="1">
      <c r="A64" s="2094"/>
      <c r="B64" s="2771" t="s">
        <v>162</v>
      </c>
      <c r="C64" s="2772">
        <v>6916.4308972199997</v>
      </c>
      <c r="D64" s="2773">
        <v>2523.6334487099998</v>
      </c>
      <c r="E64" s="2773">
        <v>511.40138223000002</v>
      </c>
      <c r="F64" s="2773">
        <v>74.524746950000008</v>
      </c>
      <c r="G64" s="2773">
        <v>436.87663528000002</v>
      </c>
      <c r="H64" s="2773">
        <v>0</v>
      </c>
      <c r="I64" s="2773">
        <v>0</v>
      </c>
      <c r="J64" s="2773">
        <v>0</v>
      </c>
      <c r="K64" s="2773">
        <v>3694.8619202799996</v>
      </c>
      <c r="L64" s="2773">
        <v>186.53414599999999</v>
      </c>
      <c r="M64" s="2094"/>
    </row>
    <row r="65" spans="1:13" ht="18" customHeight="1">
      <c r="A65" s="2094"/>
      <c r="B65" s="2771" t="s">
        <v>163</v>
      </c>
      <c r="C65" s="2772">
        <v>6529.8720175100016</v>
      </c>
      <c r="D65" s="2773">
        <v>1461.6194810800002</v>
      </c>
      <c r="E65" s="2773">
        <v>724.69289299000002</v>
      </c>
      <c r="F65" s="2773">
        <v>23.821610500000002</v>
      </c>
      <c r="G65" s="2773">
        <v>700.87128249</v>
      </c>
      <c r="H65" s="2773">
        <v>498.125</v>
      </c>
      <c r="I65" s="2773">
        <v>0</v>
      </c>
      <c r="J65" s="2773">
        <v>191.71312466000001</v>
      </c>
      <c r="K65" s="2773">
        <v>3483.6982927800004</v>
      </c>
      <c r="L65" s="2773">
        <v>170.02322599999999</v>
      </c>
      <c r="M65" s="2094"/>
    </row>
    <row r="66" spans="1:13" ht="18" customHeight="1">
      <c r="A66" s="2094"/>
      <c r="B66" s="2771" t="s">
        <v>164</v>
      </c>
      <c r="C66" s="2772">
        <v>5859.863633169999</v>
      </c>
      <c r="D66" s="2773">
        <v>1416.1322924699998</v>
      </c>
      <c r="E66" s="2773">
        <v>304.75532010000001</v>
      </c>
      <c r="F66" s="2773">
        <v>104.48718203</v>
      </c>
      <c r="G66" s="2773">
        <v>200.26813806999999</v>
      </c>
      <c r="H66" s="2773">
        <v>498.125</v>
      </c>
      <c r="I66" s="2773">
        <v>0</v>
      </c>
      <c r="J66" s="2773">
        <v>192.49952162</v>
      </c>
      <c r="K66" s="2773">
        <v>3278.5151409800001</v>
      </c>
      <c r="L66" s="2773">
        <v>169.83635799999999</v>
      </c>
      <c r="M66" s="2094"/>
    </row>
    <row r="67" spans="1:13" ht="18" customHeight="1">
      <c r="A67" s="2094"/>
      <c r="B67" s="2771" t="s">
        <v>165</v>
      </c>
      <c r="C67" s="2772">
        <v>6262.6202283499997</v>
      </c>
      <c r="D67" s="2773">
        <v>1745.5652479</v>
      </c>
      <c r="E67" s="2773">
        <v>371.66945038000006</v>
      </c>
      <c r="F67" s="2773">
        <v>168.83222152000002</v>
      </c>
      <c r="G67" s="2773">
        <v>202.83722886000001</v>
      </c>
      <c r="H67" s="2773">
        <v>498.125</v>
      </c>
      <c r="I67" s="2773">
        <v>0</v>
      </c>
      <c r="J67" s="2773">
        <v>0</v>
      </c>
      <c r="K67" s="2773">
        <v>3512.6816690699998</v>
      </c>
      <c r="L67" s="2773">
        <v>134.57886099999999</v>
      </c>
      <c r="M67" s="2094"/>
    </row>
    <row r="68" spans="1:13" ht="18" customHeight="1">
      <c r="A68" s="2094"/>
      <c r="B68" s="2771" t="s">
        <v>166</v>
      </c>
      <c r="C68" s="2772">
        <v>6064.0085116800001</v>
      </c>
      <c r="D68" s="2773">
        <v>2101.9402076700003</v>
      </c>
      <c r="E68" s="2773">
        <v>246.57738702</v>
      </c>
      <c r="F68" s="2773">
        <v>55.717728210000004</v>
      </c>
      <c r="G68" s="2773">
        <v>190.85965881000001</v>
      </c>
      <c r="H68" s="2773">
        <v>0</v>
      </c>
      <c r="I68" s="2773">
        <v>143.46656321</v>
      </c>
      <c r="J68" s="2773">
        <v>51.643910460000001</v>
      </c>
      <c r="K68" s="2773">
        <v>3384.55676232</v>
      </c>
      <c r="L68" s="2773">
        <v>135.82368099999999</v>
      </c>
      <c r="M68" s="2094"/>
    </row>
    <row r="69" spans="1:13" ht="18" customHeight="1">
      <c r="A69" s="2094"/>
      <c r="B69" s="2771" t="s">
        <v>167</v>
      </c>
      <c r="C69" s="2772">
        <v>5992.0485573400001</v>
      </c>
      <c r="D69" s="2773">
        <v>1949.6013795100002</v>
      </c>
      <c r="E69" s="2773">
        <v>336.36558011</v>
      </c>
      <c r="F69" s="2773">
        <v>135.33197715</v>
      </c>
      <c r="G69" s="2773">
        <v>201.03360296</v>
      </c>
      <c r="H69" s="2773">
        <v>0</v>
      </c>
      <c r="I69" s="2773">
        <v>137.64680726</v>
      </c>
      <c r="J69" s="2773">
        <v>55.158099360000001</v>
      </c>
      <c r="K69" s="2773">
        <v>3395.5135841000001</v>
      </c>
      <c r="L69" s="2773">
        <v>117.76310700000001</v>
      </c>
      <c r="M69" s="2094"/>
    </row>
    <row r="70" spans="1:13" ht="18" customHeight="1">
      <c r="A70" s="2094"/>
      <c r="B70" s="2771" t="s">
        <v>168</v>
      </c>
      <c r="C70" s="2772">
        <v>7487.1489767900002</v>
      </c>
      <c r="D70" s="2773">
        <v>3447.4810835600001</v>
      </c>
      <c r="E70" s="2773">
        <v>322.74427717999998</v>
      </c>
      <c r="F70" s="2773">
        <v>135.635537</v>
      </c>
      <c r="G70" s="2773">
        <v>187.10874017999998</v>
      </c>
      <c r="H70" s="2773">
        <v>0</v>
      </c>
      <c r="I70" s="2773">
        <v>138.79693326</v>
      </c>
      <c r="J70" s="2773">
        <v>52.364695829999995</v>
      </c>
      <c r="K70" s="2773">
        <v>3408.0055339599999</v>
      </c>
      <c r="L70" s="2773">
        <v>117.75645299999999</v>
      </c>
      <c r="M70" s="2094"/>
    </row>
    <row r="71" spans="1:13" ht="18" customHeight="1">
      <c r="A71" s="2094"/>
      <c r="B71" s="2771" t="s">
        <v>169</v>
      </c>
      <c r="C71" s="2772">
        <v>6741.4341404999996</v>
      </c>
      <c r="D71" s="2773">
        <v>2397.98733137</v>
      </c>
      <c r="E71" s="2773">
        <v>634.19586886000002</v>
      </c>
      <c r="F71" s="2773">
        <v>84.030417169999993</v>
      </c>
      <c r="G71" s="2773">
        <v>550.16545169000005</v>
      </c>
      <c r="H71" s="2773">
        <v>0</v>
      </c>
      <c r="I71" s="2773">
        <v>132.97103332</v>
      </c>
      <c r="J71" s="2773">
        <v>53.594633330000001</v>
      </c>
      <c r="K71" s="2773">
        <v>3404.9416946200004</v>
      </c>
      <c r="L71" s="2773">
        <v>117.743579</v>
      </c>
      <c r="M71" s="2094"/>
    </row>
    <row r="72" spans="1:13" ht="18" customHeight="1">
      <c r="A72" s="2094"/>
      <c r="B72" s="2771" t="s">
        <v>170</v>
      </c>
      <c r="C72" s="2772">
        <v>6563.75626087</v>
      </c>
      <c r="D72" s="2773">
        <v>2170.0361256400001</v>
      </c>
      <c r="E72" s="2773">
        <v>707.15056616000004</v>
      </c>
      <c r="F72" s="2773">
        <v>244.66393217999999</v>
      </c>
      <c r="G72" s="2773">
        <v>462.48663398000002</v>
      </c>
      <c r="H72" s="2773">
        <v>0</v>
      </c>
      <c r="I72" s="2773">
        <v>134.08333532</v>
      </c>
      <c r="J72" s="2773">
        <v>51.72208174</v>
      </c>
      <c r="K72" s="2773">
        <v>3399.8298350099999</v>
      </c>
      <c r="L72" s="2773">
        <v>100.93431699999999</v>
      </c>
      <c r="M72" s="2094"/>
    </row>
    <row r="73" spans="1:13" ht="18" customHeight="1">
      <c r="A73" s="2094"/>
      <c r="B73" s="2771" t="s">
        <v>171</v>
      </c>
      <c r="C73" s="2772">
        <v>6828.8799379199991</v>
      </c>
      <c r="D73" s="2773">
        <v>2258.9761541499997</v>
      </c>
      <c r="E73" s="2773">
        <v>756.90088657000001</v>
      </c>
      <c r="F73" s="2773">
        <v>305.18772499000005</v>
      </c>
      <c r="G73" s="2773">
        <v>451.71316157999996</v>
      </c>
      <c r="H73" s="2773">
        <v>0</v>
      </c>
      <c r="I73" s="2773">
        <v>135.16861331999999</v>
      </c>
      <c r="J73" s="2773">
        <v>51.235501970000001</v>
      </c>
      <c r="K73" s="2773">
        <v>3525.6943109099998</v>
      </c>
      <c r="L73" s="2773">
        <v>100.904471</v>
      </c>
      <c r="M73" s="2094"/>
    </row>
    <row r="74" spans="1:13" ht="18" customHeight="1">
      <c r="A74" s="2094"/>
      <c r="B74" s="2771" t="s">
        <v>148</v>
      </c>
      <c r="C74" s="2772">
        <v>6545.14179057</v>
      </c>
      <c r="D74" s="2773">
        <v>2049.8662171199999</v>
      </c>
      <c r="E74" s="2773">
        <v>579.10040628000002</v>
      </c>
      <c r="F74" s="2773">
        <v>276.07842238000001</v>
      </c>
      <c r="G74" s="2773">
        <v>303.02198390000001</v>
      </c>
      <c r="H74" s="2773">
        <v>0</v>
      </c>
      <c r="I74" s="2773">
        <v>129.44422255000001</v>
      </c>
      <c r="J74" s="2773">
        <v>46.42108794</v>
      </c>
      <c r="K74" s="2773">
        <v>3639.3523086800005</v>
      </c>
      <c r="L74" s="2773">
        <v>100.957548</v>
      </c>
      <c r="M74" s="2094"/>
    </row>
    <row r="75" spans="1:13" ht="18" customHeight="1">
      <c r="A75" s="2094"/>
      <c r="B75" s="2921">
        <v>2015</v>
      </c>
      <c r="C75" s="2772"/>
      <c r="D75" s="2773"/>
      <c r="E75" s="2773"/>
      <c r="F75" s="2773"/>
      <c r="G75" s="2773"/>
      <c r="H75" s="2773"/>
      <c r="I75" s="2773"/>
      <c r="J75" s="2773"/>
      <c r="K75" s="2773"/>
      <c r="L75" s="2773"/>
      <c r="M75" s="2094"/>
    </row>
    <row r="76" spans="1:13" ht="18" customHeight="1">
      <c r="A76" s="2094"/>
      <c r="B76" s="2771" t="s">
        <v>161</v>
      </c>
      <c r="C76" s="2772">
        <v>6443.3776201999999</v>
      </c>
      <c r="D76" s="2773">
        <v>2141.1268524299999</v>
      </c>
      <c r="E76" s="2773">
        <v>369.64709905999996</v>
      </c>
      <c r="F76" s="2773">
        <v>158.54323107999997</v>
      </c>
      <c r="G76" s="2773">
        <v>211.10386797999999</v>
      </c>
      <c r="H76" s="2773">
        <v>0</v>
      </c>
      <c r="I76" s="2773">
        <v>130.46921854999999</v>
      </c>
      <c r="J76" s="2773">
        <v>44.774232600000005</v>
      </c>
      <c r="K76" s="2773">
        <v>3673.2370195600001</v>
      </c>
      <c r="L76" s="2773">
        <v>84.123198000000002</v>
      </c>
      <c r="M76" s="2094"/>
    </row>
    <row r="77" spans="1:13" ht="18" customHeight="1">
      <c r="A77" s="2094"/>
      <c r="B77" s="2771" t="s">
        <v>162</v>
      </c>
      <c r="C77" s="2772">
        <v>6666.9484769199998</v>
      </c>
      <c r="D77" s="2773">
        <v>2354.6616580099999</v>
      </c>
      <c r="E77" s="2773">
        <v>370.69644894999999</v>
      </c>
      <c r="F77" s="2773">
        <v>185.98562945</v>
      </c>
      <c r="G77" s="2773">
        <v>184.71081950000001</v>
      </c>
      <c r="H77" s="2773">
        <v>0</v>
      </c>
      <c r="I77" s="2773">
        <v>131.45442055000001</v>
      </c>
      <c r="J77" s="2773">
        <v>46.096965070000003</v>
      </c>
      <c r="K77" s="2773">
        <v>3679.2059243400004</v>
      </c>
      <c r="L77" s="2773">
        <v>84.833060000000003</v>
      </c>
      <c r="M77" s="2094"/>
    </row>
    <row r="78" spans="1:13" ht="18" customHeight="1">
      <c r="A78" s="2094"/>
      <c r="B78" s="2771" t="s">
        <v>163</v>
      </c>
      <c r="C78" s="2772">
        <v>6523.3099338500006</v>
      </c>
      <c r="D78" s="2773">
        <v>1971.24814395</v>
      </c>
      <c r="E78" s="2773">
        <v>592.7923002</v>
      </c>
      <c r="F78" s="2773">
        <v>401.24554604000002</v>
      </c>
      <c r="G78" s="2773">
        <v>191.54675416000001</v>
      </c>
      <c r="H78" s="2773">
        <v>0</v>
      </c>
      <c r="I78" s="2773">
        <v>125.8599392</v>
      </c>
      <c r="J78" s="2773">
        <v>60.504292360000001</v>
      </c>
      <c r="K78" s="2773">
        <v>3688.76653214</v>
      </c>
      <c r="L78" s="2773">
        <v>84.138726000000005</v>
      </c>
      <c r="M78" s="2094"/>
    </row>
    <row r="79" spans="1:13" ht="18" customHeight="1">
      <c r="A79" s="2094"/>
      <c r="B79" s="2771" t="s">
        <v>164</v>
      </c>
      <c r="C79" s="2772">
        <v>6394.4022379799999</v>
      </c>
      <c r="D79" s="2773">
        <v>2073.9657241100003</v>
      </c>
      <c r="E79" s="2773">
        <v>338.5398161</v>
      </c>
      <c r="F79" s="2773">
        <v>207.62000474999999</v>
      </c>
      <c r="G79" s="2773">
        <v>130.91981135</v>
      </c>
      <c r="H79" s="2773">
        <v>0</v>
      </c>
      <c r="I79" s="2773">
        <v>126.8776282</v>
      </c>
      <c r="J79" s="2773">
        <v>54.522352980000001</v>
      </c>
      <c r="K79" s="2773">
        <v>3733.22757959</v>
      </c>
      <c r="L79" s="2773">
        <v>67.269137000000001</v>
      </c>
      <c r="M79" s="2094"/>
    </row>
    <row r="80" spans="1:13" ht="18" customHeight="1">
      <c r="A80" s="2094"/>
      <c r="B80" s="2771" t="s">
        <v>165</v>
      </c>
      <c r="C80" s="2772">
        <v>7532.9367130099999</v>
      </c>
      <c r="D80" s="2773">
        <v>3201.59350081</v>
      </c>
      <c r="E80" s="2773">
        <v>341.15328240999997</v>
      </c>
      <c r="F80" s="2773">
        <v>222.31829605999999</v>
      </c>
      <c r="G80" s="2773">
        <v>118.83498635000001</v>
      </c>
      <c r="H80" s="2773">
        <v>0</v>
      </c>
      <c r="I80" s="2773">
        <v>127.9378832</v>
      </c>
      <c r="J80" s="2773">
        <v>55.697093649999992</v>
      </c>
      <c r="K80" s="2773">
        <v>3739.2657239399996</v>
      </c>
      <c r="L80" s="2773">
        <v>67.289229000000006</v>
      </c>
      <c r="M80" s="2094"/>
    </row>
    <row r="81" spans="1:14" ht="18" customHeight="1">
      <c r="A81" s="2094"/>
      <c r="B81" s="2771" t="s">
        <v>166</v>
      </c>
      <c r="C81" s="2772">
        <v>6350.7278271000005</v>
      </c>
      <c r="D81" s="2773">
        <v>1712.6707123300002</v>
      </c>
      <c r="E81" s="2773">
        <v>298.89397112</v>
      </c>
      <c r="F81" s="2773">
        <v>170.29641000000001</v>
      </c>
      <c r="G81" s="2773">
        <v>128.59756111999999</v>
      </c>
      <c r="H81" s="2773">
        <v>0</v>
      </c>
      <c r="I81" s="2773">
        <v>372.33267095000002</v>
      </c>
      <c r="J81" s="2773">
        <v>55.697093649999992</v>
      </c>
      <c r="K81" s="2773">
        <v>3843.8441500499998</v>
      </c>
      <c r="L81" s="2773">
        <v>67.289229000000006</v>
      </c>
      <c r="M81" s="2094"/>
    </row>
    <row r="82" spans="1:14" ht="18" customHeight="1">
      <c r="A82" s="2094"/>
      <c r="B82" s="2771" t="s">
        <v>167</v>
      </c>
      <c r="C82" s="2772">
        <v>6140.9228738399988</v>
      </c>
      <c r="D82" s="2773">
        <v>1337.2291479</v>
      </c>
      <c r="E82" s="2773">
        <v>386.93937913000002</v>
      </c>
      <c r="F82" s="2773">
        <v>217.1114149</v>
      </c>
      <c r="G82" s="2773">
        <v>169.82796422999999</v>
      </c>
      <c r="H82" s="2773">
        <v>0</v>
      </c>
      <c r="I82" s="2773">
        <v>373.35278994999999</v>
      </c>
      <c r="J82" s="2773">
        <v>36.234977129999997</v>
      </c>
      <c r="K82" s="2773">
        <v>3956.6940077299996</v>
      </c>
      <c r="L82" s="2773">
        <v>50.472572</v>
      </c>
      <c r="M82" s="2094"/>
    </row>
    <row r="83" spans="1:14" ht="18" customHeight="1">
      <c r="A83" s="2094"/>
      <c r="B83" s="2771" t="s">
        <v>168</v>
      </c>
      <c r="C83" s="2772">
        <v>6676.72640065</v>
      </c>
      <c r="D83" s="2773">
        <v>1518.1165321799999</v>
      </c>
      <c r="E83" s="2773">
        <v>641.09424869999998</v>
      </c>
      <c r="F83" s="2773">
        <v>365.18330350999997</v>
      </c>
      <c r="G83" s="2773">
        <v>275.91094519000001</v>
      </c>
      <c r="H83" s="2773">
        <v>0</v>
      </c>
      <c r="I83" s="2773">
        <v>373.35278994999999</v>
      </c>
      <c r="J83" s="2773">
        <v>66.257351389999997</v>
      </c>
      <c r="K83" s="2773">
        <v>4027.4385214299996</v>
      </c>
      <c r="L83" s="2773">
        <v>50.466957000000001</v>
      </c>
      <c r="M83" s="2094"/>
    </row>
    <row r="84" spans="1:14" ht="18" customHeight="1">
      <c r="A84" s="2094"/>
      <c r="B84" s="3210" t="s">
        <v>169</v>
      </c>
      <c r="C84" s="3211">
        <v>7300.3248227100003</v>
      </c>
      <c r="D84" s="3212">
        <v>2026.7694851599999</v>
      </c>
      <c r="E84" s="3212">
        <v>745.52409105000004</v>
      </c>
      <c r="F84" s="3212">
        <v>508.27706043000001</v>
      </c>
      <c r="G84" s="3212">
        <v>237.24703062</v>
      </c>
      <c r="H84" s="3212">
        <v>0</v>
      </c>
      <c r="I84" s="3212">
        <v>368.80239260999997</v>
      </c>
      <c r="J84" s="3212">
        <v>63.683439920000005</v>
      </c>
      <c r="K84" s="3212">
        <v>4045.0614969700005</v>
      </c>
      <c r="L84" s="3212">
        <v>50.483916999999998</v>
      </c>
      <c r="M84" s="2094"/>
    </row>
    <row r="85" spans="1:14" ht="18" customHeight="1">
      <c r="A85" s="2094"/>
      <c r="B85" s="3210" t="s">
        <v>170</v>
      </c>
      <c r="C85" s="3211">
        <v>6388.1558258599998</v>
      </c>
      <c r="D85" s="3212">
        <v>1231.8425552599999</v>
      </c>
      <c r="E85" s="3212">
        <v>501.84050008999998</v>
      </c>
      <c r="F85" s="3212">
        <v>328.46850201999996</v>
      </c>
      <c r="G85" s="3212">
        <v>173.37199807000002</v>
      </c>
      <c r="H85" s="3212">
        <v>0</v>
      </c>
      <c r="I85" s="3212">
        <v>369.79253461000002</v>
      </c>
      <c r="J85" s="3212">
        <v>58.953727910000005</v>
      </c>
      <c r="K85" s="3212">
        <v>4192.0820049899994</v>
      </c>
      <c r="L85" s="3212">
        <v>33.644503</v>
      </c>
      <c r="M85" s="2094"/>
    </row>
    <row r="86" spans="1:14" ht="18" customHeight="1">
      <c r="A86" s="2094"/>
      <c r="B86" s="4198" t="s">
        <v>171</v>
      </c>
      <c r="C86" s="4199">
        <v>6484.0787466600004</v>
      </c>
      <c r="D86" s="4200">
        <v>1391.8635788199999</v>
      </c>
      <c r="E86" s="4200">
        <v>392.53071854000001</v>
      </c>
      <c r="F86" s="4200">
        <v>316.52227240000002</v>
      </c>
      <c r="G86" s="4200">
        <v>76.008446140000004</v>
      </c>
      <c r="H86" s="4200">
        <v>0</v>
      </c>
      <c r="I86" s="4200">
        <v>370.76035460999998</v>
      </c>
      <c r="J86" s="4200">
        <v>59.579243740000003</v>
      </c>
      <c r="K86" s="4200">
        <v>4235.7103029500004</v>
      </c>
      <c r="L86" s="4200">
        <v>33.634548000000002</v>
      </c>
      <c r="M86" s="2094"/>
    </row>
    <row r="87" spans="1:14" ht="18" customHeight="1">
      <c r="A87" s="2094"/>
      <c r="B87" s="4198" t="s">
        <v>148</v>
      </c>
      <c r="C87" s="4199">
        <v>7070.08373751</v>
      </c>
      <c r="D87" s="4200">
        <v>1532.87012701</v>
      </c>
      <c r="E87" s="4200">
        <v>828.33481261999987</v>
      </c>
      <c r="F87" s="4200">
        <v>717.80349842999988</v>
      </c>
      <c r="G87" s="4200">
        <v>110.53131419</v>
      </c>
      <c r="H87" s="4200">
        <v>0</v>
      </c>
      <c r="I87" s="4200">
        <v>365.26704845</v>
      </c>
      <c r="J87" s="4200">
        <v>61.895532100000004</v>
      </c>
      <c r="K87" s="4200">
        <v>4248.0331403300006</v>
      </c>
      <c r="L87" s="4200">
        <v>33.683076999999997</v>
      </c>
      <c r="M87" s="2094"/>
    </row>
    <row r="88" spans="1:14" ht="18" customHeight="1">
      <c r="A88" s="2094"/>
      <c r="B88" s="4324">
        <v>2016</v>
      </c>
      <c r="C88" s="4199"/>
      <c r="D88" s="4200"/>
      <c r="E88" s="4200"/>
      <c r="F88" s="4200"/>
      <c r="G88" s="4200"/>
      <c r="H88" s="4200"/>
      <c r="I88" s="4200"/>
      <c r="J88" s="4200"/>
      <c r="K88" s="4200"/>
      <c r="L88" s="4200"/>
      <c r="M88" s="2094"/>
    </row>
    <row r="89" spans="1:14" ht="18" customHeight="1">
      <c r="A89" s="2094"/>
      <c r="B89" s="4198" t="s">
        <v>161</v>
      </c>
      <c r="C89" s="4199">
        <v>5952.9746997599996</v>
      </c>
      <c r="D89" s="4200">
        <v>970.54681711000001</v>
      </c>
      <c r="E89" s="4200">
        <v>244.89304920000001</v>
      </c>
      <c r="F89" s="4200">
        <v>170.93477075999999</v>
      </c>
      <c r="G89" s="4200">
        <v>73.958278440000015</v>
      </c>
      <c r="H89" s="4200">
        <v>0</v>
      </c>
      <c r="I89" s="4200">
        <v>366.22869244999998</v>
      </c>
      <c r="J89" s="4200">
        <v>64.903798499999994</v>
      </c>
      <c r="K89" s="4200">
        <v>4289.5614765</v>
      </c>
      <c r="L89" s="4200">
        <v>16.840865999999998</v>
      </c>
      <c r="M89" s="2094"/>
    </row>
    <row r="90" spans="1:14" ht="18" customHeight="1">
      <c r="A90" s="2094"/>
      <c r="B90" s="4325" t="s">
        <v>162</v>
      </c>
      <c r="C90" s="4326">
        <v>6277.1148890800005</v>
      </c>
      <c r="D90" s="4327">
        <v>876.89088676000006</v>
      </c>
      <c r="E90" s="4327">
        <v>143.13999519999999</v>
      </c>
      <c r="F90" s="4327">
        <v>88.224525720000003</v>
      </c>
      <c r="G90" s="4327">
        <v>54.915469479999999</v>
      </c>
      <c r="H90" s="4327">
        <v>399.32222200000001</v>
      </c>
      <c r="I90" s="4327">
        <v>366.22869244999998</v>
      </c>
      <c r="J90" s="4327">
        <v>64.903798499999994</v>
      </c>
      <c r="K90" s="4327">
        <v>4409.7884281700008</v>
      </c>
      <c r="L90" s="4327">
        <v>16.840865999999998</v>
      </c>
      <c r="M90" s="2094"/>
    </row>
    <row r="91" spans="1:14" ht="33.75" customHeight="1">
      <c r="A91" s="2094"/>
      <c r="B91" s="4606" t="s">
        <v>1631</v>
      </c>
      <c r="C91" s="4606"/>
      <c r="D91" s="4606"/>
      <c r="E91" s="4606"/>
      <c r="F91" s="4606"/>
      <c r="G91" s="4606"/>
      <c r="H91" s="4606"/>
      <c r="I91" s="4606"/>
      <c r="J91" s="4606"/>
      <c r="K91" s="4606"/>
      <c r="L91" s="4606"/>
      <c r="M91" s="2098"/>
      <c r="N91" s="2094"/>
    </row>
    <row r="92" spans="1:14" ht="31.5" customHeight="1">
      <c r="A92" s="2094"/>
      <c r="B92" s="4633" t="s">
        <v>1762</v>
      </c>
      <c r="C92" s="4633"/>
      <c r="D92" s="4633"/>
      <c r="E92" s="4633"/>
      <c r="F92" s="4633"/>
      <c r="G92" s="4633"/>
      <c r="H92" s="4633"/>
      <c r="I92" s="4633"/>
      <c r="J92" s="4633"/>
      <c r="K92" s="4633"/>
      <c r="L92" s="4633"/>
      <c r="M92" s="2094"/>
      <c r="N92" s="2094"/>
    </row>
    <row r="93" spans="1:14" ht="18" customHeight="1">
      <c r="A93" s="2094"/>
      <c r="B93" s="2955"/>
      <c r="C93" s="3516"/>
      <c r="D93" s="2955"/>
      <c r="E93" s="2955"/>
      <c r="F93" s="2955"/>
      <c r="G93" s="2955"/>
      <c r="H93" s="2955"/>
      <c r="I93" s="2955"/>
      <c r="J93" s="2955"/>
      <c r="K93" s="2955"/>
      <c r="L93" s="2955"/>
      <c r="M93" s="2094"/>
      <c r="N93" s="2094"/>
    </row>
    <row r="94" spans="1:14" ht="18.75" customHeight="1">
      <c r="A94" s="2094"/>
      <c r="B94" s="4648"/>
      <c r="C94" s="4648"/>
      <c r="D94" s="4648"/>
      <c r="E94" s="4648"/>
      <c r="F94" s="4648"/>
      <c r="G94" s="4648"/>
      <c r="H94" s="4648"/>
      <c r="I94" s="4648"/>
      <c r="J94" s="4648"/>
      <c r="K94" s="4648"/>
      <c r="L94" s="4648"/>
      <c r="M94" s="2094"/>
      <c r="N94" s="2094"/>
    </row>
    <row r="95" spans="1:14" s="4012" customFormat="1">
      <c r="B95" s="4649"/>
      <c r="C95" s="4649"/>
      <c r="D95" s="4649"/>
      <c r="E95" s="4649"/>
      <c r="F95" s="4649"/>
      <c r="G95" s="4649"/>
      <c r="H95" s="4649"/>
      <c r="I95" s="4649"/>
      <c r="J95" s="4649"/>
      <c r="K95" s="4013"/>
      <c r="L95" s="4013"/>
    </row>
    <row r="96" spans="1:14" s="4012" customFormat="1">
      <c r="B96" s="4649"/>
      <c r="C96" s="4649"/>
      <c r="D96" s="4649"/>
      <c r="E96" s="4649"/>
      <c r="F96" s="4649"/>
      <c r="G96" s="4649"/>
      <c r="H96" s="4649"/>
      <c r="I96" s="4649"/>
      <c r="J96" s="4649"/>
      <c r="K96" s="4013"/>
      <c r="L96" s="4013"/>
    </row>
    <row r="97" spans="2:12" s="4012" customFormat="1">
      <c r="B97" s="4013"/>
      <c r="C97" s="4014"/>
      <c r="D97" s="4013"/>
      <c r="E97" s="4013"/>
      <c r="F97" s="4013"/>
      <c r="G97" s="4013"/>
      <c r="H97" s="4013"/>
      <c r="I97" s="4013"/>
      <c r="J97" s="4013"/>
      <c r="K97" s="4015"/>
      <c r="L97" s="4013"/>
    </row>
    <row r="98" spans="2:12" s="4012" customFormat="1">
      <c r="B98" s="4013"/>
      <c r="C98" s="4014"/>
      <c r="D98" s="4013"/>
      <c r="E98" s="4013"/>
      <c r="F98" s="4013"/>
      <c r="G98" s="4013"/>
      <c r="H98" s="4013"/>
      <c r="I98" s="4013"/>
      <c r="J98" s="4013"/>
      <c r="K98" s="4015"/>
      <c r="L98" s="4013"/>
    </row>
    <row r="99" spans="2:12" s="4012" customFormat="1">
      <c r="B99" s="4013"/>
      <c r="C99" s="4014"/>
      <c r="D99" s="4015"/>
      <c r="E99" s="4013"/>
      <c r="F99" s="4013"/>
      <c r="G99" s="4013"/>
      <c r="H99" s="4013"/>
      <c r="I99" s="4013"/>
      <c r="J99" s="4013"/>
      <c r="K99" s="4015"/>
      <c r="L99" s="4013"/>
    </row>
    <row r="100" spans="2:12" s="4012" customFormat="1">
      <c r="B100" s="4013"/>
      <c r="C100" s="4014"/>
      <c r="D100" s="4013"/>
      <c r="E100" s="4013"/>
      <c r="F100" s="4013"/>
      <c r="G100" s="4013"/>
      <c r="H100" s="4013"/>
      <c r="I100" s="4013"/>
      <c r="J100" s="4013"/>
      <c r="K100" s="4015"/>
      <c r="L100" s="4013"/>
    </row>
  </sheetData>
  <mergeCells count="9">
    <mergeCell ref="B94:L94"/>
    <mergeCell ref="B95:J95"/>
    <mergeCell ref="B96:J96"/>
    <mergeCell ref="B1:L1"/>
    <mergeCell ref="E7:G7"/>
    <mergeCell ref="B91:L91"/>
    <mergeCell ref="J7:J11"/>
    <mergeCell ref="K7:K11"/>
    <mergeCell ref="B92:L92"/>
  </mergeCells>
  <pageMargins left="0.69" right="0.19" top="0.72" bottom="0.75" header="0.5" footer="0.3"/>
  <pageSetup paperSize="9" scale="72" orientation="portrait" r:id="rId1"/>
</worksheet>
</file>

<file path=xl/worksheets/sheet36.xml><?xml version="1.0" encoding="utf-8"?>
<worksheet xmlns="http://schemas.openxmlformats.org/spreadsheetml/2006/main" xmlns:r="http://schemas.openxmlformats.org/officeDocument/2006/relationships">
  <dimension ref="A1:O94"/>
  <sheetViews>
    <sheetView zoomScale="70" zoomScaleNormal="70" workbookViewId="0">
      <pane xSplit="2" ySplit="11" topLeftCell="C12" activePane="bottomRight" state="frozen"/>
      <selection activeCell="K31" sqref="K31"/>
      <selection pane="topRight" activeCell="K31" sqref="K31"/>
      <selection pane="bottomLeft" activeCell="K31" sqref="K31"/>
      <selection pane="bottomRight" activeCell="A34" sqref="A34:XFD34"/>
    </sheetView>
  </sheetViews>
  <sheetFormatPr defaultColWidth="9" defaultRowHeight="16.5"/>
  <cols>
    <col min="1" max="1" width="9" style="2087"/>
    <col min="2" max="2" width="9" style="2202" customWidth="1"/>
    <col min="3" max="3" width="13.28515625" style="3523" customWidth="1"/>
    <col min="4" max="5" width="12.140625" style="2202" customWidth="1"/>
    <col min="6" max="6" width="12.7109375" style="2202" customWidth="1"/>
    <col min="7" max="7" width="9" style="2202" customWidth="1"/>
    <col min="8" max="8" width="9.5703125" style="2202" customWidth="1"/>
    <col min="9" max="9" width="10" style="2202" customWidth="1"/>
    <col min="10" max="10" width="12" style="2202" customWidth="1"/>
    <col min="11" max="11" width="12.5703125" style="2202" customWidth="1"/>
    <col min="12" max="12" width="13.85546875" style="2202" customWidth="1"/>
    <col min="13" max="13" width="10.85546875" style="2202" customWidth="1"/>
    <col min="14" max="14" width="9.140625" style="2087" bestFit="1" customWidth="1"/>
    <col min="15" max="16384" width="9" style="2087"/>
  </cols>
  <sheetData>
    <row r="1" spans="1:14" s="2086" customFormat="1" ht="18" customHeight="1">
      <c r="B1" s="4647" t="s">
        <v>2078</v>
      </c>
      <c r="C1" s="4647"/>
      <c r="D1" s="4647"/>
      <c r="E1" s="4647"/>
      <c r="F1" s="4647"/>
      <c r="G1" s="4647"/>
      <c r="H1" s="4647"/>
      <c r="I1" s="4647"/>
      <c r="J1" s="4647"/>
      <c r="K1" s="4647"/>
      <c r="L1" s="4647"/>
      <c r="M1" s="4647"/>
    </row>
    <row r="2" spans="1:14" ht="18" customHeight="1">
      <c r="A2" s="2086"/>
      <c r="B2" s="3150" t="s">
        <v>1757</v>
      </c>
      <c r="C2" s="3150"/>
      <c r="D2" s="3150"/>
      <c r="E2" s="3150"/>
      <c r="F2" s="3150"/>
      <c r="G2" s="3150"/>
      <c r="H2" s="3150"/>
      <c r="I2" s="3150"/>
      <c r="J2" s="3150"/>
      <c r="K2" s="3150"/>
      <c r="L2" s="3150"/>
      <c r="M2" s="3150"/>
      <c r="N2" s="2086"/>
    </row>
    <row r="3" spans="1:14" ht="12" customHeight="1">
      <c r="A3" s="2086"/>
      <c r="B3" s="2279"/>
      <c r="C3" s="3520"/>
      <c r="D3" s="2304"/>
      <c r="E3" s="2304"/>
      <c r="F3" s="2305"/>
      <c r="G3" s="2304"/>
      <c r="H3" s="2304"/>
      <c r="I3" s="2304"/>
      <c r="J3" s="2304"/>
      <c r="K3" s="2304"/>
      <c r="L3" s="2304"/>
      <c r="M3" s="2306"/>
      <c r="N3" s="2086"/>
    </row>
    <row r="4" spans="1:14" ht="18" customHeight="1">
      <c r="A4" s="2086"/>
      <c r="B4" s="2179"/>
      <c r="C4" s="2336" t="s">
        <v>188</v>
      </c>
      <c r="D4" s="2569"/>
      <c r="E4" s="2569"/>
      <c r="F4" s="2287"/>
      <c r="G4" s="2569"/>
      <c r="H4" s="2569"/>
      <c r="I4" s="2569"/>
      <c r="J4" s="2569"/>
      <c r="K4" s="2569"/>
      <c r="L4" s="2569"/>
      <c r="M4" s="2288"/>
      <c r="N4" s="2086"/>
    </row>
    <row r="5" spans="1:14" ht="12" customHeight="1">
      <c r="A5" s="2086"/>
      <c r="B5" s="2179"/>
      <c r="C5" s="2165"/>
      <c r="D5" s="2165"/>
      <c r="E5" s="2178"/>
      <c r="F5" s="2178"/>
      <c r="G5" s="2307"/>
      <c r="H5" s="2091"/>
      <c r="I5" s="2091"/>
      <c r="J5" s="2165"/>
      <c r="K5" s="2308"/>
      <c r="L5" s="2165"/>
      <c r="M5" s="2172"/>
      <c r="N5" s="2086"/>
    </row>
    <row r="6" spans="1:14" ht="18" customHeight="1">
      <c r="A6" s="2086"/>
      <c r="B6" s="2179"/>
      <c r="C6" s="2165"/>
      <c r="D6" s="2165"/>
      <c r="E6" s="2178"/>
      <c r="F6" s="2178" t="s">
        <v>142</v>
      </c>
      <c r="G6" s="4635" t="s">
        <v>432</v>
      </c>
      <c r="H6" s="4636"/>
      <c r="I6" s="4637"/>
      <c r="J6" s="2165"/>
      <c r="K6" s="2289"/>
      <c r="L6" s="2165" t="s">
        <v>142</v>
      </c>
      <c r="M6" s="2172"/>
      <c r="N6" s="2086"/>
    </row>
    <row r="7" spans="1:14">
      <c r="A7" s="2086"/>
      <c r="B7" s="2179"/>
      <c r="C7" s="2165"/>
      <c r="D7" s="2165"/>
      <c r="E7" s="2178"/>
      <c r="F7" s="2178"/>
      <c r="G7" s="2165"/>
      <c r="H7" s="2165"/>
      <c r="I7" s="2165"/>
      <c r="J7" s="2165"/>
      <c r="K7" s="2289"/>
      <c r="L7" s="2165"/>
      <c r="M7" s="2172"/>
      <c r="N7" s="2086"/>
    </row>
    <row r="8" spans="1:14" ht="18" customHeight="1">
      <c r="A8" s="2086"/>
      <c r="B8" s="2179"/>
      <c r="C8" s="2165"/>
      <c r="D8" s="2309"/>
      <c r="E8" s="2165"/>
      <c r="F8" s="2178" t="s">
        <v>176</v>
      </c>
      <c r="G8" s="2165"/>
      <c r="H8" s="2165"/>
      <c r="I8" s="2165"/>
      <c r="J8" s="2178"/>
      <c r="K8" s="2092" t="s">
        <v>1276</v>
      </c>
      <c r="L8" s="2165"/>
      <c r="M8" s="2172" t="s">
        <v>189</v>
      </c>
      <c r="N8" s="2086"/>
    </row>
    <row r="9" spans="1:14" ht="18" customHeight="1">
      <c r="A9" s="2086"/>
      <c r="B9" s="2179" t="s">
        <v>175</v>
      </c>
      <c r="C9" s="2165"/>
      <c r="D9" s="2165" t="s">
        <v>193</v>
      </c>
      <c r="E9" s="2165" t="s">
        <v>434</v>
      </c>
      <c r="F9" s="2178" t="s">
        <v>179</v>
      </c>
      <c r="G9" s="2165"/>
      <c r="H9" s="2165"/>
      <c r="I9" s="2165"/>
      <c r="J9" s="2165" t="s">
        <v>177</v>
      </c>
      <c r="K9" s="2092" t="s">
        <v>1567</v>
      </c>
      <c r="L9" s="2165" t="s">
        <v>435</v>
      </c>
      <c r="M9" s="2172" t="s">
        <v>191</v>
      </c>
      <c r="N9" s="2086"/>
    </row>
    <row r="10" spans="1:14" ht="15" customHeight="1">
      <c r="A10" s="2086"/>
      <c r="B10" s="2180" t="s">
        <v>140</v>
      </c>
      <c r="C10" s="2181" t="s">
        <v>152</v>
      </c>
      <c r="D10" s="2181" t="s">
        <v>192</v>
      </c>
      <c r="E10" s="2181" t="s">
        <v>192</v>
      </c>
      <c r="F10" s="2182" t="s">
        <v>192</v>
      </c>
      <c r="G10" s="2181" t="s">
        <v>152</v>
      </c>
      <c r="H10" s="2181" t="s">
        <v>141</v>
      </c>
      <c r="I10" s="2181" t="s">
        <v>431</v>
      </c>
      <c r="J10" s="2181" t="s">
        <v>192</v>
      </c>
      <c r="K10" s="2183" t="s">
        <v>1568</v>
      </c>
      <c r="L10" s="2181" t="s">
        <v>436</v>
      </c>
      <c r="M10" s="2184" t="s">
        <v>180</v>
      </c>
      <c r="N10" s="2086"/>
    </row>
    <row r="11" spans="1:14" ht="12" customHeight="1">
      <c r="A11" s="2086"/>
      <c r="B11" s="2088"/>
      <c r="C11" s="2088"/>
      <c r="D11" s="2088"/>
      <c r="E11" s="2088"/>
      <c r="F11" s="2310"/>
      <c r="G11" s="2088"/>
      <c r="H11" s="2088"/>
      <c r="I11" s="2088"/>
      <c r="J11" s="2088"/>
      <c r="K11" s="2092"/>
      <c r="L11" s="2088"/>
      <c r="M11" s="2088"/>
      <c r="N11" s="2086"/>
    </row>
    <row r="12" spans="1:14" ht="18" hidden="1" customHeight="1">
      <c r="A12" s="2086"/>
      <c r="B12" s="2466">
        <v>2010</v>
      </c>
      <c r="C12" s="3521"/>
      <c r="D12" s="2446"/>
      <c r="E12" s="2445"/>
      <c r="F12" s="2446"/>
      <c r="G12" s="2445"/>
      <c r="H12" s="2446"/>
      <c r="I12" s="2445"/>
      <c r="J12" s="2446"/>
      <c r="K12" s="2445"/>
      <c r="L12" s="2446"/>
      <c r="M12" s="2467"/>
      <c r="N12" s="2086"/>
    </row>
    <row r="13" spans="1:14" ht="18" hidden="1" customHeight="1">
      <c r="A13" s="2086"/>
      <c r="B13" s="2468" t="s">
        <v>164</v>
      </c>
      <c r="C13" s="2640">
        <v>1058.61221144</v>
      </c>
      <c r="D13" s="2641">
        <v>385.58687088000005</v>
      </c>
      <c r="E13" s="2642">
        <v>557.23519999999996</v>
      </c>
      <c r="F13" s="2641">
        <v>0</v>
      </c>
      <c r="G13" s="2642">
        <v>0</v>
      </c>
      <c r="H13" s="2641">
        <v>0</v>
      </c>
      <c r="I13" s="2642">
        <v>0</v>
      </c>
      <c r="J13" s="2641">
        <v>0</v>
      </c>
      <c r="K13" s="2642">
        <v>0</v>
      </c>
      <c r="L13" s="2641">
        <v>192.36721706999998</v>
      </c>
      <c r="M13" s="2664">
        <v>-76.57707650999987</v>
      </c>
      <c r="N13" s="2743"/>
    </row>
    <row r="14" spans="1:14" ht="18" hidden="1" customHeight="1">
      <c r="A14" s="2086"/>
      <c r="B14" s="2468" t="s">
        <v>165</v>
      </c>
      <c r="C14" s="2640">
        <v>1227.5224571700001</v>
      </c>
      <c r="D14" s="2641">
        <v>533.26699554000004</v>
      </c>
      <c r="E14" s="2642">
        <v>569.33699999999999</v>
      </c>
      <c r="F14" s="2641">
        <v>0</v>
      </c>
      <c r="G14" s="2642">
        <v>0</v>
      </c>
      <c r="H14" s="2641">
        <v>0</v>
      </c>
      <c r="I14" s="2642">
        <v>0</v>
      </c>
      <c r="J14" s="2641">
        <v>0</v>
      </c>
      <c r="K14" s="2642">
        <v>0</v>
      </c>
      <c r="L14" s="2641">
        <v>192.01019047</v>
      </c>
      <c r="M14" s="2664">
        <v>-67.091728840000087</v>
      </c>
      <c r="N14" s="2743"/>
    </row>
    <row r="15" spans="1:14" ht="18" hidden="1" customHeight="1">
      <c r="A15" s="2086"/>
      <c r="B15" s="2468" t="s">
        <v>166</v>
      </c>
      <c r="C15" s="2640">
        <v>1290.0664846300001</v>
      </c>
      <c r="D15" s="2641">
        <v>714.21550123999998</v>
      </c>
      <c r="E15" s="2642">
        <v>583.96370000000002</v>
      </c>
      <c r="F15" s="2641">
        <v>0.69801720999999994</v>
      </c>
      <c r="G15" s="2642">
        <v>0</v>
      </c>
      <c r="H15" s="2641">
        <v>0</v>
      </c>
      <c r="I15" s="2642">
        <v>0</v>
      </c>
      <c r="J15" s="2641">
        <v>0</v>
      </c>
      <c r="K15" s="2642">
        <v>0</v>
      </c>
      <c r="L15" s="2641">
        <v>202.04144412000002</v>
      </c>
      <c r="M15" s="2664">
        <v>-210.85217794000005</v>
      </c>
      <c r="N15" s="2743"/>
    </row>
    <row r="16" spans="1:14" ht="18" hidden="1" customHeight="1">
      <c r="A16" s="2086"/>
      <c r="B16" s="2468" t="s">
        <v>167</v>
      </c>
      <c r="C16" s="2640">
        <v>1578.0218555699996</v>
      </c>
      <c r="D16" s="2641">
        <v>697.02108716000009</v>
      </c>
      <c r="E16" s="2642">
        <v>614.75787739999998</v>
      </c>
      <c r="F16" s="2641">
        <v>0.78548889</v>
      </c>
      <c r="G16" s="2642">
        <v>0</v>
      </c>
      <c r="H16" s="2641">
        <v>0</v>
      </c>
      <c r="I16" s="2642">
        <v>0</v>
      </c>
      <c r="J16" s="2641">
        <v>0</v>
      </c>
      <c r="K16" s="2642">
        <v>0</v>
      </c>
      <c r="L16" s="2641">
        <v>277.37030687999999</v>
      </c>
      <c r="M16" s="2664">
        <v>-11.912904760000401</v>
      </c>
      <c r="N16" s="2743"/>
    </row>
    <row r="17" spans="1:15" ht="18" hidden="1" customHeight="1">
      <c r="A17" s="2086"/>
      <c r="B17" s="2468" t="s">
        <v>168</v>
      </c>
      <c r="C17" s="2640">
        <v>6142.0452442700007</v>
      </c>
      <c r="D17" s="2641">
        <v>5226.4191456199997</v>
      </c>
      <c r="E17" s="2642">
        <v>644.36666539999999</v>
      </c>
      <c r="F17" s="2641">
        <v>0.94072330700000006</v>
      </c>
      <c r="G17" s="2642">
        <v>0</v>
      </c>
      <c r="H17" s="2641">
        <v>0</v>
      </c>
      <c r="I17" s="2642">
        <v>0</v>
      </c>
      <c r="J17" s="2641">
        <v>0</v>
      </c>
      <c r="K17" s="2642">
        <v>0</v>
      </c>
      <c r="L17" s="2641">
        <v>294.94092695999996</v>
      </c>
      <c r="M17" s="2664">
        <v>-24.622217016998547</v>
      </c>
      <c r="N17" s="2743"/>
    </row>
    <row r="18" spans="1:15" ht="18" hidden="1" customHeight="1">
      <c r="A18" s="2086"/>
      <c r="B18" s="2469" t="s">
        <v>169</v>
      </c>
      <c r="C18" s="2640">
        <v>2960.7873144799996</v>
      </c>
      <c r="D18" s="2641">
        <v>1602.49800478</v>
      </c>
      <c r="E18" s="2642">
        <v>658.34619315000009</v>
      </c>
      <c r="F18" s="2641">
        <v>283.06436306000001</v>
      </c>
      <c r="G18" s="2642">
        <v>0</v>
      </c>
      <c r="H18" s="2641">
        <v>0</v>
      </c>
      <c r="I18" s="2642">
        <v>0</v>
      </c>
      <c r="J18" s="2641">
        <v>0</v>
      </c>
      <c r="K18" s="2642">
        <v>0</v>
      </c>
      <c r="L18" s="2641">
        <v>298.65240377999999</v>
      </c>
      <c r="M18" s="2664">
        <v>118.22634970999934</v>
      </c>
      <c r="N18" s="2743"/>
      <c r="O18" s="2090"/>
    </row>
    <row r="19" spans="1:15" ht="18" hidden="1" customHeight="1">
      <c r="A19" s="2086"/>
      <c r="B19" s="2468" t="s">
        <v>170</v>
      </c>
      <c r="C19" s="2640">
        <v>3751.2123787199998</v>
      </c>
      <c r="D19" s="2641">
        <v>1541.7557271800001</v>
      </c>
      <c r="E19" s="2642">
        <v>1903.1672931500002</v>
      </c>
      <c r="F19" s="2641">
        <v>11.462435560000001</v>
      </c>
      <c r="G19" s="2642">
        <v>0</v>
      </c>
      <c r="H19" s="2641">
        <v>0</v>
      </c>
      <c r="I19" s="2642">
        <v>0</v>
      </c>
      <c r="J19" s="2641">
        <v>0</v>
      </c>
      <c r="K19" s="2642">
        <v>0</v>
      </c>
      <c r="L19" s="2641">
        <v>301.49943713000005</v>
      </c>
      <c r="M19" s="2664">
        <v>-6.67251430000033</v>
      </c>
      <c r="N19" s="2743"/>
    </row>
    <row r="20" spans="1:15" ht="18" hidden="1" customHeight="1">
      <c r="A20" s="2086"/>
      <c r="B20" s="2469" t="s">
        <v>171</v>
      </c>
      <c r="C20" s="2640">
        <v>5153.3772848100007</v>
      </c>
      <c r="D20" s="2641">
        <v>2579.6538655800005</v>
      </c>
      <c r="E20" s="2642">
        <v>1866.0021639500001</v>
      </c>
      <c r="F20" s="2641">
        <v>385.06227164000001</v>
      </c>
      <c r="G20" s="2642">
        <v>0</v>
      </c>
      <c r="H20" s="2641">
        <v>0</v>
      </c>
      <c r="I20" s="2642">
        <v>0</v>
      </c>
      <c r="J20" s="2641">
        <v>0</v>
      </c>
      <c r="K20" s="2642">
        <v>0</v>
      </c>
      <c r="L20" s="2641">
        <v>306.51611148000001</v>
      </c>
      <c r="M20" s="2664">
        <v>16.14287215999957</v>
      </c>
      <c r="N20" s="2743"/>
    </row>
    <row r="21" spans="1:15" ht="18" hidden="1" customHeight="1">
      <c r="A21" s="2086"/>
      <c r="B21" s="2945">
        <v>2010</v>
      </c>
      <c r="C21" s="2640">
        <v>4228.6851296099994</v>
      </c>
      <c r="D21" s="2641">
        <v>1451.7418977500001</v>
      </c>
      <c r="E21" s="2642">
        <v>1599.0593565000001</v>
      </c>
      <c r="F21" s="2641">
        <v>238.77190227</v>
      </c>
      <c r="G21" s="2642">
        <v>0</v>
      </c>
      <c r="H21" s="2641">
        <v>0</v>
      </c>
      <c r="I21" s="2642">
        <v>0</v>
      </c>
      <c r="J21" s="2641">
        <v>0</v>
      </c>
      <c r="K21" s="2642">
        <v>0</v>
      </c>
      <c r="L21" s="2641">
        <v>296.80326205</v>
      </c>
      <c r="M21" s="2664">
        <v>642.30871104000016</v>
      </c>
      <c r="N21" s="2743"/>
    </row>
    <row r="22" spans="1:15" ht="18" hidden="1" customHeight="1">
      <c r="A22" s="2086"/>
      <c r="B22" s="2466">
        <v>2011</v>
      </c>
      <c r="C22" s="2640"/>
      <c r="D22" s="2665"/>
      <c r="E22" s="2665"/>
      <c r="F22" s="2642"/>
      <c r="G22" s="2641"/>
      <c r="H22" s="2665"/>
      <c r="I22" s="2642"/>
      <c r="J22" s="2642"/>
      <c r="K22" s="2641"/>
      <c r="L22" s="2665"/>
      <c r="M22" s="2664"/>
      <c r="N22" s="2170"/>
    </row>
    <row r="23" spans="1:15" ht="18" hidden="1" customHeight="1">
      <c r="A23" s="2086"/>
      <c r="B23" s="2468" t="s">
        <v>161</v>
      </c>
      <c r="C23" s="2640">
        <v>3873.5415117599996</v>
      </c>
      <c r="D23" s="2642">
        <v>1416.6270158000002</v>
      </c>
      <c r="E23" s="2642">
        <v>1713.5985520000002</v>
      </c>
      <c r="F23" s="2642">
        <v>381.59144230399994</v>
      </c>
      <c r="G23" s="2642">
        <v>0</v>
      </c>
      <c r="H23" s="2642">
        <v>0</v>
      </c>
      <c r="I23" s="2642">
        <v>0</v>
      </c>
      <c r="J23" s="2642">
        <v>0</v>
      </c>
      <c r="K23" s="2642">
        <v>0</v>
      </c>
      <c r="L23" s="2641">
        <v>305.71238348000003</v>
      </c>
      <c r="M23" s="2664">
        <v>56.012118175999603</v>
      </c>
      <c r="N23" s="2743"/>
    </row>
    <row r="24" spans="1:15" ht="18" hidden="1" customHeight="1">
      <c r="A24" s="2086"/>
      <c r="B24" s="2468" t="s">
        <v>162</v>
      </c>
      <c r="C24" s="2640">
        <v>4099.7468491700001</v>
      </c>
      <c r="D24" s="2642">
        <v>1404.4124918</v>
      </c>
      <c r="E24" s="2642">
        <v>1884.7540568499999</v>
      </c>
      <c r="F24" s="2642">
        <v>278.19650355750002</v>
      </c>
      <c r="G24" s="2642">
        <v>0</v>
      </c>
      <c r="H24" s="2642">
        <v>0</v>
      </c>
      <c r="I24" s="2642">
        <v>0</v>
      </c>
      <c r="J24" s="2642">
        <v>0</v>
      </c>
      <c r="K24" s="2642">
        <v>0</v>
      </c>
      <c r="L24" s="2641">
        <v>309.69293865999998</v>
      </c>
      <c r="M24" s="2664">
        <v>222.69085830250015</v>
      </c>
      <c r="N24" s="2743"/>
    </row>
    <row r="25" spans="1:15" ht="18" hidden="1" customHeight="1">
      <c r="A25" s="2086"/>
      <c r="B25" s="2469" t="s">
        <v>163</v>
      </c>
      <c r="C25" s="2640">
        <v>4193.4977901799994</v>
      </c>
      <c r="D25" s="2642">
        <v>2045.1635682599999</v>
      </c>
      <c r="E25" s="2642">
        <v>1420.9925203499999</v>
      </c>
      <c r="F25" s="2642">
        <v>373.25975142399994</v>
      </c>
      <c r="G25" s="2642">
        <v>0</v>
      </c>
      <c r="H25" s="2642">
        <v>0</v>
      </c>
      <c r="I25" s="2642">
        <v>0</v>
      </c>
      <c r="J25" s="2642">
        <v>0</v>
      </c>
      <c r="K25" s="2642">
        <v>0</v>
      </c>
      <c r="L25" s="2641">
        <v>322.55225751</v>
      </c>
      <c r="M25" s="2664">
        <v>31.529692635999709</v>
      </c>
      <c r="N25" s="2743"/>
    </row>
    <row r="26" spans="1:15" ht="18" hidden="1" customHeight="1">
      <c r="A26" s="2086"/>
      <c r="B26" s="2469" t="s">
        <v>164</v>
      </c>
      <c r="C26" s="2640">
        <v>3915.28739326</v>
      </c>
      <c r="D26" s="2642">
        <v>1906.27148663</v>
      </c>
      <c r="E26" s="2642">
        <v>1373.6207250000002</v>
      </c>
      <c r="F26" s="2642">
        <v>70.616640010000012</v>
      </c>
      <c r="G26" s="2642">
        <v>0</v>
      </c>
      <c r="H26" s="2642">
        <v>0</v>
      </c>
      <c r="I26" s="2642">
        <v>0</v>
      </c>
      <c r="J26" s="2642">
        <v>0</v>
      </c>
      <c r="K26" s="2642">
        <v>0</v>
      </c>
      <c r="L26" s="2641">
        <v>328.97296782000001</v>
      </c>
      <c r="M26" s="2664">
        <v>235.80557379999982</v>
      </c>
      <c r="N26" s="2743"/>
    </row>
    <row r="27" spans="1:15" ht="18" hidden="1" customHeight="1">
      <c r="A27" s="2086"/>
      <c r="B27" s="2469" t="s">
        <v>165</v>
      </c>
      <c r="C27" s="2640">
        <v>4035.5385184299989</v>
      </c>
      <c r="D27" s="2642">
        <v>1591.5963757200002</v>
      </c>
      <c r="E27" s="2642">
        <v>1396.6430262000001</v>
      </c>
      <c r="F27" s="2642">
        <v>657.91301940559993</v>
      </c>
      <c r="G27" s="2642">
        <v>0</v>
      </c>
      <c r="H27" s="2642">
        <v>0</v>
      </c>
      <c r="I27" s="2642">
        <v>0</v>
      </c>
      <c r="J27" s="2642">
        <v>0</v>
      </c>
      <c r="K27" s="2642">
        <v>0</v>
      </c>
      <c r="L27" s="2641">
        <v>335.12900925300005</v>
      </c>
      <c r="M27" s="2664">
        <v>54.257087851399319</v>
      </c>
      <c r="N27" s="2743"/>
    </row>
    <row r="28" spans="1:15" ht="18" hidden="1" customHeight="1">
      <c r="A28" s="2086"/>
      <c r="B28" s="2469" t="s">
        <v>166</v>
      </c>
      <c r="C28" s="2640">
        <v>3496.7096523299997</v>
      </c>
      <c r="D28" s="2642">
        <v>1631.8604175400001</v>
      </c>
      <c r="E28" s="2642">
        <v>1431.5712537500001</v>
      </c>
      <c r="F28" s="2642">
        <v>36.116181470000001</v>
      </c>
      <c r="G28" s="2642">
        <v>0</v>
      </c>
      <c r="H28" s="2642">
        <v>0</v>
      </c>
      <c r="I28" s="2642">
        <v>0</v>
      </c>
      <c r="J28" s="2642">
        <v>0</v>
      </c>
      <c r="K28" s="2642">
        <v>0</v>
      </c>
      <c r="L28" s="2642">
        <v>334.90844379000004</v>
      </c>
      <c r="M28" s="2664">
        <v>62.253355779999765</v>
      </c>
      <c r="N28" s="2743"/>
    </row>
    <row r="29" spans="1:15" ht="17.25" hidden="1" customHeight="1">
      <c r="A29" s="2086"/>
      <c r="B29" s="2469" t="s">
        <v>167</v>
      </c>
      <c r="C29" s="2640">
        <v>3967.0379180100003</v>
      </c>
      <c r="D29" s="2642">
        <v>1687.1648019100001</v>
      </c>
      <c r="E29" s="2642">
        <v>1620.8290369000001</v>
      </c>
      <c r="F29" s="2642">
        <v>320.72806383</v>
      </c>
      <c r="G29" s="2642">
        <v>0</v>
      </c>
      <c r="H29" s="2642">
        <v>0</v>
      </c>
      <c r="I29" s="2642">
        <v>0</v>
      </c>
      <c r="J29" s="2642">
        <v>0</v>
      </c>
      <c r="K29" s="2642">
        <v>0</v>
      </c>
      <c r="L29" s="2642">
        <v>343.88743956400003</v>
      </c>
      <c r="M29" s="2664">
        <v>-5.571424193999519</v>
      </c>
      <c r="N29" s="2743"/>
    </row>
    <row r="30" spans="1:15" ht="17.25" hidden="1" customHeight="1">
      <c r="A30" s="2086"/>
      <c r="B30" s="2469" t="s">
        <v>168</v>
      </c>
      <c r="C30" s="2640">
        <v>4219.2458169399997</v>
      </c>
      <c r="D30" s="2642">
        <v>3092.3159289000005</v>
      </c>
      <c r="E30" s="2642">
        <v>1294.7817265000001</v>
      </c>
      <c r="F30" s="2642">
        <v>20.636667859999999</v>
      </c>
      <c r="G30" s="2642">
        <v>0</v>
      </c>
      <c r="H30" s="2642">
        <v>0</v>
      </c>
      <c r="I30" s="2642">
        <v>0</v>
      </c>
      <c r="J30" s="2642">
        <v>0</v>
      </c>
      <c r="K30" s="2642">
        <v>0</v>
      </c>
      <c r="L30" s="2642">
        <v>493.19880321800002</v>
      </c>
      <c r="M30" s="2664">
        <v>-681.68730953800059</v>
      </c>
      <c r="N30" s="2743"/>
    </row>
    <row r="31" spans="1:15" ht="17.25" hidden="1" customHeight="1">
      <c r="A31" s="2086"/>
      <c r="B31" s="2469" t="s">
        <v>169</v>
      </c>
      <c r="C31" s="2640">
        <v>3632.4809062199997</v>
      </c>
      <c r="D31" s="2642">
        <v>1782.5130482100001</v>
      </c>
      <c r="E31" s="2642">
        <v>1812.4077493</v>
      </c>
      <c r="F31" s="2642">
        <v>18.627387070000001</v>
      </c>
      <c r="G31" s="2642">
        <v>0</v>
      </c>
      <c r="H31" s="2642">
        <v>0</v>
      </c>
      <c r="I31" s="2642">
        <v>0</v>
      </c>
      <c r="J31" s="2642">
        <v>0</v>
      </c>
      <c r="K31" s="2642">
        <v>0</v>
      </c>
      <c r="L31" s="2642">
        <v>496.48584507799995</v>
      </c>
      <c r="M31" s="2664">
        <v>-477.55312343800006</v>
      </c>
      <c r="N31" s="2743"/>
    </row>
    <row r="32" spans="1:15" ht="17.25" hidden="1" customHeight="1">
      <c r="A32" s="2086"/>
      <c r="B32" s="2471" t="s">
        <v>170</v>
      </c>
      <c r="C32" s="2666">
        <v>4152.3360999099987</v>
      </c>
      <c r="D32" s="2667">
        <v>1864.3026306500001</v>
      </c>
      <c r="E32" s="2667">
        <v>1833.4927287999999</v>
      </c>
      <c r="F32" s="2667">
        <v>22.269183137999999</v>
      </c>
      <c r="G32" s="2667">
        <v>0</v>
      </c>
      <c r="H32" s="2667">
        <v>0</v>
      </c>
      <c r="I32" s="2667">
        <v>0</v>
      </c>
      <c r="J32" s="2667">
        <v>0</v>
      </c>
      <c r="K32" s="2667">
        <v>0</v>
      </c>
      <c r="L32" s="2667">
        <v>497.81108927100001</v>
      </c>
      <c r="M32" s="2668">
        <v>-65.539531949000775</v>
      </c>
      <c r="N32" s="2743"/>
    </row>
    <row r="33" spans="1:14" ht="17.25" hidden="1" customHeight="1">
      <c r="A33" s="2086"/>
      <c r="B33" s="2471" t="s">
        <v>171</v>
      </c>
      <c r="C33" s="2666">
        <v>4650.4896097299988</v>
      </c>
      <c r="D33" s="2667">
        <v>2572.45939026</v>
      </c>
      <c r="E33" s="2667">
        <v>1893.6818519999999</v>
      </c>
      <c r="F33" s="2667">
        <v>18.075073890000002</v>
      </c>
      <c r="G33" s="2667">
        <v>0</v>
      </c>
      <c r="H33" s="2667">
        <v>0</v>
      </c>
      <c r="I33" s="2667">
        <v>0</v>
      </c>
      <c r="J33" s="2667">
        <v>0</v>
      </c>
      <c r="K33" s="2667">
        <v>0</v>
      </c>
      <c r="L33" s="2667">
        <v>493.92072141200003</v>
      </c>
      <c r="M33" s="2668">
        <v>-327.64742783200018</v>
      </c>
      <c r="N33" s="2743"/>
    </row>
    <row r="34" spans="1:14" ht="17.25" hidden="1" customHeight="1">
      <c r="A34" s="2086"/>
      <c r="B34" s="2466">
        <v>2011</v>
      </c>
      <c r="C34" s="2666">
        <v>4548.7025713300018</v>
      </c>
      <c r="D34" s="2667">
        <v>2031.1835987600002</v>
      </c>
      <c r="E34" s="2667">
        <v>1817.41875</v>
      </c>
      <c r="F34" s="2667">
        <v>18.115370679999998</v>
      </c>
      <c r="G34" s="2667">
        <v>0</v>
      </c>
      <c r="H34" s="2667">
        <v>0</v>
      </c>
      <c r="I34" s="2667">
        <v>0</v>
      </c>
      <c r="J34" s="2667">
        <v>0</v>
      </c>
      <c r="K34" s="2667">
        <v>0</v>
      </c>
      <c r="L34" s="2667">
        <v>496.73648978000006</v>
      </c>
      <c r="M34" s="2668">
        <v>185.24836211000093</v>
      </c>
      <c r="N34" s="2743"/>
    </row>
    <row r="35" spans="1:14" ht="17.25" hidden="1" customHeight="1">
      <c r="A35" s="2086"/>
      <c r="B35" s="2472">
        <v>2012</v>
      </c>
      <c r="C35" s="2666"/>
      <c r="D35" s="2667"/>
      <c r="E35" s="2667"/>
      <c r="F35" s="2667"/>
      <c r="G35" s="2667"/>
      <c r="H35" s="2667"/>
      <c r="I35" s="2667"/>
      <c r="J35" s="2667"/>
      <c r="K35" s="2667"/>
      <c r="L35" s="2667"/>
      <c r="M35" s="2668"/>
      <c r="N35" s="2086"/>
    </row>
    <row r="36" spans="1:14" ht="17.25" hidden="1" customHeight="1">
      <c r="A36" s="2086"/>
      <c r="B36" s="2471" t="s">
        <v>161</v>
      </c>
      <c r="C36" s="2666">
        <v>5411.3597409699996</v>
      </c>
      <c r="D36" s="2667">
        <v>3151.1747017600001</v>
      </c>
      <c r="E36" s="2667">
        <v>1740.6391630000001</v>
      </c>
      <c r="F36" s="2667">
        <v>86.400276090000006</v>
      </c>
      <c r="G36" s="2667">
        <v>0</v>
      </c>
      <c r="H36" s="2667">
        <v>0</v>
      </c>
      <c r="I36" s="2667">
        <v>0</v>
      </c>
      <c r="J36" s="2667">
        <v>0</v>
      </c>
      <c r="K36" s="2667">
        <v>0</v>
      </c>
      <c r="L36" s="2667">
        <v>489.59696323000003</v>
      </c>
      <c r="M36" s="2668">
        <v>-56.451363110000784</v>
      </c>
      <c r="N36" s="2743"/>
    </row>
    <row r="37" spans="1:14" ht="17.25" hidden="1" customHeight="1">
      <c r="A37" s="2086"/>
      <c r="B37" s="2471" t="s">
        <v>162</v>
      </c>
      <c r="C37" s="2666">
        <v>4937.2129231500003</v>
      </c>
      <c r="D37" s="2667">
        <v>2662.0782508299999</v>
      </c>
      <c r="E37" s="2667">
        <v>1742.2163270000001</v>
      </c>
      <c r="F37" s="2667">
        <v>86.400276090000006</v>
      </c>
      <c r="G37" s="2667">
        <v>0</v>
      </c>
      <c r="H37" s="2667">
        <v>0</v>
      </c>
      <c r="I37" s="2667">
        <v>0</v>
      </c>
      <c r="J37" s="2667">
        <v>0</v>
      </c>
      <c r="K37" s="2667">
        <v>0</v>
      </c>
      <c r="L37" s="2667">
        <v>478.99152008999999</v>
      </c>
      <c r="M37" s="2668">
        <v>-32.473450859999502</v>
      </c>
      <c r="N37" s="2743"/>
    </row>
    <row r="38" spans="1:14" ht="17.25" hidden="1" customHeight="1">
      <c r="A38" s="2086"/>
      <c r="B38" s="2471" t="s">
        <v>163</v>
      </c>
      <c r="C38" s="2666">
        <v>4380.9811514899993</v>
      </c>
      <c r="D38" s="2667">
        <v>2273.0757585800002</v>
      </c>
      <c r="E38" s="2667">
        <v>1785.820937</v>
      </c>
      <c r="F38" s="2667">
        <v>20.296802905</v>
      </c>
      <c r="G38" s="2667">
        <v>0</v>
      </c>
      <c r="H38" s="2667">
        <v>0</v>
      </c>
      <c r="I38" s="2667">
        <v>0</v>
      </c>
      <c r="J38" s="2667">
        <v>0</v>
      </c>
      <c r="K38" s="2667">
        <v>0</v>
      </c>
      <c r="L38" s="2667">
        <v>469.40108864000001</v>
      </c>
      <c r="M38" s="2668">
        <v>-167.61343563500031</v>
      </c>
      <c r="N38" s="2743"/>
    </row>
    <row r="39" spans="1:14" ht="17.25" hidden="1" customHeight="1">
      <c r="A39" s="2086"/>
      <c r="B39" s="2471" t="s">
        <v>164</v>
      </c>
      <c r="C39" s="2666">
        <v>4215.5697988100001</v>
      </c>
      <c r="D39" s="2667">
        <v>1839.52210429</v>
      </c>
      <c r="E39" s="2667">
        <v>1645.8493920000001</v>
      </c>
      <c r="F39" s="2667">
        <v>20.01633722</v>
      </c>
      <c r="G39" s="2667">
        <v>0</v>
      </c>
      <c r="H39" s="2667">
        <v>0</v>
      </c>
      <c r="I39" s="2667">
        <v>0</v>
      </c>
      <c r="J39" s="2667">
        <v>0</v>
      </c>
      <c r="K39" s="2667">
        <v>0</v>
      </c>
      <c r="L39" s="2667">
        <v>624.80138382999996</v>
      </c>
      <c r="M39" s="2668">
        <v>85.380581469999925</v>
      </c>
      <c r="N39" s="2743"/>
    </row>
    <row r="40" spans="1:14" ht="17.25" hidden="1" customHeight="1">
      <c r="A40" s="2086"/>
      <c r="B40" s="2471" t="s">
        <v>165</v>
      </c>
      <c r="C40" s="2666">
        <v>4727.5102883999989</v>
      </c>
      <c r="D40" s="2667">
        <v>3751.9118726799998</v>
      </c>
      <c r="E40" s="2667">
        <v>1670.9838990000001</v>
      </c>
      <c r="F40" s="2667">
        <v>192.63783841</v>
      </c>
      <c r="G40" s="2667">
        <v>0</v>
      </c>
      <c r="H40" s="2667">
        <v>0</v>
      </c>
      <c r="I40" s="2667">
        <v>0</v>
      </c>
      <c r="J40" s="2667">
        <v>0</v>
      </c>
      <c r="K40" s="2667">
        <v>0</v>
      </c>
      <c r="L40" s="2667">
        <v>662.82883038000011</v>
      </c>
      <c r="M40" s="2668">
        <v>-1550.8521520700006</v>
      </c>
      <c r="N40" s="2743"/>
    </row>
    <row r="41" spans="1:14" ht="17.25" hidden="1" customHeight="1">
      <c r="A41" s="2086"/>
      <c r="B41" s="2471" t="s">
        <v>166</v>
      </c>
      <c r="C41" s="2666">
        <v>4175.66350238</v>
      </c>
      <c r="D41" s="2667">
        <v>1858.1944342199999</v>
      </c>
      <c r="E41" s="2667">
        <v>1663.574071</v>
      </c>
      <c r="F41" s="2667">
        <v>29.525081599999996</v>
      </c>
      <c r="G41" s="2667">
        <v>0</v>
      </c>
      <c r="H41" s="2667">
        <v>0</v>
      </c>
      <c r="I41" s="2667">
        <v>0</v>
      </c>
      <c r="J41" s="2667">
        <v>0</v>
      </c>
      <c r="K41" s="2667">
        <v>0</v>
      </c>
      <c r="L41" s="2667">
        <v>676.71133250000003</v>
      </c>
      <c r="M41" s="2668">
        <v>-52.341416939999363</v>
      </c>
      <c r="N41" s="2743"/>
    </row>
    <row r="42" spans="1:14" ht="17.25" hidden="1" customHeight="1">
      <c r="A42" s="2086"/>
      <c r="B42" s="2471" t="s">
        <v>167</v>
      </c>
      <c r="C42" s="2666">
        <v>4366.3692871499998</v>
      </c>
      <c r="D42" s="2667">
        <v>1931.58513737</v>
      </c>
      <c r="E42" s="2667">
        <v>1702.9360710000001</v>
      </c>
      <c r="F42" s="2667">
        <v>46.526106890000001</v>
      </c>
      <c r="G42" s="2667">
        <v>0</v>
      </c>
      <c r="H42" s="2667">
        <v>0</v>
      </c>
      <c r="I42" s="2667">
        <v>0</v>
      </c>
      <c r="J42" s="2667">
        <v>0</v>
      </c>
      <c r="K42" s="2667">
        <v>0</v>
      </c>
      <c r="L42" s="2667">
        <v>678.66061750999995</v>
      </c>
      <c r="M42" s="2668">
        <v>6.6613543800003754</v>
      </c>
      <c r="N42" s="2086"/>
    </row>
    <row r="43" spans="1:14" ht="17.25" hidden="1" customHeight="1">
      <c r="A43" s="2086"/>
      <c r="B43" s="2471" t="s">
        <v>168</v>
      </c>
      <c r="C43" s="2666">
        <v>4351.7884410700008</v>
      </c>
      <c r="D43" s="2667">
        <v>1941.9163704199998</v>
      </c>
      <c r="E43" s="2667">
        <v>1910.3405700000001</v>
      </c>
      <c r="F43" s="2667">
        <v>43.639672090000005</v>
      </c>
      <c r="G43" s="2667">
        <v>0</v>
      </c>
      <c r="H43" s="2667">
        <v>0</v>
      </c>
      <c r="I43" s="2667">
        <v>0</v>
      </c>
      <c r="J43" s="2667">
        <v>0</v>
      </c>
      <c r="K43" s="2667">
        <v>0</v>
      </c>
      <c r="L43" s="2667">
        <v>718.24757842000008</v>
      </c>
      <c r="M43" s="2668">
        <v>-262.35574985999938</v>
      </c>
      <c r="N43" s="2086"/>
    </row>
    <row r="44" spans="1:14" ht="17.25" hidden="1" customHeight="1">
      <c r="A44" s="2086"/>
      <c r="B44" s="2471" t="s">
        <v>169</v>
      </c>
      <c r="C44" s="2666">
        <v>4839.2259150400014</v>
      </c>
      <c r="D44" s="2667">
        <v>2461.88186103</v>
      </c>
      <c r="E44" s="2667">
        <v>1776.009644</v>
      </c>
      <c r="F44" s="2667">
        <v>62.145574060000001</v>
      </c>
      <c r="G44" s="2667">
        <v>0</v>
      </c>
      <c r="H44" s="2667">
        <v>0</v>
      </c>
      <c r="I44" s="2667">
        <v>0</v>
      </c>
      <c r="J44" s="2667">
        <v>0</v>
      </c>
      <c r="K44" s="2667">
        <v>0</v>
      </c>
      <c r="L44" s="2667">
        <v>748.13842113999999</v>
      </c>
      <c r="M44" s="2668">
        <v>-208.9495851899992</v>
      </c>
      <c r="N44" s="2086"/>
    </row>
    <row r="45" spans="1:14" ht="17.25" hidden="1" customHeight="1">
      <c r="A45" s="2086"/>
      <c r="B45" s="2471" t="s">
        <v>170</v>
      </c>
      <c r="C45" s="2666">
        <v>4524.1699931899993</v>
      </c>
      <c r="D45" s="2667">
        <v>1997.7079805799999</v>
      </c>
      <c r="E45" s="2667">
        <v>1899.1810459999999</v>
      </c>
      <c r="F45" s="2667">
        <v>0.78533799000000004</v>
      </c>
      <c r="G45" s="2667">
        <v>0</v>
      </c>
      <c r="H45" s="2667">
        <v>0</v>
      </c>
      <c r="I45" s="2667">
        <v>0</v>
      </c>
      <c r="J45" s="2667">
        <v>0</v>
      </c>
      <c r="K45" s="2667">
        <v>0</v>
      </c>
      <c r="L45" s="2667">
        <v>751.31890123000005</v>
      </c>
      <c r="M45" s="2668">
        <v>-124.82327261000046</v>
      </c>
      <c r="N45" s="2086"/>
    </row>
    <row r="46" spans="1:14" ht="17.25" hidden="1" customHeight="1">
      <c r="A46" s="2086"/>
      <c r="B46" s="2471" t="s">
        <v>171</v>
      </c>
      <c r="C46" s="2666">
        <v>4573.3175687200001</v>
      </c>
      <c r="D46" s="2667">
        <v>2028.8549752899999</v>
      </c>
      <c r="E46" s="2667">
        <v>1819.0050389999999</v>
      </c>
      <c r="F46" s="2667">
        <v>0.79810064000000003</v>
      </c>
      <c r="G46" s="2667">
        <v>0</v>
      </c>
      <c r="H46" s="2667">
        <v>0</v>
      </c>
      <c r="I46" s="2667">
        <v>0</v>
      </c>
      <c r="J46" s="2667">
        <v>0</v>
      </c>
      <c r="K46" s="2667">
        <v>0</v>
      </c>
      <c r="L46" s="2667">
        <v>762.00197062000007</v>
      </c>
      <c r="M46" s="2668">
        <v>-37.342516830000022</v>
      </c>
      <c r="N46" s="2086"/>
    </row>
    <row r="47" spans="1:14" ht="17.25" customHeight="1">
      <c r="A47" s="2086"/>
      <c r="B47" s="2472">
        <v>2012</v>
      </c>
      <c r="C47" s="2654">
        <v>5534.9403842399979</v>
      </c>
      <c r="D47" s="2656">
        <v>3177.0298775599995</v>
      </c>
      <c r="E47" s="2656">
        <v>1731.739949</v>
      </c>
      <c r="F47" s="2656">
        <v>0.79810064000000003</v>
      </c>
      <c r="G47" s="2656">
        <v>0</v>
      </c>
      <c r="H47" s="2656">
        <v>0</v>
      </c>
      <c r="I47" s="2656">
        <v>0</v>
      </c>
      <c r="J47" s="2656">
        <v>0</v>
      </c>
      <c r="K47" s="2656">
        <v>0</v>
      </c>
      <c r="L47" s="2656">
        <v>767.78796723000005</v>
      </c>
      <c r="M47" s="2668">
        <v>-142.41551019000053</v>
      </c>
      <c r="N47" s="2086"/>
    </row>
    <row r="48" spans="1:14" ht="17.25" customHeight="1">
      <c r="A48" s="2086"/>
      <c r="B48" s="2472">
        <v>2013</v>
      </c>
      <c r="C48" s="2666"/>
      <c r="D48" s="2667"/>
      <c r="E48" s="2667"/>
      <c r="F48" s="2667"/>
      <c r="G48" s="2667"/>
      <c r="H48" s="2667"/>
      <c r="I48" s="2667"/>
      <c r="J48" s="2667"/>
      <c r="K48" s="2667"/>
      <c r="L48" s="2667"/>
      <c r="M48" s="2668"/>
      <c r="N48" s="2086"/>
    </row>
    <row r="49" spans="1:14" ht="17.25" customHeight="1">
      <c r="A49" s="2086"/>
      <c r="B49" s="2471" t="s">
        <v>161</v>
      </c>
      <c r="C49" s="2666">
        <v>5387.7149235000006</v>
      </c>
      <c r="D49" s="2667">
        <v>1701.41948336</v>
      </c>
      <c r="E49" s="2667">
        <v>1790.6281859999999</v>
      </c>
      <c r="F49" s="2667">
        <v>0.79810064000000003</v>
      </c>
      <c r="G49" s="2667">
        <v>0</v>
      </c>
      <c r="H49" s="2667">
        <v>0</v>
      </c>
      <c r="I49" s="2667">
        <v>0</v>
      </c>
      <c r="J49" s="2667">
        <v>0</v>
      </c>
      <c r="K49" s="2667">
        <v>0</v>
      </c>
      <c r="L49" s="2667">
        <v>779.20047255000009</v>
      </c>
      <c r="M49" s="2668">
        <v>1115.6686809500006</v>
      </c>
      <c r="N49" s="2086"/>
    </row>
    <row r="50" spans="1:14" ht="17.25" customHeight="1">
      <c r="A50" s="2086"/>
      <c r="B50" s="2471" t="s">
        <v>162</v>
      </c>
      <c r="C50" s="2666">
        <v>4729.1710940100002</v>
      </c>
      <c r="D50" s="2667">
        <v>2217.9423084499999</v>
      </c>
      <c r="E50" s="2667">
        <v>1705.8187760000001</v>
      </c>
      <c r="F50" s="2667">
        <v>0.78011691000000005</v>
      </c>
      <c r="G50" s="2667">
        <v>0</v>
      </c>
      <c r="H50" s="2667">
        <v>0</v>
      </c>
      <c r="I50" s="2667">
        <v>0</v>
      </c>
      <c r="J50" s="2667">
        <v>0</v>
      </c>
      <c r="K50" s="2667">
        <v>0</v>
      </c>
      <c r="L50" s="2667">
        <v>769.76879308000002</v>
      </c>
      <c r="M50" s="2668">
        <v>34.861099570000079</v>
      </c>
      <c r="N50" s="2086"/>
    </row>
    <row r="51" spans="1:14" ht="17.25" customHeight="1">
      <c r="A51" s="2086"/>
      <c r="B51" s="2458" t="s">
        <v>163</v>
      </c>
      <c r="C51" s="2654">
        <v>4717.2155527200002</v>
      </c>
      <c r="D51" s="2656">
        <v>2599.89710612</v>
      </c>
      <c r="E51" s="2656">
        <v>1466.001802</v>
      </c>
      <c r="F51" s="2656">
        <v>0.78809356000000008</v>
      </c>
      <c r="G51" s="2656">
        <v>0</v>
      </c>
      <c r="H51" s="2656">
        <v>0</v>
      </c>
      <c r="I51" s="2656">
        <v>0</v>
      </c>
      <c r="J51" s="2656">
        <v>0</v>
      </c>
      <c r="K51" s="2656">
        <v>0</v>
      </c>
      <c r="L51" s="2656">
        <v>801.17635504999998</v>
      </c>
      <c r="M51" s="2656">
        <v>-150.64780401000007</v>
      </c>
      <c r="N51" s="2086"/>
    </row>
    <row r="52" spans="1:14" ht="17.25" customHeight="1">
      <c r="A52" s="2086"/>
      <c r="B52" s="2458" t="s">
        <v>164</v>
      </c>
      <c r="C52" s="2654">
        <v>4547.10004802</v>
      </c>
      <c r="D52" s="2656">
        <v>2363.7759900199999</v>
      </c>
      <c r="E52" s="2656">
        <v>1678.1015910000001</v>
      </c>
      <c r="F52" s="2656">
        <v>0.7875134399999999</v>
      </c>
      <c r="G52" s="2656">
        <v>0</v>
      </c>
      <c r="H52" s="2656">
        <v>0</v>
      </c>
      <c r="I52" s="2656">
        <v>0</v>
      </c>
      <c r="J52" s="2656">
        <v>0</v>
      </c>
      <c r="K52" s="2656">
        <v>0</v>
      </c>
      <c r="L52" s="2656">
        <v>807.87497849100009</v>
      </c>
      <c r="M52" s="2656">
        <v>-303.44002493100015</v>
      </c>
      <c r="N52" s="2086"/>
    </row>
    <row r="53" spans="1:14" ht="17.25" customHeight="1">
      <c r="A53" s="2086"/>
      <c r="B53" s="2458" t="s">
        <v>165</v>
      </c>
      <c r="C53" s="2654">
        <v>5502.5016602900005</v>
      </c>
      <c r="D53" s="2656">
        <v>3172.99028658</v>
      </c>
      <c r="E53" s="2656">
        <v>1729.5658189999999</v>
      </c>
      <c r="F53" s="2656">
        <v>0.81216856000000004</v>
      </c>
      <c r="G53" s="2656">
        <v>0</v>
      </c>
      <c r="H53" s="2656">
        <v>0</v>
      </c>
      <c r="I53" s="2656">
        <v>0</v>
      </c>
      <c r="J53" s="2656">
        <v>0</v>
      </c>
      <c r="K53" s="2656">
        <v>0</v>
      </c>
      <c r="L53" s="2656">
        <v>816.73039131000007</v>
      </c>
      <c r="M53" s="2656">
        <v>-217.59700515999975</v>
      </c>
      <c r="N53" s="2086"/>
    </row>
    <row r="54" spans="1:14" ht="17.25" customHeight="1">
      <c r="A54" s="2086"/>
      <c r="B54" s="2770" t="s">
        <v>166</v>
      </c>
      <c r="C54" s="2767">
        <v>5479.0311672400021</v>
      </c>
      <c r="D54" s="2769">
        <v>2405.1986247300001</v>
      </c>
      <c r="E54" s="2769">
        <v>2382.395638</v>
      </c>
      <c r="F54" s="2769">
        <v>5.9435900000000003E-3</v>
      </c>
      <c r="G54" s="2769">
        <v>0</v>
      </c>
      <c r="H54" s="2769">
        <v>0</v>
      </c>
      <c r="I54" s="2769">
        <v>0</v>
      </c>
      <c r="J54" s="2769">
        <v>0</v>
      </c>
      <c r="K54" s="2769">
        <v>0</v>
      </c>
      <c r="L54" s="2769">
        <v>829.21719502000008</v>
      </c>
      <c r="M54" s="2769">
        <v>-137.78623409999818</v>
      </c>
      <c r="N54" s="2086"/>
    </row>
    <row r="55" spans="1:14" ht="17.25" customHeight="1">
      <c r="A55" s="2086"/>
      <c r="B55" s="2770" t="s">
        <v>167</v>
      </c>
      <c r="C55" s="2767">
        <v>4985.2344821500001</v>
      </c>
      <c r="D55" s="2769">
        <v>2524.2020942600002</v>
      </c>
      <c r="E55" s="2769">
        <v>2023.5590109999998</v>
      </c>
      <c r="F55" s="2769">
        <v>6.0176000000000006E-3</v>
      </c>
      <c r="G55" s="2769">
        <v>0</v>
      </c>
      <c r="H55" s="2769">
        <v>0</v>
      </c>
      <c r="I55" s="2769">
        <v>0</v>
      </c>
      <c r="J55" s="2769">
        <v>0</v>
      </c>
      <c r="K55" s="2769">
        <v>0</v>
      </c>
      <c r="L55" s="2769">
        <v>833.44746520000012</v>
      </c>
      <c r="M55" s="2769">
        <v>-395.98010591000002</v>
      </c>
      <c r="N55" s="2086"/>
    </row>
    <row r="56" spans="1:14" ht="17.25" customHeight="1">
      <c r="A56" s="2086"/>
      <c r="B56" s="2770" t="s">
        <v>168</v>
      </c>
      <c r="C56" s="2767">
        <v>5177.1361338300003</v>
      </c>
      <c r="D56" s="2769">
        <v>2609.3390833100002</v>
      </c>
      <c r="E56" s="2769">
        <v>1904.4613280000001</v>
      </c>
      <c r="F56" s="2769">
        <v>53.875927990000001</v>
      </c>
      <c r="G56" s="2769">
        <v>0</v>
      </c>
      <c r="H56" s="2769">
        <v>0</v>
      </c>
      <c r="I56" s="2769">
        <v>0</v>
      </c>
      <c r="J56" s="2769">
        <v>0</v>
      </c>
      <c r="K56" s="2769">
        <v>0</v>
      </c>
      <c r="L56" s="2769">
        <v>809.69125044999998</v>
      </c>
      <c r="M56" s="2769">
        <v>-200.23145591999946</v>
      </c>
      <c r="N56" s="2086"/>
    </row>
    <row r="57" spans="1:14" ht="17.25" customHeight="1">
      <c r="A57" s="2086"/>
      <c r="B57" s="2770" t="s">
        <v>169</v>
      </c>
      <c r="C57" s="2767">
        <v>6665.2320008499992</v>
      </c>
      <c r="D57" s="2769">
        <v>2624.4111867900001</v>
      </c>
      <c r="E57" s="2769">
        <v>3437.8715040000002</v>
      </c>
      <c r="F57" s="2769">
        <v>64.13592414</v>
      </c>
      <c r="G57" s="2769">
        <v>0</v>
      </c>
      <c r="H57" s="2769">
        <v>0</v>
      </c>
      <c r="I57" s="2769">
        <v>0</v>
      </c>
      <c r="J57" s="2769">
        <v>0</v>
      </c>
      <c r="K57" s="2769">
        <v>0</v>
      </c>
      <c r="L57" s="2769">
        <v>818.60862354300002</v>
      </c>
      <c r="M57" s="2769">
        <v>-279.7952376230005</v>
      </c>
    </row>
    <row r="58" spans="1:14" ht="17.25" customHeight="1">
      <c r="A58" s="2086"/>
      <c r="B58" s="2770" t="s">
        <v>170</v>
      </c>
      <c r="C58" s="2767">
        <v>7262.8466266399992</v>
      </c>
      <c r="D58" s="2769">
        <v>3650.9979628000001</v>
      </c>
      <c r="E58" s="2769">
        <v>2806.3226119999999</v>
      </c>
      <c r="F58" s="2769">
        <v>68.061206319999997</v>
      </c>
      <c r="G58" s="2769">
        <v>0</v>
      </c>
      <c r="H58" s="2769">
        <v>0</v>
      </c>
      <c r="I58" s="2769">
        <v>0</v>
      </c>
      <c r="J58" s="2769">
        <v>0</v>
      </c>
      <c r="K58" s="2769">
        <v>0</v>
      </c>
      <c r="L58" s="2769">
        <v>824.61125172999994</v>
      </c>
      <c r="M58" s="2769">
        <v>-87.14640621000035</v>
      </c>
      <c r="N58" s="2086"/>
    </row>
    <row r="59" spans="1:14" ht="17.25" customHeight="1">
      <c r="A59" s="2086"/>
      <c r="B59" s="2770" t="s">
        <v>171</v>
      </c>
      <c r="C59" s="2767">
        <v>7948.8928114600012</v>
      </c>
      <c r="D59" s="2769">
        <v>2528.7277561999995</v>
      </c>
      <c r="E59" s="2769">
        <v>4527.8239439999998</v>
      </c>
      <c r="F59" s="2769">
        <v>120.21362297</v>
      </c>
      <c r="G59" s="2769">
        <v>0</v>
      </c>
      <c r="H59" s="2769">
        <v>0</v>
      </c>
      <c r="I59" s="2769">
        <v>0</v>
      </c>
      <c r="J59" s="2769">
        <v>0</v>
      </c>
      <c r="K59" s="2769">
        <v>0</v>
      </c>
      <c r="L59" s="2769">
        <v>828.25870276000001</v>
      </c>
      <c r="M59" s="2769">
        <v>-56.131214469998667</v>
      </c>
      <c r="N59" s="2086"/>
    </row>
    <row r="60" spans="1:14" ht="17.25" customHeight="1">
      <c r="A60" s="2086"/>
      <c r="B60" s="2770" t="s">
        <v>148</v>
      </c>
      <c r="C60" s="2767">
        <v>5638.9597367800006</v>
      </c>
      <c r="D60" s="2769">
        <v>2535.4455050700003</v>
      </c>
      <c r="E60" s="2769">
        <v>2063.3537570000003</v>
      </c>
      <c r="F60" s="2769">
        <v>249.28631529</v>
      </c>
      <c r="G60" s="2769">
        <v>0</v>
      </c>
      <c r="H60" s="2769">
        <v>0</v>
      </c>
      <c r="I60" s="2769">
        <v>0</v>
      </c>
      <c r="J60" s="2769">
        <v>0</v>
      </c>
      <c r="K60" s="2769">
        <v>0</v>
      </c>
      <c r="L60" s="2769">
        <v>791.39463875000001</v>
      </c>
      <c r="M60" s="2769">
        <v>-0.52047932999994373</v>
      </c>
      <c r="N60" s="2086"/>
    </row>
    <row r="61" spans="1:14" ht="17.25" customHeight="1">
      <c r="A61" s="2086"/>
      <c r="B61" s="2922">
        <v>2014</v>
      </c>
      <c r="C61" s="2922"/>
      <c r="D61" s="2923"/>
      <c r="E61" s="2923"/>
      <c r="F61" s="2923"/>
      <c r="G61" s="2923"/>
      <c r="H61" s="2923"/>
      <c r="I61" s="2923"/>
      <c r="J61" s="2923"/>
      <c r="K61" s="2923"/>
      <c r="L61" s="2923"/>
      <c r="M61" s="2923"/>
      <c r="N61" s="2086"/>
    </row>
    <row r="62" spans="1:14" ht="17.25" customHeight="1">
      <c r="A62" s="2086"/>
      <c r="B62" s="2923" t="s">
        <v>161</v>
      </c>
      <c r="C62" s="2767">
        <v>5926.3066415900012</v>
      </c>
      <c r="D62" s="2769">
        <v>2728.42471256</v>
      </c>
      <c r="E62" s="2769">
        <v>2089.8660480000003</v>
      </c>
      <c r="F62" s="2769">
        <v>246.11461241000001</v>
      </c>
      <c r="G62" s="2769">
        <v>0</v>
      </c>
      <c r="H62" s="2769">
        <v>0</v>
      </c>
      <c r="I62" s="2769">
        <v>0</v>
      </c>
      <c r="J62" s="2769">
        <v>0</v>
      </c>
      <c r="K62" s="2769">
        <v>0</v>
      </c>
      <c r="L62" s="2769">
        <v>746.08266649000007</v>
      </c>
      <c r="M62" s="2769">
        <v>115.81860213000073</v>
      </c>
      <c r="N62" s="2086"/>
    </row>
    <row r="63" spans="1:14" ht="17.25" customHeight="1">
      <c r="A63" s="2086"/>
      <c r="B63" s="2923" t="s">
        <v>162</v>
      </c>
      <c r="C63" s="2767">
        <v>6916.4308972199997</v>
      </c>
      <c r="D63" s="2769">
        <v>3485.90799943</v>
      </c>
      <c r="E63" s="2769">
        <v>2116.2314019999999</v>
      </c>
      <c r="F63" s="2769">
        <v>446.93846406</v>
      </c>
      <c r="G63" s="2769">
        <v>0</v>
      </c>
      <c r="H63" s="2769">
        <v>0</v>
      </c>
      <c r="I63" s="2769">
        <v>0</v>
      </c>
      <c r="J63" s="2769">
        <v>0</v>
      </c>
      <c r="K63" s="2769">
        <v>0</v>
      </c>
      <c r="L63" s="2769">
        <v>828.00700611899993</v>
      </c>
      <c r="M63" s="2769">
        <v>39.346025610999277</v>
      </c>
      <c r="N63" s="2086"/>
    </row>
    <row r="64" spans="1:14" ht="17.25" customHeight="1">
      <c r="A64" s="2086"/>
      <c r="B64" s="2923" t="s">
        <v>163</v>
      </c>
      <c r="C64" s="2767">
        <v>6529.8720175100016</v>
      </c>
      <c r="D64" s="2769">
        <v>3107.7493426700003</v>
      </c>
      <c r="E64" s="2769">
        <v>2120.5003110000002</v>
      </c>
      <c r="F64" s="2769">
        <v>730.09785013999999</v>
      </c>
      <c r="G64" s="2769">
        <v>0</v>
      </c>
      <c r="H64" s="2769">
        <v>0</v>
      </c>
      <c r="I64" s="2769">
        <v>0</v>
      </c>
      <c r="J64" s="2769">
        <v>0</v>
      </c>
      <c r="K64" s="2769">
        <v>0</v>
      </c>
      <c r="L64" s="2769">
        <v>801.82459531900008</v>
      </c>
      <c r="M64" s="2769">
        <v>-230.30008161899877</v>
      </c>
      <c r="N64" s="2086"/>
    </row>
    <row r="65" spans="1:14" ht="17.25" customHeight="1">
      <c r="A65" s="2086"/>
      <c r="B65" s="2923" t="s">
        <v>164</v>
      </c>
      <c r="C65" s="2767">
        <v>5859.863633169999</v>
      </c>
      <c r="D65" s="2769">
        <v>2743.6582169599997</v>
      </c>
      <c r="E65" s="2769">
        <v>1988.3924989999998</v>
      </c>
      <c r="F65" s="2769">
        <v>178.84804179</v>
      </c>
      <c r="G65" s="2769">
        <v>0</v>
      </c>
      <c r="H65" s="2769">
        <v>0</v>
      </c>
      <c r="I65" s="2769">
        <v>0</v>
      </c>
      <c r="J65" s="2769">
        <v>0</v>
      </c>
      <c r="K65" s="2769">
        <v>0</v>
      </c>
      <c r="L65" s="2769">
        <v>963.21524266500001</v>
      </c>
      <c r="M65" s="2769">
        <v>-14.250367245000234</v>
      </c>
      <c r="N65" s="2086"/>
    </row>
    <row r="66" spans="1:14" ht="17.25" customHeight="1">
      <c r="A66" s="2086"/>
      <c r="B66" s="2923" t="s">
        <v>165</v>
      </c>
      <c r="C66" s="2767">
        <v>6262.6202283499988</v>
      </c>
      <c r="D66" s="2769">
        <v>3086.32704638</v>
      </c>
      <c r="E66" s="2769">
        <v>2047.804443</v>
      </c>
      <c r="F66" s="2769">
        <v>159.89619747</v>
      </c>
      <c r="G66" s="2769">
        <v>0</v>
      </c>
      <c r="H66" s="2769">
        <v>0</v>
      </c>
      <c r="I66" s="2769">
        <v>0</v>
      </c>
      <c r="J66" s="2769">
        <v>0</v>
      </c>
      <c r="K66" s="2769">
        <v>0</v>
      </c>
      <c r="L66" s="2769">
        <v>994.51207969000006</v>
      </c>
      <c r="M66" s="2769">
        <v>-25.919538190000821</v>
      </c>
      <c r="N66" s="2086"/>
    </row>
    <row r="67" spans="1:14" ht="17.25" customHeight="1">
      <c r="A67" s="2086"/>
      <c r="B67" s="2923" t="s">
        <v>166</v>
      </c>
      <c r="C67" s="2767">
        <v>6064.0085116799992</v>
      </c>
      <c r="D67" s="2769">
        <v>2868.1672183499995</v>
      </c>
      <c r="E67" s="2769">
        <v>2051.9475889999999</v>
      </c>
      <c r="F67" s="2769">
        <v>159.85615358999999</v>
      </c>
      <c r="G67" s="2769">
        <v>0</v>
      </c>
      <c r="H67" s="2769">
        <v>0</v>
      </c>
      <c r="I67" s="2769">
        <v>0</v>
      </c>
      <c r="J67" s="2769">
        <v>0</v>
      </c>
      <c r="K67" s="2769">
        <v>0</v>
      </c>
      <c r="L67" s="2769">
        <v>1003.9787807500001</v>
      </c>
      <c r="M67" s="2769">
        <v>-19.941230009999344</v>
      </c>
      <c r="N67" s="2086"/>
    </row>
    <row r="68" spans="1:14">
      <c r="A68" s="2086"/>
      <c r="B68" s="2923" t="s">
        <v>167</v>
      </c>
      <c r="C68" s="2767">
        <v>5992.0485573400001</v>
      </c>
      <c r="D68" s="2769">
        <v>2975.2440418000001</v>
      </c>
      <c r="E68" s="2769">
        <v>1897.7058629999999</v>
      </c>
      <c r="F68" s="2769">
        <v>156.43068357999999</v>
      </c>
      <c r="G68" s="2769">
        <v>0</v>
      </c>
      <c r="H68" s="2769">
        <v>0</v>
      </c>
      <c r="I68" s="2769">
        <v>0</v>
      </c>
      <c r="J68" s="2769">
        <v>0</v>
      </c>
      <c r="K68" s="2769">
        <v>0</v>
      </c>
      <c r="L68" s="2769">
        <v>1013.7451458580001</v>
      </c>
      <c r="M68" s="2769">
        <v>-51.077176897999379</v>
      </c>
      <c r="N68" s="2086"/>
    </row>
    <row r="69" spans="1:14">
      <c r="A69" s="2086"/>
      <c r="B69" s="2923" t="s">
        <v>168</v>
      </c>
      <c r="C69" s="2767">
        <v>7487.1489767900002</v>
      </c>
      <c r="D69" s="2769">
        <v>4354.3508083000006</v>
      </c>
      <c r="E69" s="2769">
        <v>1920.4680919999998</v>
      </c>
      <c r="F69" s="2769">
        <v>149.50949973000002</v>
      </c>
      <c r="G69" s="2769">
        <v>0</v>
      </c>
      <c r="H69" s="2769">
        <v>0</v>
      </c>
      <c r="I69" s="2769">
        <v>0</v>
      </c>
      <c r="J69" s="2769">
        <v>0</v>
      </c>
      <c r="K69" s="2769">
        <v>0</v>
      </c>
      <c r="L69" s="2769">
        <v>984.37480042499999</v>
      </c>
      <c r="M69" s="2769">
        <v>78.445776334999209</v>
      </c>
      <c r="N69" s="2086"/>
    </row>
    <row r="70" spans="1:14">
      <c r="A70" s="2086"/>
      <c r="B70" s="2923" t="s">
        <v>169</v>
      </c>
      <c r="C70" s="2767">
        <v>6741.4341404999996</v>
      </c>
      <c r="D70" s="2769">
        <v>3144.7380517200004</v>
      </c>
      <c r="E70" s="2769">
        <v>2027.0065629999999</v>
      </c>
      <c r="F70" s="2769">
        <v>490.97209616000004</v>
      </c>
      <c r="G70" s="2769">
        <v>0</v>
      </c>
      <c r="H70" s="2769">
        <v>0</v>
      </c>
      <c r="I70" s="2769">
        <v>0</v>
      </c>
      <c r="J70" s="2769">
        <v>0</v>
      </c>
      <c r="K70" s="2769">
        <v>0</v>
      </c>
      <c r="L70" s="2769">
        <v>984.46253619600009</v>
      </c>
      <c r="M70" s="2769">
        <v>94.25489342399942</v>
      </c>
      <c r="N70" s="2086"/>
    </row>
    <row r="71" spans="1:14">
      <c r="A71" s="2086"/>
      <c r="B71" s="2923" t="s">
        <v>170</v>
      </c>
      <c r="C71" s="2767">
        <v>6563.75626087</v>
      </c>
      <c r="D71" s="2769">
        <v>3045.7248170999997</v>
      </c>
      <c r="E71" s="2769">
        <v>1949.39075</v>
      </c>
      <c r="F71" s="2769">
        <v>471.37193587000002</v>
      </c>
      <c r="G71" s="2769">
        <v>0</v>
      </c>
      <c r="H71" s="2769">
        <v>0</v>
      </c>
      <c r="I71" s="2769">
        <v>0</v>
      </c>
      <c r="J71" s="2769">
        <v>0</v>
      </c>
      <c r="K71" s="2769">
        <v>0</v>
      </c>
      <c r="L71" s="2769">
        <v>999.61920473100008</v>
      </c>
      <c r="M71" s="2769">
        <v>97.649553169000683</v>
      </c>
      <c r="N71" s="2086"/>
    </row>
    <row r="72" spans="1:14">
      <c r="A72" s="2086"/>
      <c r="B72" s="2923" t="s">
        <v>171</v>
      </c>
      <c r="C72" s="2767">
        <v>6828.8799379199991</v>
      </c>
      <c r="D72" s="2769">
        <v>3224.13499864</v>
      </c>
      <c r="E72" s="2769">
        <v>1908.1108345899997</v>
      </c>
      <c r="F72" s="2769">
        <v>465.61043625999997</v>
      </c>
      <c r="G72" s="2769">
        <v>0</v>
      </c>
      <c r="H72" s="2769">
        <v>0</v>
      </c>
      <c r="I72" s="2769">
        <v>0</v>
      </c>
      <c r="J72" s="2769">
        <v>0</v>
      </c>
      <c r="K72" s="2769">
        <v>0</v>
      </c>
      <c r="L72" s="2769">
        <v>1022.938361345</v>
      </c>
      <c r="M72" s="2769">
        <v>208.08530708499984</v>
      </c>
      <c r="N72" s="2086"/>
    </row>
    <row r="73" spans="1:14">
      <c r="A73" s="2086"/>
      <c r="B73" s="2923" t="s">
        <v>148</v>
      </c>
      <c r="C73" s="2767">
        <v>6545.14179057</v>
      </c>
      <c r="D73" s="2769">
        <v>3185.3198051700001</v>
      </c>
      <c r="E73" s="2769">
        <v>1843.0136265899998</v>
      </c>
      <c r="F73" s="2769">
        <v>227.48264494999998</v>
      </c>
      <c r="G73" s="2769">
        <v>0</v>
      </c>
      <c r="H73" s="2769">
        <v>0</v>
      </c>
      <c r="I73" s="2769">
        <v>0</v>
      </c>
      <c r="J73" s="2769">
        <v>0</v>
      </c>
      <c r="K73" s="2769">
        <v>0</v>
      </c>
      <c r="L73" s="2769">
        <v>977.81556249000005</v>
      </c>
      <c r="M73" s="2769">
        <v>311.51015137000013</v>
      </c>
      <c r="N73" s="2086"/>
    </row>
    <row r="74" spans="1:14">
      <c r="A74" s="2086"/>
      <c r="B74" s="2922">
        <v>2015</v>
      </c>
      <c r="C74" s="2767"/>
      <c r="D74" s="2769"/>
      <c r="E74" s="2769"/>
      <c r="F74" s="2769"/>
      <c r="G74" s="2769"/>
      <c r="H74" s="2769"/>
      <c r="I74" s="2769"/>
      <c r="J74" s="2769"/>
      <c r="K74" s="2769"/>
      <c r="L74" s="2769"/>
      <c r="M74" s="2769"/>
      <c r="N74" s="2086"/>
    </row>
    <row r="75" spans="1:14">
      <c r="A75" s="2086"/>
      <c r="B75" s="2923" t="s">
        <v>161</v>
      </c>
      <c r="C75" s="2767">
        <v>6443.3776201999999</v>
      </c>
      <c r="D75" s="2769">
        <v>3192.46124753</v>
      </c>
      <c r="E75" s="2769">
        <v>1964.4283455899997</v>
      </c>
      <c r="F75" s="2769">
        <v>154.46694455000002</v>
      </c>
      <c r="G75" s="2769">
        <v>0</v>
      </c>
      <c r="H75" s="2769">
        <v>0</v>
      </c>
      <c r="I75" s="2769">
        <v>0</v>
      </c>
      <c r="J75" s="2769">
        <v>0</v>
      </c>
      <c r="K75" s="2769">
        <v>0</v>
      </c>
      <c r="L75" s="2769">
        <v>980.25411830899998</v>
      </c>
      <c r="M75" s="2769">
        <v>151.76696422100031</v>
      </c>
      <c r="N75" s="2086"/>
    </row>
    <row r="76" spans="1:14">
      <c r="A76" s="2086"/>
      <c r="B76" s="2923" t="s">
        <v>162</v>
      </c>
      <c r="C76" s="2767">
        <v>6666.9484769199998</v>
      </c>
      <c r="D76" s="2769">
        <v>3546.74477505</v>
      </c>
      <c r="E76" s="2769">
        <v>1987.9725365899997</v>
      </c>
      <c r="F76" s="2769">
        <v>91.23916288880001</v>
      </c>
      <c r="G76" s="2769">
        <v>0</v>
      </c>
      <c r="H76" s="2769">
        <v>0</v>
      </c>
      <c r="I76" s="2769">
        <v>0</v>
      </c>
      <c r="J76" s="2769">
        <v>0</v>
      </c>
      <c r="K76" s="2769">
        <v>0</v>
      </c>
      <c r="L76" s="2769">
        <v>987.740655522</v>
      </c>
      <c r="M76" s="2769">
        <v>53.251346869200461</v>
      </c>
      <c r="N76" s="2086"/>
    </row>
    <row r="77" spans="1:14">
      <c r="A77" s="2086"/>
      <c r="B77" s="2923" t="s">
        <v>163</v>
      </c>
      <c r="C77" s="2767">
        <v>6523.3099338500024</v>
      </c>
      <c r="D77" s="2769">
        <v>3298.5787376700005</v>
      </c>
      <c r="E77" s="2769">
        <v>1946.1355895899999</v>
      </c>
      <c r="F77" s="2769">
        <v>87.214632519999995</v>
      </c>
      <c r="G77" s="2769">
        <v>0</v>
      </c>
      <c r="H77" s="2769">
        <v>0</v>
      </c>
      <c r="I77" s="2769">
        <v>0</v>
      </c>
      <c r="J77" s="2769">
        <v>0</v>
      </c>
      <c r="K77" s="2769">
        <v>0</v>
      </c>
      <c r="L77" s="2769">
        <v>998.53958663200001</v>
      </c>
      <c r="M77" s="2769">
        <v>192.84138743800122</v>
      </c>
      <c r="N77" s="2086"/>
    </row>
    <row r="78" spans="1:14">
      <c r="A78" s="2086"/>
      <c r="B78" s="2923" t="s">
        <v>164</v>
      </c>
      <c r="C78" s="2767">
        <v>6394.4022379799999</v>
      </c>
      <c r="D78" s="2769">
        <v>3346.57984519</v>
      </c>
      <c r="E78" s="2769">
        <v>1933.41525959</v>
      </c>
      <c r="F78" s="2769">
        <v>52.914616130000006</v>
      </c>
      <c r="G78" s="2769">
        <v>0</v>
      </c>
      <c r="H78" s="2769">
        <v>0</v>
      </c>
      <c r="I78" s="2769">
        <v>0</v>
      </c>
      <c r="J78" s="2769">
        <v>0</v>
      </c>
      <c r="K78" s="2769">
        <v>0</v>
      </c>
      <c r="L78" s="2769">
        <v>1016.184802715</v>
      </c>
      <c r="M78" s="2769">
        <v>45.307714354999916</v>
      </c>
      <c r="N78" s="2086"/>
    </row>
    <row r="79" spans="1:14">
      <c r="A79" s="2086"/>
      <c r="B79" s="2923" t="s">
        <v>165</v>
      </c>
      <c r="C79" s="2767">
        <v>7532.9367130099999</v>
      </c>
      <c r="D79" s="2769">
        <v>5381.2455734499999</v>
      </c>
      <c r="E79" s="2769">
        <v>2013.3213915899998</v>
      </c>
      <c r="F79" s="2769">
        <v>45.52531338</v>
      </c>
      <c r="G79" s="2769">
        <v>0</v>
      </c>
      <c r="H79" s="2769">
        <v>0</v>
      </c>
      <c r="I79" s="2769">
        <v>0</v>
      </c>
      <c r="J79" s="2769">
        <v>0</v>
      </c>
      <c r="K79" s="2769">
        <v>0</v>
      </c>
      <c r="L79" s="2769">
        <v>1029.716842819</v>
      </c>
      <c r="M79" s="2769">
        <v>-936.87240822899912</v>
      </c>
      <c r="N79" s="2086"/>
    </row>
    <row r="80" spans="1:14">
      <c r="A80" s="2086"/>
      <c r="B80" s="2923" t="s">
        <v>166</v>
      </c>
      <c r="C80" s="2767">
        <v>6350.7278271000005</v>
      </c>
      <c r="D80" s="2769">
        <v>3518.10755621</v>
      </c>
      <c r="E80" s="2769">
        <v>1990.80728559</v>
      </c>
      <c r="F80" s="2769">
        <v>62.488678780000001</v>
      </c>
      <c r="G80" s="2769">
        <v>0</v>
      </c>
      <c r="H80" s="2769">
        <v>0</v>
      </c>
      <c r="I80" s="2769">
        <v>0</v>
      </c>
      <c r="J80" s="2769">
        <v>0</v>
      </c>
      <c r="K80" s="2769">
        <v>0</v>
      </c>
      <c r="L80" s="2769">
        <v>1046.8145825020001</v>
      </c>
      <c r="M80" s="2769">
        <v>-267.49027598199973</v>
      </c>
      <c r="N80" s="2086"/>
    </row>
    <row r="81" spans="1:14">
      <c r="A81" s="2086"/>
      <c r="B81" s="2923" t="s">
        <v>167</v>
      </c>
      <c r="C81" s="2767">
        <v>6140.9228738399997</v>
      </c>
      <c r="D81" s="2769">
        <v>3403.0864059300002</v>
      </c>
      <c r="E81" s="2769">
        <v>1955.5369965899999</v>
      </c>
      <c r="F81" s="2769">
        <v>84.215393860000006</v>
      </c>
      <c r="G81" s="2769">
        <v>0</v>
      </c>
      <c r="H81" s="2769">
        <v>0</v>
      </c>
      <c r="I81" s="2769">
        <v>0</v>
      </c>
      <c r="J81" s="2769">
        <v>0</v>
      </c>
      <c r="K81" s="2769">
        <v>0</v>
      </c>
      <c r="L81" s="2769">
        <v>1062.528509648</v>
      </c>
      <c r="M81" s="2769">
        <v>-364.44443218800097</v>
      </c>
      <c r="N81" s="2086"/>
    </row>
    <row r="82" spans="1:14">
      <c r="A82" s="2086"/>
      <c r="B82" s="2923" t="s">
        <v>168</v>
      </c>
      <c r="C82" s="2767">
        <v>6676.72640065</v>
      </c>
      <c r="D82" s="2769">
        <v>3629.2355736300001</v>
      </c>
      <c r="E82" s="2769">
        <v>1961.65774659</v>
      </c>
      <c r="F82" s="2769">
        <v>252.44553096999999</v>
      </c>
      <c r="G82" s="2769">
        <v>0</v>
      </c>
      <c r="H82" s="2769">
        <v>0</v>
      </c>
      <c r="I82" s="2769">
        <v>0</v>
      </c>
      <c r="J82" s="2769">
        <v>0</v>
      </c>
      <c r="K82" s="2769">
        <v>0</v>
      </c>
      <c r="L82" s="2769">
        <v>1055.360097753</v>
      </c>
      <c r="M82" s="2769">
        <v>-221.97254829299982</v>
      </c>
      <c r="N82" s="2086"/>
    </row>
    <row r="83" spans="1:14">
      <c r="A83" s="2086"/>
      <c r="B83" s="3213" t="s">
        <v>169</v>
      </c>
      <c r="C83" s="3214">
        <v>7300.3248227099994</v>
      </c>
      <c r="D83" s="3215">
        <v>3791.7745334299998</v>
      </c>
      <c r="E83" s="3215">
        <v>1983.9469665899999</v>
      </c>
      <c r="F83" s="3215">
        <v>223.27048932</v>
      </c>
      <c r="G83" s="3215">
        <v>0</v>
      </c>
      <c r="H83" s="3215">
        <v>0</v>
      </c>
      <c r="I83" s="3215">
        <v>0</v>
      </c>
      <c r="J83" s="3215">
        <v>0</v>
      </c>
      <c r="K83" s="3215">
        <v>0</v>
      </c>
      <c r="L83" s="3215">
        <v>1074.7854166190002</v>
      </c>
      <c r="M83" s="3215">
        <v>226.54741675100013</v>
      </c>
      <c r="N83" s="2086"/>
    </row>
    <row r="84" spans="1:14">
      <c r="A84" s="2086"/>
      <c r="B84" s="3213" t="s">
        <v>170</v>
      </c>
      <c r="C84" s="3214">
        <v>6388.1558258599998</v>
      </c>
      <c r="D84" s="3215">
        <v>3880.2967281199999</v>
      </c>
      <c r="E84" s="3215">
        <v>1967.9697825899998</v>
      </c>
      <c r="F84" s="3215">
        <v>19.660760360000001</v>
      </c>
      <c r="G84" s="3215">
        <v>0</v>
      </c>
      <c r="H84" s="3215">
        <v>0</v>
      </c>
      <c r="I84" s="3215">
        <v>0</v>
      </c>
      <c r="J84" s="3215">
        <v>0</v>
      </c>
      <c r="K84" s="3215">
        <v>0</v>
      </c>
      <c r="L84" s="3215">
        <v>1082.3989825470001</v>
      </c>
      <c r="M84" s="3215">
        <v>-562.17042775699974</v>
      </c>
      <c r="N84" s="2086"/>
    </row>
    <row r="85" spans="1:14">
      <c r="A85" s="2086"/>
      <c r="B85" s="4201" t="s">
        <v>171</v>
      </c>
      <c r="C85" s="4194">
        <v>6484.0787466600004</v>
      </c>
      <c r="D85" s="4196">
        <v>3737.9866201899999</v>
      </c>
      <c r="E85" s="4196">
        <v>1850.8418115900001</v>
      </c>
      <c r="F85" s="4196">
        <v>68.511179200000001</v>
      </c>
      <c r="G85" s="4196">
        <v>0</v>
      </c>
      <c r="H85" s="4196">
        <v>0</v>
      </c>
      <c r="I85" s="4196">
        <v>0</v>
      </c>
      <c r="J85" s="4196">
        <v>0</v>
      </c>
      <c r="K85" s="4196">
        <v>0</v>
      </c>
      <c r="L85" s="4196">
        <v>1080.681722265</v>
      </c>
      <c r="M85" s="4196">
        <v>-253.94258658499893</v>
      </c>
      <c r="N85" s="2086"/>
    </row>
    <row r="86" spans="1:14">
      <c r="A86" s="2086"/>
      <c r="B86" s="4201" t="s">
        <v>148</v>
      </c>
      <c r="C86" s="4194">
        <v>7070.08373751</v>
      </c>
      <c r="D86" s="4196">
        <v>4170.0037426999997</v>
      </c>
      <c r="E86" s="4196">
        <v>1864.7314795899999</v>
      </c>
      <c r="F86" s="4196">
        <v>19.660760360000001</v>
      </c>
      <c r="G86" s="4196">
        <v>0</v>
      </c>
      <c r="H86" s="4196">
        <v>0</v>
      </c>
      <c r="I86" s="4196">
        <v>0</v>
      </c>
      <c r="J86" s="4196">
        <v>0</v>
      </c>
      <c r="K86" s="4196">
        <v>0</v>
      </c>
      <c r="L86" s="4196">
        <v>1080.67032333</v>
      </c>
      <c r="M86" s="4196">
        <v>-64.982568469999023</v>
      </c>
      <c r="N86" s="2086"/>
    </row>
    <row r="87" spans="1:14">
      <c r="A87" s="2086"/>
      <c r="B87" s="4328">
        <v>2016</v>
      </c>
      <c r="C87" s="4194"/>
      <c r="D87" s="4196"/>
      <c r="E87" s="4196"/>
      <c r="F87" s="4196"/>
      <c r="G87" s="4196"/>
      <c r="H87" s="4196"/>
      <c r="I87" s="4196"/>
      <c r="J87" s="4196"/>
      <c r="K87" s="4196"/>
      <c r="L87" s="4196"/>
      <c r="M87" s="4196"/>
      <c r="N87" s="2086"/>
    </row>
    <row r="88" spans="1:14">
      <c r="A88" s="2086"/>
      <c r="B88" s="4201" t="s">
        <v>161</v>
      </c>
      <c r="C88" s="4194">
        <v>5952.9746997599996</v>
      </c>
      <c r="D88" s="4196">
        <v>3303.67767224</v>
      </c>
      <c r="E88" s="4196">
        <v>1854.9029535899999</v>
      </c>
      <c r="F88" s="4196">
        <v>56.365242530000003</v>
      </c>
      <c r="G88" s="4196">
        <v>0</v>
      </c>
      <c r="H88" s="4196">
        <v>0</v>
      </c>
      <c r="I88" s="4196">
        <v>0</v>
      </c>
      <c r="J88" s="4196">
        <v>0</v>
      </c>
      <c r="K88" s="4196">
        <v>0</v>
      </c>
      <c r="L88" s="4196">
        <v>1095.76120524</v>
      </c>
      <c r="M88" s="4196">
        <v>-357.73237384000004</v>
      </c>
      <c r="N88" s="2086"/>
    </row>
    <row r="89" spans="1:14">
      <c r="A89" s="2086"/>
      <c r="B89" s="4329" t="s">
        <v>162</v>
      </c>
      <c r="C89" s="4316">
        <v>6277.1148890800005</v>
      </c>
      <c r="D89" s="4318">
        <v>3799.6993835000003</v>
      </c>
      <c r="E89" s="4318">
        <v>1956.2688975899998</v>
      </c>
      <c r="F89" s="4318">
        <v>56.081135420000003</v>
      </c>
      <c r="G89" s="4318">
        <v>0</v>
      </c>
      <c r="H89" s="4318">
        <v>0</v>
      </c>
      <c r="I89" s="4318">
        <v>0</v>
      </c>
      <c r="J89" s="4318">
        <v>0</v>
      </c>
      <c r="K89" s="4318">
        <v>0</v>
      </c>
      <c r="L89" s="4318">
        <v>1099.8532277529998</v>
      </c>
      <c r="M89" s="4318">
        <v>-634.78775518299972</v>
      </c>
      <c r="N89" s="2086"/>
    </row>
    <row r="90" spans="1:14">
      <c r="A90" s="2086"/>
      <c r="B90" s="2277"/>
      <c r="C90" s="3522"/>
      <c r="D90" s="2277"/>
      <c r="E90" s="2277"/>
      <c r="F90" s="2277"/>
      <c r="G90" s="2277"/>
      <c r="H90" s="2277"/>
      <c r="I90" s="2277"/>
      <c r="J90" s="2277"/>
      <c r="K90" s="2277"/>
      <c r="L90" s="2277"/>
      <c r="M90" s="2277"/>
      <c r="N90" s="2086"/>
    </row>
    <row r="91" spans="1:14">
      <c r="A91" s="2086"/>
      <c r="B91" s="2277"/>
      <c r="C91" s="3522"/>
      <c r="D91" s="2277"/>
      <c r="E91" s="2277"/>
      <c r="F91" s="2277"/>
      <c r="G91" s="2277"/>
      <c r="H91" s="2277"/>
      <c r="I91" s="2277"/>
      <c r="J91" s="2277"/>
      <c r="K91" s="2277"/>
      <c r="L91" s="2277"/>
      <c r="M91" s="2277"/>
      <c r="N91" s="2086"/>
    </row>
    <row r="92" spans="1:14">
      <c r="A92" s="2086"/>
      <c r="B92" s="2277"/>
      <c r="C92" s="3522"/>
      <c r="D92" s="2277"/>
      <c r="E92" s="2277"/>
      <c r="F92" s="2277"/>
      <c r="G92" s="2277"/>
      <c r="H92" s="2277"/>
      <c r="I92" s="2277"/>
      <c r="J92" s="2277"/>
      <c r="K92" s="2277"/>
      <c r="L92" s="2277"/>
      <c r="M92" s="2277"/>
      <c r="N92" s="2086"/>
    </row>
    <row r="93" spans="1:14">
      <c r="A93" s="2395"/>
    </row>
    <row r="94" spans="1:14">
      <c r="A94" s="2395"/>
    </row>
  </sheetData>
  <mergeCells count="2">
    <mergeCell ref="G6:I6"/>
    <mergeCell ref="B1:M1"/>
  </mergeCells>
  <pageMargins left="0.54" right="0.17" top="0.75" bottom="0.75" header="0.54" footer="0.3"/>
  <pageSetup paperSize="9" scale="72" orientation="portrait" r:id="rId1"/>
</worksheet>
</file>

<file path=xl/worksheets/sheet37.xml><?xml version="1.0" encoding="utf-8"?>
<worksheet xmlns="http://schemas.openxmlformats.org/spreadsheetml/2006/main" xmlns:r="http://schemas.openxmlformats.org/officeDocument/2006/relationships">
  <dimension ref="A1:R99"/>
  <sheetViews>
    <sheetView zoomScale="70" zoomScaleNormal="70" workbookViewId="0">
      <pane xSplit="2" ySplit="10" topLeftCell="C11" activePane="bottomRight" state="frozen"/>
      <selection activeCell="I18" sqref="I17:I18"/>
      <selection pane="topRight" activeCell="I18" sqref="I17:I18"/>
      <selection pane="bottomLeft" activeCell="I18" sqref="I17:I18"/>
      <selection pane="bottomRight" activeCell="P89" sqref="P89"/>
    </sheetView>
  </sheetViews>
  <sheetFormatPr defaultRowHeight="16.5"/>
  <cols>
    <col min="1" max="1" width="9.140625" style="2087"/>
    <col min="2" max="2" width="9.7109375" style="2202" customWidth="1"/>
    <col min="3" max="3" width="14.140625" style="3523" customWidth="1"/>
    <col min="4" max="4" width="13.7109375" style="2202" customWidth="1"/>
    <col min="5" max="6" width="10.42578125" style="2202" customWidth="1"/>
    <col min="7" max="7" width="10.5703125" style="2202" customWidth="1"/>
    <col min="8" max="8" width="10.7109375" style="2202" customWidth="1"/>
    <col min="9" max="9" width="12.85546875" style="2202" hidden="1" customWidth="1"/>
    <col min="10" max="10" width="10.28515625" style="2202" customWidth="1"/>
    <col min="11" max="11" width="10.42578125" style="2202" customWidth="1"/>
    <col min="12" max="12" width="13.140625" style="2202" hidden="1" customWidth="1"/>
    <col min="13" max="13" width="12.42578125" style="2202" customWidth="1"/>
    <col min="14" max="14" width="10.28515625" style="2202" customWidth="1"/>
    <col min="15" max="257" width="9.140625" style="2087"/>
    <col min="258" max="258" width="10" style="2087" customWidth="1"/>
    <col min="259" max="259" width="11.42578125" style="2087" customWidth="1"/>
    <col min="260" max="260" width="13.28515625" style="2087" customWidth="1"/>
    <col min="261" max="263" width="9.28515625" style="2087" bestFit="1" customWidth="1"/>
    <col min="264" max="264" width="10.7109375" style="2087" customWidth="1"/>
    <col min="265" max="265" width="15.140625" style="2087" customWidth="1"/>
    <col min="266" max="267" width="0" style="2087" hidden="1" customWidth="1"/>
    <col min="268" max="268" width="14.5703125" style="2087" customWidth="1"/>
    <col min="269" max="270" width="0" style="2087" hidden="1" customWidth="1"/>
    <col min="271" max="513" width="9.140625" style="2087"/>
    <col min="514" max="514" width="10" style="2087" customWidth="1"/>
    <col min="515" max="515" width="11.42578125" style="2087" customWidth="1"/>
    <col min="516" max="516" width="13.28515625" style="2087" customWidth="1"/>
    <col min="517" max="519" width="9.28515625" style="2087" bestFit="1" customWidth="1"/>
    <col min="520" max="520" width="10.7109375" style="2087" customWidth="1"/>
    <col min="521" max="521" width="15.140625" style="2087" customWidth="1"/>
    <col min="522" max="523" width="0" style="2087" hidden="1" customWidth="1"/>
    <col min="524" max="524" width="14.5703125" style="2087" customWidth="1"/>
    <col min="525" max="526" width="0" style="2087" hidden="1" customWidth="1"/>
    <col min="527" max="769" width="9.140625" style="2087"/>
    <col min="770" max="770" width="10" style="2087" customWidth="1"/>
    <col min="771" max="771" width="11.42578125" style="2087" customWidth="1"/>
    <col min="772" max="772" width="13.28515625" style="2087" customWidth="1"/>
    <col min="773" max="775" width="9.28515625" style="2087" bestFit="1" customWidth="1"/>
    <col min="776" max="776" width="10.7109375" style="2087" customWidth="1"/>
    <col min="777" max="777" width="15.140625" style="2087" customWidth="1"/>
    <col min="778" max="779" width="0" style="2087" hidden="1" customWidth="1"/>
    <col min="780" max="780" width="14.5703125" style="2087" customWidth="1"/>
    <col min="781" max="782" width="0" style="2087" hidden="1" customWidth="1"/>
    <col min="783" max="1025" width="9.140625" style="2087"/>
    <col min="1026" max="1026" width="10" style="2087" customWidth="1"/>
    <col min="1027" max="1027" width="11.42578125" style="2087" customWidth="1"/>
    <col min="1028" max="1028" width="13.28515625" style="2087" customWidth="1"/>
    <col min="1029" max="1031" width="9.28515625" style="2087" bestFit="1" customWidth="1"/>
    <col min="1032" max="1032" width="10.7109375" style="2087" customWidth="1"/>
    <col min="1033" max="1033" width="15.140625" style="2087" customWidth="1"/>
    <col min="1034" max="1035" width="0" style="2087" hidden="1" customWidth="1"/>
    <col min="1036" max="1036" width="14.5703125" style="2087" customWidth="1"/>
    <col min="1037" max="1038" width="0" style="2087" hidden="1" customWidth="1"/>
    <col min="1039" max="1281" width="9.140625" style="2087"/>
    <col min="1282" max="1282" width="10" style="2087" customWidth="1"/>
    <col min="1283" max="1283" width="11.42578125" style="2087" customWidth="1"/>
    <col min="1284" max="1284" width="13.28515625" style="2087" customWidth="1"/>
    <col min="1285" max="1287" width="9.28515625" style="2087" bestFit="1" customWidth="1"/>
    <col min="1288" max="1288" width="10.7109375" style="2087" customWidth="1"/>
    <col min="1289" max="1289" width="15.140625" style="2087" customWidth="1"/>
    <col min="1290" max="1291" width="0" style="2087" hidden="1" customWidth="1"/>
    <col min="1292" max="1292" width="14.5703125" style="2087" customWidth="1"/>
    <col min="1293" max="1294" width="0" style="2087" hidden="1" customWidth="1"/>
    <col min="1295" max="1537" width="9.140625" style="2087"/>
    <col min="1538" max="1538" width="10" style="2087" customWidth="1"/>
    <col min="1539" max="1539" width="11.42578125" style="2087" customWidth="1"/>
    <col min="1540" max="1540" width="13.28515625" style="2087" customWidth="1"/>
    <col min="1541" max="1543" width="9.28515625" style="2087" bestFit="1" customWidth="1"/>
    <col min="1544" max="1544" width="10.7109375" style="2087" customWidth="1"/>
    <col min="1545" max="1545" width="15.140625" style="2087" customWidth="1"/>
    <col min="1546" max="1547" width="0" style="2087" hidden="1" customWidth="1"/>
    <col min="1548" max="1548" width="14.5703125" style="2087" customWidth="1"/>
    <col min="1549" max="1550" width="0" style="2087" hidden="1" customWidth="1"/>
    <col min="1551" max="1793" width="9.140625" style="2087"/>
    <col min="1794" max="1794" width="10" style="2087" customWidth="1"/>
    <col min="1795" max="1795" width="11.42578125" style="2087" customWidth="1"/>
    <col min="1796" max="1796" width="13.28515625" style="2087" customWidth="1"/>
    <col min="1797" max="1799" width="9.28515625" style="2087" bestFit="1" customWidth="1"/>
    <col min="1800" max="1800" width="10.7109375" style="2087" customWidth="1"/>
    <col min="1801" max="1801" width="15.140625" style="2087" customWidth="1"/>
    <col min="1802" max="1803" width="0" style="2087" hidden="1" customWidth="1"/>
    <col min="1804" max="1804" width="14.5703125" style="2087" customWidth="1"/>
    <col min="1805" max="1806" width="0" style="2087" hidden="1" customWidth="1"/>
    <col min="1807" max="2049" width="9.140625" style="2087"/>
    <col min="2050" max="2050" width="10" style="2087" customWidth="1"/>
    <col min="2051" max="2051" width="11.42578125" style="2087" customWidth="1"/>
    <col min="2052" max="2052" width="13.28515625" style="2087" customWidth="1"/>
    <col min="2053" max="2055" width="9.28515625" style="2087" bestFit="1" customWidth="1"/>
    <col min="2056" max="2056" width="10.7109375" style="2087" customWidth="1"/>
    <col min="2057" max="2057" width="15.140625" style="2087" customWidth="1"/>
    <col min="2058" max="2059" width="0" style="2087" hidden="1" customWidth="1"/>
    <col min="2060" max="2060" width="14.5703125" style="2087" customWidth="1"/>
    <col min="2061" max="2062" width="0" style="2087" hidden="1" customWidth="1"/>
    <col min="2063" max="2305" width="9.140625" style="2087"/>
    <col min="2306" max="2306" width="10" style="2087" customWidth="1"/>
    <col min="2307" max="2307" width="11.42578125" style="2087" customWidth="1"/>
    <col min="2308" max="2308" width="13.28515625" style="2087" customWidth="1"/>
    <col min="2309" max="2311" width="9.28515625" style="2087" bestFit="1" customWidth="1"/>
    <col min="2312" max="2312" width="10.7109375" style="2087" customWidth="1"/>
    <col min="2313" max="2313" width="15.140625" style="2087" customWidth="1"/>
    <col min="2314" max="2315" width="0" style="2087" hidden="1" customWidth="1"/>
    <col min="2316" max="2316" width="14.5703125" style="2087" customWidth="1"/>
    <col min="2317" max="2318" width="0" style="2087" hidden="1" customWidth="1"/>
    <col min="2319" max="2561" width="9.140625" style="2087"/>
    <col min="2562" max="2562" width="10" style="2087" customWidth="1"/>
    <col min="2563" max="2563" width="11.42578125" style="2087" customWidth="1"/>
    <col min="2564" max="2564" width="13.28515625" style="2087" customWidth="1"/>
    <col min="2565" max="2567" width="9.28515625" style="2087" bestFit="1" customWidth="1"/>
    <col min="2568" max="2568" width="10.7109375" style="2087" customWidth="1"/>
    <col min="2569" max="2569" width="15.140625" style="2087" customWidth="1"/>
    <col min="2570" max="2571" width="0" style="2087" hidden="1" customWidth="1"/>
    <col min="2572" max="2572" width="14.5703125" style="2087" customWidth="1"/>
    <col min="2573" max="2574" width="0" style="2087" hidden="1" customWidth="1"/>
    <col min="2575" max="2817" width="9.140625" style="2087"/>
    <col min="2818" max="2818" width="10" style="2087" customWidth="1"/>
    <col min="2819" max="2819" width="11.42578125" style="2087" customWidth="1"/>
    <col min="2820" max="2820" width="13.28515625" style="2087" customWidth="1"/>
    <col min="2821" max="2823" width="9.28515625" style="2087" bestFit="1" customWidth="1"/>
    <col min="2824" max="2824" width="10.7109375" style="2087" customWidth="1"/>
    <col min="2825" max="2825" width="15.140625" style="2087" customWidth="1"/>
    <col min="2826" max="2827" width="0" style="2087" hidden="1" customWidth="1"/>
    <col min="2828" max="2828" width="14.5703125" style="2087" customWidth="1"/>
    <col min="2829" max="2830" width="0" style="2087" hidden="1" customWidth="1"/>
    <col min="2831" max="3073" width="9.140625" style="2087"/>
    <col min="3074" max="3074" width="10" style="2087" customWidth="1"/>
    <col min="3075" max="3075" width="11.42578125" style="2087" customWidth="1"/>
    <col min="3076" max="3076" width="13.28515625" style="2087" customWidth="1"/>
    <col min="3077" max="3079" width="9.28515625" style="2087" bestFit="1" customWidth="1"/>
    <col min="3080" max="3080" width="10.7109375" style="2087" customWidth="1"/>
    <col min="3081" max="3081" width="15.140625" style="2087" customWidth="1"/>
    <col min="3082" max="3083" width="0" style="2087" hidden="1" customWidth="1"/>
    <col min="3084" max="3084" width="14.5703125" style="2087" customWidth="1"/>
    <col min="3085" max="3086" width="0" style="2087" hidden="1" customWidth="1"/>
    <col min="3087" max="3329" width="9.140625" style="2087"/>
    <col min="3330" max="3330" width="10" style="2087" customWidth="1"/>
    <col min="3331" max="3331" width="11.42578125" style="2087" customWidth="1"/>
    <col min="3332" max="3332" width="13.28515625" style="2087" customWidth="1"/>
    <col min="3333" max="3335" width="9.28515625" style="2087" bestFit="1" customWidth="1"/>
    <col min="3336" max="3336" width="10.7109375" style="2087" customWidth="1"/>
    <col min="3337" max="3337" width="15.140625" style="2087" customWidth="1"/>
    <col min="3338" max="3339" width="0" style="2087" hidden="1" customWidth="1"/>
    <col min="3340" max="3340" width="14.5703125" style="2087" customWidth="1"/>
    <col min="3341" max="3342" width="0" style="2087" hidden="1" customWidth="1"/>
    <col min="3343" max="3585" width="9.140625" style="2087"/>
    <col min="3586" max="3586" width="10" style="2087" customWidth="1"/>
    <col min="3587" max="3587" width="11.42578125" style="2087" customWidth="1"/>
    <col min="3588" max="3588" width="13.28515625" style="2087" customWidth="1"/>
    <col min="3589" max="3591" width="9.28515625" style="2087" bestFit="1" customWidth="1"/>
    <col min="3592" max="3592" width="10.7109375" style="2087" customWidth="1"/>
    <col min="3593" max="3593" width="15.140625" style="2087" customWidth="1"/>
    <col min="3594" max="3595" width="0" style="2087" hidden="1" customWidth="1"/>
    <col min="3596" max="3596" width="14.5703125" style="2087" customWidth="1"/>
    <col min="3597" max="3598" width="0" style="2087" hidden="1" customWidth="1"/>
    <col min="3599" max="3841" width="9.140625" style="2087"/>
    <col min="3842" max="3842" width="10" style="2087" customWidth="1"/>
    <col min="3843" max="3843" width="11.42578125" style="2087" customWidth="1"/>
    <col min="3844" max="3844" width="13.28515625" style="2087" customWidth="1"/>
    <col min="3845" max="3847" width="9.28515625" style="2087" bestFit="1" customWidth="1"/>
    <col min="3848" max="3848" width="10.7109375" style="2087" customWidth="1"/>
    <col min="3849" max="3849" width="15.140625" style="2087" customWidth="1"/>
    <col min="3850" max="3851" width="0" style="2087" hidden="1" customWidth="1"/>
    <col min="3852" max="3852" width="14.5703125" style="2087" customWidth="1"/>
    <col min="3853" max="3854" width="0" style="2087" hidden="1" customWidth="1"/>
    <col min="3855" max="4097" width="9.140625" style="2087"/>
    <col min="4098" max="4098" width="10" style="2087" customWidth="1"/>
    <col min="4099" max="4099" width="11.42578125" style="2087" customWidth="1"/>
    <col min="4100" max="4100" width="13.28515625" style="2087" customWidth="1"/>
    <col min="4101" max="4103" width="9.28515625" style="2087" bestFit="1" customWidth="1"/>
    <col min="4104" max="4104" width="10.7109375" style="2087" customWidth="1"/>
    <col min="4105" max="4105" width="15.140625" style="2087" customWidth="1"/>
    <col min="4106" max="4107" width="0" style="2087" hidden="1" customWidth="1"/>
    <col min="4108" max="4108" width="14.5703125" style="2087" customWidth="1"/>
    <col min="4109" max="4110" width="0" style="2087" hidden="1" customWidth="1"/>
    <col min="4111" max="4353" width="9.140625" style="2087"/>
    <col min="4354" max="4354" width="10" style="2087" customWidth="1"/>
    <col min="4355" max="4355" width="11.42578125" style="2087" customWidth="1"/>
    <col min="4356" max="4356" width="13.28515625" style="2087" customWidth="1"/>
    <col min="4357" max="4359" width="9.28515625" style="2087" bestFit="1" customWidth="1"/>
    <col min="4360" max="4360" width="10.7109375" style="2087" customWidth="1"/>
    <col min="4361" max="4361" width="15.140625" style="2087" customWidth="1"/>
    <col min="4362" max="4363" width="0" style="2087" hidden="1" customWidth="1"/>
    <col min="4364" max="4364" width="14.5703125" style="2087" customWidth="1"/>
    <col min="4365" max="4366" width="0" style="2087" hidden="1" customWidth="1"/>
    <col min="4367" max="4609" width="9.140625" style="2087"/>
    <col min="4610" max="4610" width="10" style="2087" customWidth="1"/>
    <col min="4611" max="4611" width="11.42578125" style="2087" customWidth="1"/>
    <col min="4612" max="4612" width="13.28515625" style="2087" customWidth="1"/>
    <col min="4613" max="4615" width="9.28515625" style="2087" bestFit="1" customWidth="1"/>
    <col min="4616" max="4616" width="10.7109375" style="2087" customWidth="1"/>
    <col min="4617" max="4617" width="15.140625" style="2087" customWidth="1"/>
    <col min="4618" max="4619" width="0" style="2087" hidden="1" customWidth="1"/>
    <col min="4620" max="4620" width="14.5703125" style="2087" customWidth="1"/>
    <col min="4621" max="4622" width="0" style="2087" hidden="1" customWidth="1"/>
    <col min="4623" max="4865" width="9.140625" style="2087"/>
    <col min="4866" max="4866" width="10" style="2087" customWidth="1"/>
    <col min="4867" max="4867" width="11.42578125" style="2087" customWidth="1"/>
    <col min="4868" max="4868" width="13.28515625" style="2087" customWidth="1"/>
    <col min="4869" max="4871" width="9.28515625" style="2087" bestFit="1" customWidth="1"/>
    <col min="4872" max="4872" width="10.7109375" style="2087" customWidth="1"/>
    <col min="4873" max="4873" width="15.140625" style="2087" customWidth="1"/>
    <col min="4874" max="4875" width="0" style="2087" hidden="1" customWidth="1"/>
    <col min="4876" max="4876" width="14.5703125" style="2087" customWidth="1"/>
    <col min="4877" max="4878" width="0" style="2087" hidden="1" customWidth="1"/>
    <col min="4879" max="5121" width="9.140625" style="2087"/>
    <col min="5122" max="5122" width="10" style="2087" customWidth="1"/>
    <col min="5123" max="5123" width="11.42578125" style="2087" customWidth="1"/>
    <col min="5124" max="5124" width="13.28515625" style="2087" customWidth="1"/>
    <col min="5125" max="5127" width="9.28515625" style="2087" bestFit="1" customWidth="1"/>
    <col min="5128" max="5128" width="10.7109375" style="2087" customWidth="1"/>
    <col min="5129" max="5129" width="15.140625" style="2087" customWidth="1"/>
    <col min="5130" max="5131" width="0" style="2087" hidden="1" customWidth="1"/>
    <col min="5132" max="5132" width="14.5703125" style="2087" customWidth="1"/>
    <col min="5133" max="5134" width="0" style="2087" hidden="1" customWidth="1"/>
    <col min="5135" max="5377" width="9.140625" style="2087"/>
    <col min="5378" max="5378" width="10" style="2087" customWidth="1"/>
    <col min="5379" max="5379" width="11.42578125" style="2087" customWidth="1"/>
    <col min="5380" max="5380" width="13.28515625" style="2087" customWidth="1"/>
    <col min="5381" max="5383" width="9.28515625" style="2087" bestFit="1" customWidth="1"/>
    <col min="5384" max="5384" width="10.7109375" style="2087" customWidth="1"/>
    <col min="5385" max="5385" width="15.140625" style="2087" customWidth="1"/>
    <col min="5386" max="5387" width="0" style="2087" hidden="1" customWidth="1"/>
    <col min="5388" max="5388" width="14.5703125" style="2087" customWidth="1"/>
    <col min="5389" max="5390" width="0" style="2087" hidden="1" customWidth="1"/>
    <col min="5391" max="5633" width="9.140625" style="2087"/>
    <col min="5634" max="5634" width="10" style="2087" customWidth="1"/>
    <col min="5635" max="5635" width="11.42578125" style="2087" customWidth="1"/>
    <col min="5636" max="5636" width="13.28515625" style="2087" customWidth="1"/>
    <col min="5637" max="5639" width="9.28515625" style="2087" bestFit="1" customWidth="1"/>
    <col min="5640" max="5640" width="10.7109375" style="2087" customWidth="1"/>
    <col min="5641" max="5641" width="15.140625" style="2087" customWidth="1"/>
    <col min="5642" max="5643" width="0" style="2087" hidden="1" customWidth="1"/>
    <col min="5644" max="5644" width="14.5703125" style="2087" customWidth="1"/>
    <col min="5645" max="5646" width="0" style="2087" hidden="1" customWidth="1"/>
    <col min="5647" max="5889" width="9.140625" style="2087"/>
    <col min="5890" max="5890" width="10" style="2087" customWidth="1"/>
    <col min="5891" max="5891" width="11.42578125" style="2087" customWidth="1"/>
    <col min="5892" max="5892" width="13.28515625" style="2087" customWidth="1"/>
    <col min="5893" max="5895" width="9.28515625" style="2087" bestFit="1" customWidth="1"/>
    <col min="5896" max="5896" width="10.7109375" style="2087" customWidth="1"/>
    <col min="5897" max="5897" width="15.140625" style="2087" customWidth="1"/>
    <col min="5898" max="5899" width="0" style="2087" hidden="1" customWidth="1"/>
    <col min="5900" max="5900" width="14.5703125" style="2087" customWidth="1"/>
    <col min="5901" max="5902" width="0" style="2087" hidden="1" customWidth="1"/>
    <col min="5903" max="6145" width="9.140625" style="2087"/>
    <col min="6146" max="6146" width="10" style="2087" customWidth="1"/>
    <col min="6147" max="6147" width="11.42578125" style="2087" customWidth="1"/>
    <col min="6148" max="6148" width="13.28515625" style="2087" customWidth="1"/>
    <col min="6149" max="6151" width="9.28515625" style="2087" bestFit="1" customWidth="1"/>
    <col min="6152" max="6152" width="10.7109375" style="2087" customWidth="1"/>
    <col min="6153" max="6153" width="15.140625" style="2087" customWidth="1"/>
    <col min="6154" max="6155" width="0" style="2087" hidden="1" customWidth="1"/>
    <col min="6156" max="6156" width="14.5703125" style="2087" customWidth="1"/>
    <col min="6157" max="6158" width="0" style="2087" hidden="1" customWidth="1"/>
    <col min="6159" max="6401" width="9.140625" style="2087"/>
    <col min="6402" max="6402" width="10" style="2087" customWidth="1"/>
    <col min="6403" max="6403" width="11.42578125" style="2087" customWidth="1"/>
    <col min="6404" max="6404" width="13.28515625" style="2087" customWidth="1"/>
    <col min="6405" max="6407" width="9.28515625" style="2087" bestFit="1" customWidth="1"/>
    <col min="6408" max="6408" width="10.7109375" style="2087" customWidth="1"/>
    <col min="6409" max="6409" width="15.140625" style="2087" customWidth="1"/>
    <col min="6410" max="6411" width="0" style="2087" hidden="1" customWidth="1"/>
    <col min="6412" max="6412" width="14.5703125" style="2087" customWidth="1"/>
    <col min="6413" max="6414" width="0" style="2087" hidden="1" customWidth="1"/>
    <col min="6415" max="6657" width="9.140625" style="2087"/>
    <col min="6658" max="6658" width="10" style="2087" customWidth="1"/>
    <col min="6659" max="6659" width="11.42578125" style="2087" customWidth="1"/>
    <col min="6660" max="6660" width="13.28515625" style="2087" customWidth="1"/>
    <col min="6661" max="6663" width="9.28515625" style="2087" bestFit="1" customWidth="1"/>
    <col min="6664" max="6664" width="10.7109375" style="2087" customWidth="1"/>
    <col min="6665" max="6665" width="15.140625" style="2087" customWidth="1"/>
    <col min="6666" max="6667" width="0" style="2087" hidden="1" customWidth="1"/>
    <col min="6668" max="6668" width="14.5703125" style="2087" customWidth="1"/>
    <col min="6669" max="6670" width="0" style="2087" hidden="1" customWidth="1"/>
    <col min="6671" max="6913" width="9.140625" style="2087"/>
    <col min="6914" max="6914" width="10" style="2087" customWidth="1"/>
    <col min="6915" max="6915" width="11.42578125" style="2087" customWidth="1"/>
    <col min="6916" max="6916" width="13.28515625" style="2087" customWidth="1"/>
    <col min="6917" max="6919" width="9.28515625" style="2087" bestFit="1" customWidth="1"/>
    <col min="6920" max="6920" width="10.7109375" style="2087" customWidth="1"/>
    <col min="6921" max="6921" width="15.140625" style="2087" customWidth="1"/>
    <col min="6922" max="6923" width="0" style="2087" hidden="1" customWidth="1"/>
    <col min="6924" max="6924" width="14.5703125" style="2087" customWidth="1"/>
    <col min="6925" max="6926" width="0" style="2087" hidden="1" customWidth="1"/>
    <col min="6927" max="7169" width="9.140625" style="2087"/>
    <col min="7170" max="7170" width="10" style="2087" customWidth="1"/>
    <col min="7171" max="7171" width="11.42578125" style="2087" customWidth="1"/>
    <col min="7172" max="7172" width="13.28515625" style="2087" customWidth="1"/>
    <col min="7173" max="7175" width="9.28515625" style="2087" bestFit="1" customWidth="1"/>
    <col min="7176" max="7176" width="10.7109375" style="2087" customWidth="1"/>
    <col min="7177" max="7177" width="15.140625" style="2087" customWidth="1"/>
    <col min="7178" max="7179" width="0" style="2087" hidden="1" customWidth="1"/>
    <col min="7180" max="7180" width="14.5703125" style="2087" customWidth="1"/>
    <col min="7181" max="7182" width="0" style="2087" hidden="1" customWidth="1"/>
    <col min="7183" max="7425" width="9.140625" style="2087"/>
    <col min="7426" max="7426" width="10" style="2087" customWidth="1"/>
    <col min="7427" max="7427" width="11.42578125" style="2087" customWidth="1"/>
    <col min="7428" max="7428" width="13.28515625" style="2087" customWidth="1"/>
    <col min="7429" max="7431" width="9.28515625" style="2087" bestFit="1" customWidth="1"/>
    <col min="7432" max="7432" width="10.7109375" style="2087" customWidth="1"/>
    <col min="7433" max="7433" width="15.140625" style="2087" customWidth="1"/>
    <col min="7434" max="7435" width="0" style="2087" hidden="1" customWidth="1"/>
    <col min="7436" max="7436" width="14.5703125" style="2087" customWidth="1"/>
    <col min="7437" max="7438" width="0" style="2087" hidden="1" customWidth="1"/>
    <col min="7439" max="7681" width="9.140625" style="2087"/>
    <col min="7682" max="7682" width="10" style="2087" customWidth="1"/>
    <col min="7683" max="7683" width="11.42578125" style="2087" customWidth="1"/>
    <col min="7684" max="7684" width="13.28515625" style="2087" customWidth="1"/>
    <col min="7685" max="7687" width="9.28515625" style="2087" bestFit="1" customWidth="1"/>
    <col min="7688" max="7688" width="10.7109375" style="2087" customWidth="1"/>
    <col min="7689" max="7689" width="15.140625" style="2087" customWidth="1"/>
    <col min="7690" max="7691" width="0" style="2087" hidden="1" customWidth="1"/>
    <col min="7692" max="7692" width="14.5703125" style="2087" customWidth="1"/>
    <col min="7693" max="7694" width="0" style="2087" hidden="1" customWidth="1"/>
    <col min="7695" max="7937" width="9.140625" style="2087"/>
    <col min="7938" max="7938" width="10" style="2087" customWidth="1"/>
    <col min="7939" max="7939" width="11.42578125" style="2087" customWidth="1"/>
    <col min="7940" max="7940" width="13.28515625" style="2087" customWidth="1"/>
    <col min="7941" max="7943" width="9.28515625" style="2087" bestFit="1" customWidth="1"/>
    <col min="7944" max="7944" width="10.7109375" style="2087" customWidth="1"/>
    <col min="7945" max="7945" width="15.140625" style="2087" customWidth="1"/>
    <col min="7946" max="7947" width="0" style="2087" hidden="1" customWidth="1"/>
    <col min="7948" max="7948" width="14.5703125" style="2087" customWidth="1"/>
    <col min="7949" max="7950" width="0" style="2087" hidden="1" customWidth="1"/>
    <col min="7951" max="8193" width="9.140625" style="2087"/>
    <col min="8194" max="8194" width="10" style="2087" customWidth="1"/>
    <col min="8195" max="8195" width="11.42578125" style="2087" customWidth="1"/>
    <col min="8196" max="8196" width="13.28515625" style="2087" customWidth="1"/>
    <col min="8197" max="8199" width="9.28515625" style="2087" bestFit="1" customWidth="1"/>
    <col min="8200" max="8200" width="10.7109375" style="2087" customWidth="1"/>
    <col min="8201" max="8201" width="15.140625" style="2087" customWidth="1"/>
    <col min="8202" max="8203" width="0" style="2087" hidden="1" customWidth="1"/>
    <col min="8204" max="8204" width="14.5703125" style="2087" customWidth="1"/>
    <col min="8205" max="8206" width="0" style="2087" hidden="1" customWidth="1"/>
    <col min="8207" max="8449" width="9.140625" style="2087"/>
    <col min="8450" max="8450" width="10" style="2087" customWidth="1"/>
    <col min="8451" max="8451" width="11.42578125" style="2087" customWidth="1"/>
    <col min="8452" max="8452" width="13.28515625" style="2087" customWidth="1"/>
    <col min="8453" max="8455" width="9.28515625" style="2087" bestFit="1" customWidth="1"/>
    <col min="8456" max="8456" width="10.7109375" style="2087" customWidth="1"/>
    <col min="8457" max="8457" width="15.140625" style="2087" customWidth="1"/>
    <col min="8458" max="8459" width="0" style="2087" hidden="1" customWidth="1"/>
    <col min="8460" max="8460" width="14.5703125" style="2087" customWidth="1"/>
    <col min="8461" max="8462" width="0" style="2087" hidden="1" customWidth="1"/>
    <col min="8463" max="8705" width="9.140625" style="2087"/>
    <col min="8706" max="8706" width="10" style="2087" customWidth="1"/>
    <col min="8707" max="8707" width="11.42578125" style="2087" customWidth="1"/>
    <col min="8708" max="8708" width="13.28515625" style="2087" customWidth="1"/>
    <col min="8709" max="8711" width="9.28515625" style="2087" bestFit="1" customWidth="1"/>
    <col min="8712" max="8712" width="10.7109375" style="2087" customWidth="1"/>
    <col min="8713" max="8713" width="15.140625" style="2087" customWidth="1"/>
    <col min="8714" max="8715" width="0" style="2087" hidden="1" customWidth="1"/>
    <col min="8716" max="8716" width="14.5703125" style="2087" customWidth="1"/>
    <col min="8717" max="8718" width="0" style="2087" hidden="1" customWidth="1"/>
    <col min="8719" max="8961" width="9.140625" style="2087"/>
    <col min="8962" max="8962" width="10" style="2087" customWidth="1"/>
    <col min="8963" max="8963" width="11.42578125" style="2087" customWidth="1"/>
    <col min="8964" max="8964" width="13.28515625" style="2087" customWidth="1"/>
    <col min="8965" max="8967" width="9.28515625" style="2087" bestFit="1" customWidth="1"/>
    <col min="8968" max="8968" width="10.7109375" style="2087" customWidth="1"/>
    <col min="8969" max="8969" width="15.140625" style="2087" customWidth="1"/>
    <col min="8970" max="8971" width="0" style="2087" hidden="1" customWidth="1"/>
    <col min="8972" max="8972" width="14.5703125" style="2087" customWidth="1"/>
    <col min="8973" max="8974" width="0" style="2087" hidden="1" customWidth="1"/>
    <col min="8975" max="9217" width="9.140625" style="2087"/>
    <col min="9218" max="9218" width="10" style="2087" customWidth="1"/>
    <col min="9219" max="9219" width="11.42578125" style="2087" customWidth="1"/>
    <col min="9220" max="9220" width="13.28515625" style="2087" customWidth="1"/>
    <col min="9221" max="9223" width="9.28515625" style="2087" bestFit="1" customWidth="1"/>
    <col min="9224" max="9224" width="10.7109375" style="2087" customWidth="1"/>
    <col min="9225" max="9225" width="15.140625" style="2087" customWidth="1"/>
    <col min="9226" max="9227" width="0" style="2087" hidden="1" customWidth="1"/>
    <col min="9228" max="9228" width="14.5703125" style="2087" customWidth="1"/>
    <col min="9229" max="9230" width="0" style="2087" hidden="1" customWidth="1"/>
    <col min="9231" max="9473" width="9.140625" style="2087"/>
    <col min="9474" max="9474" width="10" style="2087" customWidth="1"/>
    <col min="9475" max="9475" width="11.42578125" style="2087" customWidth="1"/>
    <col min="9476" max="9476" width="13.28515625" style="2087" customWidth="1"/>
    <col min="9477" max="9479" width="9.28515625" style="2087" bestFit="1" customWidth="1"/>
    <col min="9480" max="9480" width="10.7109375" style="2087" customWidth="1"/>
    <col min="9481" max="9481" width="15.140625" style="2087" customWidth="1"/>
    <col min="9482" max="9483" width="0" style="2087" hidden="1" customWidth="1"/>
    <col min="9484" max="9484" width="14.5703125" style="2087" customWidth="1"/>
    <col min="9485" max="9486" width="0" style="2087" hidden="1" customWidth="1"/>
    <col min="9487" max="9729" width="9.140625" style="2087"/>
    <col min="9730" max="9730" width="10" style="2087" customWidth="1"/>
    <col min="9731" max="9731" width="11.42578125" style="2087" customWidth="1"/>
    <col min="9732" max="9732" width="13.28515625" style="2087" customWidth="1"/>
    <col min="9733" max="9735" width="9.28515625" style="2087" bestFit="1" customWidth="1"/>
    <col min="9736" max="9736" width="10.7109375" style="2087" customWidth="1"/>
    <col min="9737" max="9737" width="15.140625" style="2087" customWidth="1"/>
    <col min="9738" max="9739" width="0" style="2087" hidden="1" customWidth="1"/>
    <col min="9740" max="9740" width="14.5703125" style="2087" customWidth="1"/>
    <col min="9741" max="9742" width="0" style="2087" hidden="1" customWidth="1"/>
    <col min="9743" max="9985" width="9.140625" style="2087"/>
    <col min="9986" max="9986" width="10" style="2087" customWidth="1"/>
    <col min="9987" max="9987" width="11.42578125" style="2087" customWidth="1"/>
    <col min="9988" max="9988" width="13.28515625" style="2087" customWidth="1"/>
    <col min="9989" max="9991" width="9.28515625" style="2087" bestFit="1" customWidth="1"/>
    <col min="9992" max="9992" width="10.7109375" style="2087" customWidth="1"/>
    <col min="9993" max="9993" width="15.140625" style="2087" customWidth="1"/>
    <col min="9994" max="9995" width="0" style="2087" hidden="1" customWidth="1"/>
    <col min="9996" max="9996" width="14.5703125" style="2087" customWidth="1"/>
    <col min="9997" max="9998" width="0" style="2087" hidden="1" customWidth="1"/>
    <col min="9999" max="10241" width="9.140625" style="2087"/>
    <col min="10242" max="10242" width="10" style="2087" customWidth="1"/>
    <col min="10243" max="10243" width="11.42578125" style="2087" customWidth="1"/>
    <col min="10244" max="10244" width="13.28515625" style="2087" customWidth="1"/>
    <col min="10245" max="10247" width="9.28515625" style="2087" bestFit="1" customWidth="1"/>
    <col min="10248" max="10248" width="10.7109375" style="2087" customWidth="1"/>
    <col min="10249" max="10249" width="15.140625" style="2087" customWidth="1"/>
    <col min="10250" max="10251" width="0" style="2087" hidden="1" customWidth="1"/>
    <col min="10252" max="10252" width="14.5703125" style="2087" customWidth="1"/>
    <col min="10253" max="10254" width="0" style="2087" hidden="1" customWidth="1"/>
    <col min="10255" max="10497" width="9.140625" style="2087"/>
    <col min="10498" max="10498" width="10" style="2087" customWidth="1"/>
    <col min="10499" max="10499" width="11.42578125" style="2087" customWidth="1"/>
    <col min="10500" max="10500" width="13.28515625" style="2087" customWidth="1"/>
    <col min="10501" max="10503" width="9.28515625" style="2087" bestFit="1" customWidth="1"/>
    <col min="10504" max="10504" width="10.7109375" style="2087" customWidth="1"/>
    <col min="10505" max="10505" width="15.140625" style="2087" customWidth="1"/>
    <col min="10506" max="10507" width="0" style="2087" hidden="1" customWidth="1"/>
    <col min="10508" max="10508" width="14.5703125" style="2087" customWidth="1"/>
    <col min="10509" max="10510" width="0" style="2087" hidden="1" customWidth="1"/>
    <col min="10511" max="10753" width="9.140625" style="2087"/>
    <col min="10754" max="10754" width="10" style="2087" customWidth="1"/>
    <col min="10755" max="10755" width="11.42578125" style="2087" customWidth="1"/>
    <col min="10756" max="10756" width="13.28515625" style="2087" customWidth="1"/>
    <col min="10757" max="10759" width="9.28515625" style="2087" bestFit="1" customWidth="1"/>
    <col min="10760" max="10760" width="10.7109375" style="2087" customWidth="1"/>
    <col min="10761" max="10761" width="15.140625" style="2087" customWidth="1"/>
    <col min="10762" max="10763" width="0" style="2087" hidden="1" customWidth="1"/>
    <col min="10764" max="10764" width="14.5703125" style="2087" customWidth="1"/>
    <col min="10765" max="10766" width="0" style="2087" hidden="1" customWidth="1"/>
    <col min="10767" max="11009" width="9.140625" style="2087"/>
    <col min="11010" max="11010" width="10" style="2087" customWidth="1"/>
    <col min="11011" max="11011" width="11.42578125" style="2087" customWidth="1"/>
    <col min="11012" max="11012" width="13.28515625" style="2087" customWidth="1"/>
    <col min="11013" max="11015" width="9.28515625" style="2087" bestFit="1" customWidth="1"/>
    <col min="11016" max="11016" width="10.7109375" style="2087" customWidth="1"/>
    <col min="11017" max="11017" width="15.140625" style="2087" customWidth="1"/>
    <col min="11018" max="11019" width="0" style="2087" hidden="1" customWidth="1"/>
    <col min="11020" max="11020" width="14.5703125" style="2087" customWidth="1"/>
    <col min="11021" max="11022" width="0" style="2087" hidden="1" customWidth="1"/>
    <col min="11023" max="11265" width="9.140625" style="2087"/>
    <col min="11266" max="11266" width="10" style="2087" customWidth="1"/>
    <col min="11267" max="11267" width="11.42578125" style="2087" customWidth="1"/>
    <col min="11268" max="11268" width="13.28515625" style="2087" customWidth="1"/>
    <col min="11269" max="11271" width="9.28515625" style="2087" bestFit="1" customWidth="1"/>
    <col min="11272" max="11272" width="10.7109375" style="2087" customWidth="1"/>
    <col min="11273" max="11273" width="15.140625" style="2087" customWidth="1"/>
    <col min="11274" max="11275" width="0" style="2087" hidden="1" customWidth="1"/>
    <col min="11276" max="11276" width="14.5703125" style="2087" customWidth="1"/>
    <col min="11277" max="11278" width="0" style="2087" hidden="1" customWidth="1"/>
    <col min="11279" max="11521" width="9.140625" style="2087"/>
    <col min="11522" max="11522" width="10" style="2087" customWidth="1"/>
    <col min="11523" max="11523" width="11.42578125" style="2087" customWidth="1"/>
    <col min="11524" max="11524" width="13.28515625" style="2087" customWidth="1"/>
    <col min="11525" max="11527" width="9.28515625" style="2087" bestFit="1" customWidth="1"/>
    <col min="11528" max="11528" width="10.7109375" style="2087" customWidth="1"/>
    <col min="11529" max="11529" width="15.140625" style="2087" customWidth="1"/>
    <col min="11530" max="11531" width="0" style="2087" hidden="1" customWidth="1"/>
    <col min="11532" max="11532" width="14.5703125" style="2087" customWidth="1"/>
    <col min="11533" max="11534" width="0" style="2087" hidden="1" customWidth="1"/>
    <col min="11535" max="11777" width="9.140625" style="2087"/>
    <col min="11778" max="11778" width="10" style="2087" customWidth="1"/>
    <col min="11779" max="11779" width="11.42578125" style="2087" customWidth="1"/>
    <col min="11780" max="11780" width="13.28515625" style="2087" customWidth="1"/>
    <col min="11781" max="11783" width="9.28515625" style="2087" bestFit="1" customWidth="1"/>
    <col min="11784" max="11784" width="10.7109375" style="2087" customWidth="1"/>
    <col min="11785" max="11785" width="15.140625" style="2087" customWidth="1"/>
    <col min="11786" max="11787" width="0" style="2087" hidden="1" customWidth="1"/>
    <col min="11788" max="11788" width="14.5703125" style="2087" customWidth="1"/>
    <col min="11789" max="11790" width="0" style="2087" hidden="1" customWidth="1"/>
    <col min="11791" max="12033" width="9.140625" style="2087"/>
    <col min="12034" max="12034" width="10" style="2087" customWidth="1"/>
    <col min="12035" max="12035" width="11.42578125" style="2087" customWidth="1"/>
    <col min="12036" max="12036" width="13.28515625" style="2087" customWidth="1"/>
    <col min="12037" max="12039" width="9.28515625" style="2087" bestFit="1" customWidth="1"/>
    <col min="12040" max="12040" width="10.7109375" style="2087" customWidth="1"/>
    <col min="12041" max="12041" width="15.140625" style="2087" customWidth="1"/>
    <col min="12042" max="12043" width="0" style="2087" hidden="1" customWidth="1"/>
    <col min="12044" max="12044" width="14.5703125" style="2087" customWidth="1"/>
    <col min="12045" max="12046" width="0" style="2087" hidden="1" customWidth="1"/>
    <col min="12047" max="12289" width="9.140625" style="2087"/>
    <col min="12290" max="12290" width="10" style="2087" customWidth="1"/>
    <col min="12291" max="12291" width="11.42578125" style="2087" customWidth="1"/>
    <col min="12292" max="12292" width="13.28515625" style="2087" customWidth="1"/>
    <col min="12293" max="12295" width="9.28515625" style="2087" bestFit="1" customWidth="1"/>
    <col min="12296" max="12296" width="10.7109375" style="2087" customWidth="1"/>
    <col min="12297" max="12297" width="15.140625" style="2087" customWidth="1"/>
    <col min="12298" max="12299" width="0" style="2087" hidden="1" customWidth="1"/>
    <col min="12300" max="12300" width="14.5703125" style="2087" customWidth="1"/>
    <col min="12301" max="12302" width="0" style="2087" hidden="1" customWidth="1"/>
    <col min="12303" max="12545" width="9.140625" style="2087"/>
    <col min="12546" max="12546" width="10" style="2087" customWidth="1"/>
    <col min="12547" max="12547" width="11.42578125" style="2087" customWidth="1"/>
    <col min="12548" max="12548" width="13.28515625" style="2087" customWidth="1"/>
    <col min="12549" max="12551" width="9.28515625" style="2087" bestFit="1" customWidth="1"/>
    <col min="12552" max="12552" width="10.7109375" style="2087" customWidth="1"/>
    <col min="12553" max="12553" width="15.140625" style="2087" customWidth="1"/>
    <col min="12554" max="12555" width="0" style="2087" hidden="1" customWidth="1"/>
    <col min="12556" max="12556" width="14.5703125" style="2087" customWidth="1"/>
    <col min="12557" max="12558" width="0" style="2087" hidden="1" customWidth="1"/>
    <col min="12559" max="12801" width="9.140625" style="2087"/>
    <col min="12802" max="12802" width="10" style="2087" customWidth="1"/>
    <col min="12803" max="12803" width="11.42578125" style="2087" customWidth="1"/>
    <col min="12804" max="12804" width="13.28515625" style="2087" customWidth="1"/>
    <col min="12805" max="12807" width="9.28515625" style="2087" bestFit="1" customWidth="1"/>
    <col min="12808" max="12808" width="10.7109375" style="2087" customWidth="1"/>
    <col min="12809" max="12809" width="15.140625" style="2087" customWidth="1"/>
    <col min="12810" max="12811" width="0" style="2087" hidden="1" customWidth="1"/>
    <col min="12812" max="12812" width="14.5703125" style="2087" customWidth="1"/>
    <col min="12813" max="12814" width="0" style="2087" hidden="1" customWidth="1"/>
    <col min="12815" max="13057" width="9.140625" style="2087"/>
    <col min="13058" max="13058" width="10" style="2087" customWidth="1"/>
    <col min="13059" max="13059" width="11.42578125" style="2087" customWidth="1"/>
    <col min="13060" max="13060" width="13.28515625" style="2087" customWidth="1"/>
    <col min="13061" max="13063" width="9.28515625" style="2087" bestFit="1" customWidth="1"/>
    <col min="13064" max="13064" width="10.7109375" style="2087" customWidth="1"/>
    <col min="13065" max="13065" width="15.140625" style="2087" customWidth="1"/>
    <col min="13066" max="13067" width="0" style="2087" hidden="1" customWidth="1"/>
    <col min="13068" max="13068" width="14.5703125" style="2087" customWidth="1"/>
    <col min="13069" max="13070" width="0" style="2087" hidden="1" customWidth="1"/>
    <col min="13071" max="13313" width="9.140625" style="2087"/>
    <col min="13314" max="13314" width="10" style="2087" customWidth="1"/>
    <col min="13315" max="13315" width="11.42578125" style="2087" customWidth="1"/>
    <col min="13316" max="13316" width="13.28515625" style="2087" customWidth="1"/>
    <col min="13317" max="13319" width="9.28515625" style="2087" bestFit="1" customWidth="1"/>
    <col min="13320" max="13320" width="10.7109375" style="2087" customWidth="1"/>
    <col min="13321" max="13321" width="15.140625" style="2087" customWidth="1"/>
    <col min="13322" max="13323" width="0" style="2087" hidden="1" customWidth="1"/>
    <col min="13324" max="13324" width="14.5703125" style="2087" customWidth="1"/>
    <col min="13325" max="13326" width="0" style="2087" hidden="1" customWidth="1"/>
    <col min="13327" max="13569" width="9.140625" style="2087"/>
    <col min="13570" max="13570" width="10" style="2087" customWidth="1"/>
    <col min="13571" max="13571" width="11.42578125" style="2087" customWidth="1"/>
    <col min="13572" max="13572" width="13.28515625" style="2087" customWidth="1"/>
    <col min="13573" max="13575" width="9.28515625" style="2087" bestFit="1" customWidth="1"/>
    <col min="13576" max="13576" width="10.7109375" style="2087" customWidth="1"/>
    <col min="13577" max="13577" width="15.140625" style="2087" customWidth="1"/>
    <col min="13578" max="13579" width="0" style="2087" hidden="1" customWidth="1"/>
    <col min="13580" max="13580" width="14.5703125" style="2087" customWidth="1"/>
    <col min="13581" max="13582" width="0" style="2087" hidden="1" customWidth="1"/>
    <col min="13583" max="13825" width="9.140625" style="2087"/>
    <col min="13826" max="13826" width="10" style="2087" customWidth="1"/>
    <col min="13827" max="13827" width="11.42578125" style="2087" customWidth="1"/>
    <col min="13828" max="13828" width="13.28515625" style="2087" customWidth="1"/>
    <col min="13829" max="13831" width="9.28515625" style="2087" bestFit="1" customWidth="1"/>
    <col min="13832" max="13832" width="10.7109375" style="2087" customWidth="1"/>
    <col min="13833" max="13833" width="15.140625" style="2087" customWidth="1"/>
    <col min="13834" max="13835" width="0" style="2087" hidden="1" customWidth="1"/>
    <col min="13836" max="13836" width="14.5703125" style="2087" customWidth="1"/>
    <col min="13837" max="13838" width="0" style="2087" hidden="1" customWidth="1"/>
    <col min="13839" max="14081" width="9.140625" style="2087"/>
    <col min="14082" max="14082" width="10" style="2087" customWidth="1"/>
    <col min="14083" max="14083" width="11.42578125" style="2087" customWidth="1"/>
    <col min="14084" max="14084" width="13.28515625" style="2087" customWidth="1"/>
    <col min="14085" max="14087" width="9.28515625" style="2087" bestFit="1" customWidth="1"/>
    <col min="14088" max="14088" width="10.7109375" style="2087" customWidth="1"/>
    <col min="14089" max="14089" width="15.140625" style="2087" customWidth="1"/>
    <col min="14090" max="14091" width="0" style="2087" hidden="1" customWidth="1"/>
    <col min="14092" max="14092" width="14.5703125" style="2087" customWidth="1"/>
    <col min="14093" max="14094" width="0" style="2087" hidden="1" customWidth="1"/>
    <col min="14095" max="14337" width="9.140625" style="2087"/>
    <col min="14338" max="14338" width="10" style="2087" customWidth="1"/>
    <col min="14339" max="14339" width="11.42578125" style="2087" customWidth="1"/>
    <col min="14340" max="14340" width="13.28515625" style="2087" customWidth="1"/>
    <col min="14341" max="14343" width="9.28515625" style="2087" bestFit="1" customWidth="1"/>
    <col min="14344" max="14344" width="10.7109375" style="2087" customWidth="1"/>
    <col min="14345" max="14345" width="15.140625" style="2087" customWidth="1"/>
    <col min="14346" max="14347" width="0" style="2087" hidden="1" customWidth="1"/>
    <col min="14348" max="14348" width="14.5703125" style="2087" customWidth="1"/>
    <col min="14349" max="14350" width="0" style="2087" hidden="1" customWidth="1"/>
    <col min="14351" max="14593" width="9.140625" style="2087"/>
    <col min="14594" max="14594" width="10" style="2087" customWidth="1"/>
    <col min="14595" max="14595" width="11.42578125" style="2087" customWidth="1"/>
    <col min="14596" max="14596" width="13.28515625" style="2087" customWidth="1"/>
    <col min="14597" max="14599" width="9.28515625" style="2087" bestFit="1" customWidth="1"/>
    <col min="14600" max="14600" width="10.7109375" style="2087" customWidth="1"/>
    <col min="14601" max="14601" width="15.140625" style="2087" customWidth="1"/>
    <col min="14602" max="14603" width="0" style="2087" hidden="1" customWidth="1"/>
    <col min="14604" max="14604" width="14.5703125" style="2087" customWidth="1"/>
    <col min="14605" max="14606" width="0" style="2087" hidden="1" customWidth="1"/>
    <col min="14607" max="14849" width="9.140625" style="2087"/>
    <col min="14850" max="14850" width="10" style="2087" customWidth="1"/>
    <col min="14851" max="14851" width="11.42578125" style="2087" customWidth="1"/>
    <col min="14852" max="14852" width="13.28515625" style="2087" customWidth="1"/>
    <col min="14853" max="14855" width="9.28515625" style="2087" bestFit="1" customWidth="1"/>
    <col min="14856" max="14856" width="10.7109375" style="2087" customWidth="1"/>
    <col min="14857" max="14857" width="15.140625" style="2087" customWidth="1"/>
    <col min="14858" max="14859" width="0" style="2087" hidden="1" customWidth="1"/>
    <col min="14860" max="14860" width="14.5703125" style="2087" customWidth="1"/>
    <col min="14861" max="14862" width="0" style="2087" hidden="1" customWidth="1"/>
    <col min="14863" max="15105" width="9.140625" style="2087"/>
    <col min="15106" max="15106" width="10" style="2087" customWidth="1"/>
    <col min="15107" max="15107" width="11.42578125" style="2087" customWidth="1"/>
    <col min="15108" max="15108" width="13.28515625" style="2087" customWidth="1"/>
    <col min="15109" max="15111" width="9.28515625" style="2087" bestFit="1" customWidth="1"/>
    <col min="15112" max="15112" width="10.7109375" style="2087" customWidth="1"/>
    <col min="15113" max="15113" width="15.140625" style="2087" customWidth="1"/>
    <col min="15114" max="15115" width="0" style="2087" hidden="1" customWidth="1"/>
    <col min="15116" max="15116" width="14.5703125" style="2087" customWidth="1"/>
    <col min="15117" max="15118" width="0" style="2087" hidden="1" customWidth="1"/>
    <col min="15119" max="15361" width="9.140625" style="2087"/>
    <col min="15362" max="15362" width="10" style="2087" customWidth="1"/>
    <col min="15363" max="15363" width="11.42578125" style="2087" customWidth="1"/>
    <col min="15364" max="15364" width="13.28515625" style="2087" customWidth="1"/>
    <col min="15365" max="15367" width="9.28515625" style="2087" bestFit="1" customWidth="1"/>
    <col min="15368" max="15368" width="10.7109375" style="2087" customWidth="1"/>
    <col min="15369" max="15369" width="15.140625" style="2087" customWidth="1"/>
    <col min="15370" max="15371" width="0" style="2087" hidden="1" customWidth="1"/>
    <col min="15372" max="15372" width="14.5703125" style="2087" customWidth="1"/>
    <col min="15373" max="15374" width="0" style="2087" hidden="1" customWidth="1"/>
    <col min="15375" max="15617" width="9.140625" style="2087"/>
    <col min="15618" max="15618" width="10" style="2087" customWidth="1"/>
    <col min="15619" max="15619" width="11.42578125" style="2087" customWidth="1"/>
    <col min="15620" max="15620" width="13.28515625" style="2087" customWidth="1"/>
    <col min="15621" max="15623" width="9.28515625" style="2087" bestFit="1" customWidth="1"/>
    <col min="15624" max="15624" width="10.7109375" style="2087" customWidth="1"/>
    <col min="15625" max="15625" width="15.140625" style="2087" customWidth="1"/>
    <col min="15626" max="15627" width="0" style="2087" hidden="1" customWidth="1"/>
    <col min="15628" max="15628" width="14.5703125" style="2087" customWidth="1"/>
    <col min="15629" max="15630" width="0" style="2087" hidden="1" customWidth="1"/>
    <col min="15631" max="15873" width="9.140625" style="2087"/>
    <col min="15874" max="15874" width="10" style="2087" customWidth="1"/>
    <col min="15875" max="15875" width="11.42578125" style="2087" customWidth="1"/>
    <col min="15876" max="15876" width="13.28515625" style="2087" customWidth="1"/>
    <col min="15877" max="15879" width="9.28515625" style="2087" bestFit="1" customWidth="1"/>
    <col min="15880" max="15880" width="10.7109375" style="2087" customWidth="1"/>
    <col min="15881" max="15881" width="15.140625" style="2087" customWidth="1"/>
    <col min="15882" max="15883" width="0" style="2087" hidden="1" customWidth="1"/>
    <col min="15884" max="15884" width="14.5703125" style="2087" customWidth="1"/>
    <col min="15885" max="15886" width="0" style="2087" hidden="1" customWidth="1"/>
    <col min="15887" max="16129" width="9.140625" style="2087"/>
    <col min="16130" max="16130" width="10" style="2087" customWidth="1"/>
    <col min="16131" max="16131" width="11.42578125" style="2087" customWidth="1"/>
    <col min="16132" max="16132" width="13.28515625" style="2087" customWidth="1"/>
    <col min="16133" max="16135" width="9.28515625" style="2087" bestFit="1" customWidth="1"/>
    <col min="16136" max="16136" width="10.7109375" style="2087" customWidth="1"/>
    <col min="16137" max="16137" width="15.140625" style="2087" customWidth="1"/>
    <col min="16138" max="16139" width="0" style="2087" hidden="1" customWidth="1"/>
    <col min="16140" max="16140" width="14.5703125" style="2087" customWidth="1"/>
    <col min="16141" max="16142" width="0" style="2087" hidden="1" customWidth="1"/>
    <col min="16143" max="16384" width="9.140625" style="2087"/>
  </cols>
  <sheetData>
    <row r="1" spans="1:15" s="2086" customFormat="1" ht="36" customHeight="1">
      <c r="B1" s="4653" t="s">
        <v>2023</v>
      </c>
      <c r="C1" s="4653"/>
      <c r="D1" s="4653"/>
      <c r="E1" s="4653"/>
      <c r="F1" s="4653"/>
      <c r="G1" s="4653"/>
      <c r="H1" s="4653"/>
      <c r="I1" s="4653"/>
      <c r="J1" s="4653"/>
      <c r="K1" s="4653"/>
      <c r="L1" s="4653"/>
      <c r="M1" s="4653"/>
      <c r="N1" s="4653"/>
    </row>
    <row r="2" spans="1:15" ht="18" customHeight="1">
      <c r="A2" s="2086"/>
      <c r="B2" s="3150" t="s">
        <v>1757</v>
      </c>
      <c r="C2" s="2400"/>
      <c r="D2" s="2400"/>
      <c r="E2" s="2277"/>
      <c r="F2" s="2278"/>
      <c r="G2" s="2278"/>
      <c r="H2" s="2278"/>
      <c r="I2" s="2278"/>
      <c r="J2" s="2278"/>
      <c r="K2" s="2278"/>
      <c r="L2" s="2278"/>
      <c r="M2" s="2311"/>
      <c r="N2" s="2277"/>
      <c r="O2" s="2086"/>
    </row>
    <row r="3" spans="1:15" ht="12" customHeight="1">
      <c r="A3" s="2086"/>
      <c r="B3" s="2279"/>
      <c r="C3" s="3520"/>
      <c r="D3" s="2312"/>
      <c r="E3" s="2312"/>
      <c r="F3" s="2312"/>
      <c r="G3" s="2312"/>
      <c r="H3" s="2312"/>
      <c r="I3" s="2312"/>
      <c r="J3" s="2312"/>
      <c r="K3" s="2312"/>
      <c r="L3" s="2313"/>
      <c r="M3" s="2314"/>
      <c r="N3" s="2315"/>
      <c r="O3" s="2086"/>
    </row>
    <row r="4" spans="1:15" ht="18" customHeight="1">
      <c r="A4" s="2086"/>
      <c r="B4" s="2179"/>
      <c r="C4" s="3980" t="s">
        <v>172</v>
      </c>
      <c r="D4" s="3981"/>
      <c r="E4" s="3981"/>
      <c r="F4" s="3981"/>
      <c r="G4" s="3981"/>
      <c r="H4" s="3981"/>
      <c r="I4" s="3981"/>
      <c r="J4" s="3981"/>
      <c r="K4" s="3981"/>
      <c r="L4" s="2288"/>
      <c r="M4" s="2196"/>
      <c r="N4" s="2316"/>
      <c r="O4" s="2086"/>
    </row>
    <row r="5" spans="1:15" ht="12" customHeight="1">
      <c r="A5" s="2086"/>
      <c r="B5" s="2179"/>
      <c r="C5" s="2165"/>
      <c r="D5" s="2165"/>
      <c r="E5" s="2307"/>
      <c r="F5" s="2091"/>
      <c r="G5" s="2091"/>
      <c r="H5" s="2201"/>
      <c r="I5" s="4656" t="s">
        <v>1599</v>
      </c>
      <c r="J5" s="2201" t="s">
        <v>142</v>
      </c>
      <c r="K5" s="2201"/>
      <c r="L5" s="4656" t="s">
        <v>1598</v>
      </c>
      <c r="M5" s="2201"/>
      <c r="N5" s="2088"/>
      <c r="O5" s="2086"/>
    </row>
    <row r="6" spans="1:15" ht="18" customHeight="1">
      <c r="A6" s="2086"/>
      <c r="B6" s="2179" t="s">
        <v>142</v>
      </c>
      <c r="C6" s="2165"/>
      <c r="D6" s="2165"/>
      <c r="E6" s="4635" t="s">
        <v>421</v>
      </c>
      <c r="F6" s="4636"/>
      <c r="G6" s="4636"/>
      <c r="H6" s="2088"/>
      <c r="I6" s="4657"/>
      <c r="J6" s="2088"/>
      <c r="K6" s="2088"/>
      <c r="L6" s="4657"/>
      <c r="M6" s="2088"/>
      <c r="N6" s="2088"/>
      <c r="O6" s="2086"/>
    </row>
    <row r="7" spans="1:15" ht="18" customHeight="1">
      <c r="A7" s="2086"/>
      <c r="B7" s="2179"/>
      <c r="C7" s="2165"/>
      <c r="D7" s="2165"/>
      <c r="E7" s="2165"/>
      <c r="F7" s="2165"/>
      <c r="G7" s="2165"/>
      <c r="H7" s="2088"/>
      <c r="I7" s="4657"/>
      <c r="J7" s="2088" t="s">
        <v>428</v>
      </c>
      <c r="K7" s="2088" t="s">
        <v>173</v>
      </c>
      <c r="L7" s="4657"/>
      <c r="M7" s="2088" t="s">
        <v>428</v>
      </c>
      <c r="N7" s="2317"/>
      <c r="O7" s="2086"/>
    </row>
    <row r="8" spans="1:15" ht="18" customHeight="1">
      <c r="A8" s="2086"/>
      <c r="B8" s="2179"/>
      <c r="C8" s="2165"/>
      <c r="D8" s="2165"/>
      <c r="E8" s="2165"/>
      <c r="F8" s="2165"/>
      <c r="G8" s="2165"/>
      <c r="H8" s="2088" t="s">
        <v>428</v>
      </c>
      <c r="I8" s="4657"/>
      <c r="J8" s="2088" t="s">
        <v>174</v>
      </c>
      <c r="K8" s="2088" t="s">
        <v>200</v>
      </c>
      <c r="L8" s="4657"/>
      <c r="M8" s="2088" t="s">
        <v>174</v>
      </c>
      <c r="N8" s="2088" t="s">
        <v>428</v>
      </c>
      <c r="O8" s="2086"/>
    </row>
    <row r="9" spans="1:15" ht="18" customHeight="1">
      <c r="A9" s="2086"/>
      <c r="B9" s="2179" t="s">
        <v>175</v>
      </c>
      <c r="C9" s="2165"/>
      <c r="D9" s="2318"/>
      <c r="E9" s="2165"/>
      <c r="F9" s="2165"/>
      <c r="G9" s="2165"/>
      <c r="H9" s="2088" t="s">
        <v>174</v>
      </c>
      <c r="I9" s="4657"/>
      <c r="J9" s="2088" t="s">
        <v>177</v>
      </c>
      <c r="K9" s="2088" t="s">
        <v>1532</v>
      </c>
      <c r="L9" s="4657"/>
      <c r="M9" s="2088" t="s">
        <v>178</v>
      </c>
      <c r="N9" s="2088" t="s">
        <v>174</v>
      </c>
      <c r="O9" s="2086"/>
    </row>
    <row r="10" spans="1:15" ht="18" customHeight="1">
      <c r="A10" s="2086"/>
      <c r="B10" s="2180" t="s">
        <v>140</v>
      </c>
      <c r="C10" s="2181" t="s">
        <v>152</v>
      </c>
      <c r="D10" s="2181" t="s">
        <v>429</v>
      </c>
      <c r="E10" s="2181" t="s">
        <v>152</v>
      </c>
      <c r="F10" s="2181" t="s">
        <v>141</v>
      </c>
      <c r="G10" s="2181" t="s">
        <v>431</v>
      </c>
      <c r="H10" s="2174" t="s">
        <v>177</v>
      </c>
      <c r="I10" s="4658"/>
      <c r="J10" s="2174" t="s">
        <v>181</v>
      </c>
      <c r="K10" s="2174" t="s">
        <v>1609</v>
      </c>
      <c r="L10" s="4658"/>
      <c r="M10" s="2174" t="s">
        <v>182</v>
      </c>
      <c r="N10" s="3065" t="s">
        <v>935</v>
      </c>
      <c r="O10" s="2086"/>
    </row>
    <row r="11" spans="1:15" ht="18" hidden="1" customHeight="1">
      <c r="A11" s="2086"/>
      <c r="B11" s="2473">
        <v>2010</v>
      </c>
      <c r="C11" s="3521"/>
      <c r="D11" s="2446"/>
      <c r="E11" s="2445"/>
      <c r="F11" s="2446"/>
      <c r="G11" s="2470"/>
      <c r="H11" s="2474"/>
      <c r="I11" s="2474"/>
      <c r="J11" s="2474"/>
      <c r="K11" s="2474"/>
      <c r="L11" s="2474"/>
      <c r="M11" s="2452"/>
      <c r="N11" s="2452"/>
      <c r="O11" s="2086"/>
    </row>
    <row r="12" spans="1:15" ht="18" hidden="1" customHeight="1">
      <c r="A12" s="2086"/>
      <c r="B12" s="2470" t="s">
        <v>163</v>
      </c>
      <c r="C12" s="2640">
        <v>3045.2171801900031</v>
      </c>
      <c r="D12" s="2641">
        <v>19.037914700000002</v>
      </c>
      <c r="E12" s="2642">
        <v>0</v>
      </c>
      <c r="F12" s="2641">
        <v>0</v>
      </c>
      <c r="G12" s="2665">
        <v>0</v>
      </c>
      <c r="H12" s="2669">
        <v>0</v>
      </c>
      <c r="I12" s="2669">
        <v>0.88100000000000001</v>
      </c>
      <c r="J12" s="2669">
        <v>0</v>
      </c>
      <c r="K12" s="2669">
        <v>0.88100000000000001</v>
      </c>
      <c r="L12" s="2669">
        <v>3025.2982654900029</v>
      </c>
      <c r="M12" s="2643">
        <v>3025.2982654900029</v>
      </c>
      <c r="N12" s="2643">
        <v>0</v>
      </c>
      <c r="O12" s="2086"/>
    </row>
    <row r="13" spans="1:15" ht="18" hidden="1" customHeight="1">
      <c r="A13" s="2086"/>
      <c r="B13" s="2470" t="s">
        <v>164</v>
      </c>
      <c r="C13" s="2640">
        <v>3127.2680960999996</v>
      </c>
      <c r="D13" s="2641">
        <v>34.933285340000005</v>
      </c>
      <c r="E13" s="2642">
        <v>0</v>
      </c>
      <c r="F13" s="2641">
        <v>0</v>
      </c>
      <c r="G13" s="2665">
        <v>0</v>
      </c>
      <c r="H13" s="2669">
        <v>0</v>
      </c>
      <c r="I13" s="2669">
        <v>0.88100000000000001</v>
      </c>
      <c r="J13" s="2669">
        <v>0</v>
      </c>
      <c r="K13" s="2669">
        <v>0.88100000000000001</v>
      </c>
      <c r="L13" s="2669">
        <v>3091.4538107599997</v>
      </c>
      <c r="M13" s="2643">
        <v>3091.4538107599997</v>
      </c>
      <c r="N13" s="2643">
        <v>0</v>
      </c>
      <c r="O13" s="2086"/>
    </row>
    <row r="14" spans="1:15" ht="18" hidden="1" customHeight="1">
      <c r="A14" s="2086"/>
      <c r="B14" s="2470" t="s">
        <v>165</v>
      </c>
      <c r="C14" s="2640">
        <v>3235.0472832199994</v>
      </c>
      <c r="D14" s="2641">
        <v>34.588936250000003</v>
      </c>
      <c r="E14" s="2642">
        <v>0</v>
      </c>
      <c r="F14" s="2641">
        <v>0</v>
      </c>
      <c r="G14" s="2665">
        <v>0</v>
      </c>
      <c r="H14" s="2669">
        <v>0</v>
      </c>
      <c r="I14" s="2669">
        <v>0.88100000000000001</v>
      </c>
      <c r="J14" s="2669">
        <v>0</v>
      </c>
      <c r="K14" s="2669">
        <v>0.88100000000000001</v>
      </c>
      <c r="L14" s="2669">
        <v>3199.5773469699993</v>
      </c>
      <c r="M14" s="2643">
        <v>3199.5773469699993</v>
      </c>
      <c r="N14" s="2643">
        <v>0</v>
      </c>
      <c r="O14" s="2086"/>
    </row>
    <row r="15" spans="1:15" ht="18" hidden="1" customHeight="1">
      <c r="A15" s="2086"/>
      <c r="B15" s="2470" t="s">
        <v>166</v>
      </c>
      <c r="C15" s="2640">
        <v>3352.0343286400011</v>
      </c>
      <c r="D15" s="2641">
        <v>73.351775000000004</v>
      </c>
      <c r="E15" s="2642">
        <v>0</v>
      </c>
      <c r="F15" s="2641">
        <v>0</v>
      </c>
      <c r="G15" s="2665">
        <v>0</v>
      </c>
      <c r="H15" s="2669">
        <v>0</v>
      </c>
      <c r="I15" s="2669">
        <v>0.88100000000000001</v>
      </c>
      <c r="J15" s="2669">
        <v>0</v>
      </c>
      <c r="K15" s="2669">
        <v>0.88100000000000001</v>
      </c>
      <c r="L15" s="2669">
        <v>3277.8015536400012</v>
      </c>
      <c r="M15" s="2643">
        <v>3277.8015536400012</v>
      </c>
      <c r="N15" s="2643">
        <v>0</v>
      </c>
      <c r="O15" s="2086"/>
    </row>
    <row r="16" spans="1:15" ht="18" hidden="1" customHeight="1">
      <c r="A16" s="2086"/>
      <c r="B16" s="2470" t="s">
        <v>167</v>
      </c>
      <c r="C16" s="2640">
        <v>3089.3205341299999</v>
      </c>
      <c r="D16" s="2641">
        <v>47.830360009999993</v>
      </c>
      <c r="E16" s="2642">
        <v>0</v>
      </c>
      <c r="F16" s="2641">
        <v>0</v>
      </c>
      <c r="G16" s="2665">
        <v>0</v>
      </c>
      <c r="H16" s="2669">
        <v>0</v>
      </c>
      <c r="I16" s="2669">
        <v>0</v>
      </c>
      <c r="J16" s="2669">
        <v>0</v>
      </c>
      <c r="K16" s="2669">
        <v>0</v>
      </c>
      <c r="L16" s="2669">
        <v>3041.4901741200001</v>
      </c>
      <c r="M16" s="2643">
        <v>3041.4901741200001</v>
      </c>
      <c r="N16" s="2643">
        <v>0</v>
      </c>
      <c r="O16" s="2086"/>
    </row>
    <row r="17" spans="1:18" ht="18" hidden="1" customHeight="1">
      <c r="A17" s="2086"/>
      <c r="B17" s="2470" t="s">
        <v>168</v>
      </c>
      <c r="C17" s="2640">
        <v>3454.0234979499987</v>
      </c>
      <c r="D17" s="2641">
        <v>71.433731010000002</v>
      </c>
      <c r="E17" s="2642">
        <v>0</v>
      </c>
      <c r="F17" s="2641">
        <v>0</v>
      </c>
      <c r="G17" s="2665">
        <v>0</v>
      </c>
      <c r="H17" s="2669">
        <v>0</v>
      </c>
      <c r="I17" s="2669">
        <v>0</v>
      </c>
      <c r="J17" s="2669">
        <v>0</v>
      </c>
      <c r="K17" s="2669">
        <v>0</v>
      </c>
      <c r="L17" s="2669">
        <v>3382.5897669399988</v>
      </c>
      <c r="M17" s="2643">
        <v>3382.5897669399988</v>
      </c>
      <c r="N17" s="2643">
        <v>0</v>
      </c>
      <c r="O17" s="2086"/>
    </row>
    <row r="18" spans="1:18" ht="18" hidden="1" customHeight="1">
      <c r="A18" s="2086"/>
      <c r="B18" s="2475" t="s">
        <v>169</v>
      </c>
      <c r="C18" s="2666">
        <v>3532.7381592199999</v>
      </c>
      <c r="D18" s="2641">
        <v>42.63933522</v>
      </c>
      <c r="E18" s="2667">
        <v>0</v>
      </c>
      <c r="F18" s="2641">
        <v>0</v>
      </c>
      <c r="G18" s="2665">
        <v>0</v>
      </c>
      <c r="H18" s="2669">
        <v>0</v>
      </c>
      <c r="I18" s="2669">
        <v>0.88100000000000001</v>
      </c>
      <c r="J18" s="2669">
        <v>0</v>
      </c>
      <c r="K18" s="2669">
        <v>0.88100000000000001</v>
      </c>
      <c r="L18" s="2669">
        <v>3489.2178239999998</v>
      </c>
      <c r="M18" s="2643">
        <v>3489.2178239999998</v>
      </c>
      <c r="N18" s="2643">
        <v>0</v>
      </c>
      <c r="O18" s="2086"/>
    </row>
    <row r="19" spans="1:18" ht="18" hidden="1" customHeight="1">
      <c r="A19" s="2086"/>
      <c r="B19" s="2475" t="s">
        <v>170</v>
      </c>
      <c r="C19" s="2666">
        <v>3636.1854985100158</v>
      </c>
      <c r="D19" s="2641">
        <v>57.336371000000007</v>
      </c>
      <c r="E19" s="2667">
        <v>0</v>
      </c>
      <c r="F19" s="2641">
        <v>0</v>
      </c>
      <c r="G19" s="2665">
        <v>0</v>
      </c>
      <c r="H19" s="2669">
        <v>0</v>
      </c>
      <c r="I19" s="2669">
        <v>5.0519409800000004</v>
      </c>
      <c r="J19" s="2669">
        <v>4.1709409800000001</v>
      </c>
      <c r="K19" s="2669">
        <v>0.88100000000000001</v>
      </c>
      <c r="L19" s="2669">
        <v>3573.797186530016</v>
      </c>
      <c r="M19" s="2643">
        <v>3573.797186530016</v>
      </c>
      <c r="N19" s="2643">
        <v>0</v>
      </c>
      <c r="O19" s="2086"/>
    </row>
    <row r="20" spans="1:18" ht="18" hidden="1" customHeight="1">
      <c r="A20" s="2086"/>
      <c r="B20" s="2475" t="s">
        <v>171</v>
      </c>
      <c r="C20" s="2666">
        <v>3883.8640618200102</v>
      </c>
      <c r="D20" s="2641">
        <v>289.25797489999997</v>
      </c>
      <c r="E20" s="2667">
        <v>0</v>
      </c>
      <c r="F20" s="2641">
        <v>0</v>
      </c>
      <c r="G20" s="2665">
        <v>0</v>
      </c>
      <c r="H20" s="2669">
        <v>0</v>
      </c>
      <c r="I20" s="2669">
        <v>5.9796842100000003</v>
      </c>
      <c r="J20" s="2669">
        <v>5.09868421</v>
      </c>
      <c r="K20" s="2669">
        <v>0.88100000000000001</v>
      </c>
      <c r="L20" s="2669">
        <v>3588.6264027100101</v>
      </c>
      <c r="M20" s="2643">
        <v>3588.6264027100101</v>
      </c>
      <c r="N20" s="2643">
        <v>0</v>
      </c>
      <c r="O20" s="2086"/>
    </row>
    <row r="21" spans="1:18" ht="18" hidden="1" customHeight="1">
      <c r="A21" s="2086"/>
      <c r="B21" s="2946">
        <v>2010</v>
      </c>
      <c r="C21" s="2666">
        <v>3937.2378347799995</v>
      </c>
      <c r="D21" s="2641">
        <v>295.45567741000002</v>
      </c>
      <c r="E21" s="2667">
        <v>0</v>
      </c>
      <c r="F21" s="2641">
        <v>0</v>
      </c>
      <c r="G21" s="2665">
        <v>0</v>
      </c>
      <c r="H21" s="2669">
        <v>0</v>
      </c>
      <c r="I21" s="2669">
        <v>5.9069013099999994</v>
      </c>
      <c r="J21" s="2669">
        <v>5.0259013099999992</v>
      </c>
      <c r="K21" s="2669">
        <v>0.88100000000000001</v>
      </c>
      <c r="L21" s="2669">
        <v>3635.8752560599996</v>
      </c>
      <c r="M21" s="2643">
        <v>3635.8752560599996</v>
      </c>
      <c r="N21" s="2643">
        <v>0</v>
      </c>
      <c r="O21" s="2086"/>
    </row>
    <row r="22" spans="1:18" ht="18" hidden="1" customHeight="1">
      <c r="A22" s="2086"/>
      <c r="B22" s="2473">
        <v>2011</v>
      </c>
      <c r="C22" s="2640"/>
      <c r="D22" s="2670"/>
      <c r="E22" s="2642"/>
      <c r="F22" s="2641"/>
      <c r="G22" s="2665"/>
      <c r="H22" s="2669"/>
      <c r="I22" s="2669"/>
      <c r="J22" s="2669"/>
      <c r="K22" s="2669"/>
      <c r="L22" s="2669"/>
      <c r="M22" s="2643"/>
      <c r="N22" s="2642"/>
      <c r="O22" s="2751"/>
    </row>
    <row r="23" spans="1:18" ht="18" hidden="1" customHeight="1">
      <c r="A23" s="2086"/>
      <c r="B23" s="2470" t="s">
        <v>161</v>
      </c>
      <c r="C23" s="2666">
        <v>4035.3347204300017</v>
      </c>
      <c r="D23" s="2667">
        <v>303.66767346</v>
      </c>
      <c r="E23" s="2667">
        <v>0</v>
      </c>
      <c r="F23" s="2667">
        <v>0</v>
      </c>
      <c r="G23" s="2671">
        <v>0</v>
      </c>
      <c r="H23" s="2669">
        <v>87.711482669999995</v>
      </c>
      <c r="I23" s="2669">
        <v>317.49493761999986</v>
      </c>
      <c r="J23" s="2669">
        <v>316.11393761999989</v>
      </c>
      <c r="K23" s="2669">
        <v>1.381</v>
      </c>
      <c r="L23" s="2669">
        <v>3326.460626680002</v>
      </c>
      <c r="M23" s="2644">
        <v>3326.460626680002</v>
      </c>
      <c r="N23" s="2667">
        <v>0</v>
      </c>
      <c r="O23" s="2086"/>
    </row>
    <row r="24" spans="1:18" ht="18" hidden="1" customHeight="1">
      <c r="A24" s="2086"/>
      <c r="B24" s="2470" t="s">
        <v>162</v>
      </c>
      <c r="C24" s="2666">
        <v>4175.8393208800198</v>
      </c>
      <c r="D24" s="2667">
        <v>313.25812347999999</v>
      </c>
      <c r="E24" s="2667">
        <v>0</v>
      </c>
      <c r="F24" s="2667">
        <v>0</v>
      </c>
      <c r="G24" s="2671">
        <v>0</v>
      </c>
      <c r="H24" s="2669">
        <v>0</v>
      </c>
      <c r="I24" s="2669">
        <v>6.25456389</v>
      </c>
      <c r="J24" s="2669">
        <v>0</v>
      </c>
      <c r="K24" s="2669">
        <v>6.25456389</v>
      </c>
      <c r="L24" s="2669">
        <v>3856.3266335100202</v>
      </c>
      <c r="M24" s="2644">
        <v>3856.3266335100202</v>
      </c>
      <c r="N24" s="2667">
        <v>0</v>
      </c>
      <c r="O24" s="2086"/>
    </row>
    <row r="25" spans="1:18" ht="18" hidden="1" customHeight="1">
      <c r="A25" s="2086"/>
      <c r="B25" s="2476" t="s">
        <v>163</v>
      </c>
      <c r="C25" s="2666">
        <v>4523.3035682099999</v>
      </c>
      <c r="D25" s="2667">
        <v>418.61474597</v>
      </c>
      <c r="E25" s="2667">
        <v>0</v>
      </c>
      <c r="F25" s="2667">
        <v>0</v>
      </c>
      <c r="G25" s="2671">
        <v>0</v>
      </c>
      <c r="H25" s="2669">
        <v>0</v>
      </c>
      <c r="I25" s="2669">
        <v>6.1797382400000007</v>
      </c>
      <c r="J25" s="2669">
        <v>4.7987382400000005</v>
      </c>
      <c r="K25" s="2669">
        <v>1.381</v>
      </c>
      <c r="L25" s="2669">
        <v>4098.5090840000003</v>
      </c>
      <c r="M25" s="2644">
        <v>4098.5090840000003</v>
      </c>
      <c r="N25" s="2667">
        <v>0</v>
      </c>
      <c r="O25" s="2086"/>
      <c r="R25" s="2090"/>
    </row>
    <row r="26" spans="1:18" ht="18" hidden="1" customHeight="1">
      <c r="A26" s="2086"/>
      <c r="B26" s="2476" t="s">
        <v>164</v>
      </c>
      <c r="C26" s="2666">
        <v>4672.6053748800005</v>
      </c>
      <c r="D26" s="2667">
        <v>435.54827749999998</v>
      </c>
      <c r="E26" s="2667">
        <v>0</v>
      </c>
      <c r="F26" s="2667">
        <v>0</v>
      </c>
      <c r="G26" s="2671">
        <v>0</v>
      </c>
      <c r="H26" s="2669">
        <v>0</v>
      </c>
      <c r="I26" s="2669">
        <v>6.102532730000001</v>
      </c>
      <c r="J26" s="2669">
        <v>4.7215327300000007</v>
      </c>
      <c r="K26" s="2669">
        <v>1.381</v>
      </c>
      <c r="L26" s="2669">
        <v>4230.9545646500001</v>
      </c>
      <c r="M26" s="2644">
        <v>4230.9545646500001</v>
      </c>
      <c r="N26" s="2667">
        <v>0</v>
      </c>
      <c r="O26" s="2086"/>
    </row>
    <row r="27" spans="1:18" ht="18" hidden="1" customHeight="1">
      <c r="A27" s="2086"/>
      <c r="B27" s="2476" t="s">
        <v>165</v>
      </c>
      <c r="C27" s="2666">
        <v>4701.8018976000822</v>
      </c>
      <c r="D27" s="2667">
        <v>373.53406301000001</v>
      </c>
      <c r="E27" s="2667">
        <v>0</v>
      </c>
      <c r="F27" s="2667">
        <v>0</v>
      </c>
      <c r="G27" s="2671">
        <v>0</v>
      </c>
      <c r="H27" s="2669">
        <v>0</v>
      </c>
      <c r="I27" s="2669">
        <v>6.4162883900000001</v>
      </c>
      <c r="J27" s="2669">
        <v>5.0352883899999998</v>
      </c>
      <c r="K27" s="2669">
        <v>1.381</v>
      </c>
      <c r="L27" s="2669">
        <v>4321.8515462000823</v>
      </c>
      <c r="M27" s="2644">
        <v>4321.8515462000823</v>
      </c>
      <c r="N27" s="2667">
        <v>0</v>
      </c>
      <c r="O27" s="2086"/>
    </row>
    <row r="28" spans="1:18" ht="18" hidden="1" customHeight="1">
      <c r="A28" s="2086"/>
      <c r="B28" s="2476" t="s">
        <v>166</v>
      </c>
      <c r="C28" s="2666">
        <v>4715.8753674299996</v>
      </c>
      <c r="D28" s="2667">
        <v>426.54908544</v>
      </c>
      <c r="E28" s="2667">
        <v>0</v>
      </c>
      <c r="F28" s="2667">
        <v>0</v>
      </c>
      <c r="G28" s="2671">
        <v>0</v>
      </c>
      <c r="H28" s="2669">
        <v>0</v>
      </c>
      <c r="I28" s="2669">
        <v>6.3310232100000006</v>
      </c>
      <c r="J28" s="2669">
        <v>4.9500232100000003</v>
      </c>
      <c r="K28" s="2669">
        <v>1.381</v>
      </c>
      <c r="L28" s="2669">
        <v>4282.9952587799999</v>
      </c>
      <c r="M28" s="2644">
        <v>4282.9952587799999</v>
      </c>
      <c r="N28" s="2667">
        <v>0</v>
      </c>
      <c r="O28" s="2086"/>
    </row>
    <row r="29" spans="1:18" ht="18" hidden="1" customHeight="1">
      <c r="A29" s="2086"/>
      <c r="B29" s="2476" t="s">
        <v>167</v>
      </c>
      <c r="C29" s="2666">
        <v>4745.202445779998</v>
      </c>
      <c r="D29" s="2667">
        <v>402.39530059000003</v>
      </c>
      <c r="E29" s="2667">
        <v>0</v>
      </c>
      <c r="F29" s="2667">
        <v>0</v>
      </c>
      <c r="G29" s="2671">
        <v>0</v>
      </c>
      <c r="H29" s="2669">
        <v>0</v>
      </c>
      <c r="I29" s="2669">
        <v>7.5530466600000006</v>
      </c>
      <c r="J29" s="2669">
        <v>6.1720466600000004</v>
      </c>
      <c r="K29" s="2669">
        <v>1.381</v>
      </c>
      <c r="L29" s="2669">
        <v>4335.2540985299984</v>
      </c>
      <c r="M29" s="2644">
        <v>4335.2540985299984</v>
      </c>
      <c r="N29" s="2667">
        <v>0</v>
      </c>
      <c r="O29" s="2086"/>
    </row>
    <row r="30" spans="1:18" ht="18" hidden="1" customHeight="1">
      <c r="A30" s="2086"/>
      <c r="B30" s="2476" t="s">
        <v>168</v>
      </c>
      <c r="C30" s="2666">
        <v>4808.2343150699999</v>
      </c>
      <c r="D30" s="2667">
        <v>403.71977071000003</v>
      </c>
      <c r="E30" s="2667">
        <v>0</v>
      </c>
      <c r="F30" s="2667">
        <v>0</v>
      </c>
      <c r="G30" s="2671">
        <v>0</v>
      </c>
      <c r="H30" s="2669">
        <v>0</v>
      </c>
      <c r="I30" s="2669">
        <v>7.8096949500000008</v>
      </c>
      <c r="J30" s="2669">
        <v>6.4286949500000006</v>
      </c>
      <c r="K30" s="2669">
        <v>1.381</v>
      </c>
      <c r="L30" s="2669">
        <v>4396.70484941</v>
      </c>
      <c r="M30" s="2644">
        <v>4396.70484941</v>
      </c>
      <c r="N30" s="2667">
        <v>0</v>
      </c>
      <c r="O30" s="2086"/>
    </row>
    <row r="31" spans="1:18" ht="18" hidden="1" customHeight="1">
      <c r="A31" s="2086"/>
      <c r="B31" s="2476" t="s">
        <v>169</v>
      </c>
      <c r="C31" s="2666">
        <v>5027.3208484400002</v>
      </c>
      <c r="D31" s="2667">
        <v>587.63445189000004</v>
      </c>
      <c r="E31" s="2667">
        <v>0</v>
      </c>
      <c r="F31" s="2667">
        <v>0</v>
      </c>
      <c r="G31" s="2671">
        <v>0</v>
      </c>
      <c r="H31" s="2669">
        <v>0</v>
      </c>
      <c r="I31" s="2669">
        <v>7.8731858399999997</v>
      </c>
      <c r="J31" s="2669">
        <v>6.4921858399999994</v>
      </c>
      <c r="K31" s="2669">
        <v>1.381</v>
      </c>
      <c r="L31" s="2669">
        <v>4431.81321071</v>
      </c>
      <c r="M31" s="2644">
        <v>4431.81321071</v>
      </c>
      <c r="N31" s="2667">
        <v>0</v>
      </c>
      <c r="O31" s="2086"/>
    </row>
    <row r="32" spans="1:18" ht="18" hidden="1" customHeight="1">
      <c r="A32" s="2086"/>
      <c r="B32" s="2475" t="s">
        <v>170</v>
      </c>
      <c r="C32" s="2666">
        <v>4997.0319547999998</v>
      </c>
      <c r="D32" s="2667">
        <v>471.49254698000004</v>
      </c>
      <c r="E32" s="2667">
        <v>0</v>
      </c>
      <c r="F32" s="2667">
        <v>0</v>
      </c>
      <c r="G32" s="2671">
        <v>0</v>
      </c>
      <c r="H32" s="2669">
        <v>0</v>
      </c>
      <c r="I32" s="2669">
        <v>7.5789267400000009</v>
      </c>
      <c r="J32" s="2669">
        <v>6.1979267400000007</v>
      </c>
      <c r="K32" s="2669">
        <v>1.381</v>
      </c>
      <c r="L32" s="2669">
        <v>4517.9604810800001</v>
      </c>
      <c r="M32" s="2644">
        <v>4517.9604810800001</v>
      </c>
      <c r="N32" s="2667">
        <v>0</v>
      </c>
      <c r="O32" s="2086"/>
    </row>
    <row r="33" spans="1:15" ht="18" hidden="1" customHeight="1">
      <c r="A33" s="2086"/>
      <c r="B33" s="2475" t="s">
        <v>171</v>
      </c>
      <c r="C33" s="2666">
        <v>5065.1852056900007</v>
      </c>
      <c r="D33" s="2667">
        <v>483.17507784999998</v>
      </c>
      <c r="E33" s="2667">
        <v>0</v>
      </c>
      <c r="F33" s="2667">
        <v>0</v>
      </c>
      <c r="G33" s="2671">
        <v>0</v>
      </c>
      <c r="H33" s="2669">
        <v>0</v>
      </c>
      <c r="I33" s="2669">
        <v>7.4587438500000012</v>
      </c>
      <c r="J33" s="2669">
        <v>6.0777438500000009</v>
      </c>
      <c r="K33" s="2669">
        <v>1.381</v>
      </c>
      <c r="L33" s="2669">
        <v>4574.5513839900004</v>
      </c>
      <c r="M33" s="2644">
        <v>4574.5513839900004</v>
      </c>
      <c r="N33" s="2667">
        <v>0</v>
      </c>
      <c r="O33" s="2086"/>
    </row>
    <row r="34" spans="1:15" ht="18" hidden="1" customHeight="1">
      <c r="A34" s="2086"/>
      <c r="B34" s="2473">
        <v>2011</v>
      </c>
      <c r="C34" s="2666">
        <v>5046.8918668499973</v>
      </c>
      <c r="D34" s="2667">
        <v>489.33850643</v>
      </c>
      <c r="E34" s="2667">
        <v>0</v>
      </c>
      <c r="F34" s="2667">
        <v>0</v>
      </c>
      <c r="G34" s="2671">
        <v>0</v>
      </c>
      <c r="H34" s="2669">
        <v>0</v>
      </c>
      <c r="I34" s="2669">
        <v>7.5789267400000009</v>
      </c>
      <c r="J34" s="2669">
        <v>6.1979267400000007</v>
      </c>
      <c r="K34" s="2669">
        <v>1.381</v>
      </c>
      <c r="L34" s="2669">
        <v>4549.9744336799977</v>
      </c>
      <c r="M34" s="2644">
        <v>4546.9744336799977</v>
      </c>
      <c r="N34" s="2667">
        <v>3</v>
      </c>
      <c r="O34" s="2086"/>
    </row>
    <row r="35" spans="1:15" ht="18" hidden="1" customHeight="1">
      <c r="A35" s="2086"/>
      <c r="B35" s="2477">
        <v>2012</v>
      </c>
      <c r="C35" s="2666"/>
      <c r="D35" s="2667"/>
      <c r="E35" s="2667"/>
      <c r="F35" s="2667"/>
      <c r="G35" s="2671"/>
      <c r="H35" s="2664"/>
      <c r="I35" s="2669"/>
      <c r="J35" s="2664"/>
      <c r="K35" s="2664"/>
      <c r="L35" s="2669"/>
      <c r="M35" s="2644"/>
      <c r="N35" s="2667"/>
      <c r="O35" s="2086"/>
    </row>
    <row r="36" spans="1:15" ht="18" hidden="1" customHeight="1">
      <c r="A36" s="2086"/>
      <c r="B36" s="2475" t="s">
        <v>161</v>
      </c>
      <c r="C36" s="2666">
        <v>5094.5155636700001</v>
      </c>
      <c r="D36" s="2667">
        <v>472.96133665999997</v>
      </c>
      <c r="E36" s="2667">
        <v>0</v>
      </c>
      <c r="F36" s="2667">
        <v>0</v>
      </c>
      <c r="G36" s="2671">
        <v>0</v>
      </c>
      <c r="H36" s="2669">
        <v>0</v>
      </c>
      <c r="I36" s="2669">
        <v>10.27252359</v>
      </c>
      <c r="J36" s="2669">
        <v>5.8915235900000003</v>
      </c>
      <c r="K36" s="2669">
        <v>4.3810000000000002</v>
      </c>
      <c r="L36" s="2669">
        <v>4611.2817034199998</v>
      </c>
      <c r="M36" s="2644">
        <v>4611.2817034199998</v>
      </c>
      <c r="N36" s="2667">
        <v>0</v>
      </c>
      <c r="O36" s="2086"/>
    </row>
    <row r="37" spans="1:15" ht="18" hidden="1" customHeight="1">
      <c r="A37" s="2086"/>
      <c r="B37" s="2475" t="s">
        <v>162</v>
      </c>
      <c r="C37" s="2666">
        <v>5435.4152945599999</v>
      </c>
      <c r="D37" s="2667">
        <v>567.05236983999998</v>
      </c>
      <c r="E37" s="2667">
        <v>0</v>
      </c>
      <c r="F37" s="2667">
        <v>0</v>
      </c>
      <c r="G37" s="2671">
        <v>0</v>
      </c>
      <c r="H37" s="2669">
        <v>100</v>
      </c>
      <c r="I37" s="2669">
        <v>10.632986449999999</v>
      </c>
      <c r="J37" s="2669">
        <v>9.2519864499999986</v>
      </c>
      <c r="K37" s="2669">
        <v>1.381</v>
      </c>
      <c r="L37" s="2669">
        <v>4757.7299382700003</v>
      </c>
      <c r="M37" s="2644">
        <v>4754.7299382700003</v>
      </c>
      <c r="N37" s="2667">
        <v>3</v>
      </c>
      <c r="O37" s="2086"/>
    </row>
    <row r="38" spans="1:15" ht="18" hidden="1" customHeight="1">
      <c r="A38" s="2086"/>
      <c r="B38" s="2475" t="s">
        <v>163</v>
      </c>
      <c r="C38" s="2666">
        <v>5592.6203474099984</v>
      </c>
      <c r="D38" s="2667">
        <v>638.96089913999992</v>
      </c>
      <c r="E38" s="2667">
        <v>0</v>
      </c>
      <c r="F38" s="2667">
        <v>0</v>
      </c>
      <c r="G38" s="2671">
        <v>0</v>
      </c>
      <c r="H38" s="2669">
        <v>0</v>
      </c>
      <c r="I38" s="2669">
        <v>13.537421930000001</v>
      </c>
      <c r="J38" s="2669">
        <v>9.1564219300000005</v>
      </c>
      <c r="K38" s="2669">
        <v>4.3810000000000002</v>
      </c>
      <c r="L38" s="2669">
        <v>4940.1220263399982</v>
      </c>
      <c r="M38" s="2644">
        <v>4940.1220263399982</v>
      </c>
      <c r="N38" s="2667">
        <v>0</v>
      </c>
      <c r="O38" s="2086"/>
    </row>
    <row r="39" spans="1:15" ht="18" hidden="1" customHeight="1">
      <c r="A39" s="2086"/>
      <c r="B39" s="2475" t="s">
        <v>164</v>
      </c>
      <c r="C39" s="2666">
        <v>5881.8279868899999</v>
      </c>
      <c r="D39" s="2667">
        <v>754.87328002000004</v>
      </c>
      <c r="E39" s="2667">
        <v>0</v>
      </c>
      <c r="F39" s="2667">
        <v>0</v>
      </c>
      <c r="G39" s="2671">
        <v>0</v>
      </c>
      <c r="H39" s="2669">
        <v>0</v>
      </c>
      <c r="I39" s="2669">
        <v>10.340304270000001</v>
      </c>
      <c r="J39" s="2669">
        <v>5.9593042700000005</v>
      </c>
      <c r="K39" s="2669">
        <v>4.3810000000000002</v>
      </c>
      <c r="L39" s="2669">
        <v>5116.6144026000002</v>
      </c>
      <c r="M39" s="2644">
        <v>5116.6144026000002</v>
      </c>
      <c r="N39" s="2667">
        <v>0</v>
      </c>
      <c r="O39" s="2086"/>
    </row>
    <row r="40" spans="1:15" ht="18" hidden="1" customHeight="1">
      <c r="A40" s="2086"/>
      <c r="B40" s="2475" t="s">
        <v>165</v>
      </c>
      <c r="C40" s="2666">
        <v>6243.6817198800009</v>
      </c>
      <c r="D40" s="2667">
        <v>642.13233994000007</v>
      </c>
      <c r="E40" s="2667">
        <v>326.61888096000007</v>
      </c>
      <c r="F40" s="2667">
        <v>326.61888096000007</v>
      </c>
      <c r="G40" s="2671">
        <v>0</v>
      </c>
      <c r="H40" s="2669">
        <v>0</v>
      </c>
      <c r="I40" s="2669">
        <v>10.340304270000001</v>
      </c>
      <c r="J40" s="2669">
        <v>5.9593042700000005</v>
      </c>
      <c r="K40" s="2669">
        <v>4.3810000000000002</v>
      </c>
      <c r="L40" s="2669">
        <v>5264.590194710001</v>
      </c>
      <c r="M40" s="2644">
        <v>5264.590194710001</v>
      </c>
      <c r="N40" s="2667">
        <v>0</v>
      </c>
      <c r="O40" s="2086"/>
    </row>
    <row r="41" spans="1:15" ht="18" hidden="1" customHeight="1">
      <c r="A41" s="2086"/>
      <c r="B41" s="2475" t="s">
        <v>166</v>
      </c>
      <c r="C41" s="2666">
        <v>5784.1678659500003</v>
      </c>
      <c r="D41" s="2667">
        <v>428.73694919000002</v>
      </c>
      <c r="E41" s="2667">
        <v>0</v>
      </c>
      <c r="F41" s="2667">
        <v>0</v>
      </c>
      <c r="G41" s="2671">
        <v>0</v>
      </c>
      <c r="H41" s="2669">
        <v>0</v>
      </c>
      <c r="I41" s="2669">
        <v>10.716086280000001</v>
      </c>
      <c r="J41" s="2669">
        <v>6.3350862800000005</v>
      </c>
      <c r="K41" s="2669">
        <v>4.3810000000000002</v>
      </c>
      <c r="L41" s="2669">
        <v>5344.7148304800003</v>
      </c>
      <c r="M41" s="2644">
        <v>5344.7148304800003</v>
      </c>
      <c r="N41" s="2667">
        <v>0</v>
      </c>
      <c r="O41" s="2086"/>
    </row>
    <row r="42" spans="1:15" ht="18" hidden="1" customHeight="1">
      <c r="A42" s="2086"/>
      <c r="B42" s="2475" t="s">
        <v>167</v>
      </c>
      <c r="C42" s="2666">
        <v>5944.2490111699999</v>
      </c>
      <c r="D42" s="2667">
        <v>478.26701953999992</v>
      </c>
      <c r="E42" s="2667">
        <v>0</v>
      </c>
      <c r="F42" s="2667">
        <v>0</v>
      </c>
      <c r="G42" s="2671">
        <v>0</v>
      </c>
      <c r="H42" s="2669">
        <v>0</v>
      </c>
      <c r="I42" s="2667">
        <v>12.04488821</v>
      </c>
      <c r="J42" s="2669">
        <v>7.6638882099999996</v>
      </c>
      <c r="K42" s="2669">
        <v>4.3810000000000002</v>
      </c>
      <c r="L42" s="2668">
        <v>5453.9371034200003</v>
      </c>
      <c r="M42" s="2644">
        <v>5453.9371034200003</v>
      </c>
      <c r="N42" s="2667">
        <v>0</v>
      </c>
      <c r="O42" s="2086"/>
    </row>
    <row r="43" spans="1:15" ht="18" hidden="1" customHeight="1">
      <c r="A43" s="2086"/>
      <c r="B43" s="2475" t="s">
        <v>168</v>
      </c>
      <c r="C43" s="2666">
        <v>5930.8688591999999</v>
      </c>
      <c r="D43" s="2667">
        <v>423.97786600000001</v>
      </c>
      <c r="E43" s="2667">
        <v>0</v>
      </c>
      <c r="F43" s="2667">
        <v>0</v>
      </c>
      <c r="G43" s="2671">
        <v>0</v>
      </c>
      <c r="H43" s="2669">
        <v>0</v>
      </c>
      <c r="I43" s="2667">
        <v>10.70147382</v>
      </c>
      <c r="J43" s="2669">
        <v>6.3204738200000001</v>
      </c>
      <c r="K43" s="2669">
        <v>4.3810000000000002</v>
      </c>
      <c r="L43" s="2668">
        <v>5496.1895193800001</v>
      </c>
      <c r="M43" s="2644">
        <v>5496.1895193800001</v>
      </c>
      <c r="N43" s="2667">
        <v>0</v>
      </c>
      <c r="O43" s="2086"/>
    </row>
    <row r="44" spans="1:15" ht="18" hidden="1" customHeight="1">
      <c r="A44" s="2086"/>
      <c r="B44" s="2478" t="s">
        <v>169</v>
      </c>
      <c r="C44" s="2666">
        <v>6172.8096697699984</v>
      </c>
      <c r="D44" s="2667">
        <v>464.86877313000002</v>
      </c>
      <c r="E44" s="2667">
        <v>0</v>
      </c>
      <c r="F44" s="2667">
        <v>0</v>
      </c>
      <c r="G44" s="2671">
        <v>0</v>
      </c>
      <c r="H44" s="2669">
        <v>0</v>
      </c>
      <c r="I44" s="2672">
        <v>10.535107660000001</v>
      </c>
      <c r="J44" s="2669">
        <v>6.1541076600000002</v>
      </c>
      <c r="K44" s="2669">
        <v>4.3810000000000002</v>
      </c>
      <c r="L44" s="2668">
        <v>5697.4057889799988</v>
      </c>
      <c r="M44" s="2644">
        <v>5697.4057889799988</v>
      </c>
      <c r="N44" s="2667">
        <v>0</v>
      </c>
      <c r="O44" s="2086"/>
    </row>
    <row r="45" spans="1:15" ht="18" hidden="1" customHeight="1">
      <c r="A45" s="2086"/>
      <c r="B45" s="2478" t="s">
        <v>170</v>
      </c>
      <c r="C45" s="2666">
        <v>6488.3843849000014</v>
      </c>
      <c r="D45" s="2667">
        <v>371.68046605000001</v>
      </c>
      <c r="E45" s="2667">
        <v>0</v>
      </c>
      <c r="F45" s="2667">
        <v>0</v>
      </c>
      <c r="G45" s="2671">
        <v>0</v>
      </c>
      <c r="H45" s="2669">
        <v>0</v>
      </c>
      <c r="I45" s="2672">
        <v>215.54146029999998</v>
      </c>
      <c r="J45" s="2669">
        <v>211.16046029999998</v>
      </c>
      <c r="K45" s="2669">
        <v>4.3810000000000002</v>
      </c>
      <c r="L45" s="2668">
        <v>5901.1624585500012</v>
      </c>
      <c r="M45" s="2644">
        <v>5901.1624585500012</v>
      </c>
      <c r="N45" s="2667">
        <v>0</v>
      </c>
      <c r="O45" s="2086"/>
    </row>
    <row r="46" spans="1:15" ht="18" hidden="1" customHeight="1">
      <c r="A46" s="2086"/>
      <c r="B46" s="2478" t="s">
        <v>171</v>
      </c>
      <c r="C46" s="2666">
        <v>6620.2291896100005</v>
      </c>
      <c r="D46" s="2667">
        <v>385.40043241000012</v>
      </c>
      <c r="E46" s="2667">
        <v>0</v>
      </c>
      <c r="F46" s="2667">
        <v>0</v>
      </c>
      <c r="G46" s="2671">
        <v>0</v>
      </c>
      <c r="H46" s="2669">
        <v>0</v>
      </c>
      <c r="I46" s="2672">
        <v>220.20908454000002</v>
      </c>
      <c r="J46" s="2669">
        <v>215.82808454000002</v>
      </c>
      <c r="K46" s="2669">
        <v>4.3810000000000002</v>
      </c>
      <c r="L46" s="2668">
        <v>6014.6196726600001</v>
      </c>
      <c r="M46" s="2644">
        <v>6014.6196726600001</v>
      </c>
      <c r="N46" s="2667">
        <v>0</v>
      </c>
      <c r="O46" s="2086"/>
    </row>
    <row r="47" spans="1:15" ht="18" customHeight="1">
      <c r="A47" s="2086"/>
      <c r="B47" s="2477">
        <v>2012</v>
      </c>
      <c r="C47" s="2654">
        <v>6678.7603112300003</v>
      </c>
      <c r="D47" s="2656">
        <v>409.12546577000006</v>
      </c>
      <c r="E47" s="2656">
        <v>14.81</v>
      </c>
      <c r="F47" s="2656">
        <v>14.81</v>
      </c>
      <c r="G47" s="2673">
        <v>0</v>
      </c>
      <c r="H47" s="2669">
        <v>0</v>
      </c>
      <c r="I47" s="2672">
        <v>220.38796539000001</v>
      </c>
      <c r="J47" s="2669">
        <v>213.00696539</v>
      </c>
      <c r="K47" s="2669">
        <v>7.3810000000000002</v>
      </c>
      <c r="L47" s="2668">
        <v>6034.4368800700004</v>
      </c>
      <c r="M47" s="2674">
        <v>6034.4368800700004</v>
      </c>
      <c r="N47" s="2667">
        <v>0</v>
      </c>
      <c r="O47" s="2086"/>
    </row>
    <row r="48" spans="1:15" ht="18" customHeight="1">
      <c r="A48" s="2086"/>
      <c r="B48" s="2477">
        <v>2013</v>
      </c>
      <c r="C48" s="2666"/>
      <c r="D48" s="2667"/>
      <c r="E48" s="2667"/>
      <c r="F48" s="2667"/>
      <c r="G48" s="2667"/>
      <c r="H48" s="2667"/>
      <c r="I48" s="2667"/>
      <c r="J48" s="2667"/>
      <c r="K48" s="2667"/>
      <c r="L48" s="2667"/>
      <c r="M48" s="2667"/>
      <c r="N48" s="2667"/>
      <c r="O48" s="2086"/>
    </row>
    <row r="49" spans="1:15" ht="18" customHeight="1">
      <c r="A49" s="2086"/>
      <c r="B49" s="2475" t="s">
        <v>161</v>
      </c>
      <c r="C49" s="2666">
        <v>6805.7484973699993</v>
      </c>
      <c r="D49" s="2667">
        <v>378.87197283000006</v>
      </c>
      <c r="E49" s="2667">
        <v>14.365</v>
      </c>
      <c r="F49" s="2667">
        <v>14.365</v>
      </c>
      <c r="G49" s="2667">
        <v>0</v>
      </c>
      <c r="H49" s="2667">
        <v>0</v>
      </c>
      <c r="I49" s="2667"/>
      <c r="J49" s="2667">
        <v>214.60502643000001</v>
      </c>
      <c r="K49" s="2667">
        <v>7.3810000000000002</v>
      </c>
      <c r="L49" s="2667"/>
      <c r="M49" s="2667">
        <v>6190.5254981099997</v>
      </c>
      <c r="N49" s="2667">
        <v>0</v>
      </c>
      <c r="O49" s="2086"/>
    </row>
    <row r="50" spans="1:15" ht="18" customHeight="1">
      <c r="A50" s="2086"/>
      <c r="B50" s="2475" t="s">
        <v>162</v>
      </c>
      <c r="C50" s="2666">
        <v>7021.0238230900004</v>
      </c>
      <c r="D50" s="2667">
        <v>393.82287674000003</v>
      </c>
      <c r="E50" s="2667">
        <v>13.71</v>
      </c>
      <c r="F50" s="2667">
        <v>13.71</v>
      </c>
      <c r="G50" s="2667">
        <v>0</v>
      </c>
      <c r="H50" s="2667">
        <v>0</v>
      </c>
      <c r="I50" s="2667"/>
      <c r="J50" s="2667">
        <v>215.90524305</v>
      </c>
      <c r="K50" s="2667">
        <v>7.3810000000000002</v>
      </c>
      <c r="L50" s="2667"/>
      <c r="M50" s="2667">
        <v>6390.2047033000008</v>
      </c>
      <c r="N50" s="2667">
        <v>0</v>
      </c>
      <c r="O50" s="2086"/>
    </row>
    <row r="51" spans="1:15" ht="18" customHeight="1">
      <c r="A51" s="2086"/>
      <c r="B51" s="2458" t="s">
        <v>163</v>
      </c>
      <c r="C51" s="2654">
        <v>7609.8954406499988</v>
      </c>
      <c r="D51" s="2656">
        <v>737.06032524999989</v>
      </c>
      <c r="E51" s="2656">
        <v>13.138</v>
      </c>
      <c r="F51" s="2656">
        <v>13.138</v>
      </c>
      <c r="G51" s="2656">
        <v>0</v>
      </c>
      <c r="H51" s="2656">
        <v>0</v>
      </c>
      <c r="I51" s="2656"/>
      <c r="J51" s="2656">
        <v>218.46905609000001</v>
      </c>
      <c r="K51" s="2656">
        <v>7.3810000000000002</v>
      </c>
      <c r="L51" s="2656"/>
      <c r="M51" s="2656">
        <v>6633.8470593099992</v>
      </c>
      <c r="N51" s="2656">
        <v>0</v>
      </c>
      <c r="O51" s="2086"/>
    </row>
    <row r="52" spans="1:15" ht="18" customHeight="1">
      <c r="A52" s="2086"/>
      <c r="B52" s="2458" t="s">
        <v>164</v>
      </c>
      <c r="C52" s="2654">
        <v>7841.6161281899986</v>
      </c>
      <c r="D52" s="2656">
        <v>684.19292472000006</v>
      </c>
      <c r="E52" s="2656">
        <v>12.336</v>
      </c>
      <c r="F52" s="2656">
        <v>12.336</v>
      </c>
      <c r="G52" s="2656">
        <v>0</v>
      </c>
      <c r="H52" s="2656">
        <v>0</v>
      </c>
      <c r="I52" s="2656"/>
      <c r="J52" s="2656">
        <v>0</v>
      </c>
      <c r="K52" s="2656">
        <v>7.3810000000000002</v>
      </c>
      <c r="L52" s="2656"/>
      <c r="M52" s="2656">
        <v>7137.7062034699984</v>
      </c>
      <c r="N52" s="2656">
        <v>0</v>
      </c>
      <c r="O52" s="2086"/>
    </row>
    <row r="53" spans="1:15" ht="18" customHeight="1">
      <c r="A53" s="2086"/>
      <c r="B53" s="2458" t="s">
        <v>165</v>
      </c>
      <c r="C53" s="2654">
        <v>8360.6179013000001</v>
      </c>
      <c r="D53" s="2656">
        <v>959.75789965999991</v>
      </c>
      <c r="E53" s="2656">
        <v>11.869300000000001</v>
      </c>
      <c r="F53" s="2656">
        <v>11.869300000000001</v>
      </c>
      <c r="G53" s="2656">
        <v>0</v>
      </c>
      <c r="H53" s="2656">
        <v>0</v>
      </c>
      <c r="I53" s="2656"/>
      <c r="J53" s="2656">
        <v>211.96559148999998</v>
      </c>
      <c r="K53" s="2656">
        <v>7.3810000000000002</v>
      </c>
      <c r="L53" s="2656"/>
      <c r="M53" s="2656">
        <v>7169.6441101500004</v>
      </c>
      <c r="N53" s="2656">
        <v>0</v>
      </c>
      <c r="O53" s="2086"/>
    </row>
    <row r="54" spans="1:15" ht="18" customHeight="1">
      <c r="A54" s="2086"/>
      <c r="B54" s="2770" t="s">
        <v>166</v>
      </c>
      <c r="C54" s="2767">
        <v>8284.2694256199993</v>
      </c>
      <c r="D54" s="2769">
        <v>621.11674492000009</v>
      </c>
      <c r="E54" s="2769">
        <v>11.049300000000001</v>
      </c>
      <c r="F54" s="2769">
        <v>11.049300000000001</v>
      </c>
      <c r="G54" s="2769">
        <v>0</v>
      </c>
      <c r="H54" s="2769">
        <v>0</v>
      </c>
      <c r="I54" s="2769"/>
      <c r="J54" s="2769">
        <v>0</v>
      </c>
      <c r="K54" s="2769">
        <v>7.3810000000000002</v>
      </c>
      <c r="L54" s="2769"/>
      <c r="M54" s="2769">
        <v>7644.7223806999991</v>
      </c>
      <c r="N54" s="2769">
        <v>0</v>
      </c>
      <c r="O54" s="2086"/>
    </row>
    <row r="55" spans="1:15" ht="18" customHeight="1">
      <c r="A55" s="2086"/>
      <c r="B55" s="2770" t="s">
        <v>167</v>
      </c>
      <c r="C55" s="2767">
        <v>9008.014112660001</v>
      </c>
      <c r="D55" s="2769">
        <v>907.80956879000007</v>
      </c>
      <c r="E55" s="2769">
        <v>16.608799999999999</v>
      </c>
      <c r="F55" s="2769">
        <v>16.608799999999999</v>
      </c>
      <c r="G55" s="2769">
        <v>0</v>
      </c>
      <c r="H55" s="2769">
        <v>56.818300000000001</v>
      </c>
      <c r="I55" s="2769"/>
      <c r="J55" s="2769">
        <v>0</v>
      </c>
      <c r="K55" s="2769">
        <v>7.3810000000000002</v>
      </c>
      <c r="L55" s="2769"/>
      <c r="M55" s="2769">
        <v>8019.3964438700004</v>
      </c>
      <c r="N55" s="2769">
        <v>0</v>
      </c>
      <c r="O55" s="2086"/>
    </row>
    <row r="56" spans="1:15" ht="18" customHeight="1">
      <c r="A56" s="2086"/>
      <c r="B56" s="2770" t="s">
        <v>168</v>
      </c>
      <c r="C56" s="2767">
        <v>8675.5098141199942</v>
      </c>
      <c r="D56" s="2769">
        <v>595.2102342899999</v>
      </c>
      <c r="E56" s="2769">
        <v>13.8935</v>
      </c>
      <c r="F56" s="2769">
        <v>13.8935</v>
      </c>
      <c r="G56" s="2769">
        <v>0</v>
      </c>
      <c r="H56" s="2769">
        <v>56.818300000000001</v>
      </c>
      <c r="I56" s="2769"/>
      <c r="J56" s="2769">
        <v>505.21028916</v>
      </c>
      <c r="K56" s="2769">
        <v>7.3810000000000002</v>
      </c>
      <c r="L56" s="2769"/>
      <c r="M56" s="2769">
        <v>7496.9964906699934</v>
      </c>
      <c r="N56" s="2769">
        <v>0</v>
      </c>
      <c r="O56" s="2086"/>
    </row>
    <row r="57" spans="1:15" ht="18" customHeight="1">
      <c r="A57" s="2086"/>
      <c r="B57" s="2770" t="s">
        <v>169</v>
      </c>
      <c r="C57" s="2767">
        <v>8940.4495581400024</v>
      </c>
      <c r="D57" s="2769">
        <v>743.12188091000007</v>
      </c>
      <c r="E57" s="2769">
        <v>15.352499999999999</v>
      </c>
      <c r="F57" s="2769">
        <v>15.352499999999999</v>
      </c>
      <c r="G57" s="2769">
        <v>0</v>
      </c>
      <c r="H57" s="2769">
        <v>0</v>
      </c>
      <c r="I57" s="2769"/>
      <c r="J57" s="2769">
        <v>506.80662950999988</v>
      </c>
      <c r="K57" s="2769">
        <v>7.3810000000000002</v>
      </c>
      <c r="L57" s="2769"/>
      <c r="M57" s="2769">
        <v>7667.7875477200023</v>
      </c>
      <c r="N57" s="2769">
        <v>0</v>
      </c>
      <c r="O57" s="2086"/>
    </row>
    <row r="58" spans="1:15" ht="18" customHeight="1">
      <c r="A58" s="2086"/>
      <c r="B58" s="2770" t="s">
        <v>170</v>
      </c>
      <c r="C58" s="2767">
        <v>9051.1552227399989</v>
      </c>
      <c r="D58" s="2769">
        <v>732.46371586999999</v>
      </c>
      <c r="E58" s="2769">
        <v>14.792299999999999</v>
      </c>
      <c r="F58" s="2769">
        <v>14.792299999999999</v>
      </c>
      <c r="G58" s="2769">
        <v>0</v>
      </c>
      <c r="H58" s="2769">
        <v>0</v>
      </c>
      <c r="I58" s="2769"/>
      <c r="J58" s="2769">
        <v>213.88208913000003</v>
      </c>
      <c r="K58" s="2769">
        <v>7.3810000000000002</v>
      </c>
      <c r="L58" s="2769"/>
      <c r="M58" s="2769">
        <v>7793.9039726099991</v>
      </c>
      <c r="N58" s="2769">
        <v>288.73214512999999</v>
      </c>
      <c r="O58" s="2086"/>
    </row>
    <row r="59" spans="1:15" ht="18" customHeight="1">
      <c r="A59" s="2086"/>
      <c r="B59" s="2770" t="s">
        <v>171</v>
      </c>
      <c r="C59" s="2767">
        <v>9171.7007964000004</v>
      </c>
      <c r="D59" s="2769">
        <v>725.34884261000002</v>
      </c>
      <c r="E59" s="2769">
        <v>13.3108</v>
      </c>
      <c r="F59" s="2769">
        <v>13.3108</v>
      </c>
      <c r="G59" s="2769">
        <v>0</v>
      </c>
      <c r="H59" s="2769">
        <v>0</v>
      </c>
      <c r="I59" s="2769"/>
      <c r="J59" s="2769">
        <v>0</v>
      </c>
      <c r="K59" s="2769">
        <v>7.3810000000000002</v>
      </c>
      <c r="L59" s="2769"/>
      <c r="M59" s="2769">
        <v>8425.6601537900005</v>
      </c>
      <c r="N59" s="2769">
        <v>0</v>
      </c>
      <c r="O59" s="2086"/>
    </row>
    <row r="60" spans="1:15" ht="18" customHeight="1">
      <c r="A60" s="2086"/>
      <c r="B60" s="2770" t="s">
        <v>148</v>
      </c>
      <c r="C60" s="2767">
        <v>9360.8705057299994</v>
      </c>
      <c r="D60" s="2769">
        <v>841.23892933000002</v>
      </c>
      <c r="E60" s="2769">
        <v>11.835100000000001</v>
      </c>
      <c r="F60" s="2769">
        <v>11.835100000000001</v>
      </c>
      <c r="G60" s="2769">
        <v>0</v>
      </c>
      <c r="H60" s="2769">
        <v>0</v>
      </c>
      <c r="I60" s="2769"/>
      <c r="J60" s="2769">
        <v>0</v>
      </c>
      <c r="K60" s="2769">
        <v>7.3810000000000002</v>
      </c>
      <c r="L60" s="2769"/>
      <c r="M60" s="2769">
        <v>8500.4154763999995</v>
      </c>
      <c r="N60" s="2769">
        <v>0</v>
      </c>
      <c r="O60" s="2086"/>
    </row>
    <row r="61" spans="1:15" ht="18" customHeight="1">
      <c r="A61" s="2086"/>
      <c r="B61" s="2920">
        <v>2014</v>
      </c>
      <c r="C61" s="2767"/>
      <c r="D61" s="2769"/>
      <c r="E61" s="2769"/>
      <c r="F61" s="2769"/>
      <c r="G61" s="2769"/>
      <c r="H61" s="2769"/>
      <c r="I61" s="2769"/>
      <c r="J61" s="2769"/>
      <c r="K61" s="2769"/>
      <c r="L61" s="2769"/>
      <c r="M61" s="2769"/>
      <c r="N61" s="2769"/>
      <c r="O61" s="2086"/>
    </row>
    <row r="62" spans="1:15" ht="18" customHeight="1">
      <c r="A62" s="2086"/>
      <c r="B62" s="2770" t="s">
        <v>161</v>
      </c>
      <c r="C62" s="2767">
        <v>9490.2598267600006</v>
      </c>
      <c r="D62" s="2769">
        <v>773.11518960000001</v>
      </c>
      <c r="E62" s="2769">
        <v>9.6706000000000003</v>
      </c>
      <c r="F62" s="2769">
        <v>9.6706000000000003</v>
      </c>
      <c r="G62" s="2769">
        <v>0</v>
      </c>
      <c r="H62" s="2769">
        <v>0</v>
      </c>
      <c r="I62" s="2769"/>
      <c r="J62" s="2769">
        <v>487.08278133000005</v>
      </c>
      <c r="K62" s="2769">
        <v>7.3810000000000002</v>
      </c>
      <c r="L62" s="2769"/>
      <c r="M62" s="2769">
        <v>8113.0102558299996</v>
      </c>
      <c r="N62" s="2769">
        <v>100</v>
      </c>
      <c r="O62" s="2086"/>
    </row>
    <row r="63" spans="1:15" ht="18" customHeight="1">
      <c r="A63" s="2086"/>
      <c r="B63" s="2770" t="s">
        <v>162</v>
      </c>
      <c r="C63" s="2767">
        <v>9714.00928355</v>
      </c>
      <c r="D63" s="2769">
        <v>739.3517538000001</v>
      </c>
      <c r="E63" s="2769">
        <v>8.4872999999999994</v>
      </c>
      <c r="F63" s="2769">
        <v>8.4872999999999994</v>
      </c>
      <c r="G63" s="2769">
        <v>0</v>
      </c>
      <c r="H63" s="2769">
        <v>0</v>
      </c>
      <c r="I63" s="2769"/>
      <c r="J63" s="2769">
        <v>484.49796793000002</v>
      </c>
      <c r="K63" s="2769">
        <v>7.3810000000000002</v>
      </c>
      <c r="L63" s="2769"/>
      <c r="M63" s="2769">
        <v>8374.2912618199989</v>
      </c>
      <c r="N63" s="2769">
        <v>100</v>
      </c>
      <c r="O63" s="2086"/>
    </row>
    <row r="64" spans="1:15" ht="18" customHeight="1">
      <c r="A64" s="2086"/>
      <c r="B64" s="2770" t="s">
        <v>163</v>
      </c>
      <c r="C64" s="2767">
        <v>10223.00747241</v>
      </c>
      <c r="D64" s="2769">
        <v>946.93229590999988</v>
      </c>
      <c r="E64" s="2769">
        <v>6.9583000000000004</v>
      </c>
      <c r="F64" s="2769">
        <v>6.9583000000000004</v>
      </c>
      <c r="G64" s="2769">
        <v>0</v>
      </c>
      <c r="H64" s="2769">
        <v>100</v>
      </c>
      <c r="I64" s="2769"/>
      <c r="J64" s="2769">
        <v>482.20065221999999</v>
      </c>
      <c r="K64" s="2769">
        <v>7.3810000000000002</v>
      </c>
      <c r="L64" s="2769"/>
      <c r="M64" s="2769">
        <v>8679.53522428</v>
      </c>
      <c r="N64" s="2769">
        <v>0</v>
      </c>
      <c r="O64" s="2086"/>
    </row>
    <row r="65" spans="1:15" ht="18" customHeight="1">
      <c r="A65" s="2086"/>
      <c r="B65" s="2770" t="s">
        <v>164</v>
      </c>
      <c r="C65" s="2767">
        <v>10539.566984649997</v>
      </c>
      <c r="D65" s="2769">
        <v>1012.1588589800001</v>
      </c>
      <c r="E65" s="2769">
        <v>4.2088000000000001</v>
      </c>
      <c r="F65" s="2769">
        <v>4.2088000000000001</v>
      </c>
      <c r="G65" s="2769">
        <v>0</v>
      </c>
      <c r="H65" s="2769">
        <v>100</v>
      </c>
      <c r="I65" s="2769"/>
      <c r="J65" s="2769">
        <v>475.04632014999999</v>
      </c>
      <c r="K65" s="2769">
        <v>7.3810000000000002</v>
      </c>
      <c r="L65" s="2769"/>
      <c r="M65" s="2769">
        <v>8940.772005519997</v>
      </c>
      <c r="N65" s="2769">
        <v>0</v>
      </c>
      <c r="O65" s="2086"/>
    </row>
    <row r="66" spans="1:15" ht="18" customHeight="1">
      <c r="A66" s="2086"/>
      <c r="B66" s="2770" t="s">
        <v>165</v>
      </c>
      <c r="C66" s="2767">
        <v>11535.44895322</v>
      </c>
      <c r="D66" s="2769">
        <v>1542.4248094900004</v>
      </c>
      <c r="E66" s="2769">
        <v>13.2448</v>
      </c>
      <c r="F66" s="2769">
        <v>13.2448</v>
      </c>
      <c r="G66" s="2769">
        <v>0</v>
      </c>
      <c r="H66" s="2769">
        <v>295.94</v>
      </c>
      <c r="I66" s="2769"/>
      <c r="J66" s="2769">
        <v>472.16773891000003</v>
      </c>
      <c r="K66" s="2769">
        <v>7.3810000000000002</v>
      </c>
      <c r="L66" s="2769"/>
      <c r="M66" s="2769">
        <v>9204.2906048200002</v>
      </c>
      <c r="N66" s="2769">
        <v>0</v>
      </c>
      <c r="O66" s="2086"/>
    </row>
    <row r="67" spans="1:15" ht="18" customHeight="1">
      <c r="A67" s="2086"/>
      <c r="B67" s="2770" t="s">
        <v>166</v>
      </c>
      <c r="C67" s="2767">
        <v>12717.971433939998</v>
      </c>
      <c r="D67" s="2769">
        <v>2168.3358834600003</v>
      </c>
      <c r="E67" s="2769">
        <v>10.1701</v>
      </c>
      <c r="F67" s="2769">
        <v>10.1701</v>
      </c>
      <c r="G67" s="2769">
        <v>0</v>
      </c>
      <c r="H67" s="2769">
        <v>295.94</v>
      </c>
      <c r="I67" s="2769"/>
      <c r="J67" s="2769">
        <v>906.38981353999998</v>
      </c>
      <c r="K67" s="2769">
        <v>7.3810000000000002</v>
      </c>
      <c r="L67" s="2769"/>
      <c r="M67" s="2769">
        <v>9329.754636939997</v>
      </c>
      <c r="N67" s="2769">
        <v>0</v>
      </c>
      <c r="O67" s="2086"/>
    </row>
    <row r="68" spans="1:15" ht="18" customHeight="1">
      <c r="A68" s="2086"/>
      <c r="B68" s="2770" t="s">
        <v>167</v>
      </c>
      <c r="C68" s="2767">
        <v>12892.521924209999</v>
      </c>
      <c r="D68" s="2769">
        <v>2074.7585050000002</v>
      </c>
      <c r="E68" s="2769">
        <v>8.2689000000000004</v>
      </c>
      <c r="F68" s="2769">
        <v>8.2689000000000004</v>
      </c>
      <c r="G68" s="2769">
        <v>0</v>
      </c>
      <c r="H68" s="2769">
        <v>295.94</v>
      </c>
      <c r="I68" s="2769"/>
      <c r="J68" s="2769">
        <v>899.20954951999977</v>
      </c>
      <c r="K68" s="2769">
        <v>7.7560000000000002</v>
      </c>
      <c r="L68" s="2769"/>
      <c r="M68" s="2769">
        <v>9606.5889696899994</v>
      </c>
      <c r="N68" s="2769">
        <v>0</v>
      </c>
      <c r="O68" s="2086"/>
    </row>
    <row r="69" spans="1:15" ht="18" customHeight="1">
      <c r="A69" s="2086"/>
      <c r="B69" s="2770" t="s">
        <v>168</v>
      </c>
      <c r="C69" s="2767">
        <v>13308.137278759999</v>
      </c>
      <c r="D69" s="2769">
        <v>2724.5808964100006</v>
      </c>
      <c r="E69" s="2769">
        <v>5.4733999999999998</v>
      </c>
      <c r="F69" s="2769">
        <v>5.4733999999999998</v>
      </c>
      <c r="G69" s="2769">
        <v>0</v>
      </c>
      <c r="H69" s="2769">
        <v>295.94</v>
      </c>
      <c r="I69" s="2769"/>
      <c r="J69" s="2769">
        <v>470.86654979000002</v>
      </c>
      <c r="K69" s="2769">
        <v>7.7560000000000002</v>
      </c>
      <c r="L69" s="2769"/>
      <c r="M69" s="2769">
        <v>9803.5204325599989</v>
      </c>
      <c r="N69" s="2769">
        <v>0</v>
      </c>
      <c r="O69" s="2086"/>
    </row>
    <row r="70" spans="1:15" ht="18" customHeight="1">
      <c r="A70" s="2086"/>
      <c r="B70" s="2770" t="s">
        <v>169</v>
      </c>
      <c r="C70" s="2767">
        <v>12624.059611190005</v>
      </c>
      <c r="D70" s="2769">
        <v>1874.4560493800002</v>
      </c>
      <c r="E70" s="2769">
        <v>6.1894</v>
      </c>
      <c r="F70" s="2769">
        <v>6.1894</v>
      </c>
      <c r="G70" s="2769">
        <v>0</v>
      </c>
      <c r="H70" s="2769">
        <v>295.94</v>
      </c>
      <c r="I70" s="2769"/>
      <c r="J70" s="2769">
        <v>467.49933666999993</v>
      </c>
      <c r="K70" s="2769">
        <v>12.755699999999999</v>
      </c>
      <c r="L70" s="2769"/>
      <c r="M70" s="2769">
        <v>9967.2191251400036</v>
      </c>
      <c r="N70" s="2769">
        <v>0</v>
      </c>
      <c r="O70" s="2086"/>
    </row>
    <row r="71" spans="1:15" ht="18" customHeight="1">
      <c r="A71" s="2086"/>
      <c r="B71" s="2770" t="s">
        <v>170</v>
      </c>
      <c r="C71" s="2767">
        <v>14377.879131699998</v>
      </c>
      <c r="D71" s="2769">
        <v>934.01699229000019</v>
      </c>
      <c r="E71" s="2769">
        <v>3.4779</v>
      </c>
      <c r="F71" s="2769">
        <v>3.4779</v>
      </c>
      <c r="G71" s="2769">
        <v>0</v>
      </c>
      <c r="H71" s="2769">
        <v>2793.5358329999999</v>
      </c>
      <c r="I71" s="2769"/>
      <c r="J71" s="2769">
        <v>460.89565615999999</v>
      </c>
      <c r="K71" s="2769">
        <v>17.754528000000001</v>
      </c>
      <c r="L71" s="2769"/>
      <c r="M71" s="2769">
        <v>10168.198222249997</v>
      </c>
      <c r="N71" s="2769">
        <v>0</v>
      </c>
      <c r="O71" s="2086"/>
    </row>
    <row r="72" spans="1:15" ht="18" customHeight="1">
      <c r="A72" s="2086"/>
      <c r="B72" s="2770" t="s">
        <v>171</v>
      </c>
      <c r="C72" s="2767">
        <v>14932.860437769998</v>
      </c>
      <c r="D72" s="2769">
        <v>3682.6584103499999</v>
      </c>
      <c r="E72" s="2769">
        <v>12.1889</v>
      </c>
      <c r="F72" s="2769">
        <v>12.1889</v>
      </c>
      <c r="G72" s="2769">
        <v>0</v>
      </c>
      <c r="H72" s="2769">
        <v>411.27199999999999</v>
      </c>
      <c r="I72" s="2769"/>
      <c r="J72" s="2769">
        <v>457.95548186999991</v>
      </c>
      <c r="K72" s="2769">
        <v>17.754528000000001</v>
      </c>
      <c r="L72" s="2769"/>
      <c r="M72" s="2769">
        <v>10351.031117549997</v>
      </c>
      <c r="N72" s="2769">
        <v>0</v>
      </c>
      <c r="O72" s="2086"/>
    </row>
    <row r="73" spans="1:15" ht="18" customHeight="1">
      <c r="A73" s="2086"/>
      <c r="B73" s="2770" t="s">
        <v>148</v>
      </c>
      <c r="C73" s="2767">
        <v>15188.260410719999</v>
      </c>
      <c r="D73" s="2769">
        <v>3802.2906752000004</v>
      </c>
      <c r="E73" s="2769">
        <v>14.842599999999999</v>
      </c>
      <c r="F73" s="2769">
        <v>14.842599999999999</v>
      </c>
      <c r="G73" s="2769">
        <v>0</v>
      </c>
      <c r="H73" s="2769">
        <v>0</v>
      </c>
      <c r="I73" s="2769"/>
      <c r="J73" s="2769">
        <v>455.54135377</v>
      </c>
      <c r="K73" s="2769">
        <v>18.755828000000001</v>
      </c>
      <c r="L73" s="2769"/>
      <c r="M73" s="2769">
        <v>10485.557953749998</v>
      </c>
      <c r="N73" s="2769">
        <v>411.27199999999999</v>
      </c>
      <c r="O73" s="2086"/>
    </row>
    <row r="74" spans="1:15" ht="18" customHeight="1">
      <c r="A74" s="2086"/>
      <c r="B74" s="2920">
        <v>2015</v>
      </c>
      <c r="C74" s="2767"/>
      <c r="D74" s="2769"/>
      <c r="E74" s="2769"/>
      <c r="F74" s="2769"/>
      <c r="G74" s="2769"/>
      <c r="H74" s="2769"/>
      <c r="I74" s="2769"/>
      <c r="J74" s="2769"/>
      <c r="K74" s="2769"/>
      <c r="L74" s="2769"/>
      <c r="M74" s="2769"/>
      <c r="N74" s="2769"/>
      <c r="O74" s="2086"/>
    </row>
    <row r="75" spans="1:15" ht="18" customHeight="1">
      <c r="A75" s="2086"/>
      <c r="B75" s="2770" t="s">
        <v>161</v>
      </c>
      <c r="C75" s="2767">
        <v>15012.883606219999</v>
      </c>
      <c r="D75" s="2769">
        <v>3391.97236892</v>
      </c>
      <c r="E75" s="2769">
        <v>12.01</v>
      </c>
      <c r="F75" s="2769">
        <v>12.01</v>
      </c>
      <c r="G75" s="2769">
        <v>0</v>
      </c>
      <c r="H75" s="2769">
        <v>0</v>
      </c>
      <c r="I75" s="2769"/>
      <c r="J75" s="2769">
        <v>448.07849883</v>
      </c>
      <c r="K75" s="2769">
        <v>18.755728000000001</v>
      </c>
      <c r="L75" s="2769"/>
      <c r="M75" s="2769">
        <v>10730.795010469998</v>
      </c>
      <c r="N75" s="2769">
        <v>411.27199999999999</v>
      </c>
      <c r="O75" s="2086"/>
    </row>
    <row r="76" spans="1:15" ht="18" customHeight="1">
      <c r="A76" s="2086"/>
      <c r="B76" s="2770" t="s">
        <v>162</v>
      </c>
      <c r="C76" s="2767">
        <v>15578.159135459999</v>
      </c>
      <c r="D76" s="2769">
        <v>3604.3267963100002</v>
      </c>
      <c r="E76" s="2769">
        <v>8.7585999999999995</v>
      </c>
      <c r="F76" s="2769">
        <v>8.7585999999999995</v>
      </c>
      <c r="G76" s="2769">
        <v>0</v>
      </c>
      <c r="H76" s="2769">
        <v>0</v>
      </c>
      <c r="I76" s="2769"/>
      <c r="J76" s="2769">
        <v>444.99167344</v>
      </c>
      <c r="K76" s="2769">
        <v>18.755728000000001</v>
      </c>
      <c r="L76" s="2769"/>
      <c r="M76" s="2769">
        <v>11090.054337709998</v>
      </c>
      <c r="N76" s="2769">
        <v>411.27199999999999</v>
      </c>
      <c r="O76" s="2086"/>
    </row>
    <row r="77" spans="1:15" ht="18" customHeight="1">
      <c r="A77" s="2086"/>
      <c r="B77" s="2770" t="s">
        <v>163</v>
      </c>
      <c r="C77" s="2767">
        <v>16552.444543719997</v>
      </c>
      <c r="D77" s="2769">
        <v>3918.9453922799989</v>
      </c>
      <c r="E77" s="2769">
        <v>25.7516</v>
      </c>
      <c r="F77" s="2769">
        <v>25.7516</v>
      </c>
      <c r="G77" s="2769">
        <v>0</v>
      </c>
      <c r="H77" s="2769">
        <v>0</v>
      </c>
      <c r="I77" s="2769"/>
      <c r="J77" s="2769">
        <v>642.25412839000001</v>
      </c>
      <c r="K77" s="2769">
        <v>18.755628000000002</v>
      </c>
      <c r="L77" s="2769"/>
      <c r="M77" s="2769">
        <v>11535.465795049997</v>
      </c>
      <c r="N77" s="2769">
        <v>411.27199999999999</v>
      </c>
      <c r="O77" s="2086"/>
    </row>
    <row r="78" spans="1:15" ht="18" customHeight="1">
      <c r="A78" s="2086"/>
      <c r="B78" s="2770" t="s">
        <v>164</v>
      </c>
      <c r="C78" s="2767">
        <v>16841.192990929998</v>
      </c>
      <c r="D78" s="2769">
        <v>3758.2105104599996</v>
      </c>
      <c r="E78" s="2769">
        <v>22.502600000000001</v>
      </c>
      <c r="F78" s="2769">
        <v>22.502600000000001</v>
      </c>
      <c r="G78" s="2769">
        <v>0</v>
      </c>
      <c r="H78" s="2769">
        <v>0</v>
      </c>
      <c r="I78" s="2769"/>
      <c r="J78" s="2769">
        <v>621.7459068500001</v>
      </c>
      <c r="K78" s="2769">
        <v>18.754928</v>
      </c>
      <c r="L78" s="2769"/>
      <c r="M78" s="2769">
        <v>12008.707045619998</v>
      </c>
      <c r="N78" s="2769">
        <v>411.27199999999999</v>
      </c>
      <c r="O78" s="2086"/>
    </row>
    <row r="79" spans="1:15" ht="18" customHeight="1">
      <c r="A79" s="2086"/>
      <c r="B79" s="2770" t="s">
        <v>165</v>
      </c>
      <c r="C79" s="2767">
        <v>17727.639769799996</v>
      </c>
      <c r="D79" s="2769">
        <v>4095.9459006799998</v>
      </c>
      <c r="E79" s="2769">
        <v>18.738600000000002</v>
      </c>
      <c r="F79" s="2769">
        <v>18.738600000000002</v>
      </c>
      <c r="G79" s="2769">
        <v>0</v>
      </c>
      <c r="H79" s="2769">
        <v>0</v>
      </c>
      <c r="I79" s="2769"/>
      <c r="J79" s="2769">
        <v>886.40174997000008</v>
      </c>
      <c r="K79" s="2769">
        <v>18.754928</v>
      </c>
      <c r="L79" s="2769"/>
      <c r="M79" s="2769">
        <v>12296.526591149996</v>
      </c>
      <c r="N79" s="2769">
        <v>411.27199999999999</v>
      </c>
      <c r="O79" s="2086"/>
    </row>
    <row r="80" spans="1:15" ht="18" customHeight="1">
      <c r="A80" s="2086"/>
      <c r="B80" s="2770" t="s">
        <v>166</v>
      </c>
      <c r="C80" s="2767">
        <v>15948.975146360001</v>
      </c>
      <c r="D80" s="2769">
        <v>2259.3374824699999</v>
      </c>
      <c r="E80" s="2769">
        <v>15.3104</v>
      </c>
      <c r="F80" s="2769">
        <v>15.3104</v>
      </c>
      <c r="G80" s="2769">
        <v>0</v>
      </c>
      <c r="H80" s="2769">
        <v>0</v>
      </c>
      <c r="I80" s="2769"/>
      <c r="J80" s="2769">
        <v>899.41624448999994</v>
      </c>
      <c r="K80" s="2769">
        <v>18.752828000000001</v>
      </c>
      <c r="L80" s="2769"/>
      <c r="M80" s="2769">
        <v>12344.886191399999</v>
      </c>
      <c r="N80" s="2769">
        <v>411.27199999999999</v>
      </c>
      <c r="O80" s="2086"/>
    </row>
    <row r="81" spans="1:15" ht="18" customHeight="1">
      <c r="A81" s="2086"/>
      <c r="B81" s="2770" t="s">
        <v>167</v>
      </c>
      <c r="C81" s="2767">
        <v>16835.42054558</v>
      </c>
      <c r="D81" s="2769">
        <v>2802.8472203599995</v>
      </c>
      <c r="E81" s="2769">
        <v>35.128399999999999</v>
      </c>
      <c r="F81" s="2769">
        <v>35.128399999999999</v>
      </c>
      <c r="G81" s="2769">
        <v>0</v>
      </c>
      <c r="H81" s="2769">
        <v>0</v>
      </c>
      <c r="I81" s="2769"/>
      <c r="J81" s="2769">
        <v>891.61544406999997</v>
      </c>
      <c r="K81" s="2769">
        <v>18.749828000000001</v>
      </c>
      <c r="L81" s="2769"/>
      <c r="M81" s="2769">
        <v>12675.807653149999</v>
      </c>
      <c r="N81" s="2769">
        <v>411.27199999999999</v>
      </c>
      <c r="O81" s="2086"/>
    </row>
    <row r="82" spans="1:15" ht="18" customHeight="1">
      <c r="A82" s="2086"/>
      <c r="B82" s="2770" t="s">
        <v>168</v>
      </c>
      <c r="C82" s="2767">
        <v>16839.492871499999</v>
      </c>
      <c r="D82" s="2769">
        <v>2820.9566550999998</v>
      </c>
      <c r="E82" s="2769">
        <v>22.2212</v>
      </c>
      <c r="F82" s="2769">
        <v>22.2212</v>
      </c>
      <c r="G82" s="2769">
        <v>0</v>
      </c>
      <c r="H82" s="2769">
        <v>0</v>
      </c>
      <c r="I82" s="2769"/>
      <c r="J82" s="2769">
        <v>614.71089691999998</v>
      </c>
      <c r="K82" s="2769">
        <v>19.130828000000001</v>
      </c>
      <c r="L82" s="2769"/>
      <c r="M82" s="2769">
        <v>12951.20129148</v>
      </c>
      <c r="N82" s="2769">
        <v>411.27199999999999</v>
      </c>
      <c r="O82" s="2086"/>
    </row>
    <row r="83" spans="1:15" ht="18" customHeight="1">
      <c r="A83" s="2086"/>
      <c r="B83" s="3216" t="s">
        <v>169</v>
      </c>
      <c r="C83" s="3214">
        <v>16419.169956180001</v>
      </c>
      <c r="D83" s="3215">
        <v>2350.5834960599996</v>
      </c>
      <c r="E83" s="3215">
        <v>12.655799999999999</v>
      </c>
      <c r="F83" s="3215">
        <v>12.655799999999999</v>
      </c>
      <c r="G83" s="3215">
        <v>0</v>
      </c>
      <c r="H83" s="3215">
        <v>0</v>
      </c>
      <c r="I83" s="3215"/>
      <c r="J83" s="3215">
        <v>399.08692782000003</v>
      </c>
      <c r="K83" s="3215">
        <v>38.441828000000001</v>
      </c>
      <c r="L83" s="3215"/>
      <c r="M83" s="3215">
        <v>13207.1299043</v>
      </c>
      <c r="N83" s="3215">
        <v>411.27199999999999</v>
      </c>
      <c r="O83" s="2086"/>
    </row>
    <row r="84" spans="1:15" ht="18" customHeight="1">
      <c r="A84" s="2086"/>
      <c r="B84" s="3216" t="s">
        <v>170</v>
      </c>
      <c r="C84" s="3214">
        <v>16837.277512880002</v>
      </c>
      <c r="D84" s="3215">
        <v>2254.1159675299996</v>
      </c>
      <c r="E84" s="3215">
        <v>40.039000000000001</v>
      </c>
      <c r="F84" s="3215">
        <v>40.039000000000001</v>
      </c>
      <c r="G84" s="3215">
        <v>0</v>
      </c>
      <c r="H84" s="3215">
        <v>0</v>
      </c>
      <c r="I84" s="3215"/>
      <c r="J84" s="3215">
        <v>590.37736882999991</v>
      </c>
      <c r="K84" s="3215">
        <v>38.441828000000001</v>
      </c>
      <c r="L84" s="3215"/>
      <c r="M84" s="3215">
        <v>13503.031348520002</v>
      </c>
      <c r="N84" s="3215">
        <v>411.27199999999999</v>
      </c>
      <c r="O84" s="2086"/>
    </row>
    <row r="85" spans="1:15" ht="18" customHeight="1">
      <c r="A85" s="2086"/>
      <c r="B85" s="4197" t="s">
        <v>171</v>
      </c>
      <c r="C85" s="4194">
        <v>16899.733999899996</v>
      </c>
      <c r="D85" s="4196">
        <v>2054.3998152099998</v>
      </c>
      <c r="E85" s="4196">
        <v>32.946100000000001</v>
      </c>
      <c r="F85" s="4196">
        <v>32.946100000000001</v>
      </c>
      <c r="G85" s="4196">
        <v>0</v>
      </c>
      <c r="H85" s="4196">
        <v>0</v>
      </c>
      <c r="I85" s="4196"/>
      <c r="J85" s="4196">
        <v>582.69976124999994</v>
      </c>
      <c r="K85" s="4196">
        <v>38.441828000000001</v>
      </c>
      <c r="L85" s="4196"/>
      <c r="M85" s="4196">
        <v>13779.974495439996</v>
      </c>
      <c r="N85" s="4196">
        <v>411.27199999999999</v>
      </c>
      <c r="O85" s="2086"/>
    </row>
    <row r="86" spans="1:15" ht="18" customHeight="1">
      <c r="A86" s="2086"/>
      <c r="B86" s="4320" t="s">
        <v>148</v>
      </c>
      <c r="C86" s="4194">
        <v>16834.729958849999</v>
      </c>
      <c r="D86" s="4196">
        <v>2189.6468404299999</v>
      </c>
      <c r="E86" s="4196">
        <v>23.666599999999999</v>
      </c>
      <c r="F86" s="4196">
        <v>23.666599999999999</v>
      </c>
      <c r="G86" s="4196">
        <v>0</v>
      </c>
      <c r="H86" s="4196">
        <v>0</v>
      </c>
      <c r="I86" s="4196"/>
      <c r="J86" s="4196">
        <v>504.48610925000008</v>
      </c>
      <c r="K86" s="4196">
        <v>38.441828000000001</v>
      </c>
      <c r="L86" s="4196"/>
      <c r="M86" s="4196">
        <v>13667.216581169998</v>
      </c>
      <c r="N86" s="4196">
        <v>411.27199999999999</v>
      </c>
      <c r="O86" s="2086"/>
    </row>
    <row r="87" spans="1:15" ht="18" customHeight="1">
      <c r="A87" s="2086"/>
      <c r="B87" s="4322">
        <v>2016</v>
      </c>
      <c r="C87" s="4194"/>
      <c r="D87" s="4196"/>
      <c r="E87" s="4196"/>
      <c r="F87" s="4196"/>
      <c r="G87" s="4196"/>
      <c r="H87" s="4196"/>
      <c r="I87" s="4196"/>
      <c r="J87" s="4196"/>
      <c r="K87" s="4196"/>
      <c r="L87" s="4196"/>
      <c r="M87" s="4196"/>
      <c r="N87" s="4196"/>
      <c r="O87" s="2086"/>
    </row>
    <row r="88" spans="1:15" ht="18" customHeight="1">
      <c r="A88" s="2086"/>
      <c r="B88" s="4197" t="s">
        <v>161</v>
      </c>
      <c r="C88" s="4194">
        <v>17400.2627245</v>
      </c>
      <c r="D88" s="4196">
        <v>2047.5373241599996</v>
      </c>
      <c r="E88" s="4196">
        <v>49.351799999999997</v>
      </c>
      <c r="F88" s="4196">
        <v>49.351799999999997</v>
      </c>
      <c r="G88" s="4196">
        <v>0</v>
      </c>
      <c r="H88" s="4196">
        <v>0</v>
      </c>
      <c r="I88" s="4196"/>
      <c r="J88" s="4196">
        <v>415.03696065999998</v>
      </c>
      <c r="K88" s="4196">
        <v>38.441527999999998</v>
      </c>
      <c r="L88" s="4196"/>
      <c r="M88" s="4196">
        <v>14438.623111679999</v>
      </c>
      <c r="N88" s="4196">
        <v>411.27199999999999</v>
      </c>
      <c r="O88" s="2086"/>
    </row>
    <row r="89" spans="1:15" ht="18" customHeight="1">
      <c r="A89" s="2086"/>
      <c r="B89" s="4323" t="s">
        <v>162</v>
      </c>
      <c r="C89" s="4316">
        <v>16903.024105110006</v>
      </c>
      <c r="D89" s="4318">
        <v>1987.0341985099999</v>
      </c>
      <c r="E89" s="4318">
        <v>53.698300000000003</v>
      </c>
      <c r="F89" s="4318">
        <v>53.698300000000003</v>
      </c>
      <c r="G89" s="4318">
        <v>0</v>
      </c>
      <c r="H89" s="4318">
        <v>0</v>
      </c>
      <c r="I89" s="4318"/>
      <c r="J89" s="4318">
        <v>461.50180459000001</v>
      </c>
      <c r="K89" s="4318">
        <v>38.441828000000001</v>
      </c>
      <c r="L89" s="4318"/>
      <c r="M89" s="4318">
        <v>13951.075974010004</v>
      </c>
      <c r="N89" s="4318">
        <v>411.27199999999999</v>
      </c>
      <c r="O89" s="2086"/>
    </row>
    <row r="90" spans="1:15" ht="18.75" customHeight="1">
      <c r="A90" s="2086"/>
      <c r="B90" s="4655" t="s">
        <v>1600</v>
      </c>
      <c r="C90" s="4655"/>
      <c r="D90" s="4655"/>
      <c r="E90" s="4655"/>
      <c r="F90" s="4655"/>
      <c r="G90" s="4655"/>
      <c r="H90" s="4655"/>
      <c r="I90" s="4655"/>
      <c r="J90" s="4655"/>
      <c r="K90" s="4655"/>
      <c r="L90" s="4655"/>
      <c r="M90" s="4655"/>
      <c r="N90" s="4655"/>
      <c r="O90" s="2086"/>
    </row>
    <row r="91" spans="1:15" ht="37.5" customHeight="1">
      <c r="A91" s="2086"/>
      <c r="B91" s="4654" t="s">
        <v>1632</v>
      </c>
      <c r="C91" s="4654"/>
      <c r="D91" s="4654"/>
      <c r="E91" s="4654"/>
      <c r="F91" s="4654"/>
      <c r="G91" s="4654"/>
      <c r="H91" s="4654"/>
      <c r="I91" s="4654"/>
      <c r="J91" s="4654"/>
      <c r="K91" s="4654"/>
      <c r="L91" s="4654"/>
      <c r="M91" s="4654"/>
      <c r="N91" s="4654"/>
      <c r="O91" s="2086"/>
    </row>
    <row r="92" spans="1:15">
      <c r="A92" s="2086"/>
      <c r="B92" s="2335"/>
      <c r="C92" s="3526"/>
      <c r="D92" s="2335"/>
      <c r="E92" s="2335"/>
      <c r="F92" s="2335"/>
      <c r="G92" s="2335"/>
      <c r="H92" s="2335"/>
      <c r="I92" s="2335"/>
      <c r="J92" s="2335"/>
      <c r="K92" s="2335"/>
      <c r="L92" s="2335"/>
      <c r="M92" s="2335"/>
      <c r="N92" s="2335"/>
      <c r="O92" s="2086"/>
    </row>
    <row r="93" spans="1:15">
      <c r="A93" s="2086"/>
      <c r="B93" s="2277"/>
      <c r="C93" s="3522"/>
      <c r="D93" s="2277"/>
      <c r="E93" s="2277"/>
      <c r="F93" s="2277"/>
      <c r="G93" s="2277"/>
      <c r="H93" s="2277"/>
      <c r="I93" s="2277"/>
      <c r="J93" s="2277"/>
      <c r="K93" s="2277"/>
      <c r="L93" s="2277"/>
      <c r="M93" s="2277"/>
      <c r="N93" s="2277"/>
      <c r="O93" s="2086"/>
    </row>
    <row r="94" spans="1:15" s="2395" customFormat="1">
      <c r="A94" s="2086"/>
      <c r="B94" s="2277"/>
      <c r="C94" s="3522"/>
      <c r="D94" s="2277"/>
      <c r="E94" s="2277"/>
      <c r="F94" s="2277"/>
      <c r="G94" s="2277"/>
      <c r="H94" s="2277"/>
      <c r="I94" s="2277"/>
      <c r="J94" s="2277"/>
      <c r="K94" s="2277"/>
      <c r="L94" s="2277"/>
      <c r="M94" s="2277"/>
      <c r="N94" s="2277"/>
      <c r="O94" s="2086"/>
    </row>
    <row r="95" spans="1:15" s="2395" customFormat="1">
      <c r="B95" s="4016"/>
      <c r="C95" s="4017"/>
      <c r="D95" s="4016"/>
      <c r="E95" s="4016"/>
      <c r="F95" s="4016"/>
      <c r="G95" s="4016"/>
      <c r="H95" s="4016"/>
      <c r="I95" s="4016"/>
      <c r="J95" s="4016"/>
      <c r="K95" s="4016"/>
      <c r="L95" s="4016"/>
      <c r="M95" s="4016"/>
      <c r="N95" s="4016"/>
    </row>
    <row r="96" spans="1:15" s="2395" customFormat="1">
      <c r="B96" s="4016"/>
      <c r="C96" s="4017"/>
      <c r="D96" s="4016"/>
      <c r="E96" s="4016"/>
      <c r="F96" s="4016"/>
      <c r="G96" s="4016"/>
      <c r="H96" s="4016"/>
      <c r="I96" s="4016"/>
      <c r="J96" s="4016"/>
      <c r="K96" s="4016"/>
      <c r="L96" s="4016"/>
      <c r="M96" s="4016"/>
      <c r="N96" s="4016"/>
    </row>
    <row r="97" spans="2:14" s="2395" customFormat="1">
      <c r="B97" s="4018"/>
      <c r="C97" s="4018"/>
      <c r="D97" s="4018"/>
      <c r="E97" s="4018"/>
      <c r="F97" s="4018"/>
      <c r="G97" s="4018"/>
      <c r="H97" s="4018"/>
      <c r="I97" s="4018"/>
      <c r="J97" s="4018"/>
      <c r="K97" s="4019"/>
      <c r="L97" s="4019"/>
      <c r="M97" s="4016"/>
      <c r="N97" s="4016"/>
    </row>
    <row r="98" spans="2:14" s="2395" customFormat="1">
      <c r="B98" s="4019"/>
      <c r="C98" s="4019"/>
      <c r="D98" s="4019"/>
      <c r="E98" s="4019"/>
      <c r="F98" s="4019"/>
      <c r="G98" s="4019"/>
      <c r="H98" s="4019"/>
      <c r="I98" s="4019"/>
      <c r="J98" s="4019"/>
      <c r="K98" s="4019"/>
      <c r="L98" s="4019"/>
      <c r="M98" s="4016"/>
      <c r="N98" s="4016"/>
    </row>
    <row r="99" spans="2:14" s="2395" customFormat="1">
      <c r="B99" s="4016"/>
      <c r="C99" s="4017"/>
      <c r="D99" s="4016"/>
      <c r="E99" s="4016"/>
      <c r="F99" s="4016"/>
      <c r="G99" s="4016"/>
      <c r="H99" s="4016"/>
      <c r="I99" s="4016"/>
      <c r="J99" s="4016"/>
      <c r="K99" s="4016"/>
      <c r="L99" s="4016"/>
      <c r="M99" s="4016"/>
      <c r="N99" s="4016"/>
    </row>
  </sheetData>
  <mergeCells count="6">
    <mergeCell ref="B1:N1"/>
    <mergeCell ref="B91:N91"/>
    <mergeCell ref="E6:G6"/>
    <mergeCell ref="B90:N90"/>
    <mergeCell ref="L5:L10"/>
    <mergeCell ref="I5:I10"/>
  </mergeCells>
  <pageMargins left="0.97" right="0.7" top="0.75" bottom="0.75" header="0.5" footer="0.3"/>
  <pageSetup paperSize="9" scale="72" orientation="portrait" r:id="rId1"/>
</worksheet>
</file>

<file path=xl/worksheets/sheet38.xml><?xml version="1.0" encoding="utf-8"?>
<worksheet xmlns="http://schemas.openxmlformats.org/spreadsheetml/2006/main" xmlns:r="http://schemas.openxmlformats.org/officeDocument/2006/relationships">
  <dimension ref="A1:O92"/>
  <sheetViews>
    <sheetView zoomScale="70" zoomScaleNormal="70" workbookViewId="0">
      <pane xSplit="2" ySplit="11" topLeftCell="C12" activePane="bottomRight" state="frozen"/>
      <selection activeCell="O92" sqref="O92"/>
      <selection pane="topRight" activeCell="O92" sqref="O92"/>
      <selection pane="bottomLeft" activeCell="O92" sqref="O92"/>
      <selection pane="bottomRight" activeCell="O83" sqref="O83"/>
    </sheetView>
  </sheetViews>
  <sheetFormatPr defaultRowHeight="16.5"/>
  <cols>
    <col min="1" max="1" width="9.140625" style="2087"/>
    <col min="2" max="2" width="9.140625" style="2202"/>
    <col min="3" max="3" width="13.7109375" style="3523" customWidth="1"/>
    <col min="4" max="4" width="11.7109375" style="2202" customWidth="1"/>
    <col min="5" max="5" width="12" style="2202" customWidth="1"/>
    <col min="6" max="6" width="12.28515625" style="2202" customWidth="1"/>
    <col min="7" max="7" width="8.42578125" style="2202" customWidth="1"/>
    <col min="8" max="8" width="9" style="2202" customWidth="1"/>
    <col min="9" max="9" width="9.5703125" style="2202" customWidth="1"/>
    <col min="10" max="10" width="11.140625" style="2202" customWidth="1"/>
    <col min="11" max="11" width="12.42578125" style="2202" customWidth="1"/>
    <col min="12" max="12" width="12.28515625" style="2202" customWidth="1"/>
    <col min="13" max="13" width="11.140625" style="2202" customWidth="1"/>
    <col min="14" max="257" width="9.140625" style="2087"/>
    <col min="258" max="258" width="9.85546875" style="2087" customWidth="1"/>
    <col min="259" max="259" width="11.7109375" style="2087" customWidth="1"/>
    <col min="260" max="260" width="12" style="2087" customWidth="1"/>
    <col min="261" max="261" width="12.28515625" style="2087" customWidth="1"/>
    <col min="262" max="264" width="9.140625" style="2087"/>
    <col min="265" max="265" width="11.140625" style="2087" customWidth="1"/>
    <col min="266" max="266" width="12.85546875" style="2087" customWidth="1"/>
    <col min="267" max="267" width="12.42578125" style="2087" customWidth="1"/>
    <col min="268" max="513" width="9.140625" style="2087"/>
    <col min="514" max="514" width="9.85546875" style="2087" customWidth="1"/>
    <col min="515" max="515" width="11.7109375" style="2087" customWidth="1"/>
    <col min="516" max="516" width="12" style="2087" customWidth="1"/>
    <col min="517" max="517" width="12.28515625" style="2087" customWidth="1"/>
    <col min="518" max="520" width="9.140625" style="2087"/>
    <col min="521" max="521" width="11.140625" style="2087" customWidth="1"/>
    <col min="522" max="522" width="12.85546875" style="2087" customWidth="1"/>
    <col min="523" max="523" width="12.42578125" style="2087" customWidth="1"/>
    <col min="524" max="769" width="9.140625" style="2087"/>
    <col min="770" max="770" width="9.85546875" style="2087" customWidth="1"/>
    <col min="771" max="771" width="11.7109375" style="2087" customWidth="1"/>
    <col min="772" max="772" width="12" style="2087" customWidth="1"/>
    <col min="773" max="773" width="12.28515625" style="2087" customWidth="1"/>
    <col min="774" max="776" width="9.140625" style="2087"/>
    <col min="777" max="777" width="11.140625" style="2087" customWidth="1"/>
    <col min="778" max="778" width="12.85546875" style="2087" customWidth="1"/>
    <col min="779" max="779" width="12.42578125" style="2087" customWidth="1"/>
    <col min="780" max="1025" width="9.140625" style="2087"/>
    <col min="1026" max="1026" width="9.85546875" style="2087" customWidth="1"/>
    <col min="1027" max="1027" width="11.7109375" style="2087" customWidth="1"/>
    <col min="1028" max="1028" width="12" style="2087" customWidth="1"/>
    <col min="1029" max="1029" width="12.28515625" style="2087" customWidth="1"/>
    <col min="1030" max="1032" width="9.140625" style="2087"/>
    <col min="1033" max="1033" width="11.140625" style="2087" customWidth="1"/>
    <col min="1034" max="1034" width="12.85546875" style="2087" customWidth="1"/>
    <col min="1035" max="1035" width="12.42578125" style="2087" customWidth="1"/>
    <col min="1036" max="1281" width="9.140625" style="2087"/>
    <col min="1282" max="1282" width="9.85546875" style="2087" customWidth="1"/>
    <col min="1283" max="1283" width="11.7109375" style="2087" customWidth="1"/>
    <col min="1284" max="1284" width="12" style="2087" customWidth="1"/>
    <col min="1285" max="1285" width="12.28515625" style="2087" customWidth="1"/>
    <col min="1286" max="1288" width="9.140625" style="2087"/>
    <col min="1289" max="1289" width="11.140625" style="2087" customWidth="1"/>
    <col min="1290" max="1290" width="12.85546875" style="2087" customWidth="1"/>
    <col min="1291" max="1291" width="12.42578125" style="2087" customWidth="1"/>
    <col min="1292" max="1537" width="9.140625" style="2087"/>
    <col min="1538" max="1538" width="9.85546875" style="2087" customWidth="1"/>
    <col min="1539" max="1539" width="11.7109375" style="2087" customWidth="1"/>
    <col min="1540" max="1540" width="12" style="2087" customWidth="1"/>
    <col min="1541" max="1541" width="12.28515625" style="2087" customWidth="1"/>
    <col min="1542" max="1544" width="9.140625" style="2087"/>
    <col min="1545" max="1545" width="11.140625" style="2087" customWidth="1"/>
    <col min="1546" max="1546" width="12.85546875" style="2087" customWidth="1"/>
    <col min="1547" max="1547" width="12.42578125" style="2087" customWidth="1"/>
    <col min="1548" max="1793" width="9.140625" style="2087"/>
    <col min="1794" max="1794" width="9.85546875" style="2087" customWidth="1"/>
    <col min="1795" max="1795" width="11.7109375" style="2087" customWidth="1"/>
    <col min="1796" max="1796" width="12" style="2087" customWidth="1"/>
    <col min="1797" max="1797" width="12.28515625" style="2087" customWidth="1"/>
    <col min="1798" max="1800" width="9.140625" style="2087"/>
    <col min="1801" max="1801" width="11.140625" style="2087" customWidth="1"/>
    <col min="1802" max="1802" width="12.85546875" style="2087" customWidth="1"/>
    <col min="1803" max="1803" width="12.42578125" style="2087" customWidth="1"/>
    <col min="1804" max="2049" width="9.140625" style="2087"/>
    <col min="2050" max="2050" width="9.85546875" style="2087" customWidth="1"/>
    <col min="2051" max="2051" width="11.7109375" style="2087" customWidth="1"/>
    <col min="2052" max="2052" width="12" style="2087" customWidth="1"/>
    <col min="2053" max="2053" width="12.28515625" style="2087" customWidth="1"/>
    <col min="2054" max="2056" width="9.140625" style="2087"/>
    <col min="2057" max="2057" width="11.140625" style="2087" customWidth="1"/>
    <col min="2058" max="2058" width="12.85546875" style="2087" customWidth="1"/>
    <col min="2059" max="2059" width="12.42578125" style="2087" customWidth="1"/>
    <col min="2060" max="2305" width="9.140625" style="2087"/>
    <col min="2306" max="2306" width="9.85546875" style="2087" customWidth="1"/>
    <col min="2307" max="2307" width="11.7109375" style="2087" customWidth="1"/>
    <col min="2308" max="2308" width="12" style="2087" customWidth="1"/>
    <col min="2309" max="2309" width="12.28515625" style="2087" customWidth="1"/>
    <col min="2310" max="2312" width="9.140625" style="2087"/>
    <col min="2313" max="2313" width="11.140625" style="2087" customWidth="1"/>
    <col min="2314" max="2314" width="12.85546875" style="2087" customWidth="1"/>
    <col min="2315" max="2315" width="12.42578125" style="2087" customWidth="1"/>
    <col min="2316" max="2561" width="9.140625" style="2087"/>
    <col min="2562" max="2562" width="9.85546875" style="2087" customWidth="1"/>
    <col min="2563" max="2563" width="11.7109375" style="2087" customWidth="1"/>
    <col min="2564" max="2564" width="12" style="2087" customWidth="1"/>
    <col min="2565" max="2565" width="12.28515625" style="2087" customWidth="1"/>
    <col min="2566" max="2568" width="9.140625" style="2087"/>
    <col min="2569" max="2569" width="11.140625" style="2087" customWidth="1"/>
    <col min="2570" max="2570" width="12.85546875" style="2087" customWidth="1"/>
    <col min="2571" max="2571" width="12.42578125" style="2087" customWidth="1"/>
    <col min="2572" max="2817" width="9.140625" style="2087"/>
    <col min="2818" max="2818" width="9.85546875" style="2087" customWidth="1"/>
    <col min="2819" max="2819" width="11.7109375" style="2087" customWidth="1"/>
    <col min="2820" max="2820" width="12" style="2087" customWidth="1"/>
    <col min="2821" max="2821" width="12.28515625" style="2087" customWidth="1"/>
    <col min="2822" max="2824" width="9.140625" style="2087"/>
    <col min="2825" max="2825" width="11.140625" style="2087" customWidth="1"/>
    <col min="2826" max="2826" width="12.85546875" style="2087" customWidth="1"/>
    <col min="2827" max="2827" width="12.42578125" style="2087" customWidth="1"/>
    <col min="2828" max="3073" width="9.140625" style="2087"/>
    <col min="3074" max="3074" width="9.85546875" style="2087" customWidth="1"/>
    <col min="3075" max="3075" width="11.7109375" style="2087" customWidth="1"/>
    <col min="3076" max="3076" width="12" style="2087" customWidth="1"/>
    <col min="3077" max="3077" width="12.28515625" style="2087" customWidth="1"/>
    <col min="3078" max="3080" width="9.140625" style="2087"/>
    <col min="3081" max="3081" width="11.140625" style="2087" customWidth="1"/>
    <col min="3082" max="3082" width="12.85546875" style="2087" customWidth="1"/>
    <col min="3083" max="3083" width="12.42578125" style="2087" customWidth="1"/>
    <col min="3084" max="3329" width="9.140625" style="2087"/>
    <col min="3330" max="3330" width="9.85546875" style="2087" customWidth="1"/>
    <col min="3331" max="3331" width="11.7109375" style="2087" customWidth="1"/>
    <col min="3332" max="3332" width="12" style="2087" customWidth="1"/>
    <col min="3333" max="3333" width="12.28515625" style="2087" customWidth="1"/>
    <col min="3334" max="3336" width="9.140625" style="2087"/>
    <col min="3337" max="3337" width="11.140625" style="2087" customWidth="1"/>
    <col min="3338" max="3338" width="12.85546875" style="2087" customWidth="1"/>
    <col min="3339" max="3339" width="12.42578125" style="2087" customWidth="1"/>
    <col min="3340" max="3585" width="9.140625" style="2087"/>
    <col min="3586" max="3586" width="9.85546875" style="2087" customWidth="1"/>
    <col min="3587" max="3587" width="11.7109375" style="2087" customWidth="1"/>
    <col min="3588" max="3588" width="12" style="2087" customWidth="1"/>
    <col min="3589" max="3589" width="12.28515625" style="2087" customWidth="1"/>
    <col min="3590" max="3592" width="9.140625" style="2087"/>
    <col min="3593" max="3593" width="11.140625" style="2087" customWidth="1"/>
    <col min="3594" max="3594" width="12.85546875" style="2087" customWidth="1"/>
    <col min="3595" max="3595" width="12.42578125" style="2087" customWidth="1"/>
    <col min="3596" max="3841" width="9.140625" style="2087"/>
    <col min="3842" max="3842" width="9.85546875" style="2087" customWidth="1"/>
    <col min="3843" max="3843" width="11.7109375" style="2087" customWidth="1"/>
    <col min="3844" max="3844" width="12" style="2087" customWidth="1"/>
    <col min="3845" max="3845" width="12.28515625" style="2087" customWidth="1"/>
    <col min="3846" max="3848" width="9.140625" style="2087"/>
    <col min="3849" max="3849" width="11.140625" style="2087" customWidth="1"/>
    <col min="3850" max="3850" width="12.85546875" style="2087" customWidth="1"/>
    <col min="3851" max="3851" width="12.42578125" style="2087" customWidth="1"/>
    <col min="3852" max="4097" width="9.140625" style="2087"/>
    <col min="4098" max="4098" width="9.85546875" style="2087" customWidth="1"/>
    <col min="4099" max="4099" width="11.7109375" style="2087" customWidth="1"/>
    <col min="4100" max="4100" width="12" style="2087" customWidth="1"/>
    <col min="4101" max="4101" width="12.28515625" style="2087" customWidth="1"/>
    <col min="4102" max="4104" width="9.140625" style="2087"/>
    <col min="4105" max="4105" width="11.140625" style="2087" customWidth="1"/>
    <col min="4106" max="4106" width="12.85546875" style="2087" customWidth="1"/>
    <col min="4107" max="4107" width="12.42578125" style="2087" customWidth="1"/>
    <col min="4108" max="4353" width="9.140625" style="2087"/>
    <col min="4354" max="4354" width="9.85546875" style="2087" customWidth="1"/>
    <col min="4355" max="4355" width="11.7109375" style="2087" customWidth="1"/>
    <col min="4356" max="4356" width="12" style="2087" customWidth="1"/>
    <col min="4357" max="4357" width="12.28515625" style="2087" customWidth="1"/>
    <col min="4358" max="4360" width="9.140625" style="2087"/>
    <col min="4361" max="4361" width="11.140625" style="2087" customWidth="1"/>
    <col min="4362" max="4362" width="12.85546875" style="2087" customWidth="1"/>
    <col min="4363" max="4363" width="12.42578125" style="2087" customWidth="1"/>
    <col min="4364" max="4609" width="9.140625" style="2087"/>
    <col min="4610" max="4610" width="9.85546875" style="2087" customWidth="1"/>
    <col min="4611" max="4611" width="11.7109375" style="2087" customWidth="1"/>
    <col min="4612" max="4612" width="12" style="2087" customWidth="1"/>
    <col min="4613" max="4613" width="12.28515625" style="2087" customWidth="1"/>
    <col min="4614" max="4616" width="9.140625" style="2087"/>
    <col min="4617" max="4617" width="11.140625" style="2087" customWidth="1"/>
    <col min="4618" max="4618" width="12.85546875" style="2087" customWidth="1"/>
    <col min="4619" max="4619" width="12.42578125" style="2087" customWidth="1"/>
    <col min="4620" max="4865" width="9.140625" style="2087"/>
    <col min="4866" max="4866" width="9.85546875" style="2087" customWidth="1"/>
    <col min="4867" max="4867" width="11.7109375" style="2087" customWidth="1"/>
    <col min="4868" max="4868" width="12" style="2087" customWidth="1"/>
    <col min="4869" max="4869" width="12.28515625" style="2087" customWidth="1"/>
    <col min="4870" max="4872" width="9.140625" style="2087"/>
    <col min="4873" max="4873" width="11.140625" style="2087" customWidth="1"/>
    <col min="4874" max="4874" width="12.85546875" style="2087" customWidth="1"/>
    <col min="4875" max="4875" width="12.42578125" style="2087" customWidth="1"/>
    <col min="4876" max="5121" width="9.140625" style="2087"/>
    <col min="5122" max="5122" width="9.85546875" style="2087" customWidth="1"/>
    <col min="5123" max="5123" width="11.7109375" style="2087" customWidth="1"/>
    <col min="5124" max="5124" width="12" style="2087" customWidth="1"/>
    <col min="5125" max="5125" width="12.28515625" style="2087" customWidth="1"/>
    <col min="5126" max="5128" width="9.140625" style="2087"/>
    <col min="5129" max="5129" width="11.140625" style="2087" customWidth="1"/>
    <col min="5130" max="5130" width="12.85546875" style="2087" customWidth="1"/>
    <col min="5131" max="5131" width="12.42578125" style="2087" customWidth="1"/>
    <col min="5132" max="5377" width="9.140625" style="2087"/>
    <col min="5378" max="5378" width="9.85546875" style="2087" customWidth="1"/>
    <col min="5379" max="5379" width="11.7109375" style="2087" customWidth="1"/>
    <col min="5380" max="5380" width="12" style="2087" customWidth="1"/>
    <col min="5381" max="5381" width="12.28515625" style="2087" customWidth="1"/>
    <col min="5382" max="5384" width="9.140625" style="2087"/>
    <col min="5385" max="5385" width="11.140625" style="2087" customWidth="1"/>
    <col min="5386" max="5386" width="12.85546875" style="2087" customWidth="1"/>
    <col min="5387" max="5387" width="12.42578125" style="2087" customWidth="1"/>
    <col min="5388" max="5633" width="9.140625" style="2087"/>
    <col min="5634" max="5634" width="9.85546875" style="2087" customWidth="1"/>
    <col min="5635" max="5635" width="11.7109375" style="2087" customWidth="1"/>
    <col min="5636" max="5636" width="12" style="2087" customWidth="1"/>
    <col min="5637" max="5637" width="12.28515625" style="2087" customWidth="1"/>
    <col min="5638" max="5640" width="9.140625" style="2087"/>
    <col min="5641" max="5641" width="11.140625" style="2087" customWidth="1"/>
    <col min="5642" max="5642" width="12.85546875" style="2087" customWidth="1"/>
    <col min="5643" max="5643" width="12.42578125" style="2087" customWidth="1"/>
    <col min="5644" max="5889" width="9.140625" style="2087"/>
    <col min="5890" max="5890" width="9.85546875" style="2087" customWidth="1"/>
    <col min="5891" max="5891" width="11.7109375" style="2087" customWidth="1"/>
    <col min="5892" max="5892" width="12" style="2087" customWidth="1"/>
    <col min="5893" max="5893" width="12.28515625" style="2087" customWidth="1"/>
    <col min="5894" max="5896" width="9.140625" style="2087"/>
    <col min="5897" max="5897" width="11.140625" style="2087" customWidth="1"/>
    <col min="5898" max="5898" width="12.85546875" style="2087" customWidth="1"/>
    <col min="5899" max="5899" width="12.42578125" style="2087" customWidth="1"/>
    <col min="5900" max="6145" width="9.140625" style="2087"/>
    <col min="6146" max="6146" width="9.85546875" style="2087" customWidth="1"/>
    <col min="6147" max="6147" width="11.7109375" style="2087" customWidth="1"/>
    <col min="6148" max="6148" width="12" style="2087" customWidth="1"/>
    <col min="6149" max="6149" width="12.28515625" style="2087" customWidth="1"/>
    <col min="6150" max="6152" width="9.140625" style="2087"/>
    <col min="6153" max="6153" width="11.140625" style="2087" customWidth="1"/>
    <col min="6154" max="6154" width="12.85546875" style="2087" customWidth="1"/>
    <col min="6155" max="6155" width="12.42578125" style="2087" customWidth="1"/>
    <col min="6156" max="6401" width="9.140625" style="2087"/>
    <col min="6402" max="6402" width="9.85546875" style="2087" customWidth="1"/>
    <col min="6403" max="6403" width="11.7109375" style="2087" customWidth="1"/>
    <col min="6404" max="6404" width="12" style="2087" customWidth="1"/>
    <col min="6405" max="6405" width="12.28515625" style="2087" customWidth="1"/>
    <col min="6406" max="6408" width="9.140625" style="2087"/>
    <col min="6409" max="6409" width="11.140625" style="2087" customWidth="1"/>
    <col min="6410" max="6410" width="12.85546875" style="2087" customWidth="1"/>
    <col min="6411" max="6411" width="12.42578125" style="2087" customWidth="1"/>
    <col min="6412" max="6657" width="9.140625" style="2087"/>
    <col min="6658" max="6658" width="9.85546875" style="2087" customWidth="1"/>
    <col min="6659" max="6659" width="11.7109375" style="2087" customWidth="1"/>
    <col min="6660" max="6660" width="12" style="2087" customWidth="1"/>
    <col min="6661" max="6661" width="12.28515625" style="2087" customWidth="1"/>
    <col min="6662" max="6664" width="9.140625" style="2087"/>
    <col min="6665" max="6665" width="11.140625" style="2087" customWidth="1"/>
    <col min="6666" max="6666" width="12.85546875" style="2087" customWidth="1"/>
    <col min="6667" max="6667" width="12.42578125" style="2087" customWidth="1"/>
    <col min="6668" max="6913" width="9.140625" style="2087"/>
    <col min="6914" max="6914" width="9.85546875" style="2087" customWidth="1"/>
    <col min="6915" max="6915" width="11.7109375" style="2087" customWidth="1"/>
    <col min="6916" max="6916" width="12" style="2087" customWidth="1"/>
    <col min="6917" max="6917" width="12.28515625" style="2087" customWidth="1"/>
    <col min="6918" max="6920" width="9.140625" style="2087"/>
    <col min="6921" max="6921" width="11.140625" style="2087" customWidth="1"/>
    <col min="6922" max="6922" width="12.85546875" style="2087" customWidth="1"/>
    <col min="6923" max="6923" width="12.42578125" style="2087" customWidth="1"/>
    <col min="6924" max="7169" width="9.140625" style="2087"/>
    <col min="7170" max="7170" width="9.85546875" style="2087" customWidth="1"/>
    <col min="7171" max="7171" width="11.7109375" style="2087" customWidth="1"/>
    <col min="7172" max="7172" width="12" style="2087" customWidth="1"/>
    <col min="7173" max="7173" width="12.28515625" style="2087" customWidth="1"/>
    <col min="7174" max="7176" width="9.140625" style="2087"/>
    <col min="7177" max="7177" width="11.140625" style="2087" customWidth="1"/>
    <col min="7178" max="7178" width="12.85546875" style="2087" customWidth="1"/>
    <col min="7179" max="7179" width="12.42578125" style="2087" customWidth="1"/>
    <col min="7180" max="7425" width="9.140625" style="2087"/>
    <col min="7426" max="7426" width="9.85546875" style="2087" customWidth="1"/>
    <col min="7427" max="7427" width="11.7109375" style="2087" customWidth="1"/>
    <col min="7428" max="7428" width="12" style="2087" customWidth="1"/>
    <col min="7429" max="7429" width="12.28515625" style="2087" customWidth="1"/>
    <col min="7430" max="7432" width="9.140625" style="2087"/>
    <col min="7433" max="7433" width="11.140625" style="2087" customWidth="1"/>
    <col min="7434" max="7434" width="12.85546875" style="2087" customWidth="1"/>
    <col min="7435" max="7435" width="12.42578125" style="2087" customWidth="1"/>
    <col min="7436" max="7681" width="9.140625" style="2087"/>
    <col min="7682" max="7682" width="9.85546875" style="2087" customWidth="1"/>
    <col min="7683" max="7683" width="11.7109375" style="2087" customWidth="1"/>
    <col min="7684" max="7684" width="12" style="2087" customWidth="1"/>
    <col min="7685" max="7685" width="12.28515625" style="2087" customWidth="1"/>
    <col min="7686" max="7688" width="9.140625" style="2087"/>
    <col min="7689" max="7689" width="11.140625" style="2087" customWidth="1"/>
    <col min="7690" max="7690" width="12.85546875" style="2087" customWidth="1"/>
    <col min="7691" max="7691" width="12.42578125" style="2087" customWidth="1"/>
    <col min="7692" max="7937" width="9.140625" style="2087"/>
    <col min="7938" max="7938" width="9.85546875" style="2087" customWidth="1"/>
    <col min="7939" max="7939" width="11.7109375" style="2087" customWidth="1"/>
    <col min="7940" max="7940" width="12" style="2087" customWidth="1"/>
    <col min="7941" max="7941" width="12.28515625" style="2087" customWidth="1"/>
    <col min="7942" max="7944" width="9.140625" style="2087"/>
    <col min="7945" max="7945" width="11.140625" style="2087" customWidth="1"/>
    <col min="7946" max="7946" width="12.85546875" style="2087" customWidth="1"/>
    <col min="7947" max="7947" width="12.42578125" style="2087" customWidth="1"/>
    <col min="7948" max="8193" width="9.140625" style="2087"/>
    <col min="8194" max="8194" width="9.85546875" style="2087" customWidth="1"/>
    <col min="8195" max="8195" width="11.7109375" style="2087" customWidth="1"/>
    <col min="8196" max="8196" width="12" style="2087" customWidth="1"/>
    <col min="8197" max="8197" width="12.28515625" style="2087" customWidth="1"/>
    <col min="8198" max="8200" width="9.140625" style="2087"/>
    <col min="8201" max="8201" width="11.140625" style="2087" customWidth="1"/>
    <col min="8202" max="8202" width="12.85546875" style="2087" customWidth="1"/>
    <col min="8203" max="8203" width="12.42578125" style="2087" customWidth="1"/>
    <col min="8204" max="8449" width="9.140625" style="2087"/>
    <col min="8450" max="8450" width="9.85546875" style="2087" customWidth="1"/>
    <col min="8451" max="8451" width="11.7109375" style="2087" customWidth="1"/>
    <col min="8452" max="8452" width="12" style="2087" customWidth="1"/>
    <col min="8453" max="8453" width="12.28515625" style="2087" customWidth="1"/>
    <col min="8454" max="8456" width="9.140625" style="2087"/>
    <col min="8457" max="8457" width="11.140625" style="2087" customWidth="1"/>
    <col min="8458" max="8458" width="12.85546875" style="2087" customWidth="1"/>
    <col min="8459" max="8459" width="12.42578125" style="2087" customWidth="1"/>
    <col min="8460" max="8705" width="9.140625" style="2087"/>
    <col min="8706" max="8706" width="9.85546875" style="2087" customWidth="1"/>
    <col min="8707" max="8707" width="11.7109375" style="2087" customWidth="1"/>
    <col min="8708" max="8708" width="12" style="2087" customWidth="1"/>
    <col min="8709" max="8709" width="12.28515625" style="2087" customWidth="1"/>
    <col min="8710" max="8712" width="9.140625" style="2087"/>
    <col min="8713" max="8713" width="11.140625" style="2087" customWidth="1"/>
    <col min="8714" max="8714" width="12.85546875" style="2087" customWidth="1"/>
    <col min="8715" max="8715" width="12.42578125" style="2087" customWidth="1"/>
    <col min="8716" max="8961" width="9.140625" style="2087"/>
    <col min="8962" max="8962" width="9.85546875" style="2087" customWidth="1"/>
    <col min="8963" max="8963" width="11.7109375" style="2087" customWidth="1"/>
    <col min="8964" max="8964" width="12" style="2087" customWidth="1"/>
    <col min="8965" max="8965" width="12.28515625" style="2087" customWidth="1"/>
    <col min="8966" max="8968" width="9.140625" style="2087"/>
    <col min="8969" max="8969" width="11.140625" style="2087" customWidth="1"/>
    <col min="8970" max="8970" width="12.85546875" style="2087" customWidth="1"/>
    <col min="8971" max="8971" width="12.42578125" style="2087" customWidth="1"/>
    <col min="8972" max="9217" width="9.140625" style="2087"/>
    <col min="9218" max="9218" width="9.85546875" style="2087" customWidth="1"/>
    <col min="9219" max="9219" width="11.7109375" style="2087" customWidth="1"/>
    <col min="9220" max="9220" width="12" style="2087" customWidth="1"/>
    <col min="9221" max="9221" width="12.28515625" style="2087" customWidth="1"/>
    <col min="9222" max="9224" width="9.140625" style="2087"/>
    <col min="9225" max="9225" width="11.140625" style="2087" customWidth="1"/>
    <col min="9226" max="9226" width="12.85546875" style="2087" customWidth="1"/>
    <col min="9227" max="9227" width="12.42578125" style="2087" customWidth="1"/>
    <col min="9228" max="9473" width="9.140625" style="2087"/>
    <col min="9474" max="9474" width="9.85546875" style="2087" customWidth="1"/>
    <col min="9475" max="9475" width="11.7109375" style="2087" customWidth="1"/>
    <col min="9476" max="9476" width="12" style="2087" customWidth="1"/>
    <col min="9477" max="9477" width="12.28515625" style="2087" customWidth="1"/>
    <col min="9478" max="9480" width="9.140625" style="2087"/>
    <col min="9481" max="9481" width="11.140625" style="2087" customWidth="1"/>
    <col min="9482" max="9482" width="12.85546875" style="2087" customWidth="1"/>
    <col min="9483" max="9483" width="12.42578125" style="2087" customWidth="1"/>
    <col min="9484" max="9729" width="9.140625" style="2087"/>
    <col min="9730" max="9730" width="9.85546875" style="2087" customWidth="1"/>
    <col min="9731" max="9731" width="11.7109375" style="2087" customWidth="1"/>
    <col min="9732" max="9732" width="12" style="2087" customWidth="1"/>
    <col min="9733" max="9733" width="12.28515625" style="2087" customWidth="1"/>
    <col min="9734" max="9736" width="9.140625" style="2087"/>
    <col min="9737" max="9737" width="11.140625" style="2087" customWidth="1"/>
    <col min="9738" max="9738" width="12.85546875" style="2087" customWidth="1"/>
    <col min="9739" max="9739" width="12.42578125" style="2087" customWidth="1"/>
    <col min="9740" max="9985" width="9.140625" style="2087"/>
    <col min="9986" max="9986" width="9.85546875" style="2087" customWidth="1"/>
    <col min="9987" max="9987" width="11.7109375" style="2087" customWidth="1"/>
    <col min="9988" max="9988" width="12" style="2087" customWidth="1"/>
    <col min="9989" max="9989" width="12.28515625" style="2087" customWidth="1"/>
    <col min="9990" max="9992" width="9.140625" style="2087"/>
    <col min="9993" max="9993" width="11.140625" style="2087" customWidth="1"/>
    <col min="9994" max="9994" width="12.85546875" style="2087" customWidth="1"/>
    <col min="9995" max="9995" width="12.42578125" style="2087" customWidth="1"/>
    <col min="9996" max="10241" width="9.140625" style="2087"/>
    <col min="10242" max="10242" width="9.85546875" style="2087" customWidth="1"/>
    <col min="10243" max="10243" width="11.7109375" style="2087" customWidth="1"/>
    <col min="10244" max="10244" width="12" style="2087" customWidth="1"/>
    <col min="10245" max="10245" width="12.28515625" style="2087" customWidth="1"/>
    <col min="10246" max="10248" width="9.140625" style="2087"/>
    <col min="10249" max="10249" width="11.140625" style="2087" customWidth="1"/>
    <col min="10250" max="10250" width="12.85546875" style="2087" customWidth="1"/>
    <col min="10251" max="10251" width="12.42578125" style="2087" customWidth="1"/>
    <col min="10252" max="10497" width="9.140625" style="2087"/>
    <col min="10498" max="10498" width="9.85546875" style="2087" customWidth="1"/>
    <col min="10499" max="10499" width="11.7109375" style="2087" customWidth="1"/>
    <col min="10500" max="10500" width="12" style="2087" customWidth="1"/>
    <col min="10501" max="10501" width="12.28515625" style="2087" customWidth="1"/>
    <col min="10502" max="10504" width="9.140625" style="2087"/>
    <col min="10505" max="10505" width="11.140625" style="2087" customWidth="1"/>
    <col min="10506" max="10506" width="12.85546875" style="2087" customWidth="1"/>
    <col min="10507" max="10507" width="12.42578125" style="2087" customWidth="1"/>
    <col min="10508" max="10753" width="9.140625" style="2087"/>
    <col min="10754" max="10754" width="9.85546875" style="2087" customWidth="1"/>
    <col min="10755" max="10755" width="11.7109375" style="2087" customWidth="1"/>
    <col min="10756" max="10756" width="12" style="2087" customWidth="1"/>
    <col min="10757" max="10757" width="12.28515625" style="2087" customWidth="1"/>
    <col min="10758" max="10760" width="9.140625" style="2087"/>
    <col min="10761" max="10761" width="11.140625" style="2087" customWidth="1"/>
    <col min="10762" max="10762" width="12.85546875" style="2087" customWidth="1"/>
    <col min="10763" max="10763" width="12.42578125" style="2087" customWidth="1"/>
    <col min="10764" max="11009" width="9.140625" style="2087"/>
    <col min="11010" max="11010" width="9.85546875" style="2087" customWidth="1"/>
    <col min="11011" max="11011" width="11.7109375" style="2087" customWidth="1"/>
    <col min="11012" max="11012" width="12" style="2087" customWidth="1"/>
    <col min="11013" max="11013" width="12.28515625" style="2087" customWidth="1"/>
    <col min="11014" max="11016" width="9.140625" style="2087"/>
    <col min="11017" max="11017" width="11.140625" style="2087" customWidth="1"/>
    <col min="11018" max="11018" width="12.85546875" style="2087" customWidth="1"/>
    <col min="11019" max="11019" width="12.42578125" style="2087" customWidth="1"/>
    <col min="11020" max="11265" width="9.140625" style="2087"/>
    <col min="11266" max="11266" width="9.85546875" style="2087" customWidth="1"/>
    <col min="11267" max="11267" width="11.7109375" style="2087" customWidth="1"/>
    <col min="11268" max="11268" width="12" style="2087" customWidth="1"/>
    <col min="11269" max="11269" width="12.28515625" style="2087" customWidth="1"/>
    <col min="11270" max="11272" width="9.140625" style="2087"/>
    <col min="11273" max="11273" width="11.140625" style="2087" customWidth="1"/>
    <col min="11274" max="11274" width="12.85546875" style="2087" customWidth="1"/>
    <col min="11275" max="11275" width="12.42578125" style="2087" customWidth="1"/>
    <col min="11276" max="11521" width="9.140625" style="2087"/>
    <col min="11522" max="11522" width="9.85546875" style="2087" customWidth="1"/>
    <col min="11523" max="11523" width="11.7109375" style="2087" customWidth="1"/>
    <col min="11524" max="11524" width="12" style="2087" customWidth="1"/>
    <col min="11525" max="11525" width="12.28515625" style="2087" customWidth="1"/>
    <col min="11526" max="11528" width="9.140625" style="2087"/>
    <col min="11529" max="11529" width="11.140625" style="2087" customWidth="1"/>
    <col min="11530" max="11530" width="12.85546875" style="2087" customWidth="1"/>
    <col min="11531" max="11531" width="12.42578125" style="2087" customWidth="1"/>
    <col min="11532" max="11777" width="9.140625" style="2087"/>
    <col min="11778" max="11778" width="9.85546875" style="2087" customWidth="1"/>
    <col min="11779" max="11779" width="11.7109375" style="2087" customWidth="1"/>
    <col min="11780" max="11780" width="12" style="2087" customWidth="1"/>
    <col min="11781" max="11781" width="12.28515625" style="2087" customWidth="1"/>
    <col min="11782" max="11784" width="9.140625" style="2087"/>
    <col min="11785" max="11785" width="11.140625" style="2087" customWidth="1"/>
    <col min="11786" max="11786" width="12.85546875" style="2087" customWidth="1"/>
    <col min="11787" max="11787" width="12.42578125" style="2087" customWidth="1"/>
    <col min="11788" max="12033" width="9.140625" style="2087"/>
    <col min="12034" max="12034" width="9.85546875" style="2087" customWidth="1"/>
    <col min="12035" max="12035" width="11.7109375" style="2087" customWidth="1"/>
    <col min="12036" max="12036" width="12" style="2087" customWidth="1"/>
    <col min="12037" max="12037" width="12.28515625" style="2087" customWidth="1"/>
    <col min="12038" max="12040" width="9.140625" style="2087"/>
    <col min="12041" max="12041" width="11.140625" style="2087" customWidth="1"/>
    <col min="12042" max="12042" width="12.85546875" style="2087" customWidth="1"/>
    <col min="12043" max="12043" width="12.42578125" style="2087" customWidth="1"/>
    <col min="12044" max="12289" width="9.140625" style="2087"/>
    <col min="12290" max="12290" width="9.85546875" style="2087" customWidth="1"/>
    <col min="12291" max="12291" width="11.7109375" style="2087" customWidth="1"/>
    <col min="12292" max="12292" width="12" style="2087" customWidth="1"/>
    <col min="12293" max="12293" width="12.28515625" style="2087" customWidth="1"/>
    <col min="12294" max="12296" width="9.140625" style="2087"/>
    <col min="12297" max="12297" width="11.140625" style="2087" customWidth="1"/>
    <col min="12298" max="12298" width="12.85546875" style="2087" customWidth="1"/>
    <col min="12299" max="12299" width="12.42578125" style="2087" customWidth="1"/>
    <col min="12300" max="12545" width="9.140625" style="2087"/>
    <col min="12546" max="12546" width="9.85546875" style="2087" customWidth="1"/>
    <col min="12547" max="12547" width="11.7109375" style="2087" customWidth="1"/>
    <col min="12548" max="12548" width="12" style="2087" customWidth="1"/>
    <col min="12549" max="12549" width="12.28515625" style="2087" customWidth="1"/>
    <col min="12550" max="12552" width="9.140625" style="2087"/>
    <col min="12553" max="12553" width="11.140625" style="2087" customWidth="1"/>
    <col min="12554" max="12554" width="12.85546875" style="2087" customWidth="1"/>
    <col min="12555" max="12555" width="12.42578125" style="2087" customWidth="1"/>
    <col min="12556" max="12801" width="9.140625" style="2087"/>
    <col min="12802" max="12802" width="9.85546875" style="2087" customWidth="1"/>
    <col min="12803" max="12803" width="11.7109375" style="2087" customWidth="1"/>
    <col min="12804" max="12804" width="12" style="2087" customWidth="1"/>
    <col min="12805" max="12805" width="12.28515625" style="2087" customWidth="1"/>
    <col min="12806" max="12808" width="9.140625" style="2087"/>
    <col min="12809" max="12809" width="11.140625" style="2087" customWidth="1"/>
    <col min="12810" max="12810" width="12.85546875" style="2087" customWidth="1"/>
    <col min="12811" max="12811" width="12.42578125" style="2087" customWidth="1"/>
    <col min="12812" max="13057" width="9.140625" style="2087"/>
    <col min="13058" max="13058" width="9.85546875" style="2087" customWidth="1"/>
    <col min="13059" max="13059" width="11.7109375" style="2087" customWidth="1"/>
    <col min="13060" max="13060" width="12" style="2087" customWidth="1"/>
    <col min="13061" max="13061" width="12.28515625" style="2087" customWidth="1"/>
    <col min="13062" max="13064" width="9.140625" style="2087"/>
    <col min="13065" max="13065" width="11.140625" style="2087" customWidth="1"/>
    <col min="13066" max="13066" width="12.85546875" style="2087" customWidth="1"/>
    <col min="13067" max="13067" width="12.42578125" style="2087" customWidth="1"/>
    <col min="13068" max="13313" width="9.140625" style="2087"/>
    <col min="13314" max="13314" width="9.85546875" style="2087" customWidth="1"/>
    <col min="13315" max="13315" width="11.7109375" style="2087" customWidth="1"/>
    <col min="13316" max="13316" width="12" style="2087" customWidth="1"/>
    <col min="13317" max="13317" width="12.28515625" style="2087" customWidth="1"/>
    <col min="13318" max="13320" width="9.140625" style="2087"/>
    <col min="13321" max="13321" width="11.140625" style="2087" customWidth="1"/>
    <col min="13322" max="13322" width="12.85546875" style="2087" customWidth="1"/>
    <col min="13323" max="13323" width="12.42578125" style="2087" customWidth="1"/>
    <col min="13324" max="13569" width="9.140625" style="2087"/>
    <col min="13570" max="13570" width="9.85546875" style="2087" customWidth="1"/>
    <col min="13571" max="13571" width="11.7109375" style="2087" customWidth="1"/>
    <col min="13572" max="13572" width="12" style="2087" customWidth="1"/>
    <col min="13573" max="13573" width="12.28515625" style="2087" customWidth="1"/>
    <col min="13574" max="13576" width="9.140625" style="2087"/>
    <col min="13577" max="13577" width="11.140625" style="2087" customWidth="1"/>
    <col min="13578" max="13578" width="12.85546875" style="2087" customWidth="1"/>
    <col min="13579" max="13579" width="12.42578125" style="2087" customWidth="1"/>
    <col min="13580" max="13825" width="9.140625" style="2087"/>
    <col min="13826" max="13826" width="9.85546875" style="2087" customWidth="1"/>
    <col min="13827" max="13827" width="11.7109375" style="2087" customWidth="1"/>
    <col min="13828" max="13828" width="12" style="2087" customWidth="1"/>
    <col min="13829" max="13829" width="12.28515625" style="2087" customWidth="1"/>
    <col min="13830" max="13832" width="9.140625" style="2087"/>
    <col min="13833" max="13833" width="11.140625" style="2087" customWidth="1"/>
    <col min="13834" max="13834" width="12.85546875" style="2087" customWidth="1"/>
    <col min="13835" max="13835" width="12.42578125" style="2087" customWidth="1"/>
    <col min="13836" max="14081" width="9.140625" style="2087"/>
    <col min="14082" max="14082" width="9.85546875" style="2087" customWidth="1"/>
    <col min="14083" max="14083" width="11.7109375" style="2087" customWidth="1"/>
    <col min="14084" max="14084" width="12" style="2087" customWidth="1"/>
    <col min="14085" max="14085" width="12.28515625" style="2087" customWidth="1"/>
    <col min="14086" max="14088" width="9.140625" style="2087"/>
    <col min="14089" max="14089" width="11.140625" style="2087" customWidth="1"/>
    <col min="14090" max="14090" width="12.85546875" style="2087" customWidth="1"/>
    <col min="14091" max="14091" width="12.42578125" style="2087" customWidth="1"/>
    <col min="14092" max="14337" width="9.140625" style="2087"/>
    <col min="14338" max="14338" width="9.85546875" style="2087" customWidth="1"/>
    <col min="14339" max="14339" width="11.7109375" style="2087" customWidth="1"/>
    <col min="14340" max="14340" width="12" style="2087" customWidth="1"/>
    <col min="14341" max="14341" width="12.28515625" style="2087" customWidth="1"/>
    <col min="14342" max="14344" width="9.140625" style="2087"/>
    <col min="14345" max="14345" width="11.140625" style="2087" customWidth="1"/>
    <col min="14346" max="14346" width="12.85546875" style="2087" customWidth="1"/>
    <col min="14347" max="14347" width="12.42578125" style="2087" customWidth="1"/>
    <col min="14348" max="14593" width="9.140625" style="2087"/>
    <col min="14594" max="14594" width="9.85546875" style="2087" customWidth="1"/>
    <col min="14595" max="14595" width="11.7109375" style="2087" customWidth="1"/>
    <col min="14596" max="14596" width="12" style="2087" customWidth="1"/>
    <col min="14597" max="14597" width="12.28515625" style="2087" customWidth="1"/>
    <col min="14598" max="14600" width="9.140625" style="2087"/>
    <col min="14601" max="14601" width="11.140625" style="2087" customWidth="1"/>
    <col min="14602" max="14602" width="12.85546875" style="2087" customWidth="1"/>
    <col min="14603" max="14603" width="12.42578125" style="2087" customWidth="1"/>
    <col min="14604" max="14849" width="9.140625" style="2087"/>
    <col min="14850" max="14850" width="9.85546875" style="2087" customWidth="1"/>
    <col min="14851" max="14851" width="11.7109375" style="2087" customWidth="1"/>
    <col min="14852" max="14852" width="12" style="2087" customWidth="1"/>
    <col min="14853" max="14853" width="12.28515625" style="2087" customWidth="1"/>
    <col min="14854" max="14856" width="9.140625" style="2087"/>
    <col min="14857" max="14857" width="11.140625" style="2087" customWidth="1"/>
    <col min="14858" max="14858" width="12.85546875" style="2087" customWidth="1"/>
    <col min="14859" max="14859" width="12.42578125" style="2087" customWidth="1"/>
    <col min="14860" max="15105" width="9.140625" style="2087"/>
    <col min="15106" max="15106" width="9.85546875" style="2087" customWidth="1"/>
    <col min="15107" max="15107" width="11.7109375" style="2087" customWidth="1"/>
    <col min="15108" max="15108" width="12" style="2087" customWidth="1"/>
    <col min="15109" max="15109" width="12.28515625" style="2087" customWidth="1"/>
    <col min="15110" max="15112" width="9.140625" style="2087"/>
    <col min="15113" max="15113" width="11.140625" style="2087" customWidth="1"/>
    <col min="15114" max="15114" width="12.85546875" style="2087" customWidth="1"/>
    <col min="15115" max="15115" width="12.42578125" style="2087" customWidth="1"/>
    <col min="15116" max="15361" width="9.140625" style="2087"/>
    <col min="15362" max="15362" width="9.85546875" style="2087" customWidth="1"/>
    <col min="15363" max="15363" width="11.7109375" style="2087" customWidth="1"/>
    <col min="15364" max="15364" width="12" style="2087" customWidth="1"/>
    <col min="15365" max="15365" width="12.28515625" style="2087" customWidth="1"/>
    <col min="15366" max="15368" width="9.140625" style="2087"/>
    <col min="15369" max="15369" width="11.140625" style="2087" customWidth="1"/>
    <col min="15370" max="15370" width="12.85546875" style="2087" customWidth="1"/>
    <col min="15371" max="15371" width="12.42578125" style="2087" customWidth="1"/>
    <col min="15372" max="15617" width="9.140625" style="2087"/>
    <col min="15618" max="15618" width="9.85546875" style="2087" customWidth="1"/>
    <col min="15619" max="15619" width="11.7109375" style="2087" customWidth="1"/>
    <col min="15620" max="15620" width="12" style="2087" customWidth="1"/>
    <col min="15621" max="15621" width="12.28515625" style="2087" customWidth="1"/>
    <col min="15622" max="15624" width="9.140625" style="2087"/>
    <col min="15625" max="15625" width="11.140625" style="2087" customWidth="1"/>
    <col min="15626" max="15626" width="12.85546875" style="2087" customWidth="1"/>
    <col min="15627" max="15627" width="12.42578125" style="2087" customWidth="1"/>
    <col min="15628" max="15873" width="9.140625" style="2087"/>
    <col min="15874" max="15874" width="9.85546875" style="2087" customWidth="1"/>
    <col min="15875" max="15875" width="11.7109375" style="2087" customWidth="1"/>
    <col min="15876" max="15876" width="12" style="2087" customWidth="1"/>
    <col min="15877" max="15877" width="12.28515625" style="2087" customWidth="1"/>
    <col min="15878" max="15880" width="9.140625" style="2087"/>
    <col min="15881" max="15881" width="11.140625" style="2087" customWidth="1"/>
    <col min="15882" max="15882" width="12.85546875" style="2087" customWidth="1"/>
    <col min="15883" max="15883" width="12.42578125" style="2087" customWidth="1"/>
    <col min="15884" max="16129" width="9.140625" style="2087"/>
    <col min="16130" max="16130" width="9.85546875" style="2087" customWidth="1"/>
    <col min="16131" max="16131" width="11.7109375" style="2087" customWidth="1"/>
    <col min="16132" max="16132" width="12" style="2087" customWidth="1"/>
    <col min="16133" max="16133" width="12.28515625" style="2087" customWidth="1"/>
    <col min="16134" max="16136" width="9.140625" style="2087"/>
    <col min="16137" max="16137" width="11.140625" style="2087" customWidth="1"/>
    <col min="16138" max="16138" width="12.85546875" style="2087" customWidth="1"/>
    <col min="16139" max="16139" width="12.42578125" style="2087" customWidth="1"/>
    <col min="16140" max="16384" width="9.140625" style="2087"/>
  </cols>
  <sheetData>
    <row r="1" spans="1:15" s="2086" customFormat="1" ht="18" customHeight="1">
      <c r="B1" s="4659" t="s">
        <v>2079</v>
      </c>
      <c r="C1" s="4659"/>
      <c r="D1" s="4659"/>
      <c r="E1" s="4659"/>
      <c r="F1" s="4659"/>
      <c r="G1" s="4659"/>
      <c r="H1" s="4659"/>
      <c r="I1" s="4659"/>
      <c r="J1" s="4659"/>
      <c r="K1" s="4659"/>
      <c r="L1" s="4659"/>
      <c r="M1" s="4659"/>
    </row>
    <row r="2" spans="1:15" s="2086" customFormat="1" ht="12" customHeight="1">
      <c r="B2" s="3489"/>
      <c r="C2" s="3489"/>
      <c r="D2" s="3489"/>
      <c r="E2" s="3489"/>
      <c r="F2" s="3489"/>
      <c r="G2" s="3489"/>
      <c r="H2" s="3489"/>
      <c r="I2" s="3489"/>
      <c r="J2" s="3489"/>
      <c r="K2" s="3489"/>
      <c r="L2" s="3489"/>
      <c r="M2" s="3489"/>
    </row>
    <row r="3" spans="1:15" ht="18" customHeight="1">
      <c r="A3" s="2086"/>
      <c r="B3" s="3150" t="s">
        <v>1757</v>
      </c>
      <c r="C3" s="3150"/>
      <c r="D3" s="3150"/>
      <c r="E3" s="3150"/>
      <c r="F3" s="3150"/>
      <c r="G3" s="3150"/>
      <c r="H3" s="3150"/>
      <c r="I3" s="3150"/>
      <c r="J3" s="3150"/>
      <c r="K3" s="3150"/>
      <c r="L3" s="3150"/>
      <c r="M3" s="3150"/>
      <c r="N3" s="2086"/>
    </row>
    <row r="4" spans="1:15" ht="12" customHeight="1">
      <c r="A4" s="2086"/>
      <c r="B4" s="2360"/>
      <c r="C4" s="3527"/>
      <c r="D4" s="2370"/>
      <c r="E4" s="2370"/>
      <c r="F4" s="2371"/>
      <c r="G4" s="2370"/>
      <c r="H4" s="2370"/>
      <c r="I4" s="2370"/>
      <c r="J4" s="2370"/>
      <c r="K4" s="2370"/>
      <c r="L4" s="2370"/>
      <c r="M4" s="2372"/>
      <c r="N4" s="2086"/>
    </row>
    <row r="5" spans="1:15" ht="18" customHeight="1">
      <c r="A5" s="2086"/>
      <c r="B5" s="2179"/>
      <c r="C5" s="3982" t="s">
        <v>188</v>
      </c>
      <c r="D5" s="3983"/>
      <c r="E5" s="3983"/>
      <c r="F5" s="2361"/>
      <c r="G5" s="3983"/>
      <c r="H5" s="3983"/>
      <c r="I5" s="3983"/>
      <c r="J5" s="3983"/>
      <c r="K5" s="3983"/>
      <c r="L5" s="3983"/>
      <c r="M5" s="2362"/>
      <c r="N5" s="2086"/>
    </row>
    <row r="6" spans="1:15" ht="12" customHeight="1">
      <c r="A6" s="2086"/>
      <c r="B6" s="2179"/>
      <c r="C6" s="2165"/>
      <c r="D6" s="2165"/>
      <c r="E6" s="2178"/>
      <c r="F6" s="2178"/>
      <c r="G6" s="2363"/>
      <c r="H6" s="2091"/>
      <c r="I6" s="2091"/>
      <c r="J6" s="2165"/>
      <c r="K6" s="2364"/>
      <c r="L6" s="2165"/>
      <c r="M6" s="2365"/>
      <c r="N6" s="2086"/>
    </row>
    <row r="7" spans="1:15" ht="18" customHeight="1">
      <c r="A7" s="2086"/>
      <c r="B7" s="2179"/>
      <c r="C7" s="2165"/>
      <c r="D7" s="2165"/>
      <c r="E7" s="2178"/>
      <c r="F7" s="2178" t="s">
        <v>142</v>
      </c>
      <c r="G7" s="4641" t="s">
        <v>432</v>
      </c>
      <c r="H7" s="4642"/>
      <c r="I7" s="4643"/>
      <c r="J7" s="2165"/>
      <c r="K7" s="2289"/>
      <c r="L7" s="2165" t="s">
        <v>142</v>
      </c>
      <c r="M7" s="2365"/>
      <c r="N7" s="2086"/>
    </row>
    <row r="8" spans="1:15" ht="12" customHeight="1">
      <c r="A8" s="2086"/>
      <c r="B8" s="2179"/>
      <c r="C8" s="2165"/>
      <c r="D8" s="2165"/>
      <c r="E8" s="2178"/>
      <c r="F8" s="2178"/>
      <c r="G8" s="2165"/>
      <c r="H8" s="2165"/>
      <c r="I8" s="2165"/>
      <c r="J8" s="2165"/>
      <c r="K8" s="2289"/>
      <c r="L8" s="2165"/>
      <c r="M8" s="2365"/>
      <c r="N8" s="2086"/>
    </row>
    <row r="9" spans="1:15" ht="18" customHeight="1">
      <c r="A9" s="2086"/>
      <c r="B9" s="2179"/>
      <c r="C9" s="2165"/>
      <c r="D9" s="2309"/>
      <c r="E9" s="2165"/>
      <c r="F9" s="2178" t="s">
        <v>176</v>
      </c>
      <c r="G9" s="2165"/>
      <c r="H9" s="2165"/>
      <c r="I9" s="2165"/>
      <c r="J9" s="2178"/>
      <c r="K9" s="2092" t="s">
        <v>1276</v>
      </c>
      <c r="L9" s="2165"/>
      <c r="M9" s="2365" t="s">
        <v>189</v>
      </c>
      <c r="N9" s="2086"/>
    </row>
    <row r="10" spans="1:15" ht="18" customHeight="1">
      <c r="A10" s="2086"/>
      <c r="B10" s="2179" t="s">
        <v>175</v>
      </c>
      <c r="C10" s="2165"/>
      <c r="D10" s="2165" t="s">
        <v>193</v>
      </c>
      <c r="E10" s="2165" t="s">
        <v>434</v>
      </c>
      <c r="F10" s="2178" t="s">
        <v>179</v>
      </c>
      <c r="G10" s="2165"/>
      <c r="H10" s="2165"/>
      <c r="I10" s="2165"/>
      <c r="J10" s="2165" t="s">
        <v>177</v>
      </c>
      <c r="K10" s="2092" t="s">
        <v>1567</v>
      </c>
      <c r="L10" s="2165" t="s">
        <v>435</v>
      </c>
      <c r="M10" s="2365" t="s">
        <v>191</v>
      </c>
      <c r="N10" s="2086"/>
    </row>
    <row r="11" spans="1:15" ht="15" customHeight="1">
      <c r="A11" s="2086"/>
      <c r="B11" s="2373" t="s">
        <v>140</v>
      </c>
      <c r="C11" s="2374" t="s">
        <v>152</v>
      </c>
      <c r="D11" s="2374" t="s">
        <v>192</v>
      </c>
      <c r="E11" s="2374" t="s">
        <v>192</v>
      </c>
      <c r="F11" s="2375" t="s">
        <v>192</v>
      </c>
      <c r="G11" s="2374" t="s">
        <v>152</v>
      </c>
      <c r="H11" s="2374" t="s">
        <v>141</v>
      </c>
      <c r="I11" s="2374" t="s">
        <v>431</v>
      </c>
      <c r="J11" s="2374" t="s">
        <v>192</v>
      </c>
      <c r="K11" s="2376" t="s">
        <v>1568</v>
      </c>
      <c r="L11" s="2374" t="s">
        <v>436</v>
      </c>
      <c r="M11" s="2377" t="s">
        <v>180</v>
      </c>
      <c r="N11" s="2086"/>
      <c r="O11" s="2093"/>
    </row>
    <row r="12" spans="1:15" ht="18" hidden="1" customHeight="1">
      <c r="A12" s="2086"/>
      <c r="B12" s="2479">
        <v>2010</v>
      </c>
      <c r="C12" s="3521"/>
      <c r="D12" s="2446"/>
      <c r="E12" s="2445"/>
      <c r="F12" s="2446"/>
      <c r="G12" s="2445"/>
      <c r="H12" s="2446"/>
      <c r="I12" s="2445"/>
      <c r="J12" s="2446"/>
      <c r="K12" s="2445"/>
      <c r="L12" s="2446"/>
      <c r="M12" s="2476"/>
      <c r="N12" s="2086"/>
    </row>
    <row r="13" spans="1:15" ht="18" hidden="1" customHeight="1">
      <c r="A13" s="2086"/>
      <c r="B13" s="2461" t="s">
        <v>163</v>
      </c>
      <c r="C13" s="2640">
        <v>3045.2171801900031</v>
      </c>
      <c r="D13" s="2641">
        <v>186.26464792000002</v>
      </c>
      <c r="E13" s="2642">
        <v>448.28064410999997</v>
      </c>
      <c r="F13" s="2641">
        <v>0</v>
      </c>
      <c r="G13" s="2642">
        <v>0</v>
      </c>
      <c r="H13" s="2641">
        <v>0</v>
      </c>
      <c r="I13" s="2642">
        <v>0</v>
      </c>
      <c r="J13" s="2641">
        <v>0</v>
      </c>
      <c r="K13" s="2642">
        <v>1504.6393903800001</v>
      </c>
      <c r="L13" s="2641">
        <v>1176.3618000430001</v>
      </c>
      <c r="M13" s="2653">
        <v>-270.32930226299732</v>
      </c>
      <c r="N13" s="2743"/>
    </row>
    <row r="14" spans="1:15" ht="18" hidden="1" customHeight="1">
      <c r="A14" s="2086"/>
      <c r="B14" s="2461" t="s">
        <v>164</v>
      </c>
      <c r="C14" s="2640">
        <v>3127.2680960999996</v>
      </c>
      <c r="D14" s="2641">
        <v>192.32190779000001</v>
      </c>
      <c r="E14" s="2642">
        <v>453.76304481999995</v>
      </c>
      <c r="F14" s="2641">
        <v>0</v>
      </c>
      <c r="G14" s="2642">
        <v>0</v>
      </c>
      <c r="H14" s="2641">
        <v>0</v>
      </c>
      <c r="I14" s="2642">
        <v>0</v>
      </c>
      <c r="J14" s="2641">
        <v>0</v>
      </c>
      <c r="K14" s="2642">
        <v>1504.6394597799999</v>
      </c>
      <c r="L14" s="2641">
        <v>1163.9277590930003</v>
      </c>
      <c r="M14" s="2653">
        <v>-187.38407538300089</v>
      </c>
      <c r="N14" s="2743"/>
    </row>
    <row r="15" spans="1:15" ht="18" hidden="1" customHeight="1">
      <c r="A15" s="2086"/>
      <c r="B15" s="2461" t="s">
        <v>165</v>
      </c>
      <c r="C15" s="2640">
        <v>3235.0472832199994</v>
      </c>
      <c r="D15" s="2641">
        <v>215.98165907000001</v>
      </c>
      <c r="E15" s="2642">
        <v>454.76715166999998</v>
      </c>
      <c r="F15" s="2641">
        <v>0</v>
      </c>
      <c r="G15" s="2642">
        <v>0</v>
      </c>
      <c r="H15" s="2641">
        <v>0</v>
      </c>
      <c r="I15" s="2642">
        <v>0</v>
      </c>
      <c r="J15" s="2641">
        <v>0</v>
      </c>
      <c r="K15" s="2642">
        <v>1500.2478673300002</v>
      </c>
      <c r="L15" s="2641">
        <v>1160.753996463</v>
      </c>
      <c r="M15" s="2653">
        <v>-96.703391313000793</v>
      </c>
      <c r="N15" s="2743"/>
    </row>
    <row r="16" spans="1:15" ht="18" hidden="1" customHeight="1">
      <c r="A16" s="2086"/>
      <c r="B16" s="2460" t="s">
        <v>166</v>
      </c>
      <c r="C16" s="2640">
        <v>3352.0343286400011</v>
      </c>
      <c r="D16" s="2641">
        <v>246.93895309800001</v>
      </c>
      <c r="E16" s="2642">
        <v>459.28294174000001</v>
      </c>
      <c r="F16" s="2641">
        <v>0</v>
      </c>
      <c r="G16" s="2642">
        <v>0</v>
      </c>
      <c r="H16" s="2641">
        <v>0</v>
      </c>
      <c r="I16" s="2642">
        <v>0</v>
      </c>
      <c r="J16" s="2641">
        <v>0</v>
      </c>
      <c r="K16" s="2642">
        <v>1495.2478673300002</v>
      </c>
      <c r="L16" s="2641">
        <v>1134.3851158100001</v>
      </c>
      <c r="M16" s="2653">
        <v>16.179450662000818</v>
      </c>
      <c r="N16" s="2743"/>
    </row>
    <row r="17" spans="1:14" ht="18" hidden="1" customHeight="1">
      <c r="A17" s="2086"/>
      <c r="B17" s="2460" t="s">
        <v>167</v>
      </c>
      <c r="C17" s="2640">
        <v>3089.3205341299999</v>
      </c>
      <c r="D17" s="2641">
        <v>260.90526016000001</v>
      </c>
      <c r="E17" s="2642">
        <v>116.34795394000001</v>
      </c>
      <c r="F17" s="2641">
        <v>0</v>
      </c>
      <c r="G17" s="2642">
        <v>0</v>
      </c>
      <c r="H17" s="2641">
        <v>0</v>
      </c>
      <c r="I17" s="2642">
        <v>0</v>
      </c>
      <c r="J17" s="2641">
        <v>0</v>
      </c>
      <c r="K17" s="2642">
        <v>1414.3187885200002</v>
      </c>
      <c r="L17" s="2641">
        <v>1191.1161003300001</v>
      </c>
      <c r="M17" s="2653">
        <v>106.63243117999991</v>
      </c>
      <c r="N17" s="2743"/>
    </row>
    <row r="18" spans="1:14" ht="18" hidden="1" customHeight="1">
      <c r="A18" s="2086"/>
      <c r="B18" s="2460" t="s">
        <v>168</v>
      </c>
      <c r="C18" s="2640">
        <v>3454.0234979499987</v>
      </c>
      <c r="D18" s="2641">
        <v>293.72568608</v>
      </c>
      <c r="E18" s="2642">
        <v>273.18787810999993</v>
      </c>
      <c r="F18" s="2641">
        <v>0</v>
      </c>
      <c r="G18" s="2642">
        <v>0</v>
      </c>
      <c r="H18" s="2641">
        <v>0</v>
      </c>
      <c r="I18" s="2642">
        <v>0</v>
      </c>
      <c r="J18" s="2641">
        <v>0</v>
      </c>
      <c r="K18" s="2642">
        <v>1408.3744055200002</v>
      </c>
      <c r="L18" s="2641">
        <v>1174.66742082</v>
      </c>
      <c r="M18" s="2653">
        <v>304.0681074199988</v>
      </c>
      <c r="N18" s="2743"/>
    </row>
    <row r="19" spans="1:14" ht="18" hidden="1" customHeight="1">
      <c r="A19" s="2086"/>
      <c r="B19" s="2460" t="s">
        <v>169</v>
      </c>
      <c r="C19" s="2640">
        <v>3532.7381592199999</v>
      </c>
      <c r="D19" s="2641">
        <v>319.11403800000005</v>
      </c>
      <c r="E19" s="2642">
        <v>933.1787780300001</v>
      </c>
      <c r="F19" s="2641">
        <v>0</v>
      </c>
      <c r="G19" s="2642">
        <v>0</v>
      </c>
      <c r="H19" s="2641">
        <v>0</v>
      </c>
      <c r="I19" s="2642">
        <v>0</v>
      </c>
      <c r="J19" s="2641">
        <v>0</v>
      </c>
      <c r="K19" s="2642">
        <v>1408.4341612400001</v>
      </c>
      <c r="L19" s="2641">
        <v>1164.43465941</v>
      </c>
      <c r="M19" s="2653">
        <v>-292.42347745999996</v>
      </c>
      <c r="N19" s="2743"/>
    </row>
    <row r="20" spans="1:14" ht="18" hidden="1" customHeight="1">
      <c r="A20" s="2086"/>
      <c r="B20" s="2461" t="s">
        <v>170</v>
      </c>
      <c r="C20" s="2640">
        <v>3636.1854985100158</v>
      </c>
      <c r="D20" s="2641">
        <v>326.69917664999991</v>
      </c>
      <c r="E20" s="2642">
        <v>136.49455075</v>
      </c>
      <c r="F20" s="2641">
        <v>0</v>
      </c>
      <c r="G20" s="2642">
        <v>0</v>
      </c>
      <c r="H20" s="2641">
        <v>0</v>
      </c>
      <c r="I20" s="2642">
        <v>0</v>
      </c>
      <c r="J20" s="2641">
        <v>0</v>
      </c>
      <c r="K20" s="2642">
        <v>1428.0397511100002</v>
      </c>
      <c r="L20" s="2641">
        <v>1257.1422978099999</v>
      </c>
      <c r="M20" s="2653">
        <v>487.80972219001569</v>
      </c>
      <c r="N20" s="2743"/>
    </row>
    <row r="21" spans="1:14" ht="18" hidden="1" customHeight="1">
      <c r="A21" s="2086"/>
      <c r="B21" s="2461" t="s">
        <v>171</v>
      </c>
      <c r="C21" s="2640">
        <v>3883.8640618200102</v>
      </c>
      <c r="D21" s="2641">
        <v>357.6965504499999</v>
      </c>
      <c r="E21" s="2642">
        <v>142.59170080999999</v>
      </c>
      <c r="F21" s="2641">
        <v>0</v>
      </c>
      <c r="G21" s="2642">
        <v>0</v>
      </c>
      <c r="H21" s="2641">
        <v>0</v>
      </c>
      <c r="I21" s="2642">
        <v>0</v>
      </c>
      <c r="J21" s="2641">
        <v>0</v>
      </c>
      <c r="K21" s="2642">
        <v>1422.94684695</v>
      </c>
      <c r="L21" s="2641">
        <v>1265.8492404199999</v>
      </c>
      <c r="M21" s="2653">
        <v>694.77972319001037</v>
      </c>
      <c r="N21" s="2743"/>
    </row>
    <row r="22" spans="1:14" ht="18" hidden="1" customHeight="1">
      <c r="A22" s="2086"/>
      <c r="B22" s="2479">
        <v>2010</v>
      </c>
      <c r="C22" s="2640">
        <v>3937.2378347799995</v>
      </c>
      <c r="D22" s="2641">
        <v>338.44492531000003</v>
      </c>
      <c r="E22" s="2642">
        <v>147.03658080999983</v>
      </c>
      <c r="F22" s="2641">
        <v>0</v>
      </c>
      <c r="G22" s="2642">
        <v>0</v>
      </c>
      <c r="H22" s="2641">
        <v>0</v>
      </c>
      <c r="I22" s="2642">
        <v>0</v>
      </c>
      <c r="J22" s="2641">
        <v>0</v>
      </c>
      <c r="K22" s="2642">
        <v>1417.9468476399998</v>
      </c>
      <c r="L22" s="2641">
        <v>1342.6033196599999</v>
      </c>
      <c r="M22" s="2653">
        <v>691.2061613599999</v>
      </c>
      <c r="N22" s="2743"/>
    </row>
    <row r="23" spans="1:14" ht="18" hidden="1" customHeight="1">
      <c r="A23" s="2086"/>
      <c r="B23" s="2479">
        <v>2011</v>
      </c>
      <c r="C23" s="2675"/>
      <c r="D23" s="2641"/>
      <c r="E23" s="2642"/>
      <c r="F23" s="2642"/>
      <c r="G23" s="2641"/>
      <c r="H23" s="2642"/>
      <c r="I23" s="2641"/>
      <c r="J23" s="2642"/>
      <c r="K23" s="2642"/>
      <c r="L23" s="2642"/>
      <c r="M23" s="2676"/>
      <c r="N23" s="2170"/>
    </row>
    <row r="24" spans="1:14" ht="18" hidden="1" customHeight="1">
      <c r="A24" s="2086"/>
      <c r="B24" s="2461" t="s">
        <v>161</v>
      </c>
      <c r="C24" s="2675">
        <v>4035.3347204300017</v>
      </c>
      <c r="D24" s="2641">
        <v>339.35214551999991</v>
      </c>
      <c r="E24" s="2642">
        <v>150.98624452999996</v>
      </c>
      <c r="F24" s="2642">
        <v>0</v>
      </c>
      <c r="G24" s="2642">
        <v>0</v>
      </c>
      <c r="H24" s="2642">
        <v>0</v>
      </c>
      <c r="I24" s="2642">
        <v>0</v>
      </c>
      <c r="J24" s="2642">
        <v>0</v>
      </c>
      <c r="K24" s="2642">
        <v>1417.01776767</v>
      </c>
      <c r="L24" s="2641">
        <v>1274.5891995299999</v>
      </c>
      <c r="M24" s="2653">
        <v>853.38936318000196</v>
      </c>
      <c r="N24" s="2743"/>
    </row>
    <row r="25" spans="1:14" ht="18" hidden="1" customHeight="1">
      <c r="A25" s="2086"/>
      <c r="B25" s="2461" t="s">
        <v>162</v>
      </c>
      <c r="C25" s="2675">
        <v>4175.8393208800198</v>
      </c>
      <c r="D25" s="2641">
        <v>344.70186472</v>
      </c>
      <c r="E25" s="2642">
        <v>156.71014882</v>
      </c>
      <c r="F25" s="2642">
        <v>0</v>
      </c>
      <c r="G25" s="2642">
        <v>0</v>
      </c>
      <c r="H25" s="2642">
        <v>0</v>
      </c>
      <c r="I25" s="2642">
        <v>0</v>
      </c>
      <c r="J25" s="2642">
        <v>0</v>
      </c>
      <c r="K25" s="2642">
        <v>1411.0733850600002</v>
      </c>
      <c r="L25" s="2641">
        <v>1268.2335414900001</v>
      </c>
      <c r="M25" s="2653">
        <v>995.12038079001923</v>
      </c>
      <c r="N25" s="2743"/>
    </row>
    <row r="26" spans="1:14" ht="18" hidden="1" customHeight="1">
      <c r="A26" s="2086"/>
      <c r="B26" s="2461" t="s">
        <v>163</v>
      </c>
      <c r="C26" s="2675">
        <v>4523.3035682099999</v>
      </c>
      <c r="D26" s="2641">
        <v>386.63237704999995</v>
      </c>
      <c r="E26" s="2642">
        <v>169.05188156999992</v>
      </c>
      <c r="F26" s="2642">
        <v>0</v>
      </c>
      <c r="G26" s="2642">
        <v>0</v>
      </c>
      <c r="H26" s="2642">
        <v>0</v>
      </c>
      <c r="I26" s="2642">
        <v>0</v>
      </c>
      <c r="J26" s="2642">
        <v>0</v>
      </c>
      <c r="K26" s="2642">
        <v>1511.0733865</v>
      </c>
      <c r="L26" s="2641">
        <v>1242.5861205700003</v>
      </c>
      <c r="M26" s="2653">
        <v>1213.9598025199998</v>
      </c>
      <c r="N26" s="2743"/>
    </row>
    <row r="27" spans="1:14" ht="18" hidden="1" customHeight="1">
      <c r="A27" s="2086"/>
      <c r="B27" s="2461" t="s">
        <v>164</v>
      </c>
      <c r="C27" s="2675">
        <v>4672.6053748800005</v>
      </c>
      <c r="D27" s="2641">
        <v>485.93832849000006</v>
      </c>
      <c r="E27" s="2642">
        <v>215.10569490999998</v>
      </c>
      <c r="F27" s="2642">
        <v>0</v>
      </c>
      <c r="G27" s="2642">
        <v>0</v>
      </c>
      <c r="H27" s="2642">
        <v>0</v>
      </c>
      <c r="I27" s="2642">
        <v>0</v>
      </c>
      <c r="J27" s="2642">
        <v>0</v>
      </c>
      <c r="K27" s="2642">
        <v>1411.3175961300001</v>
      </c>
      <c r="L27" s="2641">
        <v>1252.3944050499999</v>
      </c>
      <c r="M27" s="2653">
        <v>1307.8493503000004</v>
      </c>
      <c r="N27" s="2743"/>
    </row>
    <row r="28" spans="1:14" ht="18" hidden="1" customHeight="1">
      <c r="A28" s="2086"/>
      <c r="B28" s="2461" t="s">
        <v>165</v>
      </c>
      <c r="C28" s="2675">
        <v>4701.8018976000822</v>
      </c>
      <c r="D28" s="2641">
        <v>464.58884051000007</v>
      </c>
      <c r="E28" s="2642">
        <v>1031.2278751300003</v>
      </c>
      <c r="F28" s="2642">
        <v>0</v>
      </c>
      <c r="G28" s="2642">
        <v>0</v>
      </c>
      <c r="H28" s="2642">
        <v>0</v>
      </c>
      <c r="I28" s="2642">
        <v>0</v>
      </c>
      <c r="J28" s="2642">
        <v>0</v>
      </c>
      <c r="K28" s="2642">
        <v>1547.7286621100002</v>
      </c>
      <c r="L28" s="2641">
        <v>1298.4621089500001</v>
      </c>
      <c r="M28" s="2653">
        <v>359.79441090008186</v>
      </c>
      <c r="N28" s="2743"/>
    </row>
    <row r="29" spans="1:14" ht="18" hidden="1" customHeight="1">
      <c r="A29" s="2086"/>
      <c r="B29" s="2461" t="s">
        <v>166</v>
      </c>
      <c r="C29" s="2675">
        <v>4715.8753674299996</v>
      </c>
      <c r="D29" s="2641">
        <v>463.27070233000001</v>
      </c>
      <c r="E29" s="2642">
        <v>264.08239798</v>
      </c>
      <c r="F29" s="2642">
        <v>0</v>
      </c>
      <c r="G29" s="2642">
        <v>0</v>
      </c>
      <c r="H29" s="2642">
        <v>0</v>
      </c>
      <c r="I29" s="2642">
        <v>0</v>
      </c>
      <c r="J29" s="2642">
        <v>0</v>
      </c>
      <c r="K29" s="2642">
        <v>1547.8925093600001</v>
      </c>
      <c r="L29" s="2641">
        <v>1323.8998683099999</v>
      </c>
      <c r="M29" s="2653">
        <v>1116.72988945</v>
      </c>
      <c r="N29" s="2743"/>
    </row>
    <row r="30" spans="1:14" ht="18" hidden="1" customHeight="1">
      <c r="A30" s="2086"/>
      <c r="B30" s="2461" t="s">
        <v>167</v>
      </c>
      <c r="C30" s="2675">
        <v>4745.202445779998</v>
      </c>
      <c r="D30" s="2641">
        <v>494.91904556000003</v>
      </c>
      <c r="E30" s="2642">
        <v>270.22384902999954</v>
      </c>
      <c r="F30" s="2642">
        <v>0</v>
      </c>
      <c r="G30" s="2642">
        <v>0</v>
      </c>
      <c r="H30" s="2642">
        <v>0</v>
      </c>
      <c r="I30" s="2642">
        <v>0</v>
      </c>
      <c r="J30" s="2642">
        <v>0</v>
      </c>
      <c r="K30" s="2642">
        <v>1470.4651129900001</v>
      </c>
      <c r="L30" s="2642">
        <v>1360.0011467950001</v>
      </c>
      <c r="M30" s="2653">
        <v>1149.5932914049981</v>
      </c>
      <c r="N30" s="2743"/>
    </row>
    <row r="31" spans="1:14" ht="18" hidden="1" customHeight="1">
      <c r="A31" s="2086"/>
      <c r="B31" s="2461" t="s">
        <v>168</v>
      </c>
      <c r="C31" s="2675">
        <v>4808.2343150699999</v>
      </c>
      <c r="D31" s="2641">
        <v>531.29365314999995</v>
      </c>
      <c r="E31" s="2642">
        <v>273.21658971999977</v>
      </c>
      <c r="F31" s="2642">
        <v>0</v>
      </c>
      <c r="G31" s="2642">
        <v>0</v>
      </c>
      <c r="H31" s="2642">
        <v>0</v>
      </c>
      <c r="I31" s="2642">
        <v>0</v>
      </c>
      <c r="J31" s="2642">
        <v>0</v>
      </c>
      <c r="K31" s="2642">
        <v>1390.6109914000001</v>
      </c>
      <c r="L31" s="2642">
        <v>1396.2423202850002</v>
      </c>
      <c r="M31" s="2653">
        <v>1216.8707605149993</v>
      </c>
      <c r="N31" s="2743"/>
    </row>
    <row r="32" spans="1:14" ht="18" hidden="1" customHeight="1">
      <c r="A32" s="2086"/>
      <c r="B32" s="2461" t="s">
        <v>169</v>
      </c>
      <c r="C32" s="2640">
        <v>5027.3208484400002</v>
      </c>
      <c r="D32" s="2641">
        <v>906.70355246999998</v>
      </c>
      <c r="E32" s="2642">
        <v>676.27785559999984</v>
      </c>
      <c r="F32" s="2642">
        <v>0</v>
      </c>
      <c r="G32" s="2642">
        <v>0</v>
      </c>
      <c r="H32" s="2642">
        <v>0</v>
      </c>
      <c r="I32" s="2642">
        <v>0</v>
      </c>
      <c r="J32" s="2642">
        <v>0</v>
      </c>
      <c r="K32" s="2642">
        <v>1390.6109918499999</v>
      </c>
      <c r="L32" s="2642">
        <v>1380.527531315</v>
      </c>
      <c r="M32" s="2653">
        <v>673.20091720500022</v>
      </c>
      <c r="N32" s="2743"/>
    </row>
    <row r="33" spans="1:14" ht="18" hidden="1" customHeight="1">
      <c r="A33" s="2086"/>
      <c r="B33" s="2458" t="s">
        <v>170</v>
      </c>
      <c r="C33" s="2654">
        <v>4997.0319547999998</v>
      </c>
      <c r="D33" s="2656">
        <v>592.01938610000002</v>
      </c>
      <c r="E33" s="2656">
        <v>678.95902679000017</v>
      </c>
      <c r="F33" s="2656">
        <v>0</v>
      </c>
      <c r="G33" s="2656">
        <v>0</v>
      </c>
      <c r="H33" s="2656">
        <v>0</v>
      </c>
      <c r="I33" s="2656">
        <v>0</v>
      </c>
      <c r="J33" s="2656">
        <v>0</v>
      </c>
      <c r="K33" s="2656">
        <v>1390.61099229</v>
      </c>
      <c r="L33" s="2656">
        <v>1470.8601206149999</v>
      </c>
      <c r="M33" s="2656">
        <v>864.58242900499954</v>
      </c>
      <c r="N33" s="2743"/>
    </row>
    <row r="34" spans="1:14" ht="18" hidden="1" customHeight="1">
      <c r="A34" s="2086"/>
      <c r="B34" s="2458" t="s">
        <v>171</v>
      </c>
      <c r="C34" s="2654">
        <v>5065.1852056900007</v>
      </c>
      <c r="D34" s="2656">
        <v>618.63572854000097</v>
      </c>
      <c r="E34" s="2656">
        <v>683.25138619000018</v>
      </c>
      <c r="F34" s="2656">
        <v>0</v>
      </c>
      <c r="G34" s="2656">
        <v>0</v>
      </c>
      <c r="H34" s="2656">
        <v>0</v>
      </c>
      <c r="I34" s="2656">
        <v>0</v>
      </c>
      <c r="J34" s="2656">
        <v>0</v>
      </c>
      <c r="K34" s="2656">
        <v>1385.51801146</v>
      </c>
      <c r="L34" s="2656">
        <v>1513.3018282749999</v>
      </c>
      <c r="M34" s="2656">
        <v>864.47825122499944</v>
      </c>
      <c r="N34" s="2743"/>
    </row>
    <row r="35" spans="1:14" ht="18" hidden="1" customHeight="1">
      <c r="A35" s="2086"/>
      <c r="B35" s="2479">
        <v>2011</v>
      </c>
      <c r="C35" s="2654">
        <v>5046.8918668499973</v>
      </c>
      <c r="D35" s="2656">
        <v>692.80538821000005</v>
      </c>
      <c r="E35" s="2656">
        <v>728.75490732999992</v>
      </c>
      <c r="F35" s="2656">
        <v>0</v>
      </c>
      <c r="G35" s="2656">
        <v>0</v>
      </c>
      <c r="H35" s="2656">
        <v>0</v>
      </c>
      <c r="I35" s="2656">
        <v>0</v>
      </c>
      <c r="J35" s="2656">
        <v>0</v>
      </c>
      <c r="K35" s="2656">
        <v>1330.51801146</v>
      </c>
      <c r="L35" s="2656">
        <v>1555.900467485</v>
      </c>
      <c r="M35" s="2656">
        <v>738.91309236499728</v>
      </c>
      <c r="N35" s="2743"/>
    </row>
    <row r="36" spans="1:14" ht="18" hidden="1" customHeight="1">
      <c r="A36" s="2086"/>
      <c r="B36" s="2457">
        <v>2012</v>
      </c>
      <c r="C36" s="2654"/>
      <c r="D36" s="2656"/>
      <c r="E36" s="2656"/>
      <c r="F36" s="2656"/>
      <c r="G36" s="2656"/>
      <c r="H36" s="2656"/>
      <c r="I36" s="2656"/>
      <c r="J36" s="2656"/>
      <c r="K36" s="2656"/>
      <c r="L36" s="2656"/>
      <c r="M36" s="2656"/>
      <c r="N36" s="2086"/>
    </row>
    <row r="37" spans="1:14" ht="18" hidden="1" customHeight="1">
      <c r="A37" s="2086"/>
      <c r="B37" s="2458" t="s">
        <v>161</v>
      </c>
      <c r="C37" s="2654">
        <v>5094.5155636700001</v>
      </c>
      <c r="D37" s="2656">
        <v>607.27432239000086</v>
      </c>
      <c r="E37" s="2656">
        <v>781.82910157000003</v>
      </c>
      <c r="F37" s="2656">
        <v>0</v>
      </c>
      <c r="G37" s="2656">
        <v>0</v>
      </c>
      <c r="H37" s="2656">
        <v>0</v>
      </c>
      <c r="I37" s="2656">
        <v>0</v>
      </c>
      <c r="J37" s="2656">
        <v>0</v>
      </c>
      <c r="K37" s="2656">
        <v>1329.5889320599999</v>
      </c>
      <c r="L37" s="2656">
        <v>1562.8177484199998</v>
      </c>
      <c r="M37" s="2656">
        <v>813.00545922999936</v>
      </c>
      <c r="N37" s="2743"/>
    </row>
    <row r="38" spans="1:14" ht="18" hidden="1" customHeight="1">
      <c r="A38" s="2086"/>
      <c r="B38" s="2458" t="s">
        <v>162</v>
      </c>
      <c r="C38" s="2654">
        <v>5435.4152945599999</v>
      </c>
      <c r="D38" s="2656">
        <v>603.71689698000216</v>
      </c>
      <c r="E38" s="2656">
        <v>1151.5023057000001</v>
      </c>
      <c r="F38" s="2656">
        <v>0</v>
      </c>
      <c r="G38" s="2656">
        <v>0</v>
      </c>
      <c r="H38" s="2656">
        <v>0</v>
      </c>
      <c r="I38" s="2656">
        <v>0</v>
      </c>
      <c r="J38" s="2656">
        <v>0</v>
      </c>
      <c r="K38" s="2656">
        <v>1323.6445490599999</v>
      </c>
      <c r="L38" s="2656">
        <v>1527.84434822</v>
      </c>
      <c r="M38" s="2656">
        <v>828.70719459999782</v>
      </c>
      <c r="N38" s="2743"/>
    </row>
    <row r="39" spans="1:14" ht="18" hidden="1" customHeight="1">
      <c r="A39" s="2086"/>
      <c r="B39" s="2458" t="s">
        <v>163</v>
      </c>
      <c r="C39" s="2654">
        <v>5592.6203474099984</v>
      </c>
      <c r="D39" s="2656">
        <v>646.415794770003</v>
      </c>
      <c r="E39" s="2656">
        <v>1567.83698523</v>
      </c>
      <c r="F39" s="2656">
        <v>0</v>
      </c>
      <c r="G39" s="2656">
        <v>0</v>
      </c>
      <c r="H39" s="2656">
        <v>0</v>
      </c>
      <c r="I39" s="2656">
        <v>0</v>
      </c>
      <c r="J39" s="2656">
        <v>0</v>
      </c>
      <c r="K39" s="2656">
        <v>1323.6445490599999</v>
      </c>
      <c r="L39" s="2656">
        <v>1516.00157287</v>
      </c>
      <c r="M39" s="2656">
        <v>538.72144547999596</v>
      </c>
      <c r="N39" s="2743"/>
    </row>
    <row r="40" spans="1:14" ht="18" hidden="1" customHeight="1">
      <c r="A40" s="2086"/>
      <c r="B40" s="2458" t="s">
        <v>164</v>
      </c>
      <c r="C40" s="2654">
        <v>5881.8279868899999</v>
      </c>
      <c r="D40" s="2656">
        <v>675.07865390000097</v>
      </c>
      <c r="E40" s="2656">
        <v>1693.8875434400002</v>
      </c>
      <c r="F40" s="2656">
        <v>0</v>
      </c>
      <c r="G40" s="2656">
        <v>0</v>
      </c>
      <c r="H40" s="2656">
        <v>0</v>
      </c>
      <c r="I40" s="2656">
        <v>0</v>
      </c>
      <c r="J40" s="2656">
        <v>0</v>
      </c>
      <c r="K40" s="2656">
        <v>1323.6445490599999</v>
      </c>
      <c r="L40" s="2656">
        <v>1469.4776477299997</v>
      </c>
      <c r="M40" s="2656">
        <v>719.73959275999914</v>
      </c>
      <c r="N40" s="2743"/>
    </row>
    <row r="41" spans="1:14" ht="18" hidden="1" customHeight="1">
      <c r="A41" s="2086"/>
      <c r="B41" s="2458" t="s">
        <v>165</v>
      </c>
      <c r="C41" s="2654">
        <v>6243.6817198800009</v>
      </c>
      <c r="D41" s="2656">
        <v>719.902565109997</v>
      </c>
      <c r="E41" s="2656">
        <v>1871.3000281300001</v>
      </c>
      <c r="F41" s="2656">
        <v>0</v>
      </c>
      <c r="G41" s="2656">
        <v>0</v>
      </c>
      <c r="H41" s="2656">
        <v>0</v>
      </c>
      <c r="I41" s="2656">
        <v>0</v>
      </c>
      <c r="J41" s="2656">
        <v>0</v>
      </c>
      <c r="K41" s="2656">
        <v>1318.55164448</v>
      </c>
      <c r="L41" s="2656">
        <v>1512.6655288499996</v>
      </c>
      <c r="M41" s="2656">
        <v>821.26195331000417</v>
      </c>
      <c r="N41" s="2743"/>
    </row>
    <row r="42" spans="1:14" ht="18" hidden="1" customHeight="1">
      <c r="A42" s="2086"/>
      <c r="B42" s="2458" t="s">
        <v>166</v>
      </c>
      <c r="C42" s="2654">
        <v>5784.1678659500003</v>
      </c>
      <c r="D42" s="2656">
        <v>771.04289700900506</v>
      </c>
      <c r="E42" s="2656">
        <v>1875.72821677</v>
      </c>
      <c r="F42" s="2656">
        <v>0</v>
      </c>
      <c r="G42" s="2656">
        <v>0</v>
      </c>
      <c r="H42" s="2656">
        <v>0</v>
      </c>
      <c r="I42" s="2656">
        <v>0</v>
      </c>
      <c r="J42" s="2656">
        <v>0</v>
      </c>
      <c r="K42" s="2656">
        <v>1263.55164448</v>
      </c>
      <c r="L42" s="2656">
        <v>1544.91834305</v>
      </c>
      <c r="M42" s="2656">
        <v>328.92676464099532</v>
      </c>
      <c r="N42" s="2743"/>
    </row>
    <row r="43" spans="1:14" ht="18" hidden="1" customHeight="1">
      <c r="A43" s="2086"/>
      <c r="B43" s="2458" t="s">
        <v>167</v>
      </c>
      <c r="C43" s="2654">
        <v>5944.2490111699999</v>
      </c>
      <c r="D43" s="2656">
        <v>1045.7738466999999</v>
      </c>
      <c r="E43" s="2656">
        <v>2273.0759266300001</v>
      </c>
      <c r="F43" s="2656">
        <v>0</v>
      </c>
      <c r="G43" s="2656">
        <v>0</v>
      </c>
      <c r="H43" s="2656">
        <v>0</v>
      </c>
      <c r="I43" s="2656">
        <v>0</v>
      </c>
      <c r="J43" s="2656">
        <v>0</v>
      </c>
      <c r="K43" s="2656">
        <v>1262.62256508</v>
      </c>
      <c r="L43" s="2656">
        <v>1514.4162683700001</v>
      </c>
      <c r="M43" s="2656">
        <v>-151.63959560999956</v>
      </c>
      <c r="N43" s="2086"/>
    </row>
    <row r="44" spans="1:14" ht="18" hidden="1" customHeight="1">
      <c r="A44" s="2086"/>
      <c r="B44" s="2458" t="s">
        <v>168</v>
      </c>
      <c r="C44" s="2654">
        <v>5930.8688591999999</v>
      </c>
      <c r="D44" s="2656">
        <v>901.11427480900693</v>
      </c>
      <c r="E44" s="2656">
        <v>2484.4720139700003</v>
      </c>
      <c r="F44" s="2656">
        <v>0</v>
      </c>
      <c r="G44" s="2656">
        <v>0</v>
      </c>
      <c r="H44" s="2656">
        <v>0</v>
      </c>
      <c r="I44" s="2656">
        <v>0</v>
      </c>
      <c r="J44" s="2656">
        <v>0</v>
      </c>
      <c r="K44" s="2656">
        <v>1256.6781820799999</v>
      </c>
      <c r="L44" s="2656">
        <v>1529.4108095000001</v>
      </c>
      <c r="M44" s="2656">
        <v>-240.80642115900719</v>
      </c>
      <c r="N44" s="2086"/>
    </row>
    <row r="45" spans="1:14" ht="18" hidden="1" customHeight="1">
      <c r="A45" s="2086"/>
      <c r="B45" s="2458" t="s">
        <v>169</v>
      </c>
      <c r="C45" s="2654">
        <v>6172.8096697699984</v>
      </c>
      <c r="D45" s="2656">
        <v>925.06092963000015</v>
      </c>
      <c r="E45" s="2656">
        <v>2528.5669450199998</v>
      </c>
      <c r="F45" s="2656">
        <v>0</v>
      </c>
      <c r="G45" s="2656">
        <v>0</v>
      </c>
      <c r="H45" s="2656">
        <v>0</v>
      </c>
      <c r="I45" s="2656">
        <v>0</v>
      </c>
      <c r="J45" s="2656">
        <v>0</v>
      </c>
      <c r="K45" s="2656">
        <v>1256.6781820799999</v>
      </c>
      <c r="L45" s="2656">
        <v>1481.27996659</v>
      </c>
      <c r="M45" s="2656">
        <v>-18.776353550001659</v>
      </c>
      <c r="N45" s="2086"/>
    </row>
    <row r="46" spans="1:14" ht="18" hidden="1" customHeight="1">
      <c r="A46" s="2086"/>
      <c r="B46" s="2480" t="s">
        <v>170</v>
      </c>
      <c r="C46" s="2666">
        <v>6488.3843849000014</v>
      </c>
      <c r="D46" s="2667">
        <v>954.97535408000306</v>
      </c>
      <c r="E46" s="2667">
        <v>2659.5297366699997</v>
      </c>
      <c r="F46" s="2667">
        <v>0</v>
      </c>
      <c r="G46" s="2667">
        <v>0</v>
      </c>
      <c r="H46" s="2667">
        <v>0</v>
      </c>
      <c r="I46" s="2667">
        <v>0</v>
      </c>
      <c r="J46" s="2667">
        <v>0</v>
      </c>
      <c r="K46" s="2667">
        <v>1256.6781820799999</v>
      </c>
      <c r="L46" s="2667">
        <v>1564.0575776199998</v>
      </c>
      <c r="M46" s="2667">
        <v>53.143534449999606</v>
      </c>
      <c r="N46" s="2086"/>
    </row>
    <row r="47" spans="1:14" ht="18" hidden="1" customHeight="1">
      <c r="A47" s="2086"/>
      <c r="B47" s="2480" t="s">
        <v>171</v>
      </c>
      <c r="C47" s="2666">
        <v>6620.2291896100005</v>
      </c>
      <c r="D47" s="2667">
        <v>1032.9997503699999</v>
      </c>
      <c r="E47" s="2667">
        <v>2777.8910278500011</v>
      </c>
      <c r="F47" s="2667">
        <v>0</v>
      </c>
      <c r="G47" s="2667">
        <v>0</v>
      </c>
      <c r="H47" s="2667">
        <v>0</v>
      </c>
      <c r="I47" s="2667">
        <v>0</v>
      </c>
      <c r="J47" s="2667">
        <v>0</v>
      </c>
      <c r="K47" s="2667">
        <v>1333.67765046</v>
      </c>
      <c r="L47" s="2667">
        <v>1744.8619096299999</v>
      </c>
      <c r="M47" s="2667">
        <v>-269.20114870000089</v>
      </c>
      <c r="N47" s="2086"/>
    </row>
    <row r="48" spans="1:14" ht="18" customHeight="1">
      <c r="A48" s="2086"/>
      <c r="B48" s="2457">
        <v>2012</v>
      </c>
      <c r="C48" s="2677">
        <v>6678.7603112300003</v>
      </c>
      <c r="D48" s="2669">
        <v>1095.9706917300002</v>
      </c>
      <c r="E48" s="2669">
        <v>2691.4355748500002</v>
      </c>
      <c r="F48" s="2669">
        <v>0</v>
      </c>
      <c r="G48" s="2669">
        <v>0</v>
      </c>
      <c r="H48" s="2669">
        <v>0</v>
      </c>
      <c r="I48" s="2669">
        <v>0</v>
      </c>
      <c r="J48" s="2669">
        <v>0</v>
      </c>
      <c r="K48" s="2669">
        <v>1278.67765046</v>
      </c>
      <c r="L48" s="2669">
        <v>1816.1428645315998</v>
      </c>
      <c r="M48" s="2678">
        <v>-203.46647034160014</v>
      </c>
      <c r="N48" s="2086"/>
    </row>
    <row r="49" spans="1:14" ht="18" customHeight="1">
      <c r="A49" s="2086"/>
      <c r="B49" s="2744">
        <v>2013</v>
      </c>
      <c r="C49" s="2677"/>
      <c r="D49" s="2669"/>
      <c r="E49" s="2669"/>
      <c r="F49" s="2669"/>
      <c r="G49" s="2669"/>
      <c r="H49" s="2669"/>
      <c r="I49" s="2669"/>
      <c r="J49" s="2669"/>
      <c r="K49" s="2669"/>
      <c r="L49" s="2669"/>
      <c r="M49" s="2678"/>
      <c r="N49" s="2086"/>
    </row>
    <row r="50" spans="1:14" ht="18" customHeight="1">
      <c r="A50" s="2086"/>
      <c r="B50" s="2481" t="s">
        <v>161</v>
      </c>
      <c r="C50" s="2677">
        <v>6805.7484973699993</v>
      </c>
      <c r="D50" s="2669">
        <v>1008.2305145699968</v>
      </c>
      <c r="E50" s="2669">
        <v>2849.5683156700002</v>
      </c>
      <c r="F50" s="2669">
        <v>0</v>
      </c>
      <c r="G50" s="2669">
        <v>0</v>
      </c>
      <c r="H50" s="2669">
        <v>0</v>
      </c>
      <c r="I50" s="2669">
        <v>0</v>
      </c>
      <c r="J50" s="2669">
        <v>0</v>
      </c>
      <c r="K50" s="2669">
        <v>1277.7485710599999</v>
      </c>
      <c r="L50" s="2669">
        <v>1884.3860765745997</v>
      </c>
      <c r="M50" s="2678">
        <v>-214.18498050459675</v>
      </c>
      <c r="N50" s="2086"/>
    </row>
    <row r="51" spans="1:14" ht="18" customHeight="1">
      <c r="A51" s="2086"/>
      <c r="B51" s="2481" t="s">
        <v>162</v>
      </c>
      <c r="C51" s="2677">
        <v>7021.0238230900004</v>
      </c>
      <c r="D51" s="2669">
        <v>1017.2896092699971</v>
      </c>
      <c r="E51" s="2669">
        <v>2935.4083946999999</v>
      </c>
      <c r="F51" s="2669">
        <v>0</v>
      </c>
      <c r="G51" s="2669">
        <v>0</v>
      </c>
      <c r="H51" s="2669">
        <v>0</v>
      </c>
      <c r="I51" s="2669">
        <v>0</v>
      </c>
      <c r="J51" s="2669">
        <v>0</v>
      </c>
      <c r="K51" s="2669">
        <v>1271.8041880599999</v>
      </c>
      <c r="L51" s="2669">
        <v>1816.1364939345997</v>
      </c>
      <c r="M51" s="2678">
        <v>-19.614862874595929</v>
      </c>
      <c r="N51" s="2086"/>
    </row>
    <row r="52" spans="1:14" ht="18" customHeight="1">
      <c r="A52" s="2086"/>
      <c r="B52" s="2455" t="s">
        <v>163</v>
      </c>
      <c r="C52" s="2654">
        <v>7609.8954406499988</v>
      </c>
      <c r="D52" s="2656">
        <v>1063.3258171900029</v>
      </c>
      <c r="E52" s="2656">
        <v>2837.1063411399996</v>
      </c>
      <c r="F52" s="2656">
        <v>0</v>
      </c>
      <c r="G52" s="2656">
        <v>0</v>
      </c>
      <c r="H52" s="2656">
        <v>0</v>
      </c>
      <c r="I52" s="2656">
        <v>0</v>
      </c>
      <c r="J52" s="2656">
        <v>0</v>
      </c>
      <c r="K52" s="2656">
        <v>1271.8041880599999</v>
      </c>
      <c r="L52" s="2656">
        <v>1772.5436701745996</v>
      </c>
      <c r="M52" s="2656">
        <v>665.11542408539754</v>
      </c>
      <c r="N52" s="2086"/>
    </row>
    <row r="53" spans="1:14" ht="18" customHeight="1">
      <c r="A53" s="2086"/>
      <c r="B53" s="2455" t="s">
        <v>164</v>
      </c>
      <c r="C53" s="2654">
        <v>7841.6161281899986</v>
      </c>
      <c r="D53" s="2656">
        <v>1155.3257240699998</v>
      </c>
      <c r="E53" s="2656">
        <v>2883.4309415499997</v>
      </c>
      <c r="F53" s="2656">
        <v>0</v>
      </c>
      <c r="G53" s="2656">
        <v>0</v>
      </c>
      <c r="H53" s="2656">
        <v>0</v>
      </c>
      <c r="I53" s="2656">
        <v>0</v>
      </c>
      <c r="J53" s="2656">
        <v>0</v>
      </c>
      <c r="K53" s="2656">
        <v>1271.8041880599999</v>
      </c>
      <c r="L53" s="2656">
        <v>1783.1393554100996</v>
      </c>
      <c r="M53" s="2656">
        <v>747.91591909989984</v>
      </c>
      <c r="N53" s="2086"/>
    </row>
    <row r="54" spans="1:14" ht="18" customHeight="1">
      <c r="A54" s="2086"/>
      <c r="B54" s="2455" t="s">
        <v>165</v>
      </c>
      <c r="C54" s="2654">
        <v>8360.6179013000001</v>
      </c>
      <c r="D54" s="2656">
        <v>1192.0312117299998</v>
      </c>
      <c r="E54" s="2656">
        <v>2802.3909253700003</v>
      </c>
      <c r="F54" s="2656">
        <v>0</v>
      </c>
      <c r="G54" s="2656">
        <v>0</v>
      </c>
      <c r="H54" s="2656">
        <v>0</v>
      </c>
      <c r="I54" s="2656">
        <v>0</v>
      </c>
      <c r="J54" s="2656">
        <v>0</v>
      </c>
      <c r="K54" s="2656">
        <v>1430.48128348</v>
      </c>
      <c r="L54" s="2656">
        <v>1786.8408250380996</v>
      </c>
      <c r="M54" s="2656">
        <v>1148.8736556819003</v>
      </c>
      <c r="N54" s="2086"/>
    </row>
    <row r="55" spans="1:14" ht="18" customHeight="1">
      <c r="A55" s="2086"/>
      <c r="B55" s="2774" t="s">
        <v>166</v>
      </c>
      <c r="C55" s="2767">
        <v>8284.2694256199993</v>
      </c>
      <c r="D55" s="2769">
        <v>1196.8374143399999</v>
      </c>
      <c r="E55" s="2769">
        <v>2946.6128946100002</v>
      </c>
      <c r="F55" s="2769">
        <v>0</v>
      </c>
      <c r="G55" s="2769">
        <v>0</v>
      </c>
      <c r="H55" s="2769">
        <v>0</v>
      </c>
      <c r="I55" s="2769">
        <v>0</v>
      </c>
      <c r="J55" s="2769">
        <v>0</v>
      </c>
      <c r="K55" s="2769">
        <v>1374.5522040799999</v>
      </c>
      <c r="L55" s="2769">
        <v>1930.2637441045997</v>
      </c>
      <c r="M55" s="2769">
        <v>836.00316848539933</v>
      </c>
      <c r="N55" s="2086"/>
    </row>
    <row r="56" spans="1:14" ht="18" customHeight="1">
      <c r="A56" s="2086"/>
      <c r="B56" s="2774" t="s">
        <v>167</v>
      </c>
      <c r="C56" s="2767">
        <v>9008.014112660001</v>
      </c>
      <c r="D56" s="2769">
        <v>1252.48532054</v>
      </c>
      <c r="E56" s="2769">
        <v>3373.8645115300005</v>
      </c>
      <c r="F56" s="2769">
        <v>0</v>
      </c>
      <c r="G56" s="2769">
        <v>0</v>
      </c>
      <c r="H56" s="2769">
        <v>0</v>
      </c>
      <c r="I56" s="2769">
        <v>0</v>
      </c>
      <c r="J56" s="2769">
        <v>0</v>
      </c>
      <c r="K56" s="2769">
        <v>1374.5522040799999</v>
      </c>
      <c r="L56" s="2769">
        <v>1928.6756081500996</v>
      </c>
      <c r="M56" s="2769">
        <v>1078.4364683599015</v>
      </c>
      <c r="N56" s="2086"/>
    </row>
    <row r="57" spans="1:14" ht="18" customHeight="1">
      <c r="A57" s="2086"/>
      <c r="B57" s="2774" t="s">
        <v>168</v>
      </c>
      <c r="C57" s="2767">
        <v>8675.5098141199942</v>
      </c>
      <c r="D57" s="2769">
        <v>1301.5021375699903</v>
      </c>
      <c r="E57" s="2769">
        <v>3510.3184974599999</v>
      </c>
      <c r="F57" s="2769">
        <v>0</v>
      </c>
      <c r="G57" s="2769">
        <v>0</v>
      </c>
      <c r="H57" s="2769">
        <v>0</v>
      </c>
      <c r="I57" s="2769">
        <v>0</v>
      </c>
      <c r="J57" s="2769">
        <v>0</v>
      </c>
      <c r="K57" s="2769">
        <v>1368.6078210799999</v>
      </c>
      <c r="L57" s="2769">
        <v>1906.1077457130998</v>
      </c>
      <c r="M57" s="2769">
        <v>588.97361229690523</v>
      </c>
      <c r="N57" s="2086"/>
    </row>
    <row r="58" spans="1:14" ht="18" customHeight="1">
      <c r="A58" s="2086"/>
      <c r="B58" s="2774" t="s">
        <v>169</v>
      </c>
      <c r="C58" s="2767">
        <v>8940.4495581400024</v>
      </c>
      <c r="D58" s="2769">
        <v>1332.4668697100096</v>
      </c>
      <c r="E58" s="2769">
        <v>3529.1902185399999</v>
      </c>
      <c r="F58" s="2769">
        <v>0</v>
      </c>
      <c r="G58" s="2769">
        <v>0</v>
      </c>
      <c r="H58" s="2769">
        <v>0</v>
      </c>
      <c r="I58" s="2769">
        <v>0</v>
      </c>
      <c r="J58" s="2769">
        <v>0</v>
      </c>
      <c r="K58" s="2769">
        <v>1368.6078210799999</v>
      </c>
      <c r="L58" s="2769">
        <v>1835.1805221030993</v>
      </c>
      <c r="M58" s="2769">
        <v>875.00412670689457</v>
      </c>
      <c r="N58" s="2086"/>
    </row>
    <row r="59" spans="1:14" ht="18" customHeight="1">
      <c r="A59" s="2086"/>
      <c r="B59" s="2774" t="s">
        <v>170</v>
      </c>
      <c r="C59" s="2767">
        <v>9051.1552227399989</v>
      </c>
      <c r="D59" s="2769">
        <v>1577.1107609359897</v>
      </c>
      <c r="E59" s="2769">
        <v>3417.4323916199996</v>
      </c>
      <c r="F59" s="2769">
        <v>0</v>
      </c>
      <c r="G59" s="2769">
        <v>0</v>
      </c>
      <c r="H59" s="2769">
        <v>0</v>
      </c>
      <c r="I59" s="2769">
        <v>0</v>
      </c>
      <c r="J59" s="2769">
        <v>0</v>
      </c>
      <c r="K59" s="2769">
        <v>1368.6078210799999</v>
      </c>
      <c r="L59" s="2769">
        <v>1879.0880711496002</v>
      </c>
      <c r="M59" s="2769">
        <v>808.91617795441016</v>
      </c>
      <c r="N59" s="2086"/>
    </row>
    <row r="60" spans="1:14" ht="18" customHeight="1">
      <c r="A60" s="2086"/>
      <c r="B60" s="2774" t="s">
        <v>171</v>
      </c>
      <c r="C60" s="2767">
        <v>9171.7007964000004</v>
      </c>
      <c r="D60" s="2769">
        <v>1608.3456167199997</v>
      </c>
      <c r="E60" s="2769">
        <v>3344.2040628899977</v>
      </c>
      <c r="F60" s="2769">
        <v>0</v>
      </c>
      <c r="G60" s="2769">
        <v>0</v>
      </c>
      <c r="H60" s="2769">
        <v>0</v>
      </c>
      <c r="I60" s="2769">
        <v>0</v>
      </c>
      <c r="J60" s="2769">
        <v>0</v>
      </c>
      <c r="K60" s="2769">
        <v>1362.81360526</v>
      </c>
      <c r="L60" s="2769">
        <v>2055.4541809699999</v>
      </c>
      <c r="M60" s="2769">
        <v>800.88333056000192</v>
      </c>
      <c r="N60" s="2086"/>
    </row>
    <row r="61" spans="1:14" ht="18" customHeight="1">
      <c r="A61" s="2086"/>
      <c r="B61" s="2923" t="s">
        <v>148</v>
      </c>
      <c r="C61" s="2767">
        <v>9360.8705057299994</v>
      </c>
      <c r="D61" s="2769">
        <v>1687.7136550280002</v>
      </c>
      <c r="E61" s="2769">
        <v>3411.4831830499998</v>
      </c>
      <c r="F61" s="2769">
        <v>0</v>
      </c>
      <c r="G61" s="2769">
        <v>0</v>
      </c>
      <c r="H61" s="2769">
        <v>0</v>
      </c>
      <c r="I61" s="2769">
        <v>0</v>
      </c>
      <c r="J61" s="2769">
        <v>0</v>
      </c>
      <c r="K61" s="2769">
        <v>1308.5149169400001</v>
      </c>
      <c r="L61" s="2769">
        <v>2199.3102097434512</v>
      </c>
      <c r="M61" s="2769">
        <v>753.84854096854906</v>
      </c>
      <c r="N61" s="2086"/>
    </row>
    <row r="62" spans="1:14" ht="18" customHeight="1">
      <c r="A62" s="2086"/>
      <c r="B62" s="2922">
        <v>2014</v>
      </c>
      <c r="C62" s="2922"/>
      <c r="D62" s="2923"/>
      <c r="E62" s="2923"/>
      <c r="F62" s="2923"/>
      <c r="G62" s="2923"/>
      <c r="H62" s="2923"/>
      <c r="I62" s="2923"/>
      <c r="J62" s="2923"/>
      <c r="K62" s="2923"/>
      <c r="L62" s="2923"/>
      <c r="M62" s="2923"/>
      <c r="N62" s="2086"/>
    </row>
    <row r="63" spans="1:14" ht="18" customHeight="1">
      <c r="A63" s="2086"/>
      <c r="B63" s="2923" t="s">
        <v>161</v>
      </c>
      <c r="C63" s="2767">
        <v>9490.2598267600006</v>
      </c>
      <c r="D63" s="2769">
        <v>1630.0753677000002</v>
      </c>
      <c r="E63" s="2769">
        <v>3446.5938259699983</v>
      </c>
      <c r="F63" s="2769">
        <v>0</v>
      </c>
      <c r="G63" s="2769">
        <v>0</v>
      </c>
      <c r="H63" s="2769">
        <v>0</v>
      </c>
      <c r="I63" s="2769">
        <v>0</v>
      </c>
      <c r="J63" s="2769">
        <v>0</v>
      </c>
      <c r="K63" s="2769">
        <v>1307.5858375400001</v>
      </c>
      <c r="L63" s="2769">
        <v>2184.4787654081911</v>
      </c>
      <c r="M63" s="2769">
        <v>921.52603014180931</v>
      </c>
      <c r="N63" s="2086"/>
    </row>
    <row r="64" spans="1:14" ht="18" customHeight="1">
      <c r="A64" s="2086"/>
      <c r="B64" s="2923" t="s">
        <v>162</v>
      </c>
      <c r="C64" s="2767">
        <v>9714.00928355</v>
      </c>
      <c r="D64" s="2769">
        <v>1625.0660012070002</v>
      </c>
      <c r="E64" s="2769">
        <v>3428.4972377600006</v>
      </c>
      <c r="F64" s="2769">
        <v>0</v>
      </c>
      <c r="G64" s="2769">
        <v>0</v>
      </c>
      <c r="H64" s="2769">
        <v>0</v>
      </c>
      <c r="I64" s="2769">
        <v>0</v>
      </c>
      <c r="J64" s="2769">
        <v>0</v>
      </c>
      <c r="K64" s="2769">
        <v>1301.64145454</v>
      </c>
      <c r="L64" s="2769">
        <v>2080.7044492298905</v>
      </c>
      <c r="M64" s="2769">
        <v>1278.1001408131087</v>
      </c>
      <c r="N64" s="2086"/>
    </row>
    <row r="65" spans="1:14" ht="18" customHeight="1">
      <c r="A65" s="2086"/>
      <c r="B65" s="2923" t="s">
        <v>163</v>
      </c>
      <c r="C65" s="2767">
        <v>10223.00747241</v>
      </c>
      <c r="D65" s="2769">
        <v>1426.2142291310001</v>
      </c>
      <c r="E65" s="2769">
        <v>3546.0714388699998</v>
      </c>
      <c r="F65" s="2769">
        <v>0</v>
      </c>
      <c r="G65" s="2769">
        <v>0</v>
      </c>
      <c r="H65" s="2769">
        <v>0</v>
      </c>
      <c r="I65" s="2769">
        <v>0</v>
      </c>
      <c r="J65" s="2769">
        <v>0</v>
      </c>
      <c r="K65" s="2769">
        <v>1193.5125100299999</v>
      </c>
      <c r="L65" s="2769">
        <v>2070.7523639400001</v>
      </c>
      <c r="M65" s="2769">
        <v>1986.4569304389988</v>
      </c>
      <c r="N65" s="2086"/>
    </row>
    <row r="66" spans="1:14" ht="18" customHeight="1">
      <c r="A66" s="2086"/>
      <c r="B66" s="2923" t="s">
        <v>164</v>
      </c>
      <c r="C66" s="2767">
        <v>10539.566984649997</v>
      </c>
      <c r="D66" s="2769">
        <v>1500.6664897410001</v>
      </c>
      <c r="E66" s="2769">
        <v>3723.2120723100006</v>
      </c>
      <c r="F66" s="2769">
        <v>0</v>
      </c>
      <c r="G66" s="2769">
        <v>0</v>
      </c>
      <c r="H66" s="2769">
        <v>0</v>
      </c>
      <c r="I66" s="2769">
        <v>0</v>
      </c>
      <c r="J66" s="2769">
        <v>0</v>
      </c>
      <c r="K66" s="2769">
        <v>1623.5125100299999</v>
      </c>
      <c r="L66" s="2769">
        <v>1990.7795564181909</v>
      </c>
      <c r="M66" s="2769">
        <v>1701.3963561508044</v>
      </c>
      <c r="N66" s="2086"/>
    </row>
    <row r="67" spans="1:14" ht="18" customHeight="1">
      <c r="A67" s="2086"/>
      <c r="B67" s="2923" t="s">
        <v>165</v>
      </c>
      <c r="C67" s="2767">
        <v>11535.44895322</v>
      </c>
      <c r="D67" s="2769">
        <v>1531.9350699810097</v>
      </c>
      <c r="E67" s="2769">
        <v>3997.1032547200002</v>
      </c>
      <c r="F67" s="2769">
        <v>0</v>
      </c>
      <c r="G67" s="2769">
        <v>0</v>
      </c>
      <c r="H67" s="2769">
        <v>0</v>
      </c>
      <c r="I67" s="2769">
        <v>0</v>
      </c>
      <c r="J67" s="2769">
        <v>0</v>
      </c>
      <c r="K67" s="2769">
        <v>1622.8111988600001</v>
      </c>
      <c r="L67" s="2769">
        <v>1998.9807089381907</v>
      </c>
      <c r="M67" s="2769">
        <v>2384.6187207207986</v>
      </c>
      <c r="N67" s="2086"/>
    </row>
    <row r="68" spans="1:14" ht="18" customHeight="1">
      <c r="A68" s="2086"/>
      <c r="B68" s="2923" t="s">
        <v>166</v>
      </c>
      <c r="C68" s="2767">
        <v>12717.971433939998</v>
      </c>
      <c r="D68" s="2769">
        <v>2622.8546629209904</v>
      </c>
      <c r="E68" s="2769">
        <v>4621.1106354500007</v>
      </c>
      <c r="F68" s="2769">
        <v>0</v>
      </c>
      <c r="G68" s="2769">
        <v>0</v>
      </c>
      <c r="H68" s="2769">
        <v>0</v>
      </c>
      <c r="I68" s="2769">
        <v>0</v>
      </c>
      <c r="J68" s="2769">
        <v>0</v>
      </c>
      <c r="K68" s="2769">
        <v>1136.88211946</v>
      </c>
      <c r="L68" s="2769">
        <v>2488.9731918798579</v>
      </c>
      <c r="M68" s="2769">
        <v>1848.1508242291493</v>
      </c>
      <c r="N68" s="2086"/>
    </row>
    <row r="69" spans="1:14" ht="18" customHeight="1">
      <c r="A69" s="2086"/>
      <c r="B69" s="2923" t="s">
        <v>167</v>
      </c>
      <c r="C69" s="2767">
        <v>12892.521924209999</v>
      </c>
      <c r="D69" s="2769">
        <v>2895.1188391110004</v>
      </c>
      <c r="E69" s="2769">
        <v>5297.3075046599988</v>
      </c>
      <c r="F69" s="2769">
        <v>0</v>
      </c>
      <c r="G69" s="2769">
        <v>0</v>
      </c>
      <c r="H69" s="2769">
        <v>0</v>
      </c>
      <c r="I69" s="2769">
        <v>0</v>
      </c>
      <c r="J69" s="2769">
        <v>0</v>
      </c>
      <c r="K69" s="2769">
        <v>1136.88211946</v>
      </c>
      <c r="L69" s="2769">
        <v>2367.5270836681912</v>
      </c>
      <c r="M69" s="2769">
        <v>1195.6863773108089</v>
      </c>
      <c r="N69" s="2086"/>
    </row>
    <row r="70" spans="1:14">
      <c r="A70" s="2086"/>
      <c r="B70" s="2923" t="s">
        <v>168</v>
      </c>
      <c r="C70" s="2767">
        <v>13308.137278759999</v>
      </c>
      <c r="D70" s="2769">
        <v>2056.8775122789903</v>
      </c>
      <c r="E70" s="2769">
        <v>6256.1955641300001</v>
      </c>
      <c r="F70" s="2769">
        <v>0</v>
      </c>
      <c r="G70" s="2769">
        <v>0</v>
      </c>
      <c r="H70" s="2769">
        <v>0</v>
      </c>
      <c r="I70" s="2769">
        <v>0</v>
      </c>
      <c r="J70" s="2769">
        <v>0</v>
      </c>
      <c r="K70" s="2769">
        <v>1130.93773646</v>
      </c>
      <c r="L70" s="2769">
        <v>2362.6131200281911</v>
      </c>
      <c r="M70" s="2769">
        <v>1501.5133458628188</v>
      </c>
      <c r="N70" s="2086"/>
    </row>
    <row r="71" spans="1:14">
      <c r="A71" s="2086"/>
      <c r="B71" s="2923" t="s">
        <v>169</v>
      </c>
      <c r="C71" s="2767">
        <v>12624.059611190005</v>
      </c>
      <c r="D71" s="2769">
        <v>2127.0752937310099</v>
      </c>
      <c r="E71" s="2769">
        <v>6525.6006414800004</v>
      </c>
      <c r="F71" s="2769">
        <v>0</v>
      </c>
      <c r="G71" s="2769">
        <v>0</v>
      </c>
      <c r="H71" s="2769">
        <v>0</v>
      </c>
      <c r="I71" s="2769">
        <v>0</v>
      </c>
      <c r="J71" s="2769">
        <v>0</v>
      </c>
      <c r="K71" s="2769">
        <v>1122.8087919500001</v>
      </c>
      <c r="L71" s="2769">
        <v>2408.3601146181913</v>
      </c>
      <c r="M71" s="2769">
        <v>440.21476941080437</v>
      </c>
      <c r="N71" s="2086"/>
    </row>
    <row r="72" spans="1:14">
      <c r="A72" s="2086"/>
      <c r="B72" s="2923" t="s">
        <v>170</v>
      </c>
      <c r="C72" s="2767">
        <v>14377.879131699998</v>
      </c>
      <c r="D72" s="2769">
        <v>2175.2570416210001</v>
      </c>
      <c r="E72" s="2769">
        <v>7912.2162232400005</v>
      </c>
      <c r="F72" s="2769">
        <v>0</v>
      </c>
      <c r="G72" s="2769">
        <v>0</v>
      </c>
      <c r="H72" s="2769">
        <v>0</v>
      </c>
      <c r="I72" s="2769">
        <v>0</v>
      </c>
      <c r="J72" s="2769">
        <v>0</v>
      </c>
      <c r="K72" s="2769">
        <v>1122.808792</v>
      </c>
      <c r="L72" s="2769">
        <v>2519.6845359681906</v>
      </c>
      <c r="M72" s="2769">
        <v>647.91253887080711</v>
      </c>
      <c r="N72" s="2086"/>
    </row>
    <row r="73" spans="1:14">
      <c r="A73" s="2086"/>
      <c r="B73" s="2923" t="s">
        <v>171</v>
      </c>
      <c r="C73" s="2767">
        <v>14932.860437769998</v>
      </c>
      <c r="D73" s="2769">
        <v>2250.3333946809898</v>
      </c>
      <c r="E73" s="2769">
        <v>7691.7542988599989</v>
      </c>
      <c r="F73" s="2769">
        <v>0</v>
      </c>
      <c r="G73" s="2769">
        <v>0</v>
      </c>
      <c r="H73" s="2769">
        <v>0</v>
      </c>
      <c r="I73" s="2769">
        <v>0</v>
      </c>
      <c r="J73" s="2769">
        <v>0</v>
      </c>
      <c r="K73" s="2769">
        <v>1122.1074807800001</v>
      </c>
      <c r="L73" s="2769">
        <v>2538.5201541781908</v>
      </c>
      <c r="M73" s="2769">
        <v>1330.1451092708176</v>
      </c>
      <c r="N73" s="2086"/>
    </row>
    <row r="74" spans="1:14">
      <c r="A74" s="2086"/>
      <c r="B74" s="2923" t="s">
        <v>148</v>
      </c>
      <c r="C74" s="2767">
        <v>15188.260410719999</v>
      </c>
      <c r="D74" s="2769">
        <v>2288.24840902099</v>
      </c>
      <c r="E74" s="2769">
        <v>7630.4429849600001</v>
      </c>
      <c r="F74" s="2769">
        <v>0</v>
      </c>
      <c r="G74" s="2769">
        <v>0</v>
      </c>
      <c r="H74" s="2769">
        <v>0</v>
      </c>
      <c r="I74" s="2769">
        <v>0</v>
      </c>
      <c r="J74" s="2769">
        <v>0</v>
      </c>
      <c r="K74" s="2769">
        <v>1067.1074807800001</v>
      </c>
      <c r="L74" s="2769">
        <v>2846.2415179250002</v>
      </c>
      <c r="M74" s="2769">
        <v>1356.2200180340096</v>
      </c>
      <c r="N74" s="2086"/>
    </row>
    <row r="75" spans="1:14">
      <c r="A75" s="2086"/>
      <c r="B75" s="2922">
        <v>2015</v>
      </c>
      <c r="C75" s="2767"/>
      <c r="D75" s="2769"/>
      <c r="E75" s="2769"/>
      <c r="F75" s="2769"/>
      <c r="G75" s="2769"/>
      <c r="H75" s="2769"/>
      <c r="I75" s="2769"/>
      <c r="J75" s="2769"/>
      <c r="K75" s="2769"/>
      <c r="L75" s="2769"/>
      <c r="M75" s="2769"/>
      <c r="N75" s="2086"/>
    </row>
    <row r="76" spans="1:14">
      <c r="A76" s="2086"/>
      <c r="B76" s="2923" t="s">
        <v>161</v>
      </c>
      <c r="C76" s="2767">
        <v>15012.883606219999</v>
      </c>
      <c r="D76" s="2769">
        <v>2230.4092442210003</v>
      </c>
      <c r="E76" s="2769">
        <v>7735.2504064000004</v>
      </c>
      <c r="F76" s="2769">
        <v>0</v>
      </c>
      <c r="G76" s="2769">
        <v>0</v>
      </c>
      <c r="H76" s="2769">
        <v>0</v>
      </c>
      <c r="I76" s="2769">
        <v>0</v>
      </c>
      <c r="J76" s="2769">
        <v>0</v>
      </c>
      <c r="K76" s="2769">
        <v>1067.1074807800001</v>
      </c>
      <c r="L76" s="2769">
        <v>2829.9255513150006</v>
      </c>
      <c r="M76" s="2769">
        <v>1150.1909235039984</v>
      </c>
      <c r="N76" s="2086"/>
    </row>
    <row r="77" spans="1:14">
      <c r="A77" s="2086"/>
      <c r="B77" s="2923" t="s">
        <v>162</v>
      </c>
      <c r="C77" s="2767">
        <v>15578.159135459999</v>
      </c>
      <c r="D77" s="2769">
        <v>2215.3198748310001</v>
      </c>
      <c r="E77" s="2769">
        <v>7814.325781219999</v>
      </c>
      <c r="F77" s="2769">
        <v>0</v>
      </c>
      <c r="G77" s="2769">
        <v>0</v>
      </c>
      <c r="H77" s="2769">
        <v>0</v>
      </c>
      <c r="I77" s="2769">
        <v>0</v>
      </c>
      <c r="J77" s="2769">
        <v>0</v>
      </c>
      <c r="K77" s="2769">
        <v>1061.16309778</v>
      </c>
      <c r="L77" s="2769">
        <v>2777.0056913950002</v>
      </c>
      <c r="M77" s="2769">
        <v>1710.3446902340002</v>
      </c>
      <c r="N77" s="2086"/>
    </row>
    <row r="78" spans="1:14">
      <c r="A78" s="2086"/>
      <c r="B78" s="2923" t="s">
        <v>163</v>
      </c>
      <c r="C78" s="2767">
        <v>16552.444543719997</v>
      </c>
      <c r="D78" s="2769">
        <v>2300.1815660010002</v>
      </c>
      <c r="E78" s="2769">
        <v>8551.9021770100007</v>
      </c>
      <c r="F78" s="2769">
        <v>0</v>
      </c>
      <c r="G78" s="2769">
        <v>0</v>
      </c>
      <c r="H78" s="2769">
        <v>0</v>
      </c>
      <c r="I78" s="2769">
        <v>0</v>
      </c>
      <c r="J78" s="2769">
        <v>0</v>
      </c>
      <c r="K78" s="2769">
        <v>948.19287004</v>
      </c>
      <c r="L78" s="2769">
        <v>2687.8240569450004</v>
      </c>
      <c r="M78" s="2769">
        <v>2064.3438737239958</v>
      </c>
      <c r="N78" s="2086"/>
    </row>
    <row r="79" spans="1:14">
      <c r="A79" s="2086"/>
      <c r="B79" s="2923" t="s">
        <v>164</v>
      </c>
      <c r="C79" s="2767">
        <v>16841.192990929998</v>
      </c>
      <c r="D79" s="2769">
        <v>2455.3836195909998</v>
      </c>
      <c r="E79" s="2769">
        <v>8592.9621337999997</v>
      </c>
      <c r="F79" s="2769">
        <v>0</v>
      </c>
      <c r="G79" s="2769">
        <v>0</v>
      </c>
      <c r="H79" s="2769">
        <v>0</v>
      </c>
      <c r="I79" s="2769">
        <v>0</v>
      </c>
      <c r="J79" s="2769">
        <v>0</v>
      </c>
      <c r="K79" s="2769">
        <v>948.19287004</v>
      </c>
      <c r="L79" s="2769">
        <v>2560.0836359650011</v>
      </c>
      <c r="M79" s="2769">
        <v>2284.5707315339969</v>
      </c>
      <c r="N79" s="2086"/>
    </row>
    <row r="80" spans="1:14">
      <c r="A80" s="2086"/>
      <c r="B80" s="2923" t="s">
        <v>165</v>
      </c>
      <c r="C80" s="2767">
        <v>17727.639769799996</v>
      </c>
      <c r="D80" s="2769">
        <v>2201.8636806743334</v>
      </c>
      <c r="E80" s="2769">
        <v>8876.3055857899999</v>
      </c>
      <c r="F80" s="2769">
        <v>0</v>
      </c>
      <c r="G80" s="2769">
        <v>0</v>
      </c>
      <c r="H80" s="2769">
        <v>0</v>
      </c>
      <c r="I80" s="2769">
        <v>0</v>
      </c>
      <c r="J80" s="2769">
        <v>0</v>
      </c>
      <c r="K80" s="2769">
        <v>947.49155886999984</v>
      </c>
      <c r="L80" s="2769">
        <v>2544.9689127250008</v>
      </c>
      <c r="M80" s="2769">
        <v>3157.0100317406614</v>
      </c>
      <c r="N80" s="2086"/>
    </row>
    <row r="81" spans="1:14">
      <c r="A81" s="2086"/>
      <c r="B81" s="2923" t="s">
        <v>166</v>
      </c>
      <c r="C81" s="2767">
        <v>15948.975146360001</v>
      </c>
      <c r="D81" s="2769">
        <v>2312.4442401410201</v>
      </c>
      <c r="E81" s="2769">
        <v>7160.657325449999</v>
      </c>
      <c r="F81" s="2769">
        <v>0</v>
      </c>
      <c r="G81" s="2769">
        <v>0</v>
      </c>
      <c r="H81" s="2769">
        <v>0</v>
      </c>
      <c r="I81" s="2769">
        <v>0</v>
      </c>
      <c r="J81" s="2769">
        <v>0</v>
      </c>
      <c r="K81" s="2769">
        <v>896.4037626999999</v>
      </c>
      <c r="L81" s="2769">
        <v>2927.0647304205008</v>
      </c>
      <c r="M81" s="2769">
        <v>2652.4050876484798</v>
      </c>
      <c r="N81" s="2086"/>
    </row>
    <row r="82" spans="1:14">
      <c r="A82" s="2086"/>
      <c r="B82" s="2923" t="s">
        <v>167</v>
      </c>
      <c r="C82" s="2767">
        <v>16835.42054558</v>
      </c>
      <c r="D82" s="2769">
        <v>2344.2100914009998</v>
      </c>
      <c r="E82" s="2769">
        <v>7989.0454841499995</v>
      </c>
      <c r="F82" s="2769">
        <v>0</v>
      </c>
      <c r="G82" s="2769">
        <v>0</v>
      </c>
      <c r="H82" s="2769">
        <v>0</v>
      </c>
      <c r="I82" s="2769">
        <v>0</v>
      </c>
      <c r="J82" s="2769">
        <v>0</v>
      </c>
      <c r="K82" s="2769">
        <v>895.47468329999992</v>
      </c>
      <c r="L82" s="2769">
        <v>2808.4305043150016</v>
      </c>
      <c r="M82" s="2769">
        <v>2798.2597824139993</v>
      </c>
      <c r="N82" s="2086"/>
    </row>
    <row r="83" spans="1:14">
      <c r="A83" s="2086"/>
      <c r="B83" s="2923" t="s">
        <v>168</v>
      </c>
      <c r="C83" s="2767">
        <v>16839.492871499999</v>
      </c>
      <c r="D83" s="2769">
        <v>2516.9514926209995</v>
      </c>
      <c r="E83" s="2769">
        <v>7880.3812467299995</v>
      </c>
      <c r="F83" s="2769">
        <v>0</v>
      </c>
      <c r="G83" s="2769">
        <v>0</v>
      </c>
      <c r="H83" s="2769">
        <v>0</v>
      </c>
      <c r="I83" s="2769">
        <v>0</v>
      </c>
      <c r="J83" s="2769">
        <v>0</v>
      </c>
      <c r="K83" s="2769">
        <v>889.53030029999991</v>
      </c>
      <c r="L83" s="2769">
        <v>2792.8891676150006</v>
      </c>
      <c r="M83" s="2769">
        <v>2759.7406642339993</v>
      </c>
      <c r="N83" s="2086"/>
    </row>
    <row r="84" spans="1:14">
      <c r="A84" s="2086"/>
      <c r="B84" s="3213" t="s">
        <v>169</v>
      </c>
      <c r="C84" s="3214">
        <v>16419.169956180001</v>
      </c>
      <c r="D84" s="3215">
        <v>2471.3399362209998</v>
      </c>
      <c r="E84" s="3215">
        <v>8006.586498319999</v>
      </c>
      <c r="F84" s="3215">
        <v>0</v>
      </c>
      <c r="G84" s="3215">
        <v>0</v>
      </c>
      <c r="H84" s="3215">
        <v>0</v>
      </c>
      <c r="I84" s="3215">
        <v>0</v>
      </c>
      <c r="J84" s="3215">
        <v>0</v>
      </c>
      <c r="K84" s="3215">
        <v>880.49831094000001</v>
      </c>
      <c r="L84" s="3215">
        <v>2842.3273661945013</v>
      </c>
      <c r="M84" s="3215">
        <v>2218.4178445045</v>
      </c>
      <c r="N84" s="2086"/>
    </row>
    <row r="85" spans="1:14">
      <c r="A85" s="2086"/>
      <c r="B85" s="3213" t="s">
        <v>170</v>
      </c>
      <c r="C85" s="3214">
        <v>16837.277512880002</v>
      </c>
      <c r="D85" s="3215">
        <v>2690.283824741</v>
      </c>
      <c r="E85" s="3215">
        <v>8011.1128961300001</v>
      </c>
      <c r="F85" s="3215">
        <v>0</v>
      </c>
      <c r="G85" s="3215">
        <v>0</v>
      </c>
      <c r="H85" s="3215">
        <v>0</v>
      </c>
      <c r="I85" s="3215">
        <v>0</v>
      </c>
      <c r="J85" s="3215">
        <v>0</v>
      </c>
      <c r="K85" s="3215">
        <v>880.49831094000001</v>
      </c>
      <c r="L85" s="3215">
        <v>2884.0948038950005</v>
      </c>
      <c r="M85" s="3215">
        <v>2371.2876771740011</v>
      </c>
      <c r="N85" s="2086"/>
    </row>
    <row r="86" spans="1:14">
      <c r="A86" s="2086"/>
      <c r="B86" s="4201" t="s">
        <v>171</v>
      </c>
      <c r="C86" s="4194">
        <v>16899.733999899996</v>
      </c>
      <c r="D86" s="4196">
        <v>2532.5142035610197</v>
      </c>
      <c r="E86" s="4196">
        <v>8277.0509242400003</v>
      </c>
      <c r="F86" s="4196">
        <v>0</v>
      </c>
      <c r="G86" s="4196">
        <v>0</v>
      </c>
      <c r="H86" s="4196">
        <v>0</v>
      </c>
      <c r="I86" s="4196">
        <v>0</v>
      </c>
      <c r="J86" s="4196">
        <v>0</v>
      </c>
      <c r="K86" s="4196">
        <v>879.79699976999996</v>
      </c>
      <c r="L86" s="4196">
        <v>2950.823893095001</v>
      </c>
      <c r="M86" s="4196">
        <v>2259.5479792339756</v>
      </c>
      <c r="N86" s="2086"/>
    </row>
    <row r="87" spans="1:14">
      <c r="A87" s="2086"/>
      <c r="B87" s="4201" t="s">
        <v>148</v>
      </c>
      <c r="C87" s="4194">
        <v>16834.729958849999</v>
      </c>
      <c r="D87" s="4196">
        <v>2591.3317627830106</v>
      </c>
      <c r="E87" s="4196">
        <v>8214.0690341500012</v>
      </c>
      <c r="F87" s="4196">
        <v>0</v>
      </c>
      <c r="G87" s="4196">
        <v>0</v>
      </c>
      <c r="H87" s="4196">
        <v>0</v>
      </c>
      <c r="I87" s="4196">
        <v>0</v>
      </c>
      <c r="J87" s="4196">
        <v>0</v>
      </c>
      <c r="K87" s="4196">
        <v>824.79699976999996</v>
      </c>
      <c r="L87" s="4196">
        <v>3378.2564503794993</v>
      </c>
      <c r="M87" s="4196">
        <v>1826.2757117674882</v>
      </c>
      <c r="N87" s="2086"/>
    </row>
    <row r="88" spans="1:14">
      <c r="A88" s="2086"/>
      <c r="B88" s="4328">
        <v>2016</v>
      </c>
      <c r="C88" s="4194"/>
      <c r="D88" s="4196"/>
      <c r="E88" s="4196"/>
      <c r="F88" s="4196"/>
      <c r="G88" s="4196"/>
      <c r="H88" s="4196"/>
      <c r="I88" s="4196"/>
      <c r="J88" s="4196"/>
      <c r="K88" s="4196"/>
      <c r="L88" s="4196"/>
      <c r="M88" s="4196"/>
      <c r="N88" s="2086"/>
    </row>
    <row r="89" spans="1:14">
      <c r="A89" s="2086"/>
      <c r="B89" s="4201" t="s">
        <v>161</v>
      </c>
      <c r="C89" s="4194">
        <v>17400.2627245</v>
      </c>
      <c r="D89" s="4196">
        <v>2428.6487070949897</v>
      </c>
      <c r="E89" s="4196">
        <v>8288.513206059999</v>
      </c>
      <c r="F89" s="4196">
        <v>0</v>
      </c>
      <c r="G89" s="4196">
        <v>0</v>
      </c>
      <c r="H89" s="4196">
        <v>0</v>
      </c>
      <c r="I89" s="4196">
        <v>0</v>
      </c>
      <c r="J89" s="4196">
        <v>0</v>
      </c>
      <c r="K89" s="4196">
        <v>817.92353739999999</v>
      </c>
      <c r="L89" s="4196">
        <v>3274.68788236</v>
      </c>
      <c r="M89" s="4196">
        <v>2590.4893915850116</v>
      </c>
      <c r="N89" s="2086"/>
    </row>
    <row r="90" spans="1:14">
      <c r="A90" s="2086"/>
      <c r="B90" s="4329" t="s">
        <v>162</v>
      </c>
      <c r="C90" s="4316">
        <v>16903.024105110006</v>
      </c>
      <c r="D90" s="4318">
        <v>2452.09864646701</v>
      </c>
      <c r="E90" s="4318">
        <v>8383.05251288</v>
      </c>
      <c r="F90" s="4318">
        <v>0</v>
      </c>
      <c r="G90" s="4318">
        <v>0</v>
      </c>
      <c r="H90" s="4318">
        <v>0</v>
      </c>
      <c r="I90" s="4318">
        <v>0</v>
      </c>
      <c r="J90" s="4318">
        <v>0</v>
      </c>
      <c r="K90" s="4318">
        <v>823.8679204</v>
      </c>
      <c r="L90" s="4318">
        <v>3305.3834144699999</v>
      </c>
      <c r="M90" s="4318">
        <v>1938.6216108929966</v>
      </c>
      <c r="N90" s="2086"/>
    </row>
    <row r="91" spans="1:14">
      <c r="A91" s="2086"/>
      <c r="B91" s="2277"/>
      <c r="C91" s="3522"/>
      <c r="D91" s="2277"/>
      <c r="E91" s="2277"/>
      <c r="F91" s="2277"/>
      <c r="G91" s="2277"/>
      <c r="H91" s="2277"/>
      <c r="I91" s="2277"/>
      <c r="J91" s="2277"/>
      <c r="K91" s="2277"/>
      <c r="L91" s="2277"/>
      <c r="M91" s="2277"/>
      <c r="N91" s="2086"/>
    </row>
    <row r="92" spans="1:14">
      <c r="A92" s="2086"/>
      <c r="B92" s="2277"/>
      <c r="C92" s="3522"/>
      <c r="D92" s="2277"/>
      <c r="E92" s="2277"/>
      <c r="F92" s="2277"/>
      <c r="G92" s="2277"/>
      <c r="H92" s="2277"/>
      <c r="I92" s="2277"/>
      <c r="J92" s="2277"/>
      <c r="K92" s="2277"/>
      <c r="L92" s="2277"/>
      <c r="M92" s="2277"/>
      <c r="N92" s="2086"/>
    </row>
  </sheetData>
  <mergeCells count="2">
    <mergeCell ref="G7:I7"/>
    <mergeCell ref="B1:M1"/>
  </mergeCells>
  <pageMargins left="0.7" right="0.4" top="0.75" bottom="0.75" header="0.49" footer="0.3"/>
  <pageSetup paperSize="9" scale="67" orientation="portrait" r:id="rId1"/>
</worksheet>
</file>

<file path=xl/worksheets/sheet39.xml><?xml version="1.0" encoding="utf-8"?>
<worksheet xmlns="http://schemas.openxmlformats.org/spreadsheetml/2006/main" xmlns:r="http://schemas.openxmlformats.org/officeDocument/2006/relationships">
  <sheetPr transitionEvaluation="1"/>
  <dimension ref="A1:Y236"/>
  <sheetViews>
    <sheetView defaultGridColor="0" colorId="22" zoomScale="70" zoomScaleNormal="70" zoomScaleSheetLayoutView="75" workbookViewId="0">
      <pane xSplit="2" ySplit="8" topLeftCell="C9" activePane="bottomRight" state="frozen"/>
      <selection activeCell="O92" sqref="O92"/>
      <selection pane="topRight" activeCell="O92" sqref="O92"/>
      <selection pane="bottomLeft" activeCell="O92" sqref="O92"/>
      <selection pane="bottomRight" activeCell="P218" sqref="P218"/>
    </sheetView>
  </sheetViews>
  <sheetFormatPr defaultColWidth="11.28515625" defaultRowHeight="16.5"/>
  <cols>
    <col min="1" max="1" width="11.28515625" style="4022"/>
    <col min="2" max="2" width="11.42578125" style="2112" customWidth="1"/>
    <col min="3" max="3" width="13.7109375" style="3503" customWidth="1"/>
    <col min="4" max="4" width="12.5703125" style="2112" customWidth="1"/>
    <col min="5" max="5" width="9.42578125" style="2112" customWidth="1"/>
    <col min="6" max="6" width="10.42578125" style="2112" customWidth="1"/>
    <col min="7" max="7" width="9.5703125" style="2112" customWidth="1"/>
    <col min="8" max="9" width="10.42578125" style="2112" customWidth="1"/>
    <col min="10" max="10" width="10.28515625" style="2112" customWidth="1"/>
    <col min="11" max="11" width="12" style="2112" customWidth="1"/>
    <col min="12" max="12" width="9.85546875" style="2112" customWidth="1"/>
    <col min="13" max="13" width="10.85546875" style="2112" customWidth="1"/>
    <col min="14" max="14" width="15" style="2105" customWidth="1"/>
    <col min="15" max="15" width="8.5703125" style="2105" customWidth="1"/>
    <col min="16" max="16" width="20.7109375" style="2105" customWidth="1"/>
    <col min="17" max="17" width="13.42578125" style="2105" customWidth="1"/>
    <col min="18" max="20" width="11" style="2105" customWidth="1"/>
    <col min="21" max="21" width="18" style="2105" customWidth="1"/>
    <col min="22" max="257" width="11.28515625" style="2105"/>
    <col min="258" max="258" width="9.85546875" style="2105" customWidth="1"/>
    <col min="259" max="259" width="11.85546875" style="2105" customWidth="1"/>
    <col min="260" max="260" width="12.5703125" style="2105" customWidth="1"/>
    <col min="261" max="261" width="9.42578125" style="2105" customWidth="1"/>
    <col min="262" max="262" width="10.42578125" style="2105" customWidth="1"/>
    <col min="263" max="263" width="9.5703125" style="2105" customWidth="1"/>
    <col min="264" max="265" width="10.42578125" style="2105" customWidth="1"/>
    <col min="266" max="266" width="10.28515625" style="2105" customWidth="1"/>
    <col min="267" max="267" width="11.140625" style="2105" customWidth="1"/>
    <col min="268" max="268" width="9.85546875" style="2105" customWidth="1"/>
    <col min="269" max="269" width="10.85546875" style="2105" customWidth="1"/>
    <col min="270" max="270" width="15" style="2105" customWidth="1"/>
    <col min="271" max="271" width="8.5703125" style="2105" customWidth="1"/>
    <col min="272" max="272" width="20.7109375" style="2105" customWidth="1"/>
    <col min="273" max="273" width="13.42578125" style="2105" customWidth="1"/>
    <col min="274" max="276" width="11" style="2105" customWidth="1"/>
    <col min="277" max="277" width="18" style="2105" customWidth="1"/>
    <col min="278" max="513" width="11.28515625" style="2105"/>
    <col min="514" max="514" width="9.85546875" style="2105" customWidth="1"/>
    <col min="515" max="515" width="11.85546875" style="2105" customWidth="1"/>
    <col min="516" max="516" width="12.5703125" style="2105" customWidth="1"/>
    <col min="517" max="517" width="9.42578125" style="2105" customWidth="1"/>
    <col min="518" max="518" width="10.42578125" style="2105" customWidth="1"/>
    <col min="519" max="519" width="9.5703125" style="2105" customWidth="1"/>
    <col min="520" max="521" width="10.42578125" style="2105" customWidth="1"/>
    <col min="522" max="522" width="10.28515625" style="2105" customWidth="1"/>
    <col min="523" max="523" width="11.140625" style="2105" customWidth="1"/>
    <col min="524" max="524" width="9.85546875" style="2105" customWidth="1"/>
    <col min="525" max="525" width="10.85546875" style="2105" customWidth="1"/>
    <col min="526" max="526" width="15" style="2105" customWidth="1"/>
    <col min="527" max="527" width="8.5703125" style="2105" customWidth="1"/>
    <col min="528" max="528" width="20.7109375" style="2105" customWidth="1"/>
    <col min="529" max="529" width="13.42578125" style="2105" customWidth="1"/>
    <col min="530" max="532" width="11" style="2105" customWidth="1"/>
    <col min="533" max="533" width="18" style="2105" customWidth="1"/>
    <col min="534" max="769" width="11.28515625" style="2105"/>
    <col min="770" max="770" width="9.85546875" style="2105" customWidth="1"/>
    <col min="771" max="771" width="11.85546875" style="2105" customWidth="1"/>
    <col min="772" max="772" width="12.5703125" style="2105" customWidth="1"/>
    <col min="773" max="773" width="9.42578125" style="2105" customWidth="1"/>
    <col min="774" max="774" width="10.42578125" style="2105" customWidth="1"/>
    <col min="775" max="775" width="9.5703125" style="2105" customWidth="1"/>
    <col min="776" max="777" width="10.42578125" style="2105" customWidth="1"/>
    <col min="778" max="778" width="10.28515625" style="2105" customWidth="1"/>
    <col min="779" max="779" width="11.140625" style="2105" customWidth="1"/>
    <col min="780" max="780" width="9.85546875" style="2105" customWidth="1"/>
    <col min="781" max="781" width="10.85546875" style="2105" customWidth="1"/>
    <col min="782" max="782" width="15" style="2105" customWidth="1"/>
    <col min="783" max="783" width="8.5703125" style="2105" customWidth="1"/>
    <col min="784" max="784" width="20.7109375" style="2105" customWidth="1"/>
    <col min="785" max="785" width="13.42578125" style="2105" customWidth="1"/>
    <col min="786" max="788" width="11" style="2105" customWidth="1"/>
    <col min="789" max="789" width="18" style="2105" customWidth="1"/>
    <col min="790" max="1025" width="11.28515625" style="2105"/>
    <col min="1026" max="1026" width="9.85546875" style="2105" customWidth="1"/>
    <col min="1027" max="1027" width="11.85546875" style="2105" customWidth="1"/>
    <col min="1028" max="1028" width="12.5703125" style="2105" customWidth="1"/>
    <col min="1029" max="1029" width="9.42578125" style="2105" customWidth="1"/>
    <col min="1030" max="1030" width="10.42578125" style="2105" customWidth="1"/>
    <col min="1031" max="1031" width="9.5703125" style="2105" customWidth="1"/>
    <col min="1032" max="1033" width="10.42578125" style="2105" customWidth="1"/>
    <col min="1034" max="1034" width="10.28515625" style="2105" customWidth="1"/>
    <col min="1035" max="1035" width="11.140625" style="2105" customWidth="1"/>
    <col min="1036" max="1036" width="9.85546875" style="2105" customWidth="1"/>
    <col min="1037" max="1037" width="10.85546875" style="2105" customWidth="1"/>
    <col min="1038" max="1038" width="15" style="2105" customWidth="1"/>
    <col min="1039" max="1039" width="8.5703125" style="2105" customWidth="1"/>
    <col min="1040" max="1040" width="20.7109375" style="2105" customWidth="1"/>
    <col min="1041" max="1041" width="13.42578125" style="2105" customWidth="1"/>
    <col min="1042" max="1044" width="11" style="2105" customWidth="1"/>
    <col min="1045" max="1045" width="18" style="2105" customWidth="1"/>
    <col min="1046" max="1281" width="11.28515625" style="2105"/>
    <col min="1282" max="1282" width="9.85546875" style="2105" customWidth="1"/>
    <col min="1283" max="1283" width="11.85546875" style="2105" customWidth="1"/>
    <col min="1284" max="1284" width="12.5703125" style="2105" customWidth="1"/>
    <col min="1285" max="1285" width="9.42578125" style="2105" customWidth="1"/>
    <col min="1286" max="1286" width="10.42578125" style="2105" customWidth="1"/>
    <col min="1287" max="1287" width="9.5703125" style="2105" customWidth="1"/>
    <col min="1288" max="1289" width="10.42578125" style="2105" customWidth="1"/>
    <col min="1290" max="1290" width="10.28515625" style="2105" customWidth="1"/>
    <col min="1291" max="1291" width="11.140625" style="2105" customWidth="1"/>
    <col min="1292" max="1292" width="9.85546875" style="2105" customWidth="1"/>
    <col min="1293" max="1293" width="10.85546875" style="2105" customWidth="1"/>
    <col min="1294" max="1294" width="15" style="2105" customWidth="1"/>
    <col min="1295" max="1295" width="8.5703125" style="2105" customWidth="1"/>
    <col min="1296" max="1296" width="20.7109375" style="2105" customWidth="1"/>
    <col min="1297" max="1297" width="13.42578125" style="2105" customWidth="1"/>
    <col min="1298" max="1300" width="11" style="2105" customWidth="1"/>
    <col min="1301" max="1301" width="18" style="2105" customWidth="1"/>
    <col min="1302" max="1537" width="11.28515625" style="2105"/>
    <col min="1538" max="1538" width="9.85546875" style="2105" customWidth="1"/>
    <col min="1539" max="1539" width="11.85546875" style="2105" customWidth="1"/>
    <col min="1540" max="1540" width="12.5703125" style="2105" customWidth="1"/>
    <col min="1541" max="1541" width="9.42578125" style="2105" customWidth="1"/>
    <col min="1542" max="1542" width="10.42578125" style="2105" customWidth="1"/>
    <col min="1543" max="1543" width="9.5703125" style="2105" customWidth="1"/>
    <col min="1544" max="1545" width="10.42578125" style="2105" customWidth="1"/>
    <col min="1546" max="1546" width="10.28515625" style="2105" customWidth="1"/>
    <col min="1547" max="1547" width="11.140625" style="2105" customWidth="1"/>
    <col min="1548" max="1548" width="9.85546875" style="2105" customWidth="1"/>
    <col min="1549" max="1549" width="10.85546875" style="2105" customWidth="1"/>
    <col min="1550" max="1550" width="15" style="2105" customWidth="1"/>
    <col min="1551" max="1551" width="8.5703125" style="2105" customWidth="1"/>
    <col min="1552" max="1552" width="20.7109375" style="2105" customWidth="1"/>
    <col min="1553" max="1553" width="13.42578125" style="2105" customWidth="1"/>
    <col min="1554" max="1556" width="11" style="2105" customWidth="1"/>
    <col min="1557" max="1557" width="18" style="2105" customWidth="1"/>
    <col min="1558" max="1793" width="11.28515625" style="2105"/>
    <col min="1794" max="1794" width="9.85546875" style="2105" customWidth="1"/>
    <col min="1795" max="1795" width="11.85546875" style="2105" customWidth="1"/>
    <col min="1796" max="1796" width="12.5703125" style="2105" customWidth="1"/>
    <col min="1797" max="1797" width="9.42578125" style="2105" customWidth="1"/>
    <col min="1798" max="1798" width="10.42578125" style="2105" customWidth="1"/>
    <col min="1799" max="1799" width="9.5703125" style="2105" customWidth="1"/>
    <col min="1800" max="1801" width="10.42578125" style="2105" customWidth="1"/>
    <col min="1802" max="1802" width="10.28515625" style="2105" customWidth="1"/>
    <col min="1803" max="1803" width="11.140625" style="2105" customWidth="1"/>
    <col min="1804" max="1804" width="9.85546875" style="2105" customWidth="1"/>
    <col min="1805" max="1805" width="10.85546875" style="2105" customWidth="1"/>
    <col min="1806" max="1806" width="15" style="2105" customWidth="1"/>
    <col min="1807" max="1807" width="8.5703125" style="2105" customWidth="1"/>
    <col min="1808" max="1808" width="20.7109375" style="2105" customWidth="1"/>
    <col min="1809" max="1809" width="13.42578125" style="2105" customWidth="1"/>
    <col min="1810" max="1812" width="11" style="2105" customWidth="1"/>
    <col min="1813" max="1813" width="18" style="2105" customWidth="1"/>
    <col min="1814" max="2049" width="11.28515625" style="2105"/>
    <col min="2050" max="2050" width="9.85546875" style="2105" customWidth="1"/>
    <col min="2051" max="2051" width="11.85546875" style="2105" customWidth="1"/>
    <col min="2052" max="2052" width="12.5703125" style="2105" customWidth="1"/>
    <col min="2053" max="2053" width="9.42578125" style="2105" customWidth="1"/>
    <col min="2054" max="2054" width="10.42578125" style="2105" customWidth="1"/>
    <col min="2055" max="2055" width="9.5703125" style="2105" customWidth="1"/>
    <col min="2056" max="2057" width="10.42578125" style="2105" customWidth="1"/>
    <col min="2058" max="2058" width="10.28515625" style="2105" customWidth="1"/>
    <col min="2059" max="2059" width="11.140625" style="2105" customWidth="1"/>
    <col min="2060" max="2060" width="9.85546875" style="2105" customWidth="1"/>
    <col min="2061" max="2061" width="10.85546875" style="2105" customWidth="1"/>
    <col min="2062" max="2062" width="15" style="2105" customWidth="1"/>
    <col min="2063" max="2063" width="8.5703125" style="2105" customWidth="1"/>
    <col min="2064" max="2064" width="20.7109375" style="2105" customWidth="1"/>
    <col min="2065" max="2065" width="13.42578125" style="2105" customWidth="1"/>
    <col min="2066" max="2068" width="11" style="2105" customWidth="1"/>
    <col min="2069" max="2069" width="18" style="2105" customWidth="1"/>
    <col min="2070" max="2305" width="11.28515625" style="2105"/>
    <col min="2306" max="2306" width="9.85546875" style="2105" customWidth="1"/>
    <col min="2307" max="2307" width="11.85546875" style="2105" customWidth="1"/>
    <col min="2308" max="2308" width="12.5703125" style="2105" customWidth="1"/>
    <col min="2309" max="2309" width="9.42578125" style="2105" customWidth="1"/>
    <col min="2310" max="2310" width="10.42578125" style="2105" customWidth="1"/>
    <col min="2311" max="2311" width="9.5703125" style="2105" customWidth="1"/>
    <col min="2312" max="2313" width="10.42578125" style="2105" customWidth="1"/>
    <col min="2314" max="2314" width="10.28515625" style="2105" customWidth="1"/>
    <col min="2315" max="2315" width="11.140625" style="2105" customWidth="1"/>
    <col min="2316" max="2316" width="9.85546875" style="2105" customWidth="1"/>
    <col min="2317" max="2317" width="10.85546875" style="2105" customWidth="1"/>
    <col min="2318" max="2318" width="15" style="2105" customWidth="1"/>
    <col min="2319" max="2319" width="8.5703125" style="2105" customWidth="1"/>
    <col min="2320" max="2320" width="20.7109375" style="2105" customWidth="1"/>
    <col min="2321" max="2321" width="13.42578125" style="2105" customWidth="1"/>
    <col min="2322" max="2324" width="11" style="2105" customWidth="1"/>
    <col min="2325" max="2325" width="18" style="2105" customWidth="1"/>
    <col min="2326" max="2561" width="11.28515625" style="2105"/>
    <col min="2562" max="2562" width="9.85546875" style="2105" customWidth="1"/>
    <col min="2563" max="2563" width="11.85546875" style="2105" customWidth="1"/>
    <col min="2564" max="2564" width="12.5703125" style="2105" customWidth="1"/>
    <col min="2565" max="2565" width="9.42578125" style="2105" customWidth="1"/>
    <col min="2566" max="2566" width="10.42578125" style="2105" customWidth="1"/>
    <col min="2567" max="2567" width="9.5703125" style="2105" customWidth="1"/>
    <col min="2568" max="2569" width="10.42578125" style="2105" customWidth="1"/>
    <col min="2570" max="2570" width="10.28515625" style="2105" customWidth="1"/>
    <col min="2571" max="2571" width="11.140625" style="2105" customWidth="1"/>
    <col min="2572" max="2572" width="9.85546875" style="2105" customWidth="1"/>
    <col min="2573" max="2573" width="10.85546875" style="2105" customWidth="1"/>
    <col min="2574" max="2574" width="15" style="2105" customWidth="1"/>
    <col min="2575" max="2575" width="8.5703125" style="2105" customWidth="1"/>
    <col min="2576" max="2576" width="20.7109375" style="2105" customWidth="1"/>
    <col min="2577" max="2577" width="13.42578125" style="2105" customWidth="1"/>
    <col min="2578" max="2580" width="11" style="2105" customWidth="1"/>
    <col min="2581" max="2581" width="18" style="2105" customWidth="1"/>
    <col min="2582" max="2817" width="11.28515625" style="2105"/>
    <col min="2818" max="2818" width="9.85546875" style="2105" customWidth="1"/>
    <col min="2819" max="2819" width="11.85546875" style="2105" customWidth="1"/>
    <col min="2820" max="2820" width="12.5703125" style="2105" customWidth="1"/>
    <col min="2821" max="2821" width="9.42578125" style="2105" customWidth="1"/>
    <col min="2822" max="2822" width="10.42578125" style="2105" customWidth="1"/>
    <col min="2823" max="2823" width="9.5703125" style="2105" customWidth="1"/>
    <col min="2824" max="2825" width="10.42578125" style="2105" customWidth="1"/>
    <col min="2826" max="2826" width="10.28515625" style="2105" customWidth="1"/>
    <col min="2827" max="2827" width="11.140625" style="2105" customWidth="1"/>
    <col min="2828" max="2828" width="9.85546875" style="2105" customWidth="1"/>
    <col min="2829" max="2829" width="10.85546875" style="2105" customWidth="1"/>
    <col min="2830" max="2830" width="15" style="2105" customWidth="1"/>
    <col min="2831" max="2831" width="8.5703125" style="2105" customWidth="1"/>
    <col min="2832" max="2832" width="20.7109375" style="2105" customWidth="1"/>
    <col min="2833" max="2833" width="13.42578125" style="2105" customWidth="1"/>
    <col min="2834" max="2836" width="11" style="2105" customWidth="1"/>
    <col min="2837" max="2837" width="18" style="2105" customWidth="1"/>
    <col min="2838" max="3073" width="11.28515625" style="2105"/>
    <col min="3074" max="3074" width="9.85546875" style="2105" customWidth="1"/>
    <col min="3075" max="3075" width="11.85546875" style="2105" customWidth="1"/>
    <col min="3076" max="3076" width="12.5703125" style="2105" customWidth="1"/>
    <col min="3077" max="3077" width="9.42578125" style="2105" customWidth="1"/>
    <col min="3078" max="3078" width="10.42578125" style="2105" customWidth="1"/>
    <col min="3079" max="3079" width="9.5703125" style="2105" customWidth="1"/>
    <col min="3080" max="3081" width="10.42578125" style="2105" customWidth="1"/>
    <col min="3082" max="3082" width="10.28515625" style="2105" customWidth="1"/>
    <col min="3083" max="3083" width="11.140625" style="2105" customWidth="1"/>
    <col min="3084" max="3084" width="9.85546875" style="2105" customWidth="1"/>
    <col min="3085" max="3085" width="10.85546875" style="2105" customWidth="1"/>
    <col min="3086" max="3086" width="15" style="2105" customWidth="1"/>
    <col min="3087" max="3087" width="8.5703125" style="2105" customWidth="1"/>
    <col min="3088" max="3088" width="20.7109375" style="2105" customWidth="1"/>
    <col min="3089" max="3089" width="13.42578125" style="2105" customWidth="1"/>
    <col min="3090" max="3092" width="11" style="2105" customWidth="1"/>
    <col min="3093" max="3093" width="18" style="2105" customWidth="1"/>
    <col min="3094" max="3329" width="11.28515625" style="2105"/>
    <col min="3330" max="3330" width="9.85546875" style="2105" customWidth="1"/>
    <col min="3331" max="3331" width="11.85546875" style="2105" customWidth="1"/>
    <col min="3332" max="3332" width="12.5703125" style="2105" customWidth="1"/>
    <col min="3333" max="3333" width="9.42578125" style="2105" customWidth="1"/>
    <col min="3334" max="3334" width="10.42578125" style="2105" customWidth="1"/>
    <col min="3335" max="3335" width="9.5703125" style="2105" customWidth="1"/>
    <col min="3336" max="3337" width="10.42578125" style="2105" customWidth="1"/>
    <col min="3338" max="3338" width="10.28515625" style="2105" customWidth="1"/>
    <col min="3339" max="3339" width="11.140625" style="2105" customWidth="1"/>
    <col min="3340" max="3340" width="9.85546875" style="2105" customWidth="1"/>
    <col min="3341" max="3341" width="10.85546875" style="2105" customWidth="1"/>
    <col min="3342" max="3342" width="15" style="2105" customWidth="1"/>
    <col min="3343" max="3343" width="8.5703125" style="2105" customWidth="1"/>
    <col min="3344" max="3344" width="20.7109375" style="2105" customWidth="1"/>
    <col min="3345" max="3345" width="13.42578125" style="2105" customWidth="1"/>
    <col min="3346" max="3348" width="11" style="2105" customWidth="1"/>
    <col min="3349" max="3349" width="18" style="2105" customWidth="1"/>
    <col min="3350" max="3585" width="11.28515625" style="2105"/>
    <col min="3586" max="3586" width="9.85546875" style="2105" customWidth="1"/>
    <col min="3587" max="3587" width="11.85546875" style="2105" customWidth="1"/>
    <col min="3588" max="3588" width="12.5703125" style="2105" customWidth="1"/>
    <col min="3589" max="3589" width="9.42578125" style="2105" customWidth="1"/>
    <col min="3590" max="3590" width="10.42578125" style="2105" customWidth="1"/>
    <col min="3591" max="3591" width="9.5703125" style="2105" customWidth="1"/>
    <col min="3592" max="3593" width="10.42578125" style="2105" customWidth="1"/>
    <col min="3594" max="3594" width="10.28515625" style="2105" customWidth="1"/>
    <col min="3595" max="3595" width="11.140625" style="2105" customWidth="1"/>
    <col min="3596" max="3596" width="9.85546875" style="2105" customWidth="1"/>
    <col min="3597" max="3597" width="10.85546875" style="2105" customWidth="1"/>
    <col min="3598" max="3598" width="15" style="2105" customWidth="1"/>
    <col min="3599" max="3599" width="8.5703125" style="2105" customWidth="1"/>
    <col min="3600" max="3600" width="20.7109375" style="2105" customWidth="1"/>
    <col min="3601" max="3601" width="13.42578125" style="2105" customWidth="1"/>
    <col min="3602" max="3604" width="11" style="2105" customWidth="1"/>
    <col min="3605" max="3605" width="18" style="2105" customWidth="1"/>
    <col min="3606" max="3841" width="11.28515625" style="2105"/>
    <col min="3842" max="3842" width="9.85546875" style="2105" customWidth="1"/>
    <col min="3843" max="3843" width="11.85546875" style="2105" customWidth="1"/>
    <col min="3844" max="3844" width="12.5703125" style="2105" customWidth="1"/>
    <col min="3845" max="3845" width="9.42578125" style="2105" customWidth="1"/>
    <col min="3846" max="3846" width="10.42578125" style="2105" customWidth="1"/>
    <col min="3847" max="3847" width="9.5703125" style="2105" customWidth="1"/>
    <col min="3848" max="3849" width="10.42578125" style="2105" customWidth="1"/>
    <col min="3850" max="3850" width="10.28515625" style="2105" customWidth="1"/>
    <col min="3851" max="3851" width="11.140625" style="2105" customWidth="1"/>
    <col min="3852" max="3852" width="9.85546875" style="2105" customWidth="1"/>
    <col min="3853" max="3853" width="10.85546875" style="2105" customWidth="1"/>
    <col min="3854" max="3854" width="15" style="2105" customWidth="1"/>
    <col min="3855" max="3855" width="8.5703125" style="2105" customWidth="1"/>
    <col min="3856" max="3856" width="20.7109375" style="2105" customWidth="1"/>
    <col min="3857" max="3857" width="13.42578125" style="2105" customWidth="1"/>
    <col min="3858" max="3860" width="11" style="2105" customWidth="1"/>
    <col min="3861" max="3861" width="18" style="2105" customWidth="1"/>
    <col min="3862" max="4097" width="11.28515625" style="2105"/>
    <col min="4098" max="4098" width="9.85546875" style="2105" customWidth="1"/>
    <col min="4099" max="4099" width="11.85546875" style="2105" customWidth="1"/>
    <col min="4100" max="4100" width="12.5703125" style="2105" customWidth="1"/>
    <col min="4101" max="4101" width="9.42578125" style="2105" customWidth="1"/>
    <col min="4102" max="4102" width="10.42578125" style="2105" customWidth="1"/>
    <col min="4103" max="4103" width="9.5703125" style="2105" customWidth="1"/>
    <col min="4104" max="4105" width="10.42578125" style="2105" customWidth="1"/>
    <col min="4106" max="4106" width="10.28515625" style="2105" customWidth="1"/>
    <col min="4107" max="4107" width="11.140625" style="2105" customWidth="1"/>
    <col min="4108" max="4108" width="9.85546875" style="2105" customWidth="1"/>
    <col min="4109" max="4109" width="10.85546875" style="2105" customWidth="1"/>
    <col min="4110" max="4110" width="15" style="2105" customWidth="1"/>
    <col min="4111" max="4111" width="8.5703125" style="2105" customWidth="1"/>
    <col min="4112" max="4112" width="20.7109375" style="2105" customWidth="1"/>
    <col min="4113" max="4113" width="13.42578125" style="2105" customWidth="1"/>
    <col min="4114" max="4116" width="11" style="2105" customWidth="1"/>
    <col min="4117" max="4117" width="18" style="2105" customWidth="1"/>
    <col min="4118" max="4353" width="11.28515625" style="2105"/>
    <col min="4354" max="4354" width="9.85546875" style="2105" customWidth="1"/>
    <col min="4355" max="4355" width="11.85546875" style="2105" customWidth="1"/>
    <col min="4356" max="4356" width="12.5703125" style="2105" customWidth="1"/>
    <col min="4357" max="4357" width="9.42578125" style="2105" customWidth="1"/>
    <col min="4358" max="4358" width="10.42578125" style="2105" customWidth="1"/>
    <col min="4359" max="4359" width="9.5703125" style="2105" customWidth="1"/>
    <col min="4360" max="4361" width="10.42578125" style="2105" customWidth="1"/>
    <col min="4362" max="4362" width="10.28515625" style="2105" customWidth="1"/>
    <col min="4363" max="4363" width="11.140625" style="2105" customWidth="1"/>
    <col min="4364" max="4364" width="9.85546875" style="2105" customWidth="1"/>
    <col min="4365" max="4365" width="10.85546875" style="2105" customWidth="1"/>
    <col min="4366" max="4366" width="15" style="2105" customWidth="1"/>
    <col min="4367" max="4367" width="8.5703125" style="2105" customWidth="1"/>
    <col min="4368" max="4368" width="20.7109375" style="2105" customWidth="1"/>
    <col min="4369" max="4369" width="13.42578125" style="2105" customWidth="1"/>
    <col min="4370" max="4372" width="11" style="2105" customWidth="1"/>
    <col min="4373" max="4373" width="18" style="2105" customWidth="1"/>
    <col min="4374" max="4609" width="11.28515625" style="2105"/>
    <col min="4610" max="4610" width="9.85546875" style="2105" customWidth="1"/>
    <col min="4611" max="4611" width="11.85546875" style="2105" customWidth="1"/>
    <col min="4612" max="4612" width="12.5703125" style="2105" customWidth="1"/>
    <col min="4613" max="4613" width="9.42578125" style="2105" customWidth="1"/>
    <col min="4614" max="4614" width="10.42578125" style="2105" customWidth="1"/>
    <col min="4615" max="4615" width="9.5703125" style="2105" customWidth="1"/>
    <col min="4616" max="4617" width="10.42578125" style="2105" customWidth="1"/>
    <col min="4618" max="4618" width="10.28515625" style="2105" customWidth="1"/>
    <col min="4619" max="4619" width="11.140625" style="2105" customWidth="1"/>
    <col min="4620" max="4620" width="9.85546875" style="2105" customWidth="1"/>
    <col min="4621" max="4621" width="10.85546875" style="2105" customWidth="1"/>
    <col min="4622" max="4622" width="15" style="2105" customWidth="1"/>
    <col min="4623" max="4623" width="8.5703125" style="2105" customWidth="1"/>
    <col min="4624" max="4624" width="20.7109375" style="2105" customWidth="1"/>
    <col min="4625" max="4625" width="13.42578125" style="2105" customWidth="1"/>
    <col min="4626" max="4628" width="11" style="2105" customWidth="1"/>
    <col min="4629" max="4629" width="18" style="2105" customWidth="1"/>
    <col min="4630" max="4865" width="11.28515625" style="2105"/>
    <col min="4866" max="4866" width="9.85546875" style="2105" customWidth="1"/>
    <col min="4867" max="4867" width="11.85546875" style="2105" customWidth="1"/>
    <col min="4868" max="4868" width="12.5703125" style="2105" customWidth="1"/>
    <col min="4869" max="4869" width="9.42578125" style="2105" customWidth="1"/>
    <col min="4870" max="4870" width="10.42578125" style="2105" customWidth="1"/>
    <col min="4871" max="4871" width="9.5703125" style="2105" customWidth="1"/>
    <col min="4872" max="4873" width="10.42578125" style="2105" customWidth="1"/>
    <col min="4874" max="4874" width="10.28515625" style="2105" customWidth="1"/>
    <col min="4875" max="4875" width="11.140625" style="2105" customWidth="1"/>
    <col min="4876" max="4876" width="9.85546875" style="2105" customWidth="1"/>
    <col min="4877" max="4877" width="10.85546875" style="2105" customWidth="1"/>
    <col min="4878" max="4878" width="15" style="2105" customWidth="1"/>
    <col min="4879" max="4879" width="8.5703125" style="2105" customWidth="1"/>
    <col min="4880" max="4880" width="20.7109375" style="2105" customWidth="1"/>
    <col min="4881" max="4881" width="13.42578125" style="2105" customWidth="1"/>
    <col min="4882" max="4884" width="11" style="2105" customWidth="1"/>
    <col min="4885" max="4885" width="18" style="2105" customWidth="1"/>
    <col min="4886" max="5121" width="11.28515625" style="2105"/>
    <col min="5122" max="5122" width="9.85546875" style="2105" customWidth="1"/>
    <col min="5123" max="5123" width="11.85546875" style="2105" customWidth="1"/>
    <col min="5124" max="5124" width="12.5703125" style="2105" customWidth="1"/>
    <col min="5125" max="5125" width="9.42578125" style="2105" customWidth="1"/>
    <col min="5126" max="5126" width="10.42578125" style="2105" customWidth="1"/>
    <col min="5127" max="5127" width="9.5703125" style="2105" customWidth="1"/>
    <col min="5128" max="5129" width="10.42578125" style="2105" customWidth="1"/>
    <col min="5130" max="5130" width="10.28515625" style="2105" customWidth="1"/>
    <col min="5131" max="5131" width="11.140625" style="2105" customWidth="1"/>
    <col min="5132" max="5132" width="9.85546875" style="2105" customWidth="1"/>
    <col min="5133" max="5133" width="10.85546875" style="2105" customWidth="1"/>
    <col min="5134" max="5134" width="15" style="2105" customWidth="1"/>
    <col min="5135" max="5135" width="8.5703125" style="2105" customWidth="1"/>
    <col min="5136" max="5136" width="20.7109375" style="2105" customWidth="1"/>
    <col min="5137" max="5137" width="13.42578125" style="2105" customWidth="1"/>
    <col min="5138" max="5140" width="11" style="2105" customWidth="1"/>
    <col min="5141" max="5141" width="18" style="2105" customWidth="1"/>
    <col min="5142" max="5377" width="11.28515625" style="2105"/>
    <col min="5378" max="5378" width="9.85546875" style="2105" customWidth="1"/>
    <col min="5379" max="5379" width="11.85546875" style="2105" customWidth="1"/>
    <col min="5380" max="5380" width="12.5703125" style="2105" customWidth="1"/>
    <col min="5381" max="5381" width="9.42578125" style="2105" customWidth="1"/>
    <col min="5382" max="5382" width="10.42578125" style="2105" customWidth="1"/>
    <col min="5383" max="5383" width="9.5703125" style="2105" customWidth="1"/>
    <col min="5384" max="5385" width="10.42578125" style="2105" customWidth="1"/>
    <col min="5386" max="5386" width="10.28515625" style="2105" customWidth="1"/>
    <col min="5387" max="5387" width="11.140625" style="2105" customWidth="1"/>
    <col min="5388" max="5388" width="9.85546875" style="2105" customWidth="1"/>
    <col min="5389" max="5389" width="10.85546875" style="2105" customWidth="1"/>
    <col min="5390" max="5390" width="15" style="2105" customWidth="1"/>
    <col min="5391" max="5391" width="8.5703125" style="2105" customWidth="1"/>
    <col min="5392" max="5392" width="20.7109375" style="2105" customWidth="1"/>
    <col min="5393" max="5393" width="13.42578125" style="2105" customWidth="1"/>
    <col min="5394" max="5396" width="11" style="2105" customWidth="1"/>
    <col min="5397" max="5397" width="18" style="2105" customWidth="1"/>
    <col min="5398" max="5633" width="11.28515625" style="2105"/>
    <col min="5634" max="5634" width="9.85546875" style="2105" customWidth="1"/>
    <col min="5635" max="5635" width="11.85546875" style="2105" customWidth="1"/>
    <col min="5636" max="5636" width="12.5703125" style="2105" customWidth="1"/>
    <col min="5637" max="5637" width="9.42578125" style="2105" customWidth="1"/>
    <col min="5638" max="5638" width="10.42578125" style="2105" customWidth="1"/>
    <col min="5639" max="5639" width="9.5703125" style="2105" customWidth="1"/>
    <col min="5640" max="5641" width="10.42578125" style="2105" customWidth="1"/>
    <col min="5642" max="5642" width="10.28515625" style="2105" customWidth="1"/>
    <col min="5643" max="5643" width="11.140625" style="2105" customWidth="1"/>
    <col min="5644" max="5644" width="9.85546875" style="2105" customWidth="1"/>
    <col min="5645" max="5645" width="10.85546875" style="2105" customWidth="1"/>
    <col min="5646" max="5646" width="15" style="2105" customWidth="1"/>
    <col min="5647" max="5647" width="8.5703125" style="2105" customWidth="1"/>
    <col min="5648" max="5648" width="20.7109375" style="2105" customWidth="1"/>
    <col min="5649" max="5649" width="13.42578125" style="2105" customWidth="1"/>
    <col min="5650" max="5652" width="11" style="2105" customWidth="1"/>
    <col min="5653" max="5653" width="18" style="2105" customWidth="1"/>
    <col min="5654" max="5889" width="11.28515625" style="2105"/>
    <col min="5890" max="5890" width="9.85546875" style="2105" customWidth="1"/>
    <col min="5891" max="5891" width="11.85546875" style="2105" customWidth="1"/>
    <col min="5892" max="5892" width="12.5703125" style="2105" customWidth="1"/>
    <col min="5893" max="5893" width="9.42578125" style="2105" customWidth="1"/>
    <col min="5894" max="5894" width="10.42578125" style="2105" customWidth="1"/>
    <col min="5895" max="5895" width="9.5703125" style="2105" customWidth="1"/>
    <col min="5896" max="5897" width="10.42578125" style="2105" customWidth="1"/>
    <col min="5898" max="5898" width="10.28515625" style="2105" customWidth="1"/>
    <col min="5899" max="5899" width="11.140625" style="2105" customWidth="1"/>
    <col min="5900" max="5900" width="9.85546875" style="2105" customWidth="1"/>
    <col min="5901" max="5901" width="10.85546875" style="2105" customWidth="1"/>
    <col min="5902" max="5902" width="15" style="2105" customWidth="1"/>
    <col min="5903" max="5903" width="8.5703125" style="2105" customWidth="1"/>
    <col min="5904" max="5904" width="20.7109375" style="2105" customWidth="1"/>
    <col min="5905" max="5905" width="13.42578125" style="2105" customWidth="1"/>
    <col min="5906" max="5908" width="11" style="2105" customWidth="1"/>
    <col min="5909" max="5909" width="18" style="2105" customWidth="1"/>
    <col min="5910" max="6145" width="11.28515625" style="2105"/>
    <col min="6146" max="6146" width="9.85546875" style="2105" customWidth="1"/>
    <col min="6147" max="6147" width="11.85546875" style="2105" customWidth="1"/>
    <col min="6148" max="6148" width="12.5703125" style="2105" customWidth="1"/>
    <col min="6149" max="6149" width="9.42578125" style="2105" customWidth="1"/>
    <col min="6150" max="6150" width="10.42578125" style="2105" customWidth="1"/>
    <col min="6151" max="6151" width="9.5703125" style="2105" customWidth="1"/>
    <col min="6152" max="6153" width="10.42578125" style="2105" customWidth="1"/>
    <col min="6154" max="6154" width="10.28515625" style="2105" customWidth="1"/>
    <col min="6155" max="6155" width="11.140625" style="2105" customWidth="1"/>
    <col min="6156" max="6156" width="9.85546875" style="2105" customWidth="1"/>
    <col min="6157" max="6157" width="10.85546875" style="2105" customWidth="1"/>
    <col min="6158" max="6158" width="15" style="2105" customWidth="1"/>
    <col min="6159" max="6159" width="8.5703125" style="2105" customWidth="1"/>
    <col min="6160" max="6160" width="20.7109375" style="2105" customWidth="1"/>
    <col min="6161" max="6161" width="13.42578125" style="2105" customWidth="1"/>
    <col min="6162" max="6164" width="11" style="2105" customWidth="1"/>
    <col min="6165" max="6165" width="18" style="2105" customWidth="1"/>
    <col min="6166" max="6401" width="11.28515625" style="2105"/>
    <col min="6402" max="6402" width="9.85546875" style="2105" customWidth="1"/>
    <col min="6403" max="6403" width="11.85546875" style="2105" customWidth="1"/>
    <col min="6404" max="6404" width="12.5703125" style="2105" customWidth="1"/>
    <col min="6405" max="6405" width="9.42578125" style="2105" customWidth="1"/>
    <col min="6406" max="6406" width="10.42578125" style="2105" customWidth="1"/>
    <col min="6407" max="6407" width="9.5703125" style="2105" customWidth="1"/>
    <col min="6408" max="6409" width="10.42578125" style="2105" customWidth="1"/>
    <col min="6410" max="6410" width="10.28515625" style="2105" customWidth="1"/>
    <col min="6411" max="6411" width="11.140625" style="2105" customWidth="1"/>
    <col min="6412" max="6412" width="9.85546875" style="2105" customWidth="1"/>
    <col min="6413" max="6413" width="10.85546875" style="2105" customWidth="1"/>
    <col min="6414" max="6414" width="15" style="2105" customWidth="1"/>
    <col min="6415" max="6415" width="8.5703125" style="2105" customWidth="1"/>
    <col min="6416" max="6416" width="20.7109375" style="2105" customWidth="1"/>
    <col min="6417" max="6417" width="13.42578125" style="2105" customWidth="1"/>
    <col min="6418" max="6420" width="11" style="2105" customWidth="1"/>
    <col min="6421" max="6421" width="18" style="2105" customWidth="1"/>
    <col min="6422" max="6657" width="11.28515625" style="2105"/>
    <col min="6658" max="6658" width="9.85546875" style="2105" customWidth="1"/>
    <col min="6659" max="6659" width="11.85546875" style="2105" customWidth="1"/>
    <col min="6660" max="6660" width="12.5703125" style="2105" customWidth="1"/>
    <col min="6661" max="6661" width="9.42578125" style="2105" customWidth="1"/>
    <col min="6662" max="6662" width="10.42578125" style="2105" customWidth="1"/>
    <col min="6663" max="6663" width="9.5703125" style="2105" customWidth="1"/>
    <col min="6664" max="6665" width="10.42578125" style="2105" customWidth="1"/>
    <col min="6666" max="6666" width="10.28515625" style="2105" customWidth="1"/>
    <col min="6667" max="6667" width="11.140625" style="2105" customWidth="1"/>
    <col min="6668" max="6668" width="9.85546875" style="2105" customWidth="1"/>
    <col min="6669" max="6669" width="10.85546875" style="2105" customWidth="1"/>
    <col min="6670" max="6670" width="15" style="2105" customWidth="1"/>
    <col min="6671" max="6671" width="8.5703125" style="2105" customWidth="1"/>
    <col min="6672" max="6672" width="20.7109375" style="2105" customWidth="1"/>
    <col min="6673" max="6673" width="13.42578125" style="2105" customWidth="1"/>
    <col min="6674" max="6676" width="11" style="2105" customWidth="1"/>
    <col min="6677" max="6677" width="18" style="2105" customWidth="1"/>
    <col min="6678" max="6913" width="11.28515625" style="2105"/>
    <col min="6914" max="6914" width="9.85546875" style="2105" customWidth="1"/>
    <col min="6915" max="6915" width="11.85546875" style="2105" customWidth="1"/>
    <col min="6916" max="6916" width="12.5703125" style="2105" customWidth="1"/>
    <col min="6917" max="6917" width="9.42578125" style="2105" customWidth="1"/>
    <col min="6918" max="6918" width="10.42578125" style="2105" customWidth="1"/>
    <col min="6919" max="6919" width="9.5703125" style="2105" customWidth="1"/>
    <col min="6920" max="6921" width="10.42578125" style="2105" customWidth="1"/>
    <col min="6922" max="6922" width="10.28515625" style="2105" customWidth="1"/>
    <col min="6923" max="6923" width="11.140625" style="2105" customWidth="1"/>
    <col min="6924" max="6924" width="9.85546875" style="2105" customWidth="1"/>
    <col min="6925" max="6925" width="10.85546875" style="2105" customWidth="1"/>
    <col min="6926" max="6926" width="15" style="2105" customWidth="1"/>
    <col min="6927" max="6927" width="8.5703125" style="2105" customWidth="1"/>
    <col min="6928" max="6928" width="20.7109375" style="2105" customWidth="1"/>
    <col min="6929" max="6929" width="13.42578125" style="2105" customWidth="1"/>
    <col min="6930" max="6932" width="11" style="2105" customWidth="1"/>
    <col min="6933" max="6933" width="18" style="2105" customWidth="1"/>
    <col min="6934" max="7169" width="11.28515625" style="2105"/>
    <col min="7170" max="7170" width="9.85546875" style="2105" customWidth="1"/>
    <col min="7171" max="7171" width="11.85546875" style="2105" customWidth="1"/>
    <col min="7172" max="7172" width="12.5703125" style="2105" customWidth="1"/>
    <col min="7173" max="7173" width="9.42578125" style="2105" customWidth="1"/>
    <col min="7174" max="7174" width="10.42578125" style="2105" customWidth="1"/>
    <col min="7175" max="7175" width="9.5703125" style="2105" customWidth="1"/>
    <col min="7176" max="7177" width="10.42578125" style="2105" customWidth="1"/>
    <col min="7178" max="7178" width="10.28515625" style="2105" customWidth="1"/>
    <col min="7179" max="7179" width="11.140625" style="2105" customWidth="1"/>
    <col min="7180" max="7180" width="9.85546875" style="2105" customWidth="1"/>
    <col min="7181" max="7181" width="10.85546875" style="2105" customWidth="1"/>
    <col min="7182" max="7182" width="15" style="2105" customWidth="1"/>
    <col min="7183" max="7183" width="8.5703125" style="2105" customWidth="1"/>
    <col min="7184" max="7184" width="20.7109375" style="2105" customWidth="1"/>
    <col min="7185" max="7185" width="13.42578125" style="2105" customWidth="1"/>
    <col min="7186" max="7188" width="11" style="2105" customWidth="1"/>
    <col min="7189" max="7189" width="18" style="2105" customWidth="1"/>
    <col min="7190" max="7425" width="11.28515625" style="2105"/>
    <col min="7426" max="7426" width="9.85546875" style="2105" customWidth="1"/>
    <col min="7427" max="7427" width="11.85546875" style="2105" customWidth="1"/>
    <col min="7428" max="7428" width="12.5703125" style="2105" customWidth="1"/>
    <col min="7429" max="7429" width="9.42578125" style="2105" customWidth="1"/>
    <col min="7430" max="7430" width="10.42578125" style="2105" customWidth="1"/>
    <col min="7431" max="7431" width="9.5703125" style="2105" customWidth="1"/>
    <col min="7432" max="7433" width="10.42578125" style="2105" customWidth="1"/>
    <col min="7434" max="7434" width="10.28515625" style="2105" customWidth="1"/>
    <col min="7435" max="7435" width="11.140625" style="2105" customWidth="1"/>
    <col min="7436" max="7436" width="9.85546875" style="2105" customWidth="1"/>
    <col min="7437" max="7437" width="10.85546875" style="2105" customWidth="1"/>
    <col min="7438" max="7438" width="15" style="2105" customWidth="1"/>
    <col min="7439" max="7439" width="8.5703125" style="2105" customWidth="1"/>
    <col min="7440" max="7440" width="20.7109375" style="2105" customWidth="1"/>
    <col min="7441" max="7441" width="13.42578125" style="2105" customWidth="1"/>
    <col min="7442" max="7444" width="11" style="2105" customWidth="1"/>
    <col min="7445" max="7445" width="18" style="2105" customWidth="1"/>
    <col min="7446" max="7681" width="11.28515625" style="2105"/>
    <col min="7682" max="7682" width="9.85546875" style="2105" customWidth="1"/>
    <col min="7683" max="7683" width="11.85546875" style="2105" customWidth="1"/>
    <col min="7684" max="7684" width="12.5703125" style="2105" customWidth="1"/>
    <col min="7685" max="7685" width="9.42578125" style="2105" customWidth="1"/>
    <col min="7686" max="7686" width="10.42578125" style="2105" customWidth="1"/>
    <col min="7687" max="7687" width="9.5703125" style="2105" customWidth="1"/>
    <col min="7688" max="7689" width="10.42578125" style="2105" customWidth="1"/>
    <col min="7690" max="7690" width="10.28515625" style="2105" customWidth="1"/>
    <col min="7691" max="7691" width="11.140625" style="2105" customWidth="1"/>
    <col min="7692" max="7692" width="9.85546875" style="2105" customWidth="1"/>
    <col min="7693" max="7693" width="10.85546875" style="2105" customWidth="1"/>
    <col min="7694" max="7694" width="15" style="2105" customWidth="1"/>
    <col min="7695" max="7695" width="8.5703125" style="2105" customWidth="1"/>
    <col min="7696" max="7696" width="20.7109375" style="2105" customWidth="1"/>
    <col min="7697" max="7697" width="13.42578125" style="2105" customWidth="1"/>
    <col min="7698" max="7700" width="11" style="2105" customWidth="1"/>
    <col min="7701" max="7701" width="18" style="2105" customWidth="1"/>
    <col min="7702" max="7937" width="11.28515625" style="2105"/>
    <col min="7938" max="7938" width="9.85546875" style="2105" customWidth="1"/>
    <col min="7939" max="7939" width="11.85546875" style="2105" customWidth="1"/>
    <col min="7940" max="7940" width="12.5703125" style="2105" customWidth="1"/>
    <col min="7941" max="7941" width="9.42578125" style="2105" customWidth="1"/>
    <col min="7942" max="7942" width="10.42578125" style="2105" customWidth="1"/>
    <col min="7943" max="7943" width="9.5703125" style="2105" customWidth="1"/>
    <col min="7944" max="7945" width="10.42578125" style="2105" customWidth="1"/>
    <col min="7946" max="7946" width="10.28515625" style="2105" customWidth="1"/>
    <col min="7947" max="7947" width="11.140625" style="2105" customWidth="1"/>
    <col min="7948" max="7948" width="9.85546875" style="2105" customWidth="1"/>
    <col min="7949" max="7949" width="10.85546875" style="2105" customWidth="1"/>
    <col min="7950" max="7950" width="15" style="2105" customWidth="1"/>
    <col min="7951" max="7951" width="8.5703125" style="2105" customWidth="1"/>
    <col min="7952" max="7952" width="20.7109375" style="2105" customWidth="1"/>
    <col min="7953" max="7953" width="13.42578125" style="2105" customWidth="1"/>
    <col min="7954" max="7956" width="11" style="2105" customWidth="1"/>
    <col min="7957" max="7957" width="18" style="2105" customWidth="1"/>
    <col min="7958" max="8193" width="11.28515625" style="2105"/>
    <col min="8194" max="8194" width="9.85546875" style="2105" customWidth="1"/>
    <col min="8195" max="8195" width="11.85546875" style="2105" customWidth="1"/>
    <col min="8196" max="8196" width="12.5703125" style="2105" customWidth="1"/>
    <col min="8197" max="8197" width="9.42578125" style="2105" customWidth="1"/>
    <col min="8198" max="8198" width="10.42578125" style="2105" customWidth="1"/>
    <col min="8199" max="8199" width="9.5703125" style="2105" customWidth="1"/>
    <col min="8200" max="8201" width="10.42578125" style="2105" customWidth="1"/>
    <col min="8202" max="8202" width="10.28515625" style="2105" customWidth="1"/>
    <col min="8203" max="8203" width="11.140625" style="2105" customWidth="1"/>
    <col min="8204" max="8204" width="9.85546875" style="2105" customWidth="1"/>
    <col min="8205" max="8205" width="10.85546875" style="2105" customWidth="1"/>
    <col min="8206" max="8206" width="15" style="2105" customWidth="1"/>
    <col min="8207" max="8207" width="8.5703125" style="2105" customWidth="1"/>
    <col min="8208" max="8208" width="20.7109375" style="2105" customWidth="1"/>
    <col min="8209" max="8209" width="13.42578125" style="2105" customWidth="1"/>
    <col min="8210" max="8212" width="11" style="2105" customWidth="1"/>
    <col min="8213" max="8213" width="18" style="2105" customWidth="1"/>
    <col min="8214" max="8449" width="11.28515625" style="2105"/>
    <col min="8450" max="8450" width="9.85546875" style="2105" customWidth="1"/>
    <col min="8451" max="8451" width="11.85546875" style="2105" customWidth="1"/>
    <col min="8452" max="8452" width="12.5703125" style="2105" customWidth="1"/>
    <col min="8453" max="8453" width="9.42578125" style="2105" customWidth="1"/>
    <col min="8454" max="8454" width="10.42578125" style="2105" customWidth="1"/>
    <col min="8455" max="8455" width="9.5703125" style="2105" customWidth="1"/>
    <col min="8456" max="8457" width="10.42578125" style="2105" customWidth="1"/>
    <col min="8458" max="8458" width="10.28515625" style="2105" customWidth="1"/>
    <col min="8459" max="8459" width="11.140625" style="2105" customWidth="1"/>
    <col min="8460" max="8460" width="9.85546875" style="2105" customWidth="1"/>
    <col min="8461" max="8461" width="10.85546875" style="2105" customWidth="1"/>
    <col min="8462" max="8462" width="15" style="2105" customWidth="1"/>
    <col min="8463" max="8463" width="8.5703125" style="2105" customWidth="1"/>
    <col min="8464" max="8464" width="20.7109375" style="2105" customWidth="1"/>
    <col min="8465" max="8465" width="13.42578125" style="2105" customWidth="1"/>
    <col min="8466" max="8468" width="11" style="2105" customWidth="1"/>
    <col min="8469" max="8469" width="18" style="2105" customWidth="1"/>
    <col min="8470" max="8705" width="11.28515625" style="2105"/>
    <col min="8706" max="8706" width="9.85546875" style="2105" customWidth="1"/>
    <col min="8707" max="8707" width="11.85546875" style="2105" customWidth="1"/>
    <col min="8708" max="8708" width="12.5703125" style="2105" customWidth="1"/>
    <col min="8709" max="8709" width="9.42578125" style="2105" customWidth="1"/>
    <col min="8710" max="8710" width="10.42578125" style="2105" customWidth="1"/>
    <col min="8711" max="8711" width="9.5703125" style="2105" customWidth="1"/>
    <col min="8712" max="8713" width="10.42578125" style="2105" customWidth="1"/>
    <col min="8714" max="8714" width="10.28515625" style="2105" customWidth="1"/>
    <col min="8715" max="8715" width="11.140625" style="2105" customWidth="1"/>
    <col min="8716" max="8716" width="9.85546875" style="2105" customWidth="1"/>
    <col min="8717" max="8717" width="10.85546875" style="2105" customWidth="1"/>
    <col min="8718" max="8718" width="15" style="2105" customWidth="1"/>
    <col min="8719" max="8719" width="8.5703125" style="2105" customWidth="1"/>
    <col min="8720" max="8720" width="20.7109375" style="2105" customWidth="1"/>
    <col min="8721" max="8721" width="13.42578125" style="2105" customWidth="1"/>
    <col min="8722" max="8724" width="11" style="2105" customWidth="1"/>
    <col min="8725" max="8725" width="18" style="2105" customWidth="1"/>
    <col min="8726" max="8961" width="11.28515625" style="2105"/>
    <col min="8962" max="8962" width="9.85546875" style="2105" customWidth="1"/>
    <col min="8963" max="8963" width="11.85546875" style="2105" customWidth="1"/>
    <col min="8964" max="8964" width="12.5703125" style="2105" customWidth="1"/>
    <col min="8965" max="8965" width="9.42578125" style="2105" customWidth="1"/>
    <col min="8966" max="8966" width="10.42578125" style="2105" customWidth="1"/>
    <col min="8967" max="8967" width="9.5703125" style="2105" customWidth="1"/>
    <col min="8968" max="8969" width="10.42578125" style="2105" customWidth="1"/>
    <col min="8970" max="8970" width="10.28515625" style="2105" customWidth="1"/>
    <col min="8971" max="8971" width="11.140625" style="2105" customWidth="1"/>
    <col min="8972" max="8972" width="9.85546875" style="2105" customWidth="1"/>
    <col min="8973" max="8973" width="10.85546875" style="2105" customWidth="1"/>
    <col min="8974" max="8974" width="15" style="2105" customWidth="1"/>
    <col min="8975" max="8975" width="8.5703125" style="2105" customWidth="1"/>
    <col min="8976" max="8976" width="20.7109375" style="2105" customWidth="1"/>
    <col min="8977" max="8977" width="13.42578125" style="2105" customWidth="1"/>
    <col min="8978" max="8980" width="11" style="2105" customWidth="1"/>
    <col min="8981" max="8981" width="18" style="2105" customWidth="1"/>
    <col min="8982" max="9217" width="11.28515625" style="2105"/>
    <col min="9218" max="9218" width="9.85546875" style="2105" customWidth="1"/>
    <col min="9219" max="9219" width="11.85546875" style="2105" customWidth="1"/>
    <col min="9220" max="9220" width="12.5703125" style="2105" customWidth="1"/>
    <col min="9221" max="9221" width="9.42578125" style="2105" customWidth="1"/>
    <col min="9222" max="9222" width="10.42578125" style="2105" customWidth="1"/>
    <col min="9223" max="9223" width="9.5703125" style="2105" customWidth="1"/>
    <col min="9224" max="9225" width="10.42578125" style="2105" customWidth="1"/>
    <col min="9226" max="9226" width="10.28515625" style="2105" customWidth="1"/>
    <col min="9227" max="9227" width="11.140625" style="2105" customWidth="1"/>
    <col min="9228" max="9228" width="9.85546875" style="2105" customWidth="1"/>
    <col min="9229" max="9229" width="10.85546875" style="2105" customWidth="1"/>
    <col min="9230" max="9230" width="15" style="2105" customWidth="1"/>
    <col min="9231" max="9231" width="8.5703125" style="2105" customWidth="1"/>
    <col min="9232" max="9232" width="20.7109375" style="2105" customWidth="1"/>
    <col min="9233" max="9233" width="13.42578125" style="2105" customWidth="1"/>
    <col min="9234" max="9236" width="11" style="2105" customWidth="1"/>
    <col min="9237" max="9237" width="18" style="2105" customWidth="1"/>
    <col min="9238" max="9473" width="11.28515625" style="2105"/>
    <col min="9474" max="9474" width="9.85546875" style="2105" customWidth="1"/>
    <col min="9475" max="9475" width="11.85546875" style="2105" customWidth="1"/>
    <col min="9476" max="9476" width="12.5703125" style="2105" customWidth="1"/>
    <col min="9477" max="9477" width="9.42578125" style="2105" customWidth="1"/>
    <col min="9478" max="9478" width="10.42578125" style="2105" customWidth="1"/>
    <col min="9479" max="9479" width="9.5703125" style="2105" customWidth="1"/>
    <col min="9480" max="9481" width="10.42578125" style="2105" customWidth="1"/>
    <col min="9482" max="9482" width="10.28515625" style="2105" customWidth="1"/>
    <col min="9483" max="9483" width="11.140625" style="2105" customWidth="1"/>
    <col min="9484" max="9484" width="9.85546875" style="2105" customWidth="1"/>
    <col min="9485" max="9485" width="10.85546875" style="2105" customWidth="1"/>
    <col min="9486" max="9486" width="15" style="2105" customWidth="1"/>
    <col min="9487" max="9487" width="8.5703125" style="2105" customWidth="1"/>
    <col min="9488" max="9488" width="20.7109375" style="2105" customWidth="1"/>
    <col min="9489" max="9489" width="13.42578125" style="2105" customWidth="1"/>
    <col min="9490" max="9492" width="11" style="2105" customWidth="1"/>
    <col min="9493" max="9493" width="18" style="2105" customWidth="1"/>
    <col min="9494" max="9729" width="11.28515625" style="2105"/>
    <col min="9730" max="9730" width="9.85546875" style="2105" customWidth="1"/>
    <col min="9731" max="9731" width="11.85546875" style="2105" customWidth="1"/>
    <col min="9732" max="9732" width="12.5703125" style="2105" customWidth="1"/>
    <col min="9733" max="9733" width="9.42578125" style="2105" customWidth="1"/>
    <col min="9734" max="9734" width="10.42578125" style="2105" customWidth="1"/>
    <col min="9735" max="9735" width="9.5703125" style="2105" customWidth="1"/>
    <col min="9736" max="9737" width="10.42578125" style="2105" customWidth="1"/>
    <col min="9738" max="9738" width="10.28515625" style="2105" customWidth="1"/>
    <col min="9739" max="9739" width="11.140625" style="2105" customWidth="1"/>
    <col min="9740" max="9740" width="9.85546875" style="2105" customWidth="1"/>
    <col min="9741" max="9741" width="10.85546875" style="2105" customWidth="1"/>
    <col min="9742" max="9742" width="15" style="2105" customWidth="1"/>
    <col min="9743" max="9743" width="8.5703125" style="2105" customWidth="1"/>
    <col min="9744" max="9744" width="20.7109375" style="2105" customWidth="1"/>
    <col min="9745" max="9745" width="13.42578125" style="2105" customWidth="1"/>
    <col min="9746" max="9748" width="11" style="2105" customWidth="1"/>
    <col min="9749" max="9749" width="18" style="2105" customWidth="1"/>
    <col min="9750" max="9985" width="11.28515625" style="2105"/>
    <col min="9986" max="9986" width="9.85546875" style="2105" customWidth="1"/>
    <col min="9987" max="9987" width="11.85546875" style="2105" customWidth="1"/>
    <col min="9988" max="9988" width="12.5703125" style="2105" customWidth="1"/>
    <col min="9989" max="9989" width="9.42578125" style="2105" customWidth="1"/>
    <col min="9990" max="9990" width="10.42578125" style="2105" customWidth="1"/>
    <col min="9991" max="9991" width="9.5703125" style="2105" customWidth="1"/>
    <col min="9992" max="9993" width="10.42578125" style="2105" customWidth="1"/>
    <col min="9994" max="9994" width="10.28515625" style="2105" customWidth="1"/>
    <col min="9995" max="9995" width="11.140625" style="2105" customWidth="1"/>
    <col min="9996" max="9996" width="9.85546875" style="2105" customWidth="1"/>
    <col min="9997" max="9997" width="10.85546875" style="2105" customWidth="1"/>
    <col min="9998" max="9998" width="15" style="2105" customWidth="1"/>
    <col min="9999" max="9999" width="8.5703125" style="2105" customWidth="1"/>
    <col min="10000" max="10000" width="20.7109375" style="2105" customWidth="1"/>
    <col min="10001" max="10001" width="13.42578125" style="2105" customWidth="1"/>
    <col min="10002" max="10004" width="11" style="2105" customWidth="1"/>
    <col min="10005" max="10005" width="18" style="2105" customWidth="1"/>
    <col min="10006" max="10241" width="11.28515625" style="2105"/>
    <col min="10242" max="10242" width="9.85546875" style="2105" customWidth="1"/>
    <col min="10243" max="10243" width="11.85546875" style="2105" customWidth="1"/>
    <col min="10244" max="10244" width="12.5703125" style="2105" customWidth="1"/>
    <col min="10245" max="10245" width="9.42578125" style="2105" customWidth="1"/>
    <col min="10246" max="10246" width="10.42578125" style="2105" customWidth="1"/>
    <col min="10247" max="10247" width="9.5703125" style="2105" customWidth="1"/>
    <col min="10248" max="10249" width="10.42578125" style="2105" customWidth="1"/>
    <col min="10250" max="10250" width="10.28515625" style="2105" customWidth="1"/>
    <col min="10251" max="10251" width="11.140625" style="2105" customWidth="1"/>
    <col min="10252" max="10252" width="9.85546875" style="2105" customWidth="1"/>
    <col min="10253" max="10253" width="10.85546875" style="2105" customWidth="1"/>
    <col min="10254" max="10254" width="15" style="2105" customWidth="1"/>
    <col min="10255" max="10255" width="8.5703125" style="2105" customWidth="1"/>
    <col min="10256" max="10256" width="20.7109375" style="2105" customWidth="1"/>
    <col min="10257" max="10257" width="13.42578125" style="2105" customWidth="1"/>
    <col min="10258" max="10260" width="11" style="2105" customWidth="1"/>
    <col min="10261" max="10261" width="18" style="2105" customWidth="1"/>
    <col min="10262" max="10497" width="11.28515625" style="2105"/>
    <col min="10498" max="10498" width="9.85546875" style="2105" customWidth="1"/>
    <col min="10499" max="10499" width="11.85546875" style="2105" customWidth="1"/>
    <col min="10500" max="10500" width="12.5703125" style="2105" customWidth="1"/>
    <col min="10501" max="10501" width="9.42578125" style="2105" customWidth="1"/>
    <col min="10502" max="10502" width="10.42578125" style="2105" customWidth="1"/>
    <col min="10503" max="10503" width="9.5703125" style="2105" customWidth="1"/>
    <col min="10504" max="10505" width="10.42578125" style="2105" customWidth="1"/>
    <col min="10506" max="10506" width="10.28515625" style="2105" customWidth="1"/>
    <col min="10507" max="10507" width="11.140625" style="2105" customWidth="1"/>
    <col min="10508" max="10508" width="9.85546875" style="2105" customWidth="1"/>
    <col min="10509" max="10509" width="10.85546875" style="2105" customWidth="1"/>
    <col min="10510" max="10510" width="15" style="2105" customWidth="1"/>
    <col min="10511" max="10511" width="8.5703125" style="2105" customWidth="1"/>
    <col min="10512" max="10512" width="20.7109375" style="2105" customWidth="1"/>
    <col min="10513" max="10513" width="13.42578125" style="2105" customWidth="1"/>
    <col min="10514" max="10516" width="11" style="2105" customWidth="1"/>
    <col min="10517" max="10517" width="18" style="2105" customWidth="1"/>
    <col min="10518" max="10753" width="11.28515625" style="2105"/>
    <col min="10754" max="10754" width="9.85546875" style="2105" customWidth="1"/>
    <col min="10755" max="10755" width="11.85546875" style="2105" customWidth="1"/>
    <col min="10756" max="10756" width="12.5703125" style="2105" customWidth="1"/>
    <col min="10757" max="10757" width="9.42578125" style="2105" customWidth="1"/>
    <col min="10758" max="10758" width="10.42578125" style="2105" customWidth="1"/>
    <col min="10759" max="10759" width="9.5703125" style="2105" customWidth="1"/>
    <col min="10760" max="10761" width="10.42578125" style="2105" customWidth="1"/>
    <col min="10762" max="10762" width="10.28515625" style="2105" customWidth="1"/>
    <col min="10763" max="10763" width="11.140625" style="2105" customWidth="1"/>
    <col min="10764" max="10764" width="9.85546875" style="2105" customWidth="1"/>
    <col min="10765" max="10765" width="10.85546875" style="2105" customWidth="1"/>
    <col min="10766" max="10766" width="15" style="2105" customWidth="1"/>
    <col min="10767" max="10767" width="8.5703125" style="2105" customWidth="1"/>
    <col min="10768" max="10768" width="20.7109375" style="2105" customWidth="1"/>
    <col min="10769" max="10769" width="13.42578125" style="2105" customWidth="1"/>
    <col min="10770" max="10772" width="11" style="2105" customWidth="1"/>
    <col min="10773" max="10773" width="18" style="2105" customWidth="1"/>
    <col min="10774" max="11009" width="11.28515625" style="2105"/>
    <col min="11010" max="11010" width="9.85546875" style="2105" customWidth="1"/>
    <col min="11011" max="11011" width="11.85546875" style="2105" customWidth="1"/>
    <col min="11012" max="11012" width="12.5703125" style="2105" customWidth="1"/>
    <col min="11013" max="11013" width="9.42578125" style="2105" customWidth="1"/>
    <col min="11014" max="11014" width="10.42578125" style="2105" customWidth="1"/>
    <col min="11015" max="11015" width="9.5703125" style="2105" customWidth="1"/>
    <col min="11016" max="11017" width="10.42578125" style="2105" customWidth="1"/>
    <col min="11018" max="11018" width="10.28515625" style="2105" customWidth="1"/>
    <col min="11019" max="11019" width="11.140625" style="2105" customWidth="1"/>
    <col min="11020" max="11020" width="9.85546875" style="2105" customWidth="1"/>
    <col min="11021" max="11021" width="10.85546875" style="2105" customWidth="1"/>
    <col min="11022" max="11022" width="15" style="2105" customWidth="1"/>
    <col min="11023" max="11023" width="8.5703125" style="2105" customWidth="1"/>
    <col min="11024" max="11024" width="20.7109375" style="2105" customWidth="1"/>
    <col min="11025" max="11025" width="13.42578125" style="2105" customWidth="1"/>
    <col min="11026" max="11028" width="11" style="2105" customWidth="1"/>
    <col min="11029" max="11029" width="18" style="2105" customWidth="1"/>
    <col min="11030" max="11265" width="11.28515625" style="2105"/>
    <col min="11266" max="11266" width="9.85546875" style="2105" customWidth="1"/>
    <col min="11267" max="11267" width="11.85546875" style="2105" customWidth="1"/>
    <col min="11268" max="11268" width="12.5703125" style="2105" customWidth="1"/>
    <col min="11269" max="11269" width="9.42578125" style="2105" customWidth="1"/>
    <col min="11270" max="11270" width="10.42578125" style="2105" customWidth="1"/>
    <col min="11271" max="11271" width="9.5703125" style="2105" customWidth="1"/>
    <col min="11272" max="11273" width="10.42578125" style="2105" customWidth="1"/>
    <col min="11274" max="11274" width="10.28515625" style="2105" customWidth="1"/>
    <col min="11275" max="11275" width="11.140625" style="2105" customWidth="1"/>
    <col min="11276" max="11276" width="9.85546875" style="2105" customWidth="1"/>
    <col min="11277" max="11277" width="10.85546875" style="2105" customWidth="1"/>
    <col min="11278" max="11278" width="15" style="2105" customWidth="1"/>
    <col min="11279" max="11279" width="8.5703125" style="2105" customWidth="1"/>
    <col min="11280" max="11280" width="20.7109375" style="2105" customWidth="1"/>
    <col min="11281" max="11281" width="13.42578125" style="2105" customWidth="1"/>
    <col min="11282" max="11284" width="11" style="2105" customWidth="1"/>
    <col min="11285" max="11285" width="18" style="2105" customWidth="1"/>
    <col min="11286" max="11521" width="11.28515625" style="2105"/>
    <col min="11522" max="11522" width="9.85546875" style="2105" customWidth="1"/>
    <col min="11523" max="11523" width="11.85546875" style="2105" customWidth="1"/>
    <col min="11524" max="11524" width="12.5703125" style="2105" customWidth="1"/>
    <col min="11525" max="11525" width="9.42578125" style="2105" customWidth="1"/>
    <col min="11526" max="11526" width="10.42578125" style="2105" customWidth="1"/>
    <col min="11527" max="11527" width="9.5703125" style="2105" customWidth="1"/>
    <col min="11528" max="11529" width="10.42578125" style="2105" customWidth="1"/>
    <col min="11530" max="11530" width="10.28515625" style="2105" customWidth="1"/>
    <col min="11531" max="11531" width="11.140625" style="2105" customWidth="1"/>
    <col min="11532" max="11532" width="9.85546875" style="2105" customWidth="1"/>
    <col min="11533" max="11533" width="10.85546875" style="2105" customWidth="1"/>
    <col min="11534" max="11534" width="15" style="2105" customWidth="1"/>
    <col min="11535" max="11535" width="8.5703125" style="2105" customWidth="1"/>
    <col min="11536" max="11536" width="20.7109375" style="2105" customWidth="1"/>
    <col min="11537" max="11537" width="13.42578125" style="2105" customWidth="1"/>
    <col min="11538" max="11540" width="11" style="2105" customWidth="1"/>
    <col min="11541" max="11541" width="18" style="2105" customWidth="1"/>
    <col min="11542" max="11777" width="11.28515625" style="2105"/>
    <col min="11778" max="11778" width="9.85546875" style="2105" customWidth="1"/>
    <col min="11779" max="11779" width="11.85546875" style="2105" customWidth="1"/>
    <col min="11780" max="11780" width="12.5703125" style="2105" customWidth="1"/>
    <col min="11781" max="11781" width="9.42578125" style="2105" customWidth="1"/>
    <col min="11782" max="11782" width="10.42578125" style="2105" customWidth="1"/>
    <col min="11783" max="11783" width="9.5703125" style="2105" customWidth="1"/>
    <col min="11784" max="11785" width="10.42578125" style="2105" customWidth="1"/>
    <col min="11786" max="11786" width="10.28515625" style="2105" customWidth="1"/>
    <col min="11787" max="11787" width="11.140625" style="2105" customWidth="1"/>
    <col min="11788" max="11788" width="9.85546875" style="2105" customWidth="1"/>
    <col min="11789" max="11789" width="10.85546875" style="2105" customWidth="1"/>
    <col min="11790" max="11790" width="15" style="2105" customWidth="1"/>
    <col min="11791" max="11791" width="8.5703125" style="2105" customWidth="1"/>
    <col min="11792" max="11792" width="20.7109375" style="2105" customWidth="1"/>
    <col min="11793" max="11793" width="13.42578125" style="2105" customWidth="1"/>
    <col min="11794" max="11796" width="11" style="2105" customWidth="1"/>
    <col min="11797" max="11797" width="18" style="2105" customWidth="1"/>
    <col min="11798" max="12033" width="11.28515625" style="2105"/>
    <col min="12034" max="12034" width="9.85546875" style="2105" customWidth="1"/>
    <col min="12035" max="12035" width="11.85546875" style="2105" customWidth="1"/>
    <col min="12036" max="12036" width="12.5703125" style="2105" customWidth="1"/>
    <col min="12037" max="12037" width="9.42578125" style="2105" customWidth="1"/>
    <col min="12038" max="12038" width="10.42578125" style="2105" customWidth="1"/>
    <col min="12039" max="12039" width="9.5703125" style="2105" customWidth="1"/>
    <col min="12040" max="12041" width="10.42578125" style="2105" customWidth="1"/>
    <col min="12042" max="12042" width="10.28515625" style="2105" customWidth="1"/>
    <col min="12043" max="12043" width="11.140625" style="2105" customWidth="1"/>
    <col min="12044" max="12044" width="9.85546875" style="2105" customWidth="1"/>
    <col min="12045" max="12045" width="10.85546875" style="2105" customWidth="1"/>
    <col min="12046" max="12046" width="15" style="2105" customWidth="1"/>
    <col min="12047" max="12047" width="8.5703125" style="2105" customWidth="1"/>
    <col min="12048" max="12048" width="20.7109375" style="2105" customWidth="1"/>
    <col min="12049" max="12049" width="13.42578125" style="2105" customWidth="1"/>
    <col min="12050" max="12052" width="11" style="2105" customWidth="1"/>
    <col min="12053" max="12053" width="18" style="2105" customWidth="1"/>
    <col min="12054" max="12289" width="11.28515625" style="2105"/>
    <col min="12290" max="12290" width="9.85546875" style="2105" customWidth="1"/>
    <col min="12291" max="12291" width="11.85546875" style="2105" customWidth="1"/>
    <col min="12292" max="12292" width="12.5703125" style="2105" customWidth="1"/>
    <col min="12293" max="12293" width="9.42578125" style="2105" customWidth="1"/>
    <col min="12294" max="12294" width="10.42578125" style="2105" customWidth="1"/>
    <col min="12295" max="12295" width="9.5703125" style="2105" customWidth="1"/>
    <col min="12296" max="12297" width="10.42578125" style="2105" customWidth="1"/>
    <col min="12298" max="12298" width="10.28515625" style="2105" customWidth="1"/>
    <col min="12299" max="12299" width="11.140625" style="2105" customWidth="1"/>
    <col min="12300" max="12300" width="9.85546875" style="2105" customWidth="1"/>
    <col min="12301" max="12301" width="10.85546875" style="2105" customWidth="1"/>
    <col min="12302" max="12302" width="15" style="2105" customWidth="1"/>
    <col min="12303" max="12303" width="8.5703125" style="2105" customWidth="1"/>
    <col min="12304" max="12304" width="20.7109375" style="2105" customWidth="1"/>
    <col min="12305" max="12305" width="13.42578125" style="2105" customWidth="1"/>
    <col min="12306" max="12308" width="11" style="2105" customWidth="1"/>
    <col min="12309" max="12309" width="18" style="2105" customWidth="1"/>
    <col min="12310" max="12545" width="11.28515625" style="2105"/>
    <col min="12546" max="12546" width="9.85546875" style="2105" customWidth="1"/>
    <col min="12547" max="12547" width="11.85546875" style="2105" customWidth="1"/>
    <col min="12548" max="12548" width="12.5703125" style="2105" customWidth="1"/>
    <col min="12549" max="12549" width="9.42578125" style="2105" customWidth="1"/>
    <col min="12550" max="12550" width="10.42578125" style="2105" customWidth="1"/>
    <col min="12551" max="12551" width="9.5703125" style="2105" customWidth="1"/>
    <col min="12552" max="12553" width="10.42578125" style="2105" customWidth="1"/>
    <col min="12554" max="12554" width="10.28515625" style="2105" customWidth="1"/>
    <col min="12555" max="12555" width="11.140625" style="2105" customWidth="1"/>
    <col min="12556" max="12556" width="9.85546875" style="2105" customWidth="1"/>
    <col min="12557" max="12557" width="10.85546875" style="2105" customWidth="1"/>
    <col min="12558" max="12558" width="15" style="2105" customWidth="1"/>
    <col min="12559" max="12559" width="8.5703125" style="2105" customWidth="1"/>
    <col min="12560" max="12560" width="20.7109375" style="2105" customWidth="1"/>
    <col min="12561" max="12561" width="13.42578125" style="2105" customWidth="1"/>
    <col min="12562" max="12564" width="11" style="2105" customWidth="1"/>
    <col min="12565" max="12565" width="18" style="2105" customWidth="1"/>
    <col min="12566" max="12801" width="11.28515625" style="2105"/>
    <col min="12802" max="12802" width="9.85546875" style="2105" customWidth="1"/>
    <col min="12803" max="12803" width="11.85546875" style="2105" customWidth="1"/>
    <col min="12804" max="12804" width="12.5703125" style="2105" customWidth="1"/>
    <col min="12805" max="12805" width="9.42578125" style="2105" customWidth="1"/>
    <col min="12806" max="12806" width="10.42578125" style="2105" customWidth="1"/>
    <col min="12807" max="12807" width="9.5703125" style="2105" customWidth="1"/>
    <col min="12808" max="12809" width="10.42578125" style="2105" customWidth="1"/>
    <col min="12810" max="12810" width="10.28515625" style="2105" customWidth="1"/>
    <col min="12811" max="12811" width="11.140625" style="2105" customWidth="1"/>
    <col min="12812" max="12812" width="9.85546875" style="2105" customWidth="1"/>
    <col min="12813" max="12813" width="10.85546875" style="2105" customWidth="1"/>
    <col min="12814" max="12814" width="15" style="2105" customWidth="1"/>
    <col min="12815" max="12815" width="8.5703125" style="2105" customWidth="1"/>
    <col min="12816" max="12816" width="20.7109375" style="2105" customWidth="1"/>
    <col min="12817" max="12817" width="13.42578125" style="2105" customWidth="1"/>
    <col min="12818" max="12820" width="11" style="2105" customWidth="1"/>
    <col min="12821" max="12821" width="18" style="2105" customWidth="1"/>
    <col min="12822" max="13057" width="11.28515625" style="2105"/>
    <col min="13058" max="13058" width="9.85546875" style="2105" customWidth="1"/>
    <col min="13059" max="13059" width="11.85546875" style="2105" customWidth="1"/>
    <col min="13060" max="13060" width="12.5703125" style="2105" customWidth="1"/>
    <col min="13061" max="13061" width="9.42578125" style="2105" customWidth="1"/>
    <col min="13062" max="13062" width="10.42578125" style="2105" customWidth="1"/>
    <col min="13063" max="13063" width="9.5703125" style="2105" customWidth="1"/>
    <col min="13064" max="13065" width="10.42578125" style="2105" customWidth="1"/>
    <col min="13066" max="13066" width="10.28515625" style="2105" customWidth="1"/>
    <col min="13067" max="13067" width="11.140625" style="2105" customWidth="1"/>
    <col min="13068" max="13068" width="9.85546875" style="2105" customWidth="1"/>
    <col min="13069" max="13069" width="10.85546875" style="2105" customWidth="1"/>
    <col min="13070" max="13070" width="15" style="2105" customWidth="1"/>
    <col min="13071" max="13071" width="8.5703125" style="2105" customWidth="1"/>
    <col min="13072" max="13072" width="20.7109375" style="2105" customWidth="1"/>
    <col min="13073" max="13073" width="13.42578125" style="2105" customWidth="1"/>
    <col min="13074" max="13076" width="11" style="2105" customWidth="1"/>
    <col min="13077" max="13077" width="18" style="2105" customWidth="1"/>
    <col min="13078" max="13313" width="11.28515625" style="2105"/>
    <col min="13314" max="13314" width="9.85546875" style="2105" customWidth="1"/>
    <col min="13315" max="13315" width="11.85546875" style="2105" customWidth="1"/>
    <col min="13316" max="13316" width="12.5703125" style="2105" customWidth="1"/>
    <col min="13317" max="13317" width="9.42578125" style="2105" customWidth="1"/>
    <col min="13318" max="13318" width="10.42578125" style="2105" customWidth="1"/>
    <col min="13319" max="13319" width="9.5703125" style="2105" customWidth="1"/>
    <col min="13320" max="13321" width="10.42578125" style="2105" customWidth="1"/>
    <col min="13322" max="13322" width="10.28515625" style="2105" customWidth="1"/>
    <col min="13323" max="13323" width="11.140625" style="2105" customWidth="1"/>
    <col min="13324" max="13324" width="9.85546875" style="2105" customWidth="1"/>
    <col min="13325" max="13325" width="10.85546875" style="2105" customWidth="1"/>
    <col min="13326" max="13326" width="15" style="2105" customWidth="1"/>
    <col min="13327" max="13327" width="8.5703125" style="2105" customWidth="1"/>
    <col min="13328" max="13328" width="20.7109375" style="2105" customWidth="1"/>
    <col min="13329" max="13329" width="13.42578125" style="2105" customWidth="1"/>
    <col min="13330" max="13332" width="11" style="2105" customWidth="1"/>
    <col min="13333" max="13333" width="18" style="2105" customWidth="1"/>
    <col min="13334" max="13569" width="11.28515625" style="2105"/>
    <col min="13570" max="13570" width="9.85546875" style="2105" customWidth="1"/>
    <col min="13571" max="13571" width="11.85546875" style="2105" customWidth="1"/>
    <col min="13572" max="13572" width="12.5703125" style="2105" customWidth="1"/>
    <col min="13573" max="13573" width="9.42578125" style="2105" customWidth="1"/>
    <col min="13574" max="13574" width="10.42578125" style="2105" customWidth="1"/>
    <col min="13575" max="13575" width="9.5703125" style="2105" customWidth="1"/>
    <col min="13576" max="13577" width="10.42578125" style="2105" customWidth="1"/>
    <col min="13578" max="13578" width="10.28515625" style="2105" customWidth="1"/>
    <col min="13579" max="13579" width="11.140625" style="2105" customWidth="1"/>
    <col min="13580" max="13580" width="9.85546875" style="2105" customWidth="1"/>
    <col min="13581" max="13581" width="10.85546875" style="2105" customWidth="1"/>
    <col min="13582" max="13582" width="15" style="2105" customWidth="1"/>
    <col min="13583" max="13583" width="8.5703125" style="2105" customWidth="1"/>
    <col min="13584" max="13584" width="20.7109375" style="2105" customWidth="1"/>
    <col min="13585" max="13585" width="13.42578125" style="2105" customWidth="1"/>
    <col min="13586" max="13588" width="11" style="2105" customWidth="1"/>
    <col min="13589" max="13589" width="18" style="2105" customWidth="1"/>
    <col min="13590" max="13825" width="11.28515625" style="2105"/>
    <col min="13826" max="13826" width="9.85546875" style="2105" customWidth="1"/>
    <col min="13827" max="13827" width="11.85546875" style="2105" customWidth="1"/>
    <col min="13828" max="13828" width="12.5703125" style="2105" customWidth="1"/>
    <col min="13829" max="13829" width="9.42578125" style="2105" customWidth="1"/>
    <col min="13830" max="13830" width="10.42578125" style="2105" customWidth="1"/>
    <col min="13831" max="13831" width="9.5703125" style="2105" customWidth="1"/>
    <col min="13832" max="13833" width="10.42578125" style="2105" customWidth="1"/>
    <col min="13834" max="13834" width="10.28515625" style="2105" customWidth="1"/>
    <col min="13835" max="13835" width="11.140625" style="2105" customWidth="1"/>
    <col min="13836" max="13836" width="9.85546875" style="2105" customWidth="1"/>
    <col min="13837" max="13837" width="10.85546875" style="2105" customWidth="1"/>
    <col min="13838" max="13838" width="15" style="2105" customWidth="1"/>
    <col min="13839" max="13839" width="8.5703125" style="2105" customWidth="1"/>
    <col min="13840" max="13840" width="20.7109375" style="2105" customWidth="1"/>
    <col min="13841" max="13841" width="13.42578125" style="2105" customWidth="1"/>
    <col min="13842" max="13844" width="11" style="2105" customWidth="1"/>
    <col min="13845" max="13845" width="18" style="2105" customWidth="1"/>
    <col min="13846" max="14081" width="11.28515625" style="2105"/>
    <col min="14082" max="14082" width="9.85546875" style="2105" customWidth="1"/>
    <col min="14083" max="14083" width="11.85546875" style="2105" customWidth="1"/>
    <col min="14084" max="14084" width="12.5703125" style="2105" customWidth="1"/>
    <col min="14085" max="14085" width="9.42578125" style="2105" customWidth="1"/>
    <col min="14086" max="14086" width="10.42578125" style="2105" customWidth="1"/>
    <col min="14087" max="14087" width="9.5703125" style="2105" customWidth="1"/>
    <col min="14088" max="14089" width="10.42578125" style="2105" customWidth="1"/>
    <col min="14090" max="14090" width="10.28515625" style="2105" customWidth="1"/>
    <col min="14091" max="14091" width="11.140625" style="2105" customWidth="1"/>
    <col min="14092" max="14092" width="9.85546875" style="2105" customWidth="1"/>
    <col min="14093" max="14093" width="10.85546875" style="2105" customWidth="1"/>
    <col min="14094" max="14094" width="15" style="2105" customWidth="1"/>
    <col min="14095" max="14095" width="8.5703125" style="2105" customWidth="1"/>
    <col min="14096" max="14096" width="20.7109375" style="2105" customWidth="1"/>
    <col min="14097" max="14097" width="13.42578125" style="2105" customWidth="1"/>
    <col min="14098" max="14100" width="11" style="2105" customWidth="1"/>
    <col min="14101" max="14101" width="18" style="2105" customWidth="1"/>
    <col min="14102" max="14337" width="11.28515625" style="2105"/>
    <col min="14338" max="14338" width="9.85546875" style="2105" customWidth="1"/>
    <col min="14339" max="14339" width="11.85546875" style="2105" customWidth="1"/>
    <col min="14340" max="14340" width="12.5703125" style="2105" customWidth="1"/>
    <col min="14341" max="14341" width="9.42578125" style="2105" customWidth="1"/>
    <col min="14342" max="14342" width="10.42578125" style="2105" customWidth="1"/>
    <col min="14343" max="14343" width="9.5703125" style="2105" customWidth="1"/>
    <col min="14344" max="14345" width="10.42578125" style="2105" customWidth="1"/>
    <col min="14346" max="14346" width="10.28515625" style="2105" customWidth="1"/>
    <col min="14347" max="14347" width="11.140625" style="2105" customWidth="1"/>
    <col min="14348" max="14348" width="9.85546875" style="2105" customWidth="1"/>
    <col min="14349" max="14349" width="10.85546875" style="2105" customWidth="1"/>
    <col min="14350" max="14350" width="15" style="2105" customWidth="1"/>
    <col min="14351" max="14351" width="8.5703125" style="2105" customWidth="1"/>
    <col min="14352" max="14352" width="20.7109375" style="2105" customWidth="1"/>
    <col min="14353" max="14353" width="13.42578125" style="2105" customWidth="1"/>
    <col min="14354" max="14356" width="11" style="2105" customWidth="1"/>
    <col min="14357" max="14357" width="18" style="2105" customWidth="1"/>
    <col min="14358" max="14593" width="11.28515625" style="2105"/>
    <col min="14594" max="14594" width="9.85546875" style="2105" customWidth="1"/>
    <col min="14595" max="14595" width="11.85546875" style="2105" customWidth="1"/>
    <col min="14596" max="14596" width="12.5703125" style="2105" customWidth="1"/>
    <col min="14597" max="14597" width="9.42578125" style="2105" customWidth="1"/>
    <col min="14598" max="14598" width="10.42578125" style="2105" customWidth="1"/>
    <col min="14599" max="14599" width="9.5703125" style="2105" customWidth="1"/>
    <col min="14600" max="14601" width="10.42578125" style="2105" customWidth="1"/>
    <col min="14602" max="14602" width="10.28515625" style="2105" customWidth="1"/>
    <col min="14603" max="14603" width="11.140625" style="2105" customWidth="1"/>
    <col min="14604" max="14604" width="9.85546875" style="2105" customWidth="1"/>
    <col min="14605" max="14605" width="10.85546875" style="2105" customWidth="1"/>
    <col min="14606" max="14606" width="15" style="2105" customWidth="1"/>
    <col min="14607" max="14607" width="8.5703125" style="2105" customWidth="1"/>
    <col min="14608" max="14608" width="20.7109375" style="2105" customWidth="1"/>
    <col min="14609" max="14609" width="13.42578125" style="2105" customWidth="1"/>
    <col min="14610" max="14612" width="11" style="2105" customWidth="1"/>
    <col min="14613" max="14613" width="18" style="2105" customWidth="1"/>
    <col min="14614" max="14849" width="11.28515625" style="2105"/>
    <col min="14850" max="14850" width="9.85546875" style="2105" customWidth="1"/>
    <col min="14851" max="14851" width="11.85546875" style="2105" customWidth="1"/>
    <col min="14852" max="14852" width="12.5703125" style="2105" customWidth="1"/>
    <col min="14853" max="14853" width="9.42578125" style="2105" customWidth="1"/>
    <col min="14854" max="14854" width="10.42578125" style="2105" customWidth="1"/>
    <col min="14855" max="14855" width="9.5703125" style="2105" customWidth="1"/>
    <col min="14856" max="14857" width="10.42578125" style="2105" customWidth="1"/>
    <col min="14858" max="14858" width="10.28515625" style="2105" customWidth="1"/>
    <col min="14859" max="14859" width="11.140625" style="2105" customWidth="1"/>
    <col min="14860" max="14860" width="9.85546875" style="2105" customWidth="1"/>
    <col min="14861" max="14861" width="10.85546875" style="2105" customWidth="1"/>
    <col min="14862" max="14862" width="15" style="2105" customWidth="1"/>
    <col min="14863" max="14863" width="8.5703125" style="2105" customWidth="1"/>
    <col min="14864" max="14864" width="20.7109375" style="2105" customWidth="1"/>
    <col min="14865" max="14865" width="13.42578125" style="2105" customWidth="1"/>
    <col min="14866" max="14868" width="11" style="2105" customWidth="1"/>
    <col min="14869" max="14869" width="18" style="2105" customWidth="1"/>
    <col min="14870" max="15105" width="11.28515625" style="2105"/>
    <col min="15106" max="15106" width="9.85546875" style="2105" customWidth="1"/>
    <col min="15107" max="15107" width="11.85546875" style="2105" customWidth="1"/>
    <col min="15108" max="15108" width="12.5703125" style="2105" customWidth="1"/>
    <col min="15109" max="15109" width="9.42578125" style="2105" customWidth="1"/>
    <col min="15110" max="15110" width="10.42578125" style="2105" customWidth="1"/>
    <col min="15111" max="15111" width="9.5703125" style="2105" customWidth="1"/>
    <col min="15112" max="15113" width="10.42578125" style="2105" customWidth="1"/>
    <col min="15114" max="15114" width="10.28515625" style="2105" customWidth="1"/>
    <col min="15115" max="15115" width="11.140625" style="2105" customWidth="1"/>
    <col min="15116" max="15116" width="9.85546875" style="2105" customWidth="1"/>
    <col min="15117" max="15117" width="10.85546875" style="2105" customWidth="1"/>
    <col min="15118" max="15118" width="15" style="2105" customWidth="1"/>
    <col min="15119" max="15119" width="8.5703125" style="2105" customWidth="1"/>
    <col min="15120" max="15120" width="20.7109375" style="2105" customWidth="1"/>
    <col min="15121" max="15121" width="13.42578125" style="2105" customWidth="1"/>
    <col min="15122" max="15124" width="11" style="2105" customWidth="1"/>
    <col min="15125" max="15125" width="18" style="2105" customWidth="1"/>
    <col min="15126" max="15361" width="11.28515625" style="2105"/>
    <col min="15362" max="15362" width="9.85546875" style="2105" customWidth="1"/>
    <col min="15363" max="15363" width="11.85546875" style="2105" customWidth="1"/>
    <col min="15364" max="15364" width="12.5703125" style="2105" customWidth="1"/>
    <col min="15365" max="15365" width="9.42578125" style="2105" customWidth="1"/>
    <col min="15366" max="15366" width="10.42578125" style="2105" customWidth="1"/>
    <col min="15367" max="15367" width="9.5703125" style="2105" customWidth="1"/>
    <col min="15368" max="15369" width="10.42578125" style="2105" customWidth="1"/>
    <col min="15370" max="15370" width="10.28515625" style="2105" customWidth="1"/>
    <col min="15371" max="15371" width="11.140625" style="2105" customWidth="1"/>
    <col min="15372" max="15372" width="9.85546875" style="2105" customWidth="1"/>
    <col min="15373" max="15373" width="10.85546875" style="2105" customWidth="1"/>
    <col min="15374" max="15374" width="15" style="2105" customWidth="1"/>
    <col min="15375" max="15375" width="8.5703125" style="2105" customWidth="1"/>
    <col min="15376" max="15376" width="20.7109375" style="2105" customWidth="1"/>
    <col min="15377" max="15377" width="13.42578125" style="2105" customWidth="1"/>
    <col min="15378" max="15380" width="11" style="2105" customWidth="1"/>
    <col min="15381" max="15381" width="18" style="2105" customWidth="1"/>
    <col min="15382" max="15617" width="11.28515625" style="2105"/>
    <col min="15618" max="15618" width="9.85546875" style="2105" customWidth="1"/>
    <col min="15619" max="15619" width="11.85546875" style="2105" customWidth="1"/>
    <col min="15620" max="15620" width="12.5703125" style="2105" customWidth="1"/>
    <col min="15621" max="15621" width="9.42578125" style="2105" customWidth="1"/>
    <col min="15622" max="15622" width="10.42578125" style="2105" customWidth="1"/>
    <col min="15623" max="15623" width="9.5703125" style="2105" customWidth="1"/>
    <col min="15624" max="15625" width="10.42578125" style="2105" customWidth="1"/>
    <col min="15626" max="15626" width="10.28515625" style="2105" customWidth="1"/>
    <col min="15627" max="15627" width="11.140625" style="2105" customWidth="1"/>
    <col min="15628" max="15628" width="9.85546875" style="2105" customWidth="1"/>
    <col min="15629" max="15629" width="10.85546875" style="2105" customWidth="1"/>
    <col min="15630" max="15630" width="15" style="2105" customWidth="1"/>
    <col min="15631" max="15631" width="8.5703125" style="2105" customWidth="1"/>
    <col min="15632" max="15632" width="20.7109375" style="2105" customWidth="1"/>
    <col min="15633" max="15633" width="13.42578125" style="2105" customWidth="1"/>
    <col min="15634" max="15636" width="11" style="2105" customWidth="1"/>
    <col min="15637" max="15637" width="18" style="2105" customWidth="1"/>
    <col min="15638" max="15873" width="11.28515625" style="2105"/>
    <col min="15874" max="15874" width="9.85546875" style="2105" customWidth="1"/>
    <col min="15875" max="15875" width="11.85546875" style="2105" customWidth="1"/>
    <col min="15876" max="15876" width="12.5703125" style="2105" customWidth="1"/>
    <col min="15877" max="15877" width="9.42578125" style="2105" customWidth="1"/>
    <col min="15878" max="15878" width="10.42578125" style="2105" customWidth="1"/>
    <col min="15879" max="15879" width="9.5703125" style="2105" customWidth="1"/>
    <col min="15880" max="15881" width="10.42578125" style="2105" customWidth="1"/>
    <col min="15882" max="15882" width="10.28515625" style="2105" customWidth="1"/>
    <col min="15883" max="15883" width="11.140625" style="2105" customWidth="1"/>
    <col min="15884" max="15884" width="9.85546875" style="2105" customWidth="1"/>
    <col min="15885" max="15885" width="10.85546875" style="2105" customWidth="1"/>
    <col min="15886" max="15886" width="15" style="2105" customWidth="1"/>
    <col min="15887" max="15887" width="8.5703125" style="2105" customWidth="1"/>
    <col min="15888" max="15888" width="20.7109375" style="2105" customWidth="1"/>
    <col min="15889" max="15889" width="13.42578125" style="2105" customWidth="1"/>
    <col min="15890" max="15892" width="11" style="2105" customWidth="1"/>
    <col min="15893" max="15893" width="18" style="2105" customWidth="1"/>
    <col min="15894" max="16129" width="11.28515625" style="2105"/>
    <col min="16130" max="16130" width="9.85546875" style="2105" customWidth="1"/>
    <col min="16131" max="16131" width="11.85546875" style="2105" customWidth="1"/>
    <col min="16132" max="16132" width="12.5703125" style="2105" customWidth="1"/>
    <col min="16133" max="16133" width="9.42578125" style="2105" customWidth="1"/>
    <col min="16134" max="16134" width="10.42578125" style="2105" customWidth="1"/>
    <col min="16135" max="16135" width="9.5703125" style="2105" customWidth="1"/>
    <col min="16136" max="16137" width="10.42578125" style="2105" customWidth="1"/>
    <col min="16138" max="16138" width="10.28515625" style="2105" customWidth="1"/>
    <col min="16139" max="16139" width="11.140625" style="2105" customWidth="1"/>
    <col min="16140" max="16140" width="9.85546875" style="2105" customWidth="1"/>
    <col min="16141" max="16141" width="10.85546875" style="2105" customWidth="1"/>
    <col min="16142" max="16142" width="15" style="2105" customWidth="1"/>
    <col min="16143" max="16143" width="8.5703125" style="2105" customWidth="1"/>
    <col min="16144" max="16144" width="20.7109375" style="2105" customWidth="1"/>
    <col min="16145" max="16145" width="13.42578125" style="2105" customWidth="1"/>
    <col min="16146" max="16148" width="11" style="2105" customWidth="1"/>
    <col min="16149" max="16149" width="18" style="2105" customWidth="1"/>
    <col min="16150" max="16384" width="11.28515625" style="2105"/>
  </cols>
  <sheetData>
    <row r="1" spans="1:25" ht="18" customHeight="1">
      <c r="A1" s="4020"/>
      <c r="B1" s="4660" t="s">
        <v>2024</v>
      </c>
      <c r="C1" s="4660"/>
      <c r="D1" s="4660"/>
      <c r="E1" s="4660"/>
      <c r="F1" s="4660"/>
      <c r="G1" s="4660"/>
      <c r="H1" s="4660"/>
      <c r="I1" s="4660"/>
      <c r="J1" s="4660"/>
      <c r="K1" s="4660"/>
      <c r="L1" s="4660"/>
      <c r="M1" s="4660"/>
      <c r="N1" s="2102"/>
      <c r="O1" s="2103"/>
      <c r="P1" s="2104" t="s">
        <v>142</v>
      </c>
      <c r="Q1" s="2103"/>
      <c r="R1" s="2103"/>
      <c r="S1" s="2103"/>
      <c r="T1" s="2103"/>
      <c r="U1" s="2103"/>
      <c r="V1" s="2103"/>
      <c r="W1" s="2103"/>
      <c r="X1" s="2103"/>
      <c r="Y1" s="2103"/>
    </row>
    <row r="2" spans="1:25" ht="18" customHeight="1">
      <c r="A2" s="4020"/>
      <c r="B2" s="3150" t="s">
        <v>1757</v>
      </c>
      <c r="C2" s="2320"/>
      <c r="D2" s="2203"/>
      <c r="E2" s="2203"/>
      <c r="F2" s="2203"/>
      <c r="G2" s="2203"/>
      <c r="H2" s="2203"/>
      <c r="I2" s="2203"/>
      <c r="J2" s="2203"/>
      <c r="K2" s="2203"/>
      <c r="L2" s="2203"/>
      <c r="M2" s="2203"/>
      <c r="N2" s="2106" t="s">
        <v>142</v>
      </c>
      <c r="O2" s="2107"/>
      <c r="P2" s="2107"/>
      <c r="Q2" s="2107"/>
      <c r="R2" s="2107"/>
      <c r="S2" s="2107"/>
      <c r="T2" s="2107"/>
      <c r="U2" s="2107"/>
      <c r="V2" s="2104" t="s">
        <v>142</v>
      </c>
      <c r="W2" s="2104" t="s">
        <v>142</v>
      </c>
      <c r="X2" s="2103"/>
      <c r="Y2" s="2104" t="s">
        <v>142</v>
      </c>
    </row>
    <row r="3" spans="1:25" ht="18" customHeight="1">
      <c r="A3" s="4020"/>
      <c r="B3" s="2330"/>
      <c r="C3" s="4023"/>
      <c r="D3" s="2322"/>
      <c r="E3" s="2322"/>
      <c r="F3" s="2322"/>
      <c r="G3" s="2322"/>
      <c r="H3" s="2322"/>
      <c r="I3" s="2322"/>
      <c r="J3" s="2322"/>
      <c r="K3" s="2322"/>
      <c r="L3" s="2322"/>
      <c r="M3" s="2323"/>
      <c r="N3" s="2108"/>
      <c r="O3" s="2109"/>
      <c r="P3" s="2109"/>
      <c r="Q3" s="2110"/>
      <c r="R3" s="2109"/>
      <c r="S3" s="2109"/>
      <c r="T3" s="2109"/>
      <c r="U3" s="2109"/>
      <c r="V3" s="2103"/>
      <c r="W3" s="2103"/>
      <c r="X3" s="2103"/>
      <c r="Y3" s="2103"/>
    </row>
    <row r="4" spans="1:25">
      <c r="A4" s="4020"/>
      <c r="B4" s="2331"/>
      <c r="C4" s="2334" t="s">
        <v>172</v>
      </c>
      <c r="D4" s="2325"/>
      <c r="E4" s="2325" t="s">
        <v>142</v>
      </c>
      <c r="F4" s="2325"/>
      <c r="G4" s="2325"/>
      <c r="H4" s="2325"/>
      <c r="I4" s="2325"/>
      <c r="J4" s="2325"/>
      <c r="K4" s="2325"/>
      <c r="L4" s="2325"/>
      <c r="M4" s="2326"/>
      <c r="N4" s="2108"/>
      <c r="O4" s="2109"/>
      <c r="P4" s="2109"/>
      <c r="Q4" s="2110"/>
      <c r="R4" s="2109"/>
      <c r="S4" s="2109"/>
      <c r="T4" s="2109"/>
      <c r="U4" s="2109"/>
      <c r="V4" s="2103"/>
      <c r="W4" s="2103"/>
      <c r="X4" s="2103"/>
      <c r="Y4" s="2103"/>
    </row>
    <row r="5" spans="1:25" ht="18" customHeight="1">
      <c r="A5" s="4020"/>
      <c r="B5" s="2331"/>
      <c r="C5" s="2331"/>
      <c r="D5" s="2331"/>
      <c r="E5" s="4661" t="s">
        <v>421</v>
      </c>
      <c r="F5" s="4661"/>
      <c r="G5" s="4661"/>
      <c r="H5" s="2206"/>
      <c r="I5" s="2331" t="s">
        <v>428</v>
      </c>
      <c r="J5" s="2331" t="s">
        <v>428</v>
      </c>
      <c r="K5" s="2331" t="s">
        <v>428</v>
      </c>
      <c r="L5" s="2206"/>
      <c r="M5" s="2206"/>
      <c r="N5" s="2108"/>
      <c r="O5" s="2109"/>
      <c r="P5" s="2109"/>
      <c r="Q5" s="2109"/>
      <c r="R5" s="2109"/>
      <c r="S5" s="2109"/>
      <c r="T5" s="2109"/>
      <c r="U5" s="2109"/>
      <c r="V5" s="2103"/>
      <c r="W5" s="2103"/>
      <c r="X5" s="2103"/>
      <c r="Y5" s="2103"/>
    </row>
    <row r="6" spans="1:25" ht="18" customHeight="1">
      <c r="A6" s="4020"/>
      <c r="B6" s="2331" t="s">
        <v>1569</v>
      </c>
      <c r="C6" s="2331"/>
      <c r="D6" s="2331"/>
      <c r="E6" s="2331"/>
      <c r="F6" s="2331"/>
      <c r="G6" s="2331"/>
      <c r="H6" s="2331" t="s">
        <v>428</v>
      </c>
      <c r="I6" s="2331" t="s">
        <v>174</v>
      </c>
      <c r="J6" s="2331" t="s">
        <v>174</v>
      </c>
      <c r="K6" s="2205" t="s">
        <v>174</v>
      </c>
      <c r="L6" s="2331" t="s">
        <v>428</v>
      </c>
      <c r="M6" s="2205" t="s">
        <v>428</v>
      </c>
      <c r="N6" s="2108"/>
      <c r="O6" s="2109"/>
      <c r="P6" s="2109"/>
      <c r="Q6" s="2109"/>
      <c r="R6" s="2109"/>
      <c r="S6" s="2109"/>
      <c r="T6" s="2109"/>
      <c r="U6" s="2109"/>
      <c r="V6" s="2103"/>
      <c r="W6" s="2103"/>
      <c r="X6" s="2103"/>
      <c r="Y6" s="2103"/>
    </row>
    <row r="7" spans="1:25" ht="18" customHeight="1">
      <c r="A7" s="4020"/>
      <c r="B7" s="2331" t="s">
        <v>1570</v>
      </c>
      <c r="C7" s="2331"/>
      <c r="D7" s="2331"/>
      <c r="E7" s="2331"/>
      <c r="F7" s="2331"/>
      <c r="G7" s="2331"/>
      <c r="H7" s="2331" t="s">
        <v>200</v>
      </c>
      <c r="I7" s="2331" t="s">
        <v>177</v>
      </c>
      <c r="J7" s="2205" t="s">
        <v>1566</v>
      </c>
      <c r="K7" s="2205" t="s">
        <v>1571</v>
      </c>
      <c r="L7" s="2205" t="s">
        <v>174</v>
      </c>
      <c r="M7" s="2205" t="s">
        <v>1572</v>
      </c>
      <c r="N7" s="2108"/>
      <c r="O7" s="2109"/>
      <c r="P7" s="2109"/>
      <c r="Q7" s="2109"/>
      <c r="R7" s="2109"/>
      <c r="S7" s="2109"/>
      <c r="T7" s="2109"/>
      <c r="U7" s="2109"/>
      <c r="V7" s="2103"/>
      <c r="W7" s="2103"/>
      <c r="X7" s="2103"/>
      <c r="Y7" s="2103"/>
    </row>
    <row r="8" spans="1:25" ht="18" customHeight="1">
      <c r="A8" s="4020"/>
      <c r="B8" s="2332" t="s">
        <v>140</v>
      </c>
      <c r="C8" s="2332" t="s">
        <v>152</v>
      </c>
      <c r="D8" s="2332" t="s">
        <v>429</v>
      </c>
      <c r="E8" s="2332" t="s">
        <v>152</v>
      </c>
      <c r="F8" s="2332" t="s">
        <v>141</v>
      </c>
      <c r="G8" s="2332" t="s">
        <v>431</v>
      </c>
      <c r="H8" s="2332" t="s">
        <v>177</v>
      </c>
      <c r="I8" s="2332" t="s">
        <v>181</v>
      </c>
      <c r="J8" s="2332" t="s">
        <v>1609</v>
      </c>
      <c r="K8" s="2332" t="s">
        <v>182</v>
      </c>
      <c r="L8" s="2332" t="s">
        <v>1573</v>
      </c>
      <c r="M8" s="2333" t="s">
        <v>1574</v>
      </c>
      <c r="N8" s="2108"/>
      <c r="O8" s="2109"/>
      <c r="P8" s="2109"/>
      <c r="Q8" s="2109"/>
      <c r="R8" s="2109"/>
      <c r="S8" s="2109"/>
      <c r="T8" s="2109"/>
      <c r="U8" s="2109"/>
      <c r="V8" s="2103"/>
      <c r="W8" s="2103"/>
      <c r="X8" s="2103"/>
      <c r="Y8" s="2103"/>
    </row>
    <row r="9" spans="1:25" hidden="1">
      <c r="A9" s="4020"/>
      <c r="B9" s="2208">
        <v>2000</v>
      </c>
      <c r="C9" s="2331"/>
      <c r="D9" s="2995"/>
      <c r="E9" s="2995"/>
      <c r="F9" s="2995"/>
      <c r="G9" s="2995"/>
      <c r="H9" s="2995"/>
      <c r="I9" s="2995"/>
      <c r="J9" s="2995"/>
      <c r="K9" s="2995"/>
      <c r="L9" s="2995"/>
      <c r="M9" s="2206"/>
      <c r="N9" s="2108"/>
      <c r="O9" s="2109"/>
      <c r="P9" s="2109"/>
      <c r="Q9" s="2109"/>
      <c r="R9" s="2109"/>
      <c r="S9" s="2109"/>
      <c r="T9" s="2109"/>
      <c r="U9" s="2109"/>
    </row>
    <row r="10" spans="1:25" hidden="1">
      <c r="A10" s="4020"/>
      <c r="B10" s="2209" t="s">
        <v>161</v>
      </c>
      <c r="C10" s="2331">
        <v>2030.53</v>
      </c>
      <c r="D10" s="2995">
        <v>81.739999999999995</v>
      </c>
      <c r="E10" s="2995">
        <v>58.76</v>
      </c>
      <c r="F10" s="2995">
        <v>56.08</v>
      </c>
      <c r="G10" s="2995">
        <v>2.68</v>
      </c>
      <c r="H10" s="2995">
        <v>41.22</v>
      </c>
      <c r="I10" s="2995">
        <v>677.81</v>
      </c>
      <c r="J10" s="2995">
        <v>1171</v>
      </c>
      <c r="K10" s="2995">
        <v>0</v>
      </c>
      <c r="L10" s="2995">
        <v>0</v>
      </c>
      <c r="M10" s="2206"/>
      <c r="N10" s="2108"/>
      <c r="O10" s="2109"/>
      <c r="P10" s="2109"/>
      <c r="Q10" s="2109"/>
      <c r="R10" s="2109"/>
      <c r="S10" s="2109"/>
      <c r="T10" s="2109"/>
      <c r="U10" s="2109"/>
    </row>
    <row r="11" spans="1:25" hidden="1">
      <c r="A11" s="4020"/>
      <c r="B11" s="2209" t="s">
        <v>162</v>
      </c>
      <c r="C11" s="2331">
        <v>2039.79</v>
      </c>
      <c r="D11" s="2995">
        <v>91.61</v>
      </c>
      <c r="E11" s="2995">
        <v>59.8</v>
      </c>
      <c r="F11" s="2995">
        <v>57.12</v>
      </c>
      <c r="G11" s="2995">
        <v>2.68</v>
      </c>
      <c r="H11" s="2995">
        <v>41.22</v>
      </c>
      <c r="I11" s="2995">
        <v>669.16</v>
      </c>
      <c r="J11" s="2995">
        <v>1178</v>
      </c>
      <c r="K11" s="2995">
        <v>0</v>
      </c>
      <c r="L11" s="2995">
        <v>0</v>
      </c>
      <c r="M11" s="2206"/>
      <c r="N11" s="2108"/>
      <c r="O11" s="2109"/>
      <c r="P11" s="2109"/>
      <c r="Q11" s="2109"/>
      <c r="R11" s="2109"/>
      <c r="S11" s="2109"/>
      <c r="T11" s="2109"/>
      <c r="U11" s="2109"/>
    </row>
    <row r="12" spans="1:25" hidden="1">
      <c r="A12" s="4020"/>
      <c r="B12" s="2209" t="s">
        <v>163</v>
      </c>
      <c r="C12" s="2331">
        <v>2058.46</v>
      </c>
      <c r="D12" s="2995">
        <v>160.44</v>
      </c>
      <c r="E12" s="2995">
        <v>57.21</v>
      </c>
      <c r="F12" s="2995">
        <v>54.53</v>
      </c>
      <c r="G12" s="2995">
        <v>2.68</v>
      </c>
      <c r="H12" s="2995">
        <v>41.22</v>
      </c>
      <c r="I12" s="2995">
        <v>676.59</v>
      </c>
      <c r="J12" s="2995">
        <v>1123</v>
      </c>
      <c r="K12" s="2995">
        <v>0</v>
      </c>
      <c r="L12" s="2995">
        <v>0</v>
      </c>
      <c r="M12" s="2206"/>
      <c r="N12" s="2108"/>
      <c r="O12" s="2109"/>
      <c r="P12" s="2109"/>
      <c r="Q12" s="2109"/>
      <c r="R12" s="2109"/>
      <c r="S12" s="2109"/>
      <c r="T12" s="2109"/>
      <c r="U12" s="2109"/>
    </row>
    <row r="13" spans="1:25" hidden="1">
      <c r="A13" s="4020"/>
      <c r="B13" s="2209" t="s">
        <v>164</v>
      </c>
      <c r="C13" s="2331">
        <v>2094.27</v>
      </c>
      <c r="D13" s="2995">
        <v>152.19</v>
      </c>
      <c r="E13" s="2995">
        <v>60.21</v>
      </c>
      <c r="F13" s="2995">
        <v>57.53</v>
      </c>
      <c r="G13" s="2995">
        <v>2.68</v>
      </c>
      <c r="H13" s="2995">
        <v>41.22</v>
      </c>
      <c r="I13" s="2995">
        <v>682.65</v>
      </c>
      <c r="J13" s="2995">
        <v>1158</v>
      </c>
      <c r="K13" s="2995">
        <v>0</v>
      </c>
      <c r="L13" s="2995">
        <v>0</v>
      </c>
      <c r="M13" s="2206"/>
      <c r="N13" s="2108"/>
      <c r="O13" s="2109"/>
      <c r="P13" s="2109"/>
      <c r="Q13" s="2109"/>
      <c r="R13" s="2109"/>
      <c r="S13" s="2109"/>
      <c r="T13" s="2109"/>
      <c r="U13" s="2109"/>
    </row>
    <row r="14" spans="1:25" hidden="1">
      <c r="A14" s="4020"/>
      <c r="B14" s="2209" t="s">
        <v>165</v>
      </c>
      <c r="C14" s="2331">
        <v>2146.23</v>
      </c>
      <c r="D14" s="2995">
        <v>184.68</v>
      </c>
      <c r="E14" s="2995">
        <v>54.42</v>
      </c>
      <c r="F14" s="2995">
        <v>51.74</v>
      </c>
      <c r="G14" s="2995">
        <v>2.68</v>
      </c>
      <c r="H14" s="2995">
        <v>41.22</v>
      </c>
      <c r="I14" s="2995">
        <v>657.91</v>
      </c>
      <c r="J14" s="2995">
        <v>1208</v>
      </c>
      <c r="K14" s="2995">
        <v>0</v>
      </c>
      <c r="L14" s="2995">
        <v>0</v>
      </c>
      <c r="M14" s="2206"/>
      <c r="N14" s="2108"/>
      <c r="O14" s="2109"/>
      <c r="P14" s="2109"/>
      <c r="Q14" s="2109"/>
      <c r="R14" s="2109"/>
      <c r="S14" s="2109"/>
      <c r="T14" s="2109"/>
      <c r="U14" s="2109"/>
    </row>
    <row r="15" spans="1:25" hidden="1">
      <c r="A15" s="4020"/>
      <c r="B15" s="2209" t="s">
        <v>166</v>
      </c>
      <c r="C15" s="2331">
        <v>2224.0100000000002</v>
      </c>
      <c r="D15" s="2995">
        <v>131.82</v>
      </c>
      <c r="E15" s="2995">
        <v>53.17</v>
      </c>
      <c r="F15" s="2995">
        <v>51.54</v>
      </c>
      <c r="G15" s="2995">
        <v>1.63</v>
      </c>
      <c r="H15" s="2995">
        <v>41.22</v>
      </c>
      <c r="I15" s="2995">
        <v>679.8</v>
      </c>
      <c r="J15" s="2995">
        <v>1318</v>
      </c>
      <c r="K15" s="2995">
        <v>0</v>
      </c>
      <c r="L15" s="2995">
        <v>0</v>
      </c>
      <c r="M15" s="2206"/>
      <c r="N15" s="2108"/>
      <c r="O15" s="2109"/>
      <c r="P15" s="2109"/>
      <c r="Q15" s="2109"/>
      <c r="R15" s="2109"/>
      <c r="S15" s="2109"/>
      <c r="T15" s="2109"/>
      <c r="U15" s="2109"/>
    </row>
    <row r="16" spans="1:25" hidden="1">
      <c r="A16" s="4020"/>
      <c r="B16" s="2210" t="s">
        <v>1173</v>
      </c>
      <c r="C16" s="2331">
        <v>911.31</v>
      </c>
      <c r="D16" s="2995">
        <v>95.36</v>
      </c>
      <c r="E16" s="2995">
        <v>53.08</v>
      </c>
      <c r="F16" s="2995">
        <v>51.54</v>
      </c>
      <c r="G16" s="2995">
        <v>1.54</v>
      </c>
      <c r="H16" s="2995">
        <v>41.22</v>
      </c>
      <c r="I16" s="2995">
        <v>701.65</v>
      </c>
      <c r="J16" s="2995">
        <v>20</v>
      </c>
      <c r="K16" s="2995">
        <v>0</v>
      </c>
      <c r="L16" s="2995">
        <v>0</v>
      </c>
      <c r="M16" s="2995"/>
      <c r="N16" s="2102"/>
      <c r="O16" s="2103"/>
      <c r="P16" s="2103"/>
      <c r="Q16" s="2103"/>
      <c r="R16" s="2103"/>
      <c r="S16" s="2107"/>
      <c r="T16" s="2103"/>
      <c r="U16" s="2103"/>
    </row>
    <row r="17" spans="1:21" hidden="1">
      <c r="A17" s="4020"/>
      <c r="B17" s="2210" t="s">
        <v>168</v>
      </c>
      <c r="C17" s="2331">
        <v>888.06</v>
      </c>
      <c r="D17" s="2995">
        <v>31.99</v>
      </c>
      <c r="E17" s="2995">
        <v>53.08</v>
      </c>
      <c r="F17" s="2995">
        <v>51.54</v>
      </c>
      <c r="G17" s="2995">
        <v>1.54</v>
      </c>
      <c r="H17" s="2995">
        <v>41.22</v>
      </c>
      <c r="I17" s="2995">
        <v>701.77</v>
      </c>
      <c r="J17" s="2995">
        <v>60</v>
      </c>
      <c r="K17" s="2995">
        <v>0</v>
      </c>
      <c r="L17" s="2995">
        <v>0</v>
      </c>
      <c r="M17" s="2995"/>
      <c r="N17" s="2102"/>
      <c r="O17" s="2103"/>
      <c r="P17" s="2103"/>
      <c r="Q17" s="2103"/>
      <c r="R17" s="2103"/>
      <c r="S17" s="2103"/>
      <c r="T17" s="2103"/>
      <c r="U17" s="2103"/>
    </row>
    <row r="18" spans="1:21" hidden="1">
      <c r="A18" s="4020"/>
      <c r="B18" s="2209" t="s">
        <v>183</v>
      </c>
      <c r="C18" s="2331">
        <v>932.21</v>
      </c>
      <c r="D18" s="2995">
        <v>48.23</v>
      </c>
      <c r="E18" s="2995">
        <v>52.62</v>
      </c>
      <c r="F18" s="2995">
        <v>51.08</v>
      </c>
      <c r="G18" s="2995">
        <v>1.54</v>
      </c>
      <c r="H18" s="2995">
        <v>41.22</v>
      </c>
      <c r="I18" s="2995">
        <v>750.14</v>
      </c>
      <c r="J18" s="2995">
        <v>40</v>
      </c>
      <c r="K18" s="2995">
        <v>0</v>
      </c>
      <c r="L18" s="2995">
        <v>0</v>
      </c>
      <c r="M18" s="2995"/>
      <c r="N18" s="2102"/>
      <c r="O18" s="2103"/>
      <c r="P18" s="2103"/>
      <c r="Q18" s="2103"/>
      <c r="R18" s="2103"/>
      <c r="S18" s="2103"/>
      <c r="T18" s="2103"/>
      <c r="U18" s="2103"/>
    </row>
    <row r="19" spans="1:21" hidden="1">
      <c r="A19" s="4020"/>
      <c r="B19" s="2209" t="s">
        <v>170</v>
      </c>
      <c r="C19" s="2331">
        <v>956.7</v>
      </c>
      <c r="D19" s="2995">
        <v>83.24</v>
      </c>
      <c r="E19" s="2995">
        <v>52.62</v>
      </c>
      <c r="F19" s="2995">
        <v>51.08</v>
      </c>
      <c r="G19" s="2995">
        <v>1.54</v>
      </c>
      <c r="H19" s="2995">
        <v>41.22</v>
      </c>
      <c r="I19" s="2995">
        <v>759.62</v>
      </c>
      <c r="J19" s="2995">
        <v>20</v>
      </c>
      <c r="K19" s="2995">
        <v>0</v>
      </c>
      <c r="L19" s="2995">
        <v>0</v>
      </c>
      <c r="M19" s="2995"/>
      <c r="N19" s="2102"/>
      <c r="O19" s="2103"/>
      <c r="P19" s="2103"/>
      <c r="Q19" s="2103"/>
      <c r="R19" s="2103"/>
      <c r="S19" s="2103"/>
      <c r="T19" s="2103"/>
      <c r="U19" s="2103"/>
    </row>
    <row r="20" spans="1:21" hidden="1">
      <c r="A20" s="4020"/>
      <c r="B20" s="2209" t="s">
        <v>171</v>
      </c>
      <c r="C20" s="2331">
        <v>876.36999999999989</v>
      </c>
      <c r="D20" s="2995">
        <v>18.23</v>
      </c>
      <c r="E20" s="2995">
        <v>52.62</v>
      </c>
      <c r="F20" s="2995">
        <v>51.08</v>
      </c>
      <c r="G20" s="2995">
        <v>1.54</v>
      </c>
      <c r="H20" s="2995">
        <v>41.22</v>
      </c>
      <c r="I20" s="2995">
        <v>764.3</v>
      </c>
      <c r="J20" s="2995">
        <v>0</v>
      </c>
      <c r="K20" s="2995">
        <v>0</v>
      </c>
      <c r="L20" s="2995">
        <v>0</v>
      </c>
      <c r="M20" s="2995"/>
      <c r="N20" s="2102"/>
      <c r="O20" s="2103"/>
      <c r="P20" s="2103"/>
      <c r="Q20" s="2103"/>
      <c r="R20" s="2103"/>
      <c r="S20" s="2103"/>
      <c r="T20" s="2103"/>
      <c r="U20" s="2103"/>
    </row>
    <row r="21" spans="1:21" s="2109" customFormat="1" hidden="1">
      <c r="A21" s="4021"/>
      <c r="B21" s="3026">
        <v>2000</v>
      </c>
      <c r="C21" s="2331">
        <v>956.92000000000007</v>
      </c>
      <c r="D21" s="2483">
        <v>45.49</v>
      </c>
      <c r="E21" s="2483">
        <v>52.1</v>
      </c>
      <c r="F21" s="2483">
        <v>51.04</v>
      </c>
      <c r="G21" s="2483">
        <v>1.06</v>
      </c>
      <c r="H21" s="2483">
        <v>17.25</v>
      </c>
      <c r="I21" s="2483">
        <v>842.08</v>
      </c>
      <c r="J21" s="2483">
        <v>0</v>
      </c>
      <c r="K21" s="2483">
        <v>0</v>
      </c>
      <c r="L21" s="2483">
        <v>0</v>
      </c>
      <c r="M21" s="2483"/>
      <c r="N21" s="2106"/>
      <c r="O21" s="2107"/>
      <c r="P21" s="2107"/>
      <c r="Q21" s="2107"/>
      <c r="R21" s="2107"/>
      <c r="S21" s="2107"/>
      <c r="T21" s="2107"/>
      <c r="U21" s="2107"/>
    </row>
    <row r="22" spans="1:21" ht="16.5" hidden="1" customHeight="1">
      <c r="A22" s="4020"/>
      <c r="B22" s="2208">
        <v>2001</v>
      </c>
      <c r="C22" s="2331"/>
      <c r="D22" s="2483"/>
      <c r="E22" s="2483"/>
      <c r="F22" s="2483"/>
      <c r="G22" s="2483"/>
      <c r="H22" s="2483"/>
      <c r="I22" s="2483"/>
      <c r="J22" s="2483"/>
      <c r="K22" s="2483"/>
      <c r="L22" s="2483"/>
      <c r="M22" s="2483"/>
      <c r="N22" s="2102"/>
      <c r="O22" s="2103"/>
      <c r="P22" s="2103"/>
      <c r="Q22" s="2103"/>
      <c r="R22" s="2103"/>
      <c r="S22" s="2103"/>
      <c r="T22" s="2103"/>
      <c r="U22" s="2103"/>
    </row>
    <row r="23" spans="1:21" ht="16.5" hidden="1" customHeight="1">
      <c r="A23" s="4020"/>
      <c r="B23" s="2209" t="s">
        <v>161</v>
      </c>
      <c r="C23" s="2331">
        <v>954.31000000000006</v>
      </c>
      <c r="D23" s="2483">
        <v>43.67</v>
      </c>
      <c r="E23" s="2483">
        <v>50.93</v>
      </c>
      <c r="F23" s="2483">
        <v>50</v>
      </c>
      <c r="G23" s="2483">
        <v>0.93</v>
      </c>
      <c r="H23" s="2483">
        <v>17.25</v>
      </c>
      <c r="I23" s="2483">
        <v>842.46</v>
      </c>
      <c r="J23" s="2483">
        <v>0</v>
      </c>
      <c r="K23" s="2483">
        <v>0</v>
      </c>
      <c r="L23" s="2483">
        <v>0</v>
      </c>
      <c r="M23" s="2483"/>
      <c r="N23" s="2102"/>
      <c r="O23" s="2103"/>
      <c r="P23" s="2103"/>
      <c r="Q23" s="2103"/>
      <c r="R23" s="2103"/>
      <c r="S23" s="2103"/>
      <c r="T23" s="2103"/>
      <c r="U23" s="2103"/>
    </row>
    <row r="24" spans="1:21" ht="16.5" hidden="1" customHeight="1">
      <c r="A24" s="4020"/>
      <c r="B24" s="2209" t="s">
        <v>162</v>
      </c>
      <c r="C24" s="2331">
        <v>958.92000000000007</v>
      </c>
      <c r="D24" s="2483">
        <v>20.399999999999999</v>
      </c>
      <c r="E24" s="2483">
        <v>50.93</v>
      </c>
      <c r="F24" s="2483">
        <v>50</v>
      </c>
      <c r="G24" s="2483">
        <v>0.93</v>
      </c>
      <c r="H24" s="2483">
        <v>17.25</v>
      </c>
      <c r="I24" s="2483">
        <v>870.34</v>
      </c>
      <c r="J24" s="2483">
        <v>0</v>
      </c>
      <c r="K24" s="2483">
        <v>0</v>
      </c>
      <c r="L24" s="2483">
        <v>0</v>
      </c>
      <c r="M24" s="2483"/>
      <c r="N24" s="2102"/>
      <c r="O24" s="2103"/>
      <c r="P24" s="2103"/>
      <c r="Q24" s="2103"/>
      <c r="R24" s="2103"/>
      <c r="S24" s="2103"/>
      <c r="T24" s="2103"/>
      <c r="U24" s="2103"/>
    </row>
    <row r="25" spans="1:21" ht="16.5" hidden="1" customHeight="1">
      <c r="A25" s="4020"/>
      <c r="B25" s="2209" t="s">
        <v>163</v>
      </c>
      <c r="C25" s="2331">
        <v>992.88</v>
      </c>
      <c r="D25" s="2483">
        <v>26.2</v>
      </c>
      <c r="E25" s="2483">
        <v>50.93</v>
      </c>
      <c r="F25" s="2483">
        <v>50</v>
      </c>
      <c r="G25" s="2483">
        <v>0.93</v>
      </c>
      <c r="H25" s="2483">
        <v>17.25</v>
      </c>
      <c r="I25" s="2483">
        <v>898.5</v>
      </c>
      <c r="J25" s="2483">
        <v>0</v>
      </c>
      <c r="K25" s="2483">
        <v>0</v>
      </c>
      <c r="L25" s="2483">
        <v>0</v>
      </c>
      <c r="M25" s="2484"/>
      <c r="N25" s="2101"/>
    </row>
    <row r="26" spans="1:21" ht="16.5" hidden="1" customHeight="1">
      <c r="A26" s="4020"/>
      <c r="B26" s="2210" t="s">
        <v>164</v>
      </c>
      <c r="C26" s="2331">
        <v>1003.48</v>
      </c>
      <c r="D26" s="2483">
        <v>31.55</v>
      </c>
      <c r="E26" s="2483">
        <v>53.7</v>
      </c>
      <c r="F26" s="2483">
        <v>52.77</v>
      </c>
      <c r="G26" s="2483">
        <v>0.93</v>
      </c>
      <c r="H26" s="2483">
        <v>17.25</v>
      </c>
      <c r="I26" s="2483">
        <v>900.98</v>
      </c>
      <c r="J26" s="2483">
        <v>0</v>
      </c>
      <c r="K26" s="2483">
        <v>0</v>
      </c>
      <c r="L26" s="2483">
        <v>0</v>
      </c>
      <c r="M26" s="2484"/>
      <c r="N26" s="2101"/>
    </row>
    <row r="27" spans="1:21" ht="16.5" hidden="1" customHeight="1">
      <c r="A27" s="4020"/>
      <c r="B27" s="2210" t="s">
        <v>165</v>
      </c>
      <c r="C27" s="2331">
        <v>1005.42</v>
      </c>
      <c r="D27" s="2483">
        <v>0</v>
      </c>
      <c r="E27" s="2483">
        <v>73.77000000000001</v>
      </c>
      <c r="F27" s="2483">
        <v>72.84</v>
      </c>
      <c r="G27" s="2483">
        <v>0.93</v>
      </c>
      <c r="H27" s="2483">
        <v>17.25</v>
      </c>
      <c r="I27" s="2483">
        <v>914.4</v>
      </c>
      <c r="J27" s="2483">
        <v>0</v>
      </c>
      <c r="K27" s="2483">
        <v>0</v>
      </c>
      <c r="L27" s="2483">
        <v>0</v>
      </c>
      <c r="M27" s="2484"/>
      <c r="N27" s="2101"/>
    </row>
    <row r="28" spans="1:21" ht="16.5" hidden="1" customHeight="1">
      <c r="A28" s="4020"/>
      <c r="B28" s="2210" t="s">
        <v>166</v>
      </c>
      <c r="C28" s="2331">
        <v>1027.3</v>
      </c>
      <c r="D28" s="2483">
        <v>51.5</v>
      </c>
      <c r="E28" s="2483">
        <v>51.31</v>
      </c>
      <c r="F28" s="2483">
        <v>50</v>
      </c>
      <c r="G28" s="2483">
        <v>1.31</v>
      </c>
      <c r="H28" s="2483">
        <v>17.25</v>
      </c>
      <c r="I28" s="2483">
        <v>907.24</v>
      </c>
      <c r="J28" s="2483">
        <v>0</v>
      </c>
      <c r="K28" s="2483">
        <v>0</v>
      </c>
      <c r="L28" s="2483">
        <v>0</v>
      </c>
      <c r="M28" s="2484"/>
      <c r="N28" s="2101"/>
    </row>
    <row r="29" spans="1:21" ht="16.5" hidden="1" customHeight="1">
      <c r="A29" s="4020"/>
      <c r="B29" s="2210" t="s">
        <v>167</v>
      </c>
      <c r="C29" s="2331">
        <v>1032.5999999999999</v>
      </c>
      <c r="D29" s="3047">
        <v>19.05</v>
      </c>
      <c r="E29" s="2483">
        <v>51.29</v>
      </c>
      <c r="F29" s="2483">
        <v>50</v>
      </c>
      <c r="G29" s="3047">
        <v>1.29</v>
      </c>
      <c r="H29" s="2483">
        <v>17.25</v>
      </c>
      <c r="I29" s="2483">
        <v>925.01</v>
      </c>
      <c r="J29" s="3047">
        <v>20</v>
      </c>
      <c r="K29" s="2483">
        <v>0</v>
      </c>
      <c r="L29" s="2483">
        <v>0</v>
      </c>
      <c r="M29" s="2484"/>
      <c r="N29" s="2101"/>
    </row>
    <row r="30" spans="1:21" ht="16.5" hidden="1" customHeight="1">
      <c r="A30" s="4020"/>
      <c r="B30" s="2210" t="s">
        <v>168</v>
      </c>
      <c r="C30" s="2331">
        <v>1032.26</v>
      </c>
      <c r="D30" s="3047">
        <v>12.36</v>
      </c>
      <c r="E30" s="2483">
        <v>51.29</v>
      </c>
      <c r="F30" s="2483">
        <v>50</v>
      </c>
      <c r="G30" s="3047">
        <v>1.29</v>
      </c>
      <c r="H30" s="2483">
        <v>17.25</v>
      </c>
      <c r="I30" s="2483">
        <v>919.36</v>
      </c>
      <c r="J30" s="3047">
        <v>32</v>
      </c>
      <c r="K30" s="2483">
        <v>0</v>
      </c>
      <c r="L30" s="2483">
        <v>0</v>
      </c>
      <c r="M30" s="2484"/>
      <c r="N30" s="2101"/>
    </row>
    <row r="31" spans="1:21" s="2109" customFormat="1" ht="16.5" hidden="1" customHeight="1">
      <c r="A31" s="4021"/>
      <c r="B31" s="2210" t="s">
        <v>169</v>
      </c>
      <c r="C31" s="2331">
        <v>1028.6400000000001</v>
      </c>
      <c r="D31" s="3047">
        <v>17.899999999999999</v>
      </c>
      <c r="E31" s="2483">
        <v>51.29</v>
      </c>
      <c r="F31" s="2483">
        <v>50</v>
      </c>
      <c r="G31" s="3047">
        <v>1.29</v>
      </c>
      <c r="H31" s="2483">
        <v>17.25</v>
      </c>
      <c r="I31" s="2483">
        <v>942.2</v>
      </c>
      <c r="J31" s="3047">
        <v>0</v>
      </c>
      <c r="K31" s="2483">
        <v>0</v>
      </c>
      <c r="L31" s="2483">
        <v>0</v>
      </c>
      <c r="M31" s="2484"/>
      <c r="N31" s="2108"/>
    </row>
    <row r="32" spans="1:21" ht="16.5" hidden="1" customHeight="1">
      <c r="A32" s="4020"/>
      <c r="B32" s="2210" t="s">
        <v>170</v>
      </c>
      <c r="C32" s="2331">
        <v>1042.51</v>
      </c>
      <c r="D32" s="3047">
        <v>22.15</v>
      </c>
      <c r="E32" s="2483">
        <v>51.29</v>
      </c>
      <c r="F32" s="2483">
        <v>50</v>
      </c>
      <c r="G32" s="2483">
        <v>1.29</v>
      </c>
      <c r="H32" s="2483">
        <v>17.25</v>
      </c>
      <c r="I32" s="2483">
        <v>951.82</v>
      </c>
      <c r="J32" s="2483">
        <v>0</v>
      </c>
      <c r="K32" s="2483">
        <v>0</v>
      </c>
      <c r="L32" s="2483">
        <v>0</v>
      </c>
      <c r="M32" s="2484"/>
      <c r="N32" s="2101"/>
    </row>
    <row r="33" spans="1:18" ht="16.5" hidden="1" customHeight="1">
      <c r="A33" s="4020"/>
      <c r="B33" s="2210" t="s">
        <v>171</v>
      </c>
      <c r="C33" s="2331">
        <v>1056.5</v>
      </c>
      <c r="D33" s="3047">
        <v>12.25</v>
      </c>
      <c r="E33" s="2483">
        <v>51.29</v>
      </c>
      <c r="F33" s="2483">
        <v>50</v>
      </c>
      <c r="G33" s="2483">
        <v>1.29</v>
      </c>
      <c r="H33" s="2483">
        <v>17.25</v>
      </c>
      <c r="I33" s="2483">
        <v>975.71</v>
      </c>
      <c r="J33" s="2483">
        <v>0</v>
      </c>
      <c r="K33" s="2483">
        <v>0</v>
      </c>
      <c r="L33" s="2483">
        <v>0</v>
      </c>
      <c r="M33" s="2484"/>
      <c r="N33" s="2101"/>
    </row>
    <row r="34" spans="1:18" hidden="1">
      <c r="A34" s="4020"/>
      <c r="B34" s="3027">
        <v>2001</v>
      </c>
      <c r="C34" s="2331">
        <v>1077.3499999999999</v>
      </c>
      <c r="D34" s="3047">
        <v>30.64</v>
      </c>
      <c r="E34" s="2483">
        <v>55.42</v>
      </c>
      <c r="F34" s="2483">
        <v>50</v>
      </c>
      <c r="G34" s="2483">
        <v>5.42</v>
      </c>
      <c r="H34" s="2483">
        <v>17.25</v>
      </c>
      <c r="I34" s="2483">
        <v>974.04</v>
      </c>
      <c r="J34" s="2483">
        <v>0</v>
      </c>
      <c r="K34" s="2483">
        <v>0</v>
      </c>
      <c r="L34" s="2483">
        <v>0</v>
      </c>
      <c r="M34" s="2483"/>
      <c r="N34" s="2101"/>
    </row>
    <row r="35" spans="1:18" hidden="1">
      <c r="A35" s="4020"/>
      <c r="B35" s="2208">
        <v>2002</v>
      </c>
      <c r="C35" s="2331"/>
      <c r="D35" s="3047"/>
      <c r="E35" s="2483"/>
      <c r="F35" s="3047"/>
      <c r="G35" s="3047"/>
      <c r="H35" s="2483"/>
      <c r="I35" s="3047"/>
      <c r="J35" s="3047"/>
      <c r="K35" s="3047"/>
      <c r="L35" s="3047"/>
      <c r="M35" s="3047"/>
      <c r="N35" s="2101"/>
    </row>
    <row r="36" spans="1:18" hidden="1">
      <c r="A36" s="4020"/>
      <c r="B36" s="2209" t="s">
        <v>161</v>
      </c>
      <c r="C36" s="2331">
        <v>1105.17</v>
      </c>
      <c r="D36" s="2483">
        <v>31.63</v>
      </c>
      <c r="E36" s="2483">
        <v>53.14</v>
      </c>
      <c r="F36" s="2483">
        <v>50</v>
      </c>
      <c r="G36" s="2483">
        <v>3.14</v>
      </c>
      <c r="H36" s="2483">
        <v>17.25</v>
      </c>
      <c r="I36" s="2483">
        <v>988.15</v>
      </c>
      <c r="J36" s="2483">
        <v>15</v>
      </c>
      <c r="K36" s="2483">
        <v>0</v>
      </c>
      <c r="L36" s="2483">
        <v>0</v>
      </c>
      <c r="M36" s="2484"/>
      <c r="N36" s="2101"/>
    </row>
    <row r="37" spans="1:18" hidden="1">
      <c r="A37" s="4020"/>
      <c r="B37" s="2209" t="s">
        <v>162</v>
      </c>
      <c r="C37" s="2331">
        <v>1115.8900000000001</v>
      </c>
      <c r="D37" s="2483">
        <v>16.309999999999999</v>
      </c>
      <c r="E37" s="2483">
        <v>53.14</v>
      </c>
      <c r="F37" s="2483">
        <v>50</v>
      </c>
      <c r="G37" s="2483">
        <v>3.14</v>
      </c>
      <c r="H37" s="2483">
        <v>17.25</v>
      </c>
      <c r="I37" s="2483">
        <v>1014.19</v>
      </c>
      <c r="J37" s="2483">
        <v>15</v>
      </c>
      <c r="K37" s="2483">
        <v>0</v>
      </c>
      <c r="L37" s="2483">
        <v>0</v>
      </c>
      <c r="M37" s="2484"/>
      <c r="N37" s="2101"/>
    </row>
    <row r="38" spans="1:18" hidden="1">
      <c r="A38" s="4020"/>
      <c r="B38" s="2209" t="s">
        <v>163</v>
      </c>
      <c r="C38" s="2331">
        <v>1127.58</v>
      </c>
      <c r="D38" s="2483">
        <v>22.67</v>
      </c>
      <c r="E38" s="2483">
        <v>53.14</v>
      </c>
      <c r="F38" s="2483">
        <v>50</v>
      </c>
      <c r="G38" s="2483">
        <v>3.14</v>
      </c>
      <c r="H38" s="2483">
        <v>17.25</v>
      </c>
      <c r="I38" s="2483">
        <v>1034.52</v>
      </c>
      <c r="J38" s="2483">
        <v>0</v>
      </c>
      <c r="K38" s="2483">
        <v>0</v>
      </c>
      <c r="L38" s="2483">
        <v>0</v>
      </c>
      <c r="M38" s="2484"/>
      <c r="N38" s="2101"/>
    </row>
    <row r="39" spans="1:18" hidden="1">
      <c r="A39" s="4020"/>
      <c r="B39" s="2209" t="s">
        <v>164</v>
      </c>
      <c r="C39" s="2331">
        <v>1142.96</v>
      </c>
      <c r="D39" s="2483">
        <v>17.510000000000002</v>
      </c>
      <c r="E39" s="2483">
        <v>53.14</v>
      </c>
      <c r="F39" s="2483">
        <v>50</v>
      </c>
      <c r="G39" s="2483">
        <v>3.14</v>
      </c>
      <c r="H39" s="2483">
        <v>17.25</v>
      </c>
      <c r="I39" s="2483">
        <v>1055.06</v>
      </c>
      <c r="J39" s="2483">
        <v>0</v>
      </c>
      <c r="K39" s="2483">
        <v>0</v>
      </c>
      <c r="L39" s="2483">
        <v>0</v>
      </c>
      <c r="M39" s="2484"/>
      <c r="N39" s="2101"/>
    </row>
    <row r="40" spans="1:18" hidden="1">
      <c r="A40" s="4020"/>
      <c r="B40" s="2209" t="s">
        <v>165</v>
      </c>
      <c r="C40" s="2331">
        <v>1153.06</v>
      </c>
      <c r="D40" s="2483">
        <v>8.81</v>
      </c>
      <c r="E40" s="2483">
        <v>53.14</v>
      </c>
      <c r="F40" s="2483">
        <v>50</v>
      </c>
      <c r="G40" s="2483">
        <v>3.14</v>
      </c>
      <c r="H40" s="2483">
        <v>17.25</v>
      </c>
      <c r="I40" s="2483">
        <v>1073.8599999999999</v>
      </c>
      <c r="J40" s="2483">
        <v>0</v>
      </c>
      <c r="K40" s="2483">
        <v>0</v>
      </c>
      <c r="L40" s="2483">
        <v>0</v>
      </c>
      <c r="M40" s="2484"/>
      <c r="N40" s="2101"/>
    </row>
    <row r="41" spans="1:18" hidden="1">
      <c r="A41" s="4020"/>
      <c r="B41" s="2209" t="s">
        <v>147</v>
      </c>
      <c r="C41" s="2331">
        <v>1187.6500000000001</v>
      </c>
      <c r="D41" s="2483">
        <v>39.29</v>
      </c>
      <c r="E41" s="2483">
        <v>55.730000000000004</v>
      </c>
      <c r="F41" s="2483">
        <v>50</v>
      </c>
      <c r="G41" s="2483">
        <v>5.73</v>
      </c>
      <c r="H41" s="2483">
        <v>17.25</v>
      </c>
      <c r="I41" s="2483">
        <v>1075.3800000000001</v>
      </c>
      <c r="J41" s="2483">
        <v>0</v>
      </c>
      <c r="K41" s="2483">
        <v>0</v>
      </c>
      <c r="L41" s="2483">
        <v>0</v>
      </c>
      <c r="M41" s="2484"/>
      <c r="N41" s="2101"/>
    </row>
    <row r="42" spans="1:18" hidden="1">
      <c r="A42" s="4020"/>
      <c r="B42" s="2209" t="s">
        <v>184</v>
      </c>
      <c r="C42" s="2331">
        <v>1200.77</v>
      </c>
      <c r="D42" s="2483">
        <v>39.200000000000003</v>
      </c>
      <c r="E42" s="2483">
        <v>55.730000000000004</v>
      </c>
      <c r="F42" s="2483">
        <v>50</v>
      </c>
      <c r="G42" s="2483">
        <v>5.73</v>
      </c>
      <c r="H42" s="2483">
        <v>17.25</v>
      </c>
      <c r="I42" s="2483">
        <v>1088.5899999999999</v>
      </c>
      <c r="J42" s="2483">
        <v>0</v>
      </c>
      <c r="K42" s="2483">
        <v>0</v>
      </c>
      <c r="L42" s="2483">
        <v>0</v>
      </c>
      <c r="M42" s="2484"/>
      <c r="N42" s="2101"/>
    </row>
    <row r="43" spans="1:18" hidden="1">
      <c r="A43" s="4020"/>
      <c r="B43" s="2209" t="s">
        <v>168</v>
      </c>
      <c r="C43" s="2331">
        <v>1195.81</v>
      </c>
      <c r="D43" s="2483">
        <v>25.55</v>
      </c>
      <c r="E43" s="2483">
        <v>55.71</v>
      </c>
      <c r="F43" s="2483">
        <v>50</v>
      </c>
      <c r="G43" s="2483">
        <v>5.71</v>
      </c>
      <c r="H43" s="2483">
        <v>17.25</v>
      </c>
      <c r="I43" s="2483">
        <v>1097.3</v>
      </c>
      <c r="J43" s="2483">
        <v>0</v>
      </c>
      <c r="K43" s="2483">
        <v>0</v>
      </c>
      <c r="L43" s="2483">
        <v>0</v>
      </c>
      <c r="M43" s="2484"/>
      <c r="N43" s="2101"/>
    </row>
    <row r="44" spans="1:18" hidden="1">
      <c r="A44" s="4020"/>
      <c r="B44" s="2209" t="s">
        <v>169</v>
      </c>
      <c r="C44" s="2331">
        <v>1199.94</v>
      </c>
      <c r="D44" s="2483">
        <v>14.09</v>
      </c>
      <c r="E44" s="2483">
        <v>55.71</v>
      </c>
      <c r="F44" s="2483">
        <v>50</v>
      </c>
      <c r="G44" s="2483">
        <v>5.71</v>
      </c>
      <c r="H44" s="2483">
        <v>17.25</v>
      </c>
      <c r="I44" s="2483">
        <v>1112.8900000000001</v>
      </c>
      <c r="J44" s="2483">
        <v>0</v>
      </c>
      <c r="K44" s="2483">
        <v>0</v>
      </c>
      <c r="L44" s="2483">
        <v>0</v>
      </c>
      <c r="M44" s="2484"/>
      <c r="N44" s="2101"/>
    </row>
    <row r="45" spans="1:18" hidden="1">
      <c r="A45" s="4020"/>
      <c r="B45" s="2209" t="s">
        <v>170</v>
      </c>
      <c r="C45" s="2331">
        <v>1235.23</v>
      </c>
      <c r="D45" s="3047">
        <v>37.89</v>
      </c>
      <c r="E45" s="2483">
        <v>55.71</v>
      </c>
      <c r="F45" s="3047">
        <v>50</v>
      </c>
      <c r="G45" s="2483">
        <v>5.71</v>
      </c>
      <c r="H45" s="2483">
        <v>17.25</v>
      </c>
      <c r="I45" s="3047">
        <v>1124.3800000000001</v>
      </c>
      <c r="J45" s="2483">
        <v>0</v>
      </c>
      <c r="K45" s="2483">
        <v>0</v>
      </c>
      <c r="L45" s="2483">
        <v>0</v>
      </c>
      <c r="M45" s="2484"/>
      <c r="N45" s="2101"/>
    </row>
    <row r="46" spans="1:18" hidden="1">
      <c r="A46" s="4020"/>
      <c r="B46" s="2209" t="s">
        <v>171</v>
      </c>
      <c r="C46" s="2331">
        <v>1249.76</v>
      </c>
      <c r="D46" s="3047">
        <v>33.46</v>
      </c>
      <c r="E46" s="2483">
        <v>55.71</v>
      </c>
      <c r="F46" s="3047">
        <v>50</v>
      </c>
      <c r="G46" s="2483">
        <v>5.71</v>
      </c>
      <c r="H46" s="2483">
        <v>17.25</v>
      </c>
      <c r="I46" s="3047">
        <v>1143.3399999999999</v>
      </c>
      <c r="J46" s="2483">
        <v>0</v>
      </c>
      <c r="K46" s="2483">
        <v>0</v>
      </c>
      <c r="L46" s="2483">
        <v>0</v>
      </c>
      <c r="M46" s="2484"/>
      <c r="N46" s="2101"/>
    </row>
    <row r="47" spans="1:18" hidden="1">
      <c r="A47" s="4020"/>
      <c r="B47" s="3026">
        <v>2002</v>
      </c>
      <c r="C47" s="2331">
        <v>1259.1100000000001</v>
      </c>
      <c r="D47" s="3047">
        <v>44.15</v>
      </c>
      <c r="E47" s="3047">
        <v>8.74</v>
      </c>
      <c r="F47" s="3047">
        <v>2.73</v>
      </c>
      <c r="G47" s="3047">
        <v>6.01</v>
      </c>
      <c r="H47" s="3047">
        <v>18.23</v>
      </c>
      <c r="I47" s="3047">
        <v>1137.99</v>
      </c>
      <c r="J47" s="3047">
        <v>50</v>
      </c>
      <c r="K47" s="3047">
        <v>0</v>
      </c>
      <c r="L47" s="3047">
        <v>0</v>
      </c>
      <c r="M47" s="2484"/>
      <c r="N47" s="2101"/>
    </row>
    <row r="48" spans="1:18" hidden="1">
      <c r="A48" s="4020"/>
      <c r="B48" s="2482">
        <v>2003</v>
      </c>
      <c r="C48" s="2996"/>
      <c r="D48" s="3048"/>
      <c r="E48" s="3048"/>
      <c r="F48" s="3048"/>
      <c r="G48" s="3048"/>
      <c r="H48" s="3048"/>
      <c r="I48" s="3048"/>
      <c r="J48" s="3048"/>
      <c r="K48" s="3048"/>
      <c r="L48" s="3048"/>
      <c r="M48" s="3048"/>
      <c r="N48" s="2101"/>
      <c r="P48" s="2112"/>
      <c r="R48" s="2112"/>
    </row>
    <row r="49" spans="1:21" hidden="1">
      <c r="A49" s="4020"/>
      <c r="B49" s="3028" t="s">
        <v>161</v>
      </c>
      <c r="C49" s="2331">
        <v>1272.9121781700001</v>
      </c>
      <c r="D49" s="2483">
        <v>44.443989960000003</v>
      </c>
      <c r="E49" s="3047">
        <v>8.5395576300000009</v>
      </c>
      <c r="F49" s="2483">
        <v>2.7349415800000001</v>
      </c>
      <c r="G49" s="2483">
        <v>5.8046160499999999</v>
      </c>
      <c r="H49" s="2483">
        <v>0</v>
      </c>
      <c r="I49" s="2483">
        <v>0</v>
      </c>
      <c r="J49" s="2483">
        <v>27.112078220000001</v>
      </c>
      <c r="K49" s="2483">
        <v>1138.5665523600001</v>
      </c>
      <c r="L49" s="2483">
        <v>51.25</v>
      </c>
      <c r="M49" s="2483">
        <v>3</v>
      </c>
      <c r="N49" s="2101"/>
    </row>
    <row r="50" spans="1:21" hidden="1">
      <c r="A50" s="4020"/>
      <c r="B50" s="3028" t="s">
        <v>162</v>
      </c>
      <c r="C50" s="2331">
        <v>1296.1405614600001</v>
      </c>
      <c r="D50" s="2483">
        <v>54.004419230000003</v>
      </c>
      <c r="E50" s="2483">
        <v>8.5395576300000009</v>
      </c>
      <c r="F50" s="2483">
        <v>2.7349415800000001</v>
      </c>
      <c r="G50" s="2483">
        <v>5.8046160499999999</v>
      </c>
      <c r="H50" s="2483">
        <v>0</v>
      </c>
      <c r="I50" s="2483">
        <v>0</v>
      </c>
      <c r="J50" s="2483">
        <v>27.232174780000001</v>
      </c>
      <c r="K50" s="2483">
        <v>1152.11440982</v>
      </c>
      <c r="L50" s="2483">
        <v>51.25</v>
      </c>
      <c r="M50" s="2483">
        <v>3</v>
      </c>
      <c r="N50" s="2102"/>
      <c r="O50" s="2103"/>
      <c r="P50" s="2103"/>
      <c r="Q50" s="2103"/>
      <c r="R50" s="2103"/>
      <c r="S50" s="2103"/>
      <c r="T50" s="2103"/>
      <c r="U50" s="2103"/>
    </row>
    <row r="51" spans="1:21" hidden="1">
      <c r="A51" s="4020"/>
      <c r="B51" s="3028" t="s">
        <v>163</v>
      </c>
      <c r="C51" s="2331">
        <v>1285.05242585</v>
      </c>
      <c r="D51" s="2483">
        <v>77.45974631</v>
      </c>
      <c r="E51" s="2483">
        <v>8.5395576300000009</v>
      </c>
      <c r="F51" s="2483">
        <v>2.7349415800000001</v>
      </c>
      <c r="G51" s="2483">
        <v>5.8046160499999999</v>
      </c>
      <c r="H51" s="2483">
        <v>0</v>
      </c>
      <c r="I51" s="2483">
        <v>0</v>
      </c>
      <c r="J51" s="2483">
        <v>27.365646390000002</v>
      </c>
      <c r="K51" s="2483">
        <v>1167.4374755199999</v>
      </c>
      <c r="L51" s="2483">
        <v>1.25</v>
      </c>
      <c r="M51" s="2483">
        <v>3</v>
      </c>
      <c r="N51" s="2102"/>
      <c r="O51" s="2103"/>
      <c r="P51" s="2103"/>
      <c r="Q51" s="2103"/>
      <c r="R51" s="2103"/>
      <c r="S51" s="2103"/>
      <c r="T51" s="2103"/>
      <c r="U51" s="2103"/>
    </row>
    <row r="52" spans="1:21" hidden="1">
      <c r="A52" s="4020"/>
      <c r="B52" s="3028" t="s">
        <v>164</v>
      </c>
      <c r="C52" s="2331">
        <v>1301.2885883699998</v>
      </c>
      <c r="D52" s="2483">
        <v>68.126391269999999</v>
      </c>
      <c r="E52" s="2483">
        <v>8.5395576300000009</v>
      </c>
      <c r="F52" s="2483">
        <v>2.7349415800000001</v>
      </c>
      <c r="G52" s="2483">
        <v>5.8046160499999999</v>
      </c>
      <c r="H52" s="2483">
        <v>0</v>
      </c>
      <c r="I52" s="2483">
        <v>0</v>
      </c>
      <c r="J52" s="2483">
        <v>26.406628650000002</v>
      </c>
      <c r="K52" s="2483">
        <v>1168.9660108199998</v>
      </c>
      <c r="L52" s="2483">
        <v>26.25</v>
      </c>
      <c r="M52" s="2483">
        <v>3</v>
      </c>
      <c r="N52" s="2102"/>
      <c r="O52" s="2103"/>
      <c r="P52" s="2103"/>
      <c r="Q52" s="2103"/>
      <c r="R52" s="2103"/>
      <c r="S52" s="2103"/>
      <c r="T52" s="2103"/>
      <c r="U52" s="2103"/>
    </row>
    <row r="53" spans="1:21" hidden="1">
      <c r="A53" s="4020"/>
      <c r="B53" s="3028" t="s">
        <v>165</v>
      </c>
      <c r="C53" s="2331">
        <v>1321.99963564</v>
      </c>
      <c r="D53" s="2483">
        <v>57.91011305</v>
      </c>
      <c r="E53" s="2483">
        <v>9.90365319</v>
      </c>
      <c r="F53" s="2483">
        <v>3.494158E-2</v>
      </c>
      <c r="G53" s="2483">
        <v>9.8687116100000001</v>
      </c>
      <c r="H53" s="2483">
        <v>0</v>
      </c>
      <c r="I53" s="2483">
        <v>0</v>
      </c>
      <c r="J53" s="2483">
        <v>26.557440249999999</v>
      </c>
      <c r="K53" s="2483">
        <v>1168.3784291499999</v>
      </c>
      <c r="L53" s="2483">
        <v>56.25</v>
      </c>
      <c r="M53" s="2483">
        <v>3</v>
      </c>
      <c r="N53" s="2102"/>
      <c r="O53" s="2103"/>
      <c r="P53" s="2103"/>
      <c r="Q53" s="2103"/>
      <c r="R53" s="2103"/>
      <c r="S53" s="2103"/>
      <c r="T53" s="2103"/>
      <c r="U53" s="2103"/>
    </row>
    <row r="54" spans="1:21" hidden="1">
      <c r="A54" s="4020"/>
      <c r="B54" s="3028" t="s">
        <v>166</v>
      </c>
      <c r="C54" s="2331">
        <v>1358.5212166900001</v>
      </c>
      <c r="D54" s="2483">
        <v>92.100230589999995</v>
      </c>
      <c r="E54" s="2483">
        <v>8.8100555800000002</v>
      </c>
      <c r="F54" s="2483">
        <v>3.494158E-2</v>
      </c>
      <c r="G54" s="2483">
        <v>8.7751140000000003</v>
      </c>
      <c r="H54" s="2483">
        <v>0</v>
      </c>
      <c r="I54" s="2483">
        <v>0</v>
      </c>
      <c r="J54" s="2483">
        <v>26.654964669999998</v>
      </c>
      <c r="K54" s="2483">
        <v>1171.70596585</v>
      </c>
      <c r="L54" s="2483">
        <v>56.25</v>
      </c>
      <c r="M54" s="2483">
        <v>3</v>
      </c>
      <c r="N54" s="2102"/>
      <c r="O54" s="2103"/>
      <c r="P54" s="2103"/>
      <c r="Q54" s="2103"/>
      <c r="R54" s="2103"/>
      <c r="S54" s="2103"/>
      <c r="T54" s="2103"/>
      <c r="U54" s="2103"/>
    </row>
    <row r="55" spans="1:21" hidden="1">
      <c r="A55" s="4020"/>
      <c r="B55" s="3028" t="s">
        <v>167</v>
      </c>
      <c r="C55" s="2331">
        <v>1306.0848072599999</v>
      </c>
      <c r="D55" s="2483">
        <v>30.983500509999999</v>
      </c>
      <c r="E55" s="2483">
        <v>8.8100555800000002</v>
      </c>
      <c r="F55" s="2483">
        <v>3.494158E-2</v>
      </c>
      <c r="G55" s="2483">
        <v>8.7751140000000003</v>
      </c>
      <c r="H55" s="2483">
        <v>0</v>
      </c>
      <c r="I55" s="2483">
        <v>0</v>
      </c>
      <c r="J55" s="2483">
        <v>25.69274982</v>
      </c>
      <c r="K55" s="2483">
        <v>1179.4735013499999</v>
      </c>
      <c r="L55" s="2483">
        <v>58.125</v>
      </c>
      <c r="M55" s="2483">
        <v>3</v>
      </c>
      <c r="N55" s="2102"/>
      <c r="O55" s="2103"/>
      <c r="P55" s="2103"/>
      <c r="Q55" s="2103"/>
      <c r="R55" s="2103"/>
      <c r="S55" s="2103"/>
      <c r="T55" s="2103"/>
      <c r="U55" s="2103"/>
    </row>
    <row r="56" spans="1:21" hidden="1">
      <c r="A56" s="4020"/>
      <c r="B56" s="3028" t="s">
        <v>168</v>
      </c>
      <c r="C56" s="2331">
        <v>1312.28181146</v>
      </c>
      <c r="D56" s="2483">
        <v>16.866216210000001</v>
      </c>
      <c r="E56" s="2483">
        <v>8.8100555800000002</v>
      </c>
      <c r="F56" s="2483">
        <v>3.494158E-2</v>
      </c>
      <c r="G56" s="2483">
        <v>8.7751140000000003</v>
      </c>
      <c r="H56" s="2483">
        <v>0</v>
      </c>
      <c r="I56" s="2483">
        <v>0</v>
      </c>
      <c r="J56" s="2483">
        <v>25.811434730000002</v>
      </c>
      <c r="K56" s="2483">
        <v>1199.6691049399999</v>
      </c>
      <c r="L56" s="2483">
        <v>58.125</v>
      </c>
      <c r="M56" s="2483">
        <v>3</v>
      </c>
      <c r="N56" s="2102"/>
      <c r="O56" s="2103"/>
      <c r="P56" s="2103"/>
      <c r="Q56" s="2103"/>
      <c r="R56" s="2103"/>
      <c r="S56" s="2103"/>
      <c r="T56" s="2103"/>
      <c r="U56" s="2103"/>
    </row>
    <row r="57" spans="1:21" hidden="1">
      <c r="A57" s="4020"/>
      <c r="B57" s="3028" t="s">
        <v>169</v>
      </c>
      <c r="C57" s="2331">
        <v>1306.9799616600001</v>
      </c>
      <c r="D57" s="2483">
        <v>53.208206150000002</v>
      </c>
      <c r="E57" s="2483">
        <v>3.1889679900000001</v>
      </c>
      <c r="F57" s="2483">
        <v>3.494158E-2</v>
      </c>
      <c r="G57" s="2483">
        <v>3.1540264100000002</v>
      </c>
      <c r="H57" s="2483">
        <v>0</v>
      </c>
      <c r="I57" s="2483">
        <v>0</v>
      </c>
      <c r="J57" s="2483">
        <v>24.845166550000002</v>
      </c>
      <c r="K57" s="2483">
        <v>1214.6126209700001</v>
      </c>
      <c r="L57" s="2483">
        <v>8.125</v>
      </c>
      <c r="M57" s="2483">
        <v>3</v>
      </c>
      <c r="N57" s="2102"/>
      <c r="O57" s="2103"/>
      <c r="P57" s="2103"/>
      <c r="Q57" s="2103"/>
      <c r="R57" s="2103"/>
      <c r="S57" s="2103"/>
      <c r="T57" s="2103"/>
      <c r="U57" s="2103"/>
    </row>
    <row r="58" spans="1:21" hidden="1">
      <c r="A58" s="4020"/>
      <c r="B58" s="3028" t="s">
        <v>170</v>
      </c>
      <c r="C58" s="2331">
        <v>1339.1784725699999</v>
      </c>
      <c r="D58" s="2483">
        <v>30.64525248</v>
      </c>
      <c r="E58" s="2483">
        <v>3.21396799</v>
      </c>
      <c r="F58" s="2483">
        <v>5.9941580000000001E-2</v>
      </c>
      <c r="G58" s="2483">
        <v>3.1540264100000002</v>
      </c>
      <c r="H58" s="2483">
        <v>0</v>
      </c>
      <c r="I58" s="2483">
        <v>0</v>
      </c>
      <c r="J58" s="2483">
        <v>24.955894480000001</v>
      </c>
      <c r="K58" s="2483">
        <v>1229.23835762</v>
      </c>
      <c r="L58" s="2483">
        <v>48.125</v>
      </c>
      <c r="M58" s="2483">
        <v>3</v>
      </c>
      <c r="N58" s="2102"/>
      <c r="O58" s="2103"/>
      <c r="P58" s="2103"/>
      <c r="Q58" s="2103"/>
      <c r="R58" s="2103"/>
      <c r="S58" s="2103"/>
      <c r="T58" s="2103"/>
      <c r="U58" s="2103"/>
    </row>
    <row r="59" spans="1:21" hidden="1">
      <c r="A59" s="4020"/>
      <c r="B59" s="3028" t="s">
        <v>171</v>
      </c>
      <c r="C59" s="2331">
        <v>1420.65769615</v>
      </c>
      <c r="D59" s="2483">
        <v>42.611933070000006</v>
      </c>
      <c r="E59" s="2483">
        <v>8.8125333800000014</v>
      </c>
      <c r="F59" s="2483">
        <v>5.9941580000000001E-2</v>
      </c>
      <c r="G59" s="2483">
        <v>8.7525918000000011</v>
      </c>
      <c r="H59" s="2483">
        <v>0</v>
      </c>
      <c r="I59" s="2483">
        <v>0</v>
      </c>
      <c r="J59" s="2483">
        <v>25.06350552</v>
      </c>
      <c r="K59" s="2483">
        <v>1233.04472418</v>
      </c>
      <c r="L59" s="2483">
        <v>108.125</v>
      </c>
      <c r="M59" s="2483">
        <v>3</v>
      </c>
      <c r="N59" s="2102"/>
      <c r="O59" s="2103"/>
      <c r="P59" s="2103"/>
      <c r="Q59" s="2103"/>
      <c r="R59" s="2103"/>
      <c r="S59" s="2103"/>
      <c r="T59" s="2103"/>
      <c r="U59" s="2103"/>
    </row>
    <row r="60" spans="1:21">
      <c r="A60" s="4021"/>
      <c r="B60" s="3029">
        <v>2003</v>
      </c>
      <c r="C60" s="2331">
        <v>1468.6892924699998</v>
      </c>
      <c r="D60" s="2483">
        <v>131.69182105000002</v>
      </c>
      <c r="E60" s="2483">
        <v>4.8620376399999996</v>
      </c>
      <c r="F60" s="2483">
        <v>5.9941580000000001E-2</v>
      </c>
      <c r="G60" s="2483">
        <v>4.8020960599999993</v>
      </c>
      <c r="H60" s="2483">
        <v>0</v>
      </c>
      <c r="I60" s="2483">
        <v>0</v>
      </c>
      <c r="J60" s="2483">
        <v>25.175158580000002</v>
      </c>
      <c r="K60" s="2483">
        <v>1225.8352751999998</v>
      </c>
      <c r="L60" s="2483">
        <v>78.125</v>
      </c>
      <c r="M60" s="2687">
        <v>3</v>
      </c>
      <c r="N60" s="2102"/>
      <c r="O60" s="2103"/>
      <c r="P60" s="2113"/>
      <c r="Q60" s="2113"/>
      <c r="R60" s="2103"/>
      <c r="S60" s="2103"/>
      <c r="T60" s="2103"/>
      <c r="U60" s="2103"/>
    </row>
    <row r="61" spans="1:21" hidden="1">
      <c r="A61" s="4021"/>
      <c r="B61" s="3029">
        <v>2004</v>
      </c>
      <c r="C61" s="2205"/>
      <c r="D61" s="2484"/>
      <c r="E61" s="2484"/>
      <c r="F61" s="2484"/>
      <c r="G61" s="2484"/>
      <c r="H61" s="2484"/>
      <c r="I61" s="2484"/>
      <c r="J61" s="2484"/>
      <c r="K61" s="2484"/>
      <c r="L61" s="2484"/>
      <c r="M61" s="2687"/>
      <c r="N61" s="2102"/>
      <c r="O61" s="2103"/>
      <c r="P61" s="2113"/>
      <c r="Q61" s="2113"/>
      <c r="R61" s="2103"/>
      <c r="S61" s="2103"/>
      <c r="T61" s="2103"/>
      <c r="U61" s="2103"/>
    </row>
    <row r="62" spans="1:21" hidden="1">
      <c r="A62" s="4021"/>
      <c r="B62" s="3490" t="s">
        <v>161</v>
      </c>
      <c r="C62" s="2331">
        <v>1401.3880573999998</v>
      </c>
      <c r="D62" s="2483">
        <v>79.378895</v>
      </c>
      <c r="E62" s="2483">
        <v>5.8926155600000003</v>
      </c>
      <c r="F62" s="2483">
        <v>5.9941580000000001E-2</v>
      </c>
      <c r="G62" s="2483">
        <v>5.83267398</v>
      </c>
      <c r="H62" s="2483">
        <v>0</v>
      </c>
      <c r="I62" s="2483">
        <v>0</v>
      </c>
      <c r="J62" s="2483">
        <v>24.198956299999999</v>
      </c>
      <c r="K62" s="2483">
        <v>1250.7925905399998</v>
      </c>
      <c r="L62" s="2483">
        <v>38.125</v>
      </c>
      <c r="M62" s="2687">
        <v>3</v>
      </c>
      <c r="N62" s="2102"/>
      <c r="O62" s="2103"/>
      <c r="P62" s="2113"/>
      <c r="Q62" s="2113"/>
      <c r="R62" s="2103"/>
      <c r="S62" s="2103"/>
      <c r="T62" s="2103"/>
      <c r="U62" s="2103"/>
    </row>
    <row r="63" spans="1:21" hidden="1">
      <c r="A63" s="4021"/>
      <c r="B63" s="3490" t="s">
        <v>162</v>
      </c>
      <c r="C63" s="2331">
        <v>1415.16836205</v>
      </c>
      <c r="D63" s="2483">
        <v>84.306905409999999</v>
      </c>
      <c r="E63" s="2483">
        <v>5.8721404400000008</v>
      </c>
      <c r="F63" s="2483">
        <v>5.9941580000000001E-2</v>
      </c>
      <c r="G63" s="2483">
        <v>5.8121988600000005</v>
      </c>
      <c r="H63" s="2483">
        <v>0</v>
      </c>
      <c r="I63" s="2483">
        <v>0</v>
      </c>
      <c r="J63" s="2483">
        <v>24.29565384</v>
      </c>
      <c r="K63" s="2483">
        <v>1269.56866236</v>
      </c>
      <c r="L63" s="2483">
        <v>28.125</v>
      </c>
      <c r="M63" s="2687">
        <v>3</v>
      </c>
      <c r="N63" s="2102"/>
      <c r="O63" s="2103"/>
      <c r="P63" s="2113"/>
      <c r="Q63" s="2113"/>
      <c r="R63" s="2103"/>
      <c r="S63" s="2103"/>
      <c r="T63" s="2103"/>
      <c r="U63" s="2103"/>
    </row>
    <row r="64" spans="1:21" hidden="1">
      <c r="A64" s="4021"/>
      <c r="B64" s="3490" t="s">
        <v>163</v>
      </c>
      <c r="C64" s="2331">
        <v>1391.68482255</v>
      </c>
      <c r="D64" s="2483">
        <v>45.830756139999998</v>
      </c>
      <c r="E64" s="2483">
        <v>4.0645799600000005</v>
      </c>
      <c r="F64" s="2483">
        <v>8.297025999999999E-2</v>
      </c>
      <c r="G64" s="2483">
        <v>3.9816097000000004</v>
      </c>
      <c r="H64" s="2483">
        <v>0</v>
      </c>
      <c r="I64" s="2483">
        <v>0</v>
      </c>
      <c r="J64" s="2483">
        <v>23.31799492</v>
      </c>
      <c r="K64" s="2483">
        <v>1287.3464915300001</v>
      </c>
      <c r="L64" s="2483">
        <v>28.125</v>
      </c>
      <c r="M64" s="2687">
        <v>3</v>
      </c>
      <c r="N64" s="2102"/>
      <c r="O64" s="2103"/>
      <c r="P64" s="2113"/>
      <c r="Q64" s="2113"/>
      <c r="R64" s="2103"/>
      <c r="S64" s="2103"/>
      <c r="T64" s="2103"/>
      <c r="U64" s="2103"/>
    </row>
    <row r="65" spans="1:23" hidden="1">
      <c r="A65" s="4021"/>
      <c r="B65" s="3491" t="s">
        <v>164</v>
      </c>
      <c r="C65" s="2331">
        <v>1410.6663497099998</v>
      </c>
      <c r="D65" s="2483">
        <v>63.548561329999998</v>
      </c>
      <c r="E65" s="2483">
        <v>3.1090859600000003</v>
      </c>
      <c r="F65" s="2483">
        <v>8.297025999999999E-2</v>
      </c>
      <c r="G65" s="2483">
        <v>3.0261157000000001</v>
      </c>
      <c r="H65" s="2483">
        <v>0</v>
      </c>
      <c r="I65" s="2483">
        <v>0</v>
      </c>
      <c r="J65" s="2483">
        <v>23.409839769999998</v>
      </c>
      <c r="K65" s="2483">
        <v>1289.4738626499998</v>
      </c>
      <c r="L65" s="2483">
        <v>28.125</v>
      </c>
      <c r="M65" s="2687">
        <v>3</v>
      </c>
      <c r="N65" s="2101"/>
      <c r="P65" s="2112"/>
      <c r="Q65" s="2112"/>
    </row>
    <row r="66" spans="1:23" hidden="1">
      <c r="A66" s="4021"/>
      <c r="B66" s="3491" t="s">
        <v>165</v>
      </c>
      <c r="C66" s="2331">
        <v>1431.6098121399998</v>
      </c>
      <c r="D66" s="2483">
        <v>73.524884470000003</v>
      </c>
      <c r="E66" s="2483">
        <v>4.1247196500000003</v>
      </c>
      <c r="F66" s="2483">
        <v>0.10197025999999999</v>
      </c>
      <c r="G66" s="2483">
        <v>4.0227493900000004</v>
      </c>
      <c r="H66" s="2483">
        <v>0.35266803999999996</v>
      </c>
      <c r="I66" s="2483">
        <v>0</v>
      </c>
      <c r="J66" s="2483">
        <v>23.505135019999997</v>
      </c>
      <c r="K66" s="2483">
        <v>1298.9774049599998</v>
      </c>
      <c r="L66" s="2483">
        <v>28.125</v>
      </c>
      <c r="M66" s="2687">
        <v>3</v>
      </c>
      <c r="N66" s="2101"/>
      <c r="P66" s="2112"/>
      <c r="Q66" s="2112"/>
    </row>
    <row r="67" spans="1:23" hidden="1">
      <c r="A67" s="4021"/>
      <c r="B67" s="3491" t="s">
        <v>166</v>
      </c>
      <c r="C67" s="2331">
        <v>1459.179865353</v>
      </c>
      <c r="D67" s="2483">
        <v>103.42683540000002</v>
      </c>
      <c r="E67" s="2483">
        <v>3.6844699800000003</v>
      </c>
      <c r="F67" s="2483">
        <v>0.10197025999999999</v>
      </c>
      <c r="G67" s="2483">
        <v>3.5824997200000004</v>
      </c>
      <c r="H67" s="2483">
        <v>0</v>
      </c>
      <c r="I67" s="2483">
        <v>0</v>
      </c>
      <c r="J67" s="2483">
        <v>23.59774513</v>
      </c>
      <c r="K67" s="2483">
        <v>1297.345814843</v>
      </c>
      <c r="L67" s="2483">
        <v>28.125</v>
      </c>
      <c r="M67" s="2687">
        <v>3</v>
      </c>
      <c r="N67" s="2101"/>
      <c r="P67" s="2112"/>
      <c r="Q67" s="2112"/>
    </row>
    <row r="68" spans="1:23" hidden="1">
      <c r="A68" s="4021"/>
      <c r="B68" s="3491" t="s">
        <v>167</v>
      </c>
      <c r="C68" s="2331">
        <v>1427.3321526499999</v>
      </c>
      <c r="D68" s="2483">
        <v>74.604457299999993</v>
      </c>
      <c r="E68" s="2483">
        <v>3.5930021199999995</v>
      </c>
      <c r="F68" s="2483">
        <v>0.10197025999999999</v>
      </c>
      <c r="G68" s="2483">
        <v>3.4910318599999997</v>
      </c>
      <c r="H68" s="2483">
        <v>0</v>
      </c>
      <c r="I68" s="2483">
        <v>0</v>
      </c>
      <c r="J68" s="2483">
        <v>22.604134000000002</v>
      </c>
      <c r="K68" s="2483">
        <v>1295.4055592299999</v>
      </c>
      <c r="L68" s="2483">
        <v>28.125</v>
      </c>
      <c r="M68" s="2687">
        <v>3</v>
      </c>
      <c r="N68" s="2101"/>
      <c r="P68" s="2112"/>
      <c r="Q68" s="2112"/>
    </row>
    <row r="69" spans="1:23" hidden="1">
      <c r="A69" s="4021"/>
      <c r="B69" s="3491" t="s">
        <v>168</v>
      </c>
      <c r="C69" s="2331">
        <v>1438.2282580199999</v>
      </c>
      <c r="D69" s="2483">
        <v>41.119743319999998</v>
      </c>
      <c r="E69" s="2483">
        <v>42.194433169999996</v>
      </c>
      <c r="F69" s="2483">
        <v>40.099629309999997</v>
      </c>
      <c r="G69" s="2483">
        <v>2.0948038600000003</v>
      </c>
      <c r="H69" s="2483">
        <v>0</v>
      </c>
      <c r="I69" s="2483">
        <v>0</v>
      </c>
      <c r="J69" s="2483">
        <v>84.207053970000004</v>
      </c>
      <c r="K69" s="2483">
        <v>1259.5820275599999</v>
      </c>
      <c r="L69" s="2483">
        <v>8.125</v>
      </c>
      <c r="M69" s="2687">
        <v>3</v>
      </c>
      <c r="N69" s="2101"/>
      <c r="P69" s="2112"/>
      <c r="Q69" s="2112"/>
      <c r="V69" s="2103"/>
      <c r="W69" s="2103"/>
    </row>
    <row r="70" spans="1:23" hidden="1">
      <c r="A70" s="4021"/>
      <c r="B70" s="3491" t="s">
        <v>169</v>
      </c>
      <c r="C70" s="2331">
        <v>1447.2461888900002</v>
      </c>
      <c r="D70" s="2483">
        <v>47.885909509999991</v>
      </c>
      <c r="E70" s="2483">
        <v>2.5911831699999999</v>
      </c>
      <c r="F70" s="2483">
        <v>9.9629309999999999E-2</v>
      </c>
      <c r="G70" s="2483">
        <v>2.4915538599999998</v>
      </c>
      <c r="H70" s="2483">
        <v>0</v>
      </c>
      <c r="I70" s="2483">
        <v>0</v>
      </c>
      <c r="J70" s="2483">
        <v>22.774907949999999</v>
      </c>
      <c r="K70" s="2483">
        <v>1342.8691882600001</v>
      </c>
      <c r="L70" s="2483">
        <v>28.125</v>
      </c>
      <c r="M70" s="2687">
        <v>3</v>
      </c>
      <c r="N70" s="2101"/>
      <c r="P70" s="2112"/>
      <c r="Q70" s="2112"/>
      <c r="V70" s="2103"/>
      <c r="W70" s="2103"/>
    </row>
    <row r="71" spans="1:23" hidden="1">
      <c r="A71" s="4021"/>
      <c r="B71" s="3491" t="s">
        <v>170</v>
      </c>
      <c r="C71" s="2331">
        <v>1452.79938528</v>
      </c>
      <c r="D71" s="2483">
        <v>29.871207420000001</v>
      </c>
      <c r="E71" s="2483">
        <v>2.5811831699999996</v>
      </c>
      <c r="F71" s="2483">
        <v>8.9629310000000004E-2</v>
      </c>
      <c r="G71" s="2483">
        <v>2.4915538599999998</v>
      </c>
      <c r="H71" s="2483">
        <v>0</v>
      </c>
      <c r="I71" s="2483">
        <v>0</v>
      </c>
      <c r="J71" s="2483">
        <v>7.7942835599999993</v>
      </c>
      <c r="K71" s="2483">
        <v>1372.55271113</v>
      </c>
      <c r="L71" s="2483">
        <v>40</v>
      </c>
      <c r="M71" s="2687">
        <v>0</v>
      </c>
      <c r="N71" s="2101"/>
      <c r="P71" s="2112"/>
      <c r="Q71" s="2112"/>
      <c r="V71" s="2103"/>
      <c r="W71" s="2103"/>
    </row>
    <row r="72" spans="1:23" hidden="1">
      <c r="A72" s="4021"/>
      <c r="B72" s="3491" t="s">
        <v>171</v>
      </c>
      <c r="C72" s="2331">
        <v>1480.95941438</v>
      </c>
      <c r="D72" s="2483">
        <v>38.713759139999993</v>
      </c>
      <c r="E72" s="2483">
        <v>16.434368169999999</v>
      </c>
      <c r="F72" s="2483">
        <v>8.9629310000000004E-2</v>
      </c>
      <c r="G72" s="2483">
        <v>16.34473886</v>
      </c>
      <c r="H72" s="2483">
        <v>0</v>
      </c>
      <c r="I72" s="2483">
        <v>0</v>
      </c>
      <c r="J72" s="2483">
        <v>7.8701772699999992</v>
      </c>
      <c r="K72" s="2483">
        <v>1387.9411098</v>
      </c>
      <c r="L72" s="2483">
        <v>30</v>
      </c>
      <c r="M72" s="2687">
        <v>0</v>
      </c>
      <c r="N72" s="2102"/>
      <c r="O72" s="2103"/>
      <c r="P72" s="2113"/>
      <c r="Q72" s="2113"/>
      <c r="R72" s="2103"/>
      <c r="S72" s="2103"/>
      <c r="T72" s="2103"/>
      <c r="U72" s="2103"/>
      <c r="V72" s="2103"/>
      <c r="W72" s="2103"/>
    </row>
    <row r="73" spans="1:23">
      <c r="A73" s="4021"/>
      <c r="B73" s="3029">
        <v>2004</v>
      </c>
      <c r="C73" s="2331">
        <v>1428.4218306400001</v>
      </c>
      <c r="D73" s="2483">
        <v>47.640643939999997</v>
      </c>
      <c r="E73" s="2483">
        <v>3.6283123499999999</v>
      </c>
      <c r="F73" s="2483">
        <v>8.9629310000000004E-2</v>
      </c>
      <c r="G73" s="2483">
        <v>3.53868304</v>
      </c>
      <c r="H73" s="2483">
        <v>0</v>
      </c>
      <c r="I73" s="2483">
        <v>0</v>
      </c>
      <c r="J73" s="2483">
        <v>20.843990720000001</v>
      </c>
      <c r="K73" s="2483">
        <v>1345.1838836300001</v>
      </c>
      <c r="L73" s="2483">
        <v>8.125</v>
      </c>
      <c r="M73" s="2687">
        <v>3</v>
      </c>
      <c r="N73" s="2102"/>
      <c r="O73" s="2103"/>
      <c r="P73" s="2113"/>
      <c r="Q73" s="2113"/>
      <c r="R73" s="2103"/>
      <c r="S73" s="2103"/>
      <c r="T73" s="2103"/>
      <c r="U73" s="2103"/>
      <c r="V73" s="2103"/>
      <c r="W73" s="2103"/>
    </row>
    <row r="74" spans="1:23" hidden="1">
      <c r="A74" s="4021"/>
      <c r="B74" s="3029">
        <v>2005</v>
      </c>
      <c r="C74" s="2205"/>
      <c r="D74" s="2484"/>
      <c r="E74" s="2484"/>
      <c r="F74" s="2484"/>
      <c r="G74" s="2484"/>
      <c r="H74" s="2484"/>
      <c r="I74" s="2484"/>
      <c r="J74" s="2484"/>
      <c r="K74" s="2484"/>
      <c r="L74" s="2484"/>
      <c r="M74" s="2687"/>
      <c r="N74" s="2102"/>
      <c r="O74" s="2103"/>
      <c r="P74" s="2113"/>
      <c r="R74" s="2103"/>
      <c r="S74" s="2103"/>
      <c r="V74" s="2103"/>
      <c r="W74" s="2103"/>
    </row>
    <row r="75" spans="1:23" hidden="1">
      <c r="A75" s="4021"/>
      <c r="B75" s="3490" t="s">
        <v>161</v>
      </c>
      <c r="C75" s="2331">
        <v>1442.19001306</v>
      </c>
      <c r="D75" s="2483">
        <v>42.09251347</v>
      </c>
      <c r="E75" s="2483">
        <v>3.3672653499999998</v>
      </c>
      <c r="F75" s="2483">
        <v>8.9629310000000004E-2</v>
      </c>
      <c r="G75" s="2483">
        <v>3.27763604</v>
      </c>
      <c r="H75" s="2483">
        <v>0</v>
      </c>
      <c r="I75" s="2483">
        <v>0</v>
      </c>
      <c r="J75" s="2483">
        <v>19.608444909999999</v>
      </c>
      <c r="K75" s="2483">
        <v>1365.99678933</v>
      </c>
      <c r="L75" s="2483">
        <v>8.125</v>
      </c>
      <c r="M75" s="2687">
        <v>3</v>
      </c>
      <c r="N75" s="2102"/>
      <c r="O75" s="2103"/>
      <c r="P75" s="2113"/>
      <c r="Q75" s="2103"/>
      <c r="R75" s="2103"/>
      <c r="S75" s="2103"/>
      <c r="V75" s="2103"/>
      <c r="W75" s="2103"/>
    </row>
    <row r="76" spans="1:23" hidden="1">
      <c r="A76" s="4021"/>
      <c r="B76" s="3490" t="s">
        <v>162</v>
      </c>
      <c r="C76" s="2331">
        <v>1441.19369381</v>
      </c>
      <c r="D76" s="2483">
        <v>15.168907879999999</v>
      </c>
      <c r="E76" s="2483">
        <v>3.6719833500000001</v>
      </c>
      <c r="F76" s="2483">
        <v>8.9629310000000004E-2</v>
      </c>
      <c r="G76" s="2483">
        <v>3.5823540400000002</v>
      </c>
      <c r="H76" s="2483">
        <v>0</v>
      </c>
      <c r="I76" s="2483">
        <v>0</v>
      </c>
      <c r="J76" s="2483">
        <v>19.660049319999999</v>
      </c>
      <c r="K76" s="2483">
        <v>1391.56775326</v>
      </c>
      <c r="L76" s="2483">
        <v>8.125</v>
      </c>
      <c r="M76" s="2687">
        <v>3</v>
      </c>
      <c r="N76" s="2102"/>
      <c r="O76" s="2103"/>
      <c r="P76" s="2113"/>
      <c r="Q76" s="2103"/>
      <c r="R76" s="2103"/>
      <c r="S76" s="2103"/>
      <c r="V76" s="2103"/>
      <c r="W76" s="2103"/>
    </row>
    <row r="77" spans="1:23" hidden="1">
      <c r="A77" s="4021"/>
      <c r="B77" s="3490" t="s">
        <v>163</v>
      </c>
      <c r="C77" s="2331">
        <v>1483.5020131299998</v>
      </c>
      <c r="D77" s="2483">
        <v>42.794348080000006</v>
      </c>
      <c r="E77" s="2483">
        <v>3.8337553499999997</v>
      </c>
      <c r="F77" s="2483">
        <v>8.9629310000000004E-2</v>
      </c>
      <c r="G77" s="2483">
        <v>3.7441260399999998</v>
      </c>
      <c r="H77" s="2483">
        <v>0</v>
      </c>
      <c r="I77" s="2483">
        <v>0</v>
      </c>
      <c r="J77" s="2483">
        <v>19.717182770000001</v>
      </c>
      <c r="K77" s="2483">
        <v>1406.0317269299999</v>
      </c>
      <c r="L77" s="2483">
        <v>8.125</v>
      </c>
      <c r="M77" s="2687">
        <v>3</v>
      </c>
      <c r="N77" s="2102"/>
      <c r="O77" s="2103"/>
      <c r="P77" s="2113"/>
      <c r="Q77" s="2103"/>
      <c r="R77" s="2103"/>
      <c r="S77" s="2103"/>
    </row>
    <row r="78" spans="1:23" hidden="1">
      <c r="A78" s="4021"/>
      <c r="B78" s="3491" t="s">
        <v>164</v>
      </c>
      <c r="C78" s="2331">
        <v>1515.1785278399998</v>
      </c>
      <c r="D78" s="2483">
        <v>39.771024789999998</v>
      </c>
      <c r="E78" s="2483">
        <v>5.5449423500000004</v>
      </c>
      <c r="F78" s="2483">
        <v>8.9629310000000004E-2</v>
      </c>
      <c r="G78" s="2483">
        <v>5.4553130400000001</v>
      </c>
      <c r="H78" s="2483">
        <v>0</v>
      </c>
      <c r="I78" s="2483">
        <v>0</v>
      </c>
      <c r="J78" s="2483">
        <v>19.639773009999999</v>
      </c>
      <c r="K78" s="2483">
        <v>1439.0977876899997</v>
      </c>
      <c r="L78" s="2483">
        <v>8.125</v>
      </c>
      <c r="M78" s="2687">
        <v>3</v>
      </c>
      <c r="N78" s="2101"/>
      <c r="P78" s="2112"/>
    </row>
    <row r="79" spans="1:23" hidden="1">
      <c r="A79" s="4021"/>
      <c r="B79" s="3490" t="s">
        <v>165</v>
      </c>
      <c r="C79" s="2331">
        <v>1525.3177854899998</v>
      </c>
      <c r="D79" s="2483">
        <v>19.615546520000002</v>
      </c>
      <c r="E79" s="2483">
        <v>7.17102635</v>
      </c>
      <c r="F79" s="2483">
        <v>8.9629310000000004E-2</v>
      </c>
      <c r="G79" s="2483">
        <v>7.0813970399999997</v>
      </c>
      <c r="H79" s="2483">
        <v>0</v>
      </c>
      <c r="I79" s="2483">
        <v>0</v>
      </c>
      <c r="J79" s="2483">
        <v>19.696906460000001</v>
      </c>
      <c r="K79" s="2483">
        <v>1467.7093061599999</v>
      </c>
      <c r="L79" s="2483">
        <v>8.125</v>
      </c>
      <c r="M79" s="2687">
        <v>3</v>
      </c>
      <c r="N79" s="2114"/>
      <c r="O79" s="2115"/>
      <c r="P79" s="2116"/>
      <c r="Q79" s="2115"/>
      <c r="R79" s="2115"/>
      <c r="S79" s="2103"/>
    </row>
    <row r="80" spans="1:23" hidden="1">
      <c r="A80" s="4021"/>
      <c r="B80" s="3491" t="s">
        <v>166</v>
      </c>
      <c r="C80" s="2331">
        <v>1565.2832726900001</v>
      </c>
      <c r="D80" s="2483">
        <v>41.622754050000005</v>
      </c>
      <c r="E80" s="2483">
        <v>6.7743703500000008</v>
      </c>
      <c r="F80" s="2483">
        <v>8.9629310000000004E-2</v>
      </c>
      <c r="G80" s="2483">
        <v>6.6847410400000005</v>
      </c>
      <c r="H80" s="2483">
        <v>0</v>
      </c>
      <c r="I80" s="2483">
        <v>0</v>
      </c>
      <c r="J80" s="2483">
        <v>18.671498339999999</v>
      </c>
      <c r="K80" s="2483">
        <v>1487.0896499500002</v>
      </c>
      <c r="L80" s="2483">
        <v>8.125</v>
      </c>
      <c r="M80" s="2687">
        <v>3</v>
      </c>
      <c r="N80" s="2101"/>
      <c r="P80" s="2112"/>
    </row>
    <row r="81" spans="1:16" hidden="1">
      <c r="A81" s="4021"/>
      <c r="B81" s="3491" t="s">
        <v>167</v>
      </c>
      <c r="C81" s="2331">
        <v>1581.2097022599999</v>
      </c>
      <c r="D81" s="2483">
        <v>37.973233870000008</v>
      </c>
      <c r="E81" s="2483">
        <v>8.5969023499999988</v>
      </c>
      <c r="F81" s="2483">
        <v>8.9629310000000004E-2</v>
      </c>
      <c r="G81" s="2483">
        <v>8.5072730399999994</v>
      </c>
      <c r="H81" s="2483">
        <v>0</v>
      </c>
      <c r="I81" s="2483">
        <v>0</v>
      </c>
      <c r="J81" s="2483">
        <v>13.97865</v>
      </c>
      <c r="K81" s="2483">
        <v>1509.5359160399998</v>
      </c>
      <c r="L81" s="2483">
        <v>8.125</v>
      </c>
      <c r="M81" s="2687">
        <v>3</v>
      </c>
      <c r="N81" s="2101"/>
      <c r="P81" s="2112"/>
    </row>
    <row r="82" spans="1:16" ht="16.5" hidden="1" customHeight="1">
      <c r="A82" s="4021"/>
      <c r="B82" s="3491" t="s">
        <v>168</v>
      </c>
      <c r="C82" s="2331">
        <v>1613.14794364</v>
      </c>
      <c r="D82" s="2483">
        <v>35.011625079999995</v>
      </c>
      <c r="E82" s="2483">
        <v>8.0241723500000006</v>
      </c>
      <c r="F82" s="2483">
        <v>8.9629310000000004E-2</v>
      </c>
      <c r="G82" s="2483">
        <v>7.9345430400000003</v>
      </c>
      <c r="H82" s="2483">
        <v>0</v>
      </c>
      <c r="I82" s="2483">
        <v>0</v>
      </c>
      <c r="J82" s="2483">
        <v>14.987526710000001</v>
      </c>
      <c r="K82" s="2483">
        <v>1543.9996195000001</v>
      </c>
      <c r="L82" s="2483">
        <v>8.125</v>
      </c>
      <c r="M82" s="2687">
        <v>3</v>
      </c>
      <c r="N82" s="2101"/>
      <c r="P82" s="2112"/>
    </row>
    <row r="83" spans="1:16" ht="17.25" hidden="1" customHeight="1">
      <c r="A83" s="4021"/>
      <c r="B83" s="3491" t="s">
        <v>169</v>
      </c>
      <c r="C83" s="2331">
        <v>2212.4404896400001</v>
      </c>
      <c r="D83" s="2483">
        <v>44.603304940000001</v>
      </c>
      <c r="E83" s="2483">
        <v>8.0241723500000006</v>
      </c>
      <c r="F83" s="2483">
        <v>8.9629310000000004E-2</v>
      </c>
      <c r="G83" s="2483">
        <v>7.9345430400000003</v>
      </c>
      <c r="H83" s="2483">
        <v>0</v>
      </c>
      <c r="I83" s="2483">
        <v>0.98731670999999999</v>
      </c>
      <c r="J83" s="2483">
        <v>72.698254300000002</v>
      </c>
      <c r="K83" s="2483">
        <v>2075.0024413400001</v>
      </c>
      <c r="L83" s="2483">
        <v>8.125</v>
      </c>
      <c r="M83" s="2687">
        <v>3</v>
      </c>
      <c r="N83" s="2101"/>
      <c r="P83" s="2112"/>
    </row>
    <row r="84" spans="1:16" hidden="1">
      <c r="A84" s="4021"/>
      <c r="B84" s="3491" t="s">
        <v>170</v>
      </c>
      <c r="C84" s="2331">
        <v>1628.5314505499998</v>
      </c>
      <c r="D84" s="2483">
        <v>65.443618799999996</v>
      </c>
      <c r="E84" s="2483">
        <v>7.39231485</v>
      </c>
      <c r="F84" s="2483">
        <v>8.9629310000000004E-2</v>
      </c>
      <c r="G84" s="2483">
        <v>7.3026855399999997</v>
      </c>
      <c r="H84" s="2483">
        <v>0</v>
      </c>
      <c r="I84" s="2483">
        <v>0</v>
      </c>
      <c r="J84" s="2483">
        <v>14.944473690000001</v>
      </c>
      <c r="K84" s="2483">
        <v>1529.6260432099998</v>
      </c>
      <c r="L84" s="2483">
        <v>8.125</v>
      </c>
      <c r="M84" s="2687">
        <v>3</v>
      </c>
      <c r="N84" s="2101"/>
      <c r="P84" s="2112"/>
    </row>
    <row r="85" spans="1:16" hidden="1">
      <c r="A85" s="4021"/>
      <c r="B85" s="3491" t="s">
        <v>171</v>
      </c>
      <c r="C85" s="2331">
        <v>1645.09482366</v>
      </c>
      <c r="D85" s="2483">
        <v>48.850617509999999</v>
      </c>
      <c r="E85" s="2483">
        <v>7.39231485</v>
      </c>
      <c r="F85" s="2483">
        <v>8.9629310000000004E-2</v>
      </c>
      <c r="G85" s="2483">
        <v>7.3026855399999997</v>
      </c>
      <c r="H85" s="2483">
        <v>0</v>
      </c>
      <c r="I85" s="2483">
        <v>0</v>
      </c>
      <c r="J85" s="2483">
        <v>14.92247094</v>
      </c>
      <c r="K85" s="2483">
        <v>1562.80442036</v>
      </c>
      <c r="L85" s="2483">
        <v>8.125</v>
      </c>
      <c r="M85" s="2687">
        <v>3</v>
      </c>
      <c r="N85" s="2101"/>
      <c r="P85" s="2112"/>
    </row>
    <row r="86" spans="1:16">
      <c r="A86" s="4021"/>
      <c r="B86" s="3030">
        <v>2005</v>
      </c>
      <c r="C86" s="2331">
        <v>1657.5908196199998</v>
      </c>
      <c r="D86" s="2483">
        <v>47.058660680000003</v>
      </c>
      <c r="E86" s="2483">
        <v>9.5966623799999997</v>
      </c>
      <c r="F86" s="2483">
        <v>8.9629310000000004E-2</v>
      </c>
      <c r="G86" s="2483">
        <v>9.5070330700000003</v>
      </c>
      <c r="H86" s="2483">
        <v>0</v>
      </c>
      <c r="I86" s="2483">
        <v>0</v>
      </c>
      <c r="J86" s="2483">
        <v>14.89895845</v>
      </c>
      <c r="K86" s="2483">
        <v>1574.9115381099998</v>
      </c>
      <c r="L86" s="2483">
        <v>8.125</v>
      </c>
      <c r="M86" s="2687">
        <v>3</v>
      </c>
      <c r="N86" s="2101"/>
      <c r="P86" s="2112"/>
    </row>
    <row r="87" spans="1:16" hidden="1">
      <c r="A87" s="4021"/>
      <c r="B87" s="3030">
        <v>2006</v>
      </c>
      <c r="C87" s="2205"/>
      <c r="D87" s="2484"/>
      <c r="E87" s="2484"/>
      <c r="F87" s="2484"/>
      <c r="G87" s="2484"/>
      <c r="H87" s="2484"/>
      <c r="I87" s="2484"/>
      <c r="J87" s="2484"/>
      <c r="K87" s="2484"/>
      <c r="L87" s="2484"/>
      <c r="M87" s="2687"/>
      <c r="N87" s="2101"/>
      <c r="P87" s="2112"/>
    </row>
    <row r="88" spans="1:16" hidden="1">
      <c r="A88" s="4021"/>
      <c r="B88" s="3491" t="s">
        <v>161</v>
      </c>
      <c r="C88" s="2331">
        <v>1686.3981863400002</v>
      </c>
      <c r="D88" s="2483">
        <v>43.577820270000004</v>
      </c>
      <c r="E88" s="2483">
        <v>11.447361599999999</v>
      </c>
      <c r="F88" s="2483">
        <v>6.962931E-2</v>
      </c>
      <c r="G88" s="2483">
        <v>11.377732289999999</v>
      </c>
      <c r="H88" s="2483">
        <v>0</v>
      </c>
      <c r="I88" s="2483">
        <v>0</v>
      </c>
      <c r="J88" s="2483">
        <v>14.87527888</v>
      </c>
      <c r="K88" s="2483">
        <v>1605.3727255900001</v>
      </c>
      <c r="L88" s="2483">
        <v>8.125</v>
      </c>
      <c r="M88" s="2687">
        <v>3</v>
      </c>
      <c r="N88" s="2101"/>
      <c r="P88" s="2112"/>
    </row>
    <row r="89" spans="1:16" hidden="1">
      <c r="A89" s="4021"/>
      <c r="B89" s="3491" t="s">
        <v>162</v>
      </c>
      <c r="C89" s="2331">
        <v>1699.54870747</v>
      </c>
      <c r="D89" s="2483">
        <v>73.375216480000006</v>
      </c>
      <c r="E89" s="2483">
        <v>10.797291599999999</v>
      </c>
      <c r="F89" s="2483">
        <v>6.962931E-2</v>
      </c>
      <c r="G89" s="2483">
        <v>10.72766229</v>
      </c>
      <c r="H89" s="2483">
        <v>0</v>
      </c>
      <c r="I89" s="2483">
        <v>0</v>
      </c>
      <c r="J89" s="2483">
        <v>14.85068738</v>
      </c>
      <c r="K89" s="2483">
        <v>1589.4005120100001</v>
      </c>
      <c r="L89" s="2483">
        <v>8.125</v>
      </c>
      <c r="M89" s="2687">
        <v>3</v>
      </c>
      <c r="N89" s="2101"/>
      <c r="P89" s="2112"/>
    </row>
    <row r="90" spans="1:16" hidden="1">
      <c r="A90" s="4021"/>
      <c r="B90" s="3491" t="s">
        <v>163</v>
      </c>
      <c r="C90" s="2331">
        <v>1699.3147706</v>
      </c>
      <c r="D90" s="2483">
        <v>29.981787840000003</v>
      </c>
      <c r="E90" s="2483">
        <v>10.796803599999999</v>
      </c>
      <c r="F90" s="2483">
        <v>6.962931E-2</v>
      </c>
      <c r="G90" s="2483">
        <v>10.727174289999999</v>
      </c>
      <c r="H90" s="2483">
        <v>0</v>
      </c>
      <c r="I90" s="2483">
        <v>0</v>
      </c>
      <c r="J90" s="2483">
        <v>14.82671163</v>
      </c>
      <c r="K90" s="2483">
        <v>1612.58446753</v>
      </c>
      <c r="L90" s="2483">
        <v>28.125</v>
      </c>
      <c r="M90" s="2687">
        <v>3</v>
      </c>
      <c r="N90" s="2101"/>
      <c r="P90" s="2112"/>
    </row>
    <row r="91" spans="1:16" hidden="1">
      <c r="A91" s="4021"/>
      <c r="B91" s="3491" t="s">
        <v>164</v>
      </c>
      <c r="C91" s="2331">
        <v>1724.0381731499999</v>
      </c>
      <c r="D91" s="2483">
        <v>56.770298150000002</v>
      </c>
      <c r="E91" s="2483">
        <v>11.448551599999998</v>
      </c>
      <c r="F91" s="2483">
        <v>6.962931E-2</v>
      </c>
      <c r="G91" s="2483">
        <v>11.378922289999998</v>
      </c>
      <c r="H91" s="2483">
        <v>0</v>
      </c>
      <c r="I91" s="2483">
        <v>0</v>
      </c>
      <c r="J91" s="2483">
        <v>14.802351209999999</v>
      </c>
      <c r="K91" s="2483">
        <v>1584.8919721899999</v>
      </c>
      <c r="L91" s="2483">
        <v>53.125</v>
      </c>
      <c r="M91" s="2687">
        <v>3</v>
      </c>
      <c r="N91" s="2101"/>
      <c r="P91" s="2112"/>
    </row>
    <row r="92" spans="1:16" hidden="1">
      <c r="A92" s="4021"/>
      <c r="B92" s="3491" t="s">
        <v>165</v>
      </c>
      <c r="C92" s="2331">
        <v>1753.6665893099998</v>
      </c>
      <c r="D92" s="2483">
        <v>50.031800660000002</v>
      </c>
      <c r="E92" s="2483">
        <v>11.081277599999998</v>
      </c>
      <c r="F92" s="2483">
        <v>4.4629309999999998E-2</v>
      </c>
      <c r="G92" s="2483">
        <v>11.036648289999999</v>
      </c>
      <c r="H92" s="2483">
        <v>0</v>
      </c>
      <c r="I92" s="2483">
        <v>0</v>
      </c>
      <c r="J92" s="2483">
        <v>14.77789694</v>
      </c>
      <c r="K92" s="2483">
        <v>1586.6506141099999</v>
      </c>
      <c r="L92" s="2483">
        <v>88.125</v>
      </c>
      <c r="M92" s="2687">
        <v>3</v>
      </c>
      <c r="N92" s="2101"/>
      <c r="P92" s="2112"/>
    </row>
    <row r="93" spans="1:16" hidden="1">
      <c r="A93" s="4021"/>
      <c r="B93" s="3491" t="s">
        <v>166</v>
      </c>
      <c r="C93" s="2331">
        <v>1734.8213042700002</v>
      </c>
      <c r="D93" s="2483">
        <v>66.387359939999996</v>
      </c>
      <c r="E93" s="2483">
        <v>11.934629599999999</v>
      </c>
      <c r="F93" s="2483">
        <v>4.4629309999999998E-2</v>
      </c>
      <c r="G93" s="2483">
        <v>11.89000029</v>
      </c>
      <c r="H93" s="2483">
        <v>0</v>
      </c>
      <c r="I93" s="2483">
        <v>0</v>
      </c>
      <c r="J93" s="2483">
        <v>14.753059439999999</v>
      </c>
      <c r="K93" s="2483">
        <v>1570.6212552900001</v>
      </c>
      <c r="L93" s="2483">
        <v>68.125</v>
      </c>
      <c r="M93" s="2687">
        <v>3</v>
      </c>
      <c r="N93" s="2101"/>
      <c r="P93" s="2112"/>
    </row>
    <row r="94" spans="1:16" hidden="1">
      <c r="A94" s="4021"/>
      <c r="B94" s="3491" t="s">
        <v>167</v>
      </c>
      <c r="C94" s="2331">
        <v>1760.9541967200003</v>
      </c>
      <c r="D94" s="2483">
        <v>60.064733670000003</v>
      </c>
      <c r="E94" s="2483">
        <v>13.874722599999998</v>
      </c>
      <c r="F94" s="2483">
        <v>4.4629309999999998E-2</v>
      </c>
      <c r="G94" s="2483">
        <v>13.830093289999999</v>
      </c>
      <c r="H94" s="2483">
        <v>0.38864441</v>
      </c>
      <c r="I94" s="2483">
        <v>0</v>
      </c>
      <c r="J94" s="2483">
        <v>14.728128249999999</v>
      </c>
      <c r="K94" s="2483">
        <v>1585.7729677900002</v>
      </c>
      <c r="L94" s="2483">
        <v>83.125</v>
      </c>
      <c r="M94" s="2687">
        <v>3</v>
      </c>
      <c r="N94" s="2101"/>
      <c r="P94" s="2112"/>
    </row>
    <row r="95" spans="1:16" hidden="1">
      <c r="A95" s="4021"/>
      <c r="B95" s="3491" t="s">
        <v>168</v>
      </c>
      <c r="C95" s="2331">
        <v>1758.3231301600001</v>
      </c>
      <c r="D95" s="2483">
        <v>49.443996660000003</v>
      </c>
      <c r="E95" s="2483">
        <v>11.70970112</v>
      </c>
      <c r="F95" s="2483">
        <v>4.4629309999999998E-2</v>
      </c>
      <c r="G95" s="2483">
        <v>11.665071810000001</v>
      </c>
      <c r="H95" s="2483">
        <v>0</v>
      </c>
      <c r="I95" s="2483">
        <v>0</v>
      </c>
      <c r="J95" s="2483">
        <v>14.703060170000001</v>
      </c>
      <c r="K95" s="2483">
        <v>1601.3413722100001</v>
      </c>
      <c r="L95" s="2483">
        <v>78.125</v>
      </c>
      <c r="M95" s="2687">
        <v>3</v>
      </c>
      <c r="N95" s="2101"/>
      <c r="P95" s="2112"/>
    </row>
    <row r="96" spans="1:16" ht="15.75" hidden="1" customHeight="1">
      <c r="A96" s="4021"/>
      <c r="B96" s="3491" t="s">
        <v>169</v>
      </c>
      <c r="C96" s="2331">
        <v>1772.67296554</v>
      </c>
      <c r="D96" s="2483">
        <v>57.36826653</v>
      </c>
      <c r="E96" s="2483">
        <v>11.142238520000001</v>
      </c>
      <c r="F96" s="2483">
        <v>4.4629309999999998E-2</v>
      </c>
      <c r="G96" s="2483">
        <v>11.097609210000002</v>
      </c>
      <c r="H96" s="2483">
        <v>0</v>
      </c>
      <c r="I96" s="2483">
        <v>0</v>
      </c>
      <c r="J96" s="2483">
        <v>14.67753939</v>
      </c>
      <c r="K96" s="2483">
        <v>1588.3599211000001</v>
      </c>
      <c r="L96" s="2483">
        <v>98.125</v>
      </c>
      <c r="M96" s="2687">
        <v>3</v>
      </c>
      <c r="N96" s="2101"/>
      <c r="P96" s="2112"/>
    </row>
    <row r="97" spans="1:23" hidden="1">
      <c r="A97" s="4021"/>
      <c r="B97" s="3491" t="s">
        <v>170</v>
      </c>
      <c r="C97" s="2331">
        <v>1789.97436851</v>
      </c>
      <c r="D97" s="2483">
        <v>38.273757850000003</v>
      </c>
      <c r="E97" s="2483">
        <v>14.115192010000001</v>
      </c>
      <c r="F97" s="2483">
        <v>3.0175828</v>
      </c>
      <c r="G97" s="2483">
        <v>11.097609210000002</v>
      </c>
      <c r="H97" s="2483">
        <v>0</v>
      </c>
      <c r="I97" s="2483">
        <v>0</v>
      </c>
      <c r="J97" s="2483">
        <v>17.653942730000001</v>
      </c>
      <c r="K97" s="2483">
        <v>1603.8064759199999</v>
      </c>
      <c r="L97" s="2483">
        <v>113.125</v>
      </c>
      <c r="M97" s="2687">
        <v>3</v>
      </c>
      <c r="N97" s="2101"/>
      <c r="P97" s="2112"/>
      <c r="W97" s="2109"/>
    </row>
    <row r="98" spans="1:23" hidden="1">
      <c r="A98" s="4021"/>
      <c r="B98" s="3491" t="s">
        <v>171</v>
      </c>
      <c r="C98" s="2331">
        <v>1802.5246369399999</v>
      </c>
      <c r="D98" s="2483">
        <v>56.366515790000001</v>
      </c>
      <c r="E98" s="2483">
        <v>14.032565290000001</v>
      </c>
      <c r="F98" s="2483">
        <v>3.1164140799999998</v>
      </c>
      <c r="G98" s="2483">
        <v>10.916151210000001</v>
      </c>
      <c r="H98" s="2483">
        <v>0</v>
      </c>
      <c r="I98" s="2483">
        <v>0</v>
      </c>
      <c r="J98" s="2483">
        <v>18.261380599999999</v>
      </c>
      <c r="K98" s="2483">
        <v>1617.7391752599999</v>
      </c>
      <c r="L98" s="2483">
        <v>93.125</v>
      </c>
      <c r="M98" s="2687">
        <v>3</v>
      </c>
      <c r="N98" s="2101"/>
      <c r="P98" s="2112"/>
    </row>
    <row r="99" spans="1:23">
      <c r="A99" s="4021"/>
      <c r="B99" s="3030">
        <v>2006</v>
      </c>
      <c r="C99" s="2331">
        <v>1772.9817346100001</v>
      </c>
      <c r="D99" s="2483">
        <v>71.02667000000001</v>
      </c>
      <c r="E99" s="2483">
        <v>10.650541</v>
      </c>
      <c r="F99" s="2483">
        <v>4.4629000000000002E-2</v>
      </c>
      <c r="G99" s="2483">
        <v>10.605912</v>
      </c>
      <c r="H99" s="2483">
        <v>0</v>
      </c>
      <c r="I99" s="2483">
        <v>0</v>
      </c>
      <c r="J99" s="2483">
        <v>18.239775139999999</v>
      </c>
      <c r="K99" s="2483">
        <v>1611.93974847</v>
      </c>
      <c r="L99" s="2483">
        <v>58.125</v>
      </c>
      <c r="M99" s="2687">
        <v>3</v>
      </c>
      <c r="N99" s="2101"/>
      <c r="P99" s="2112"/>
    </row>
    <row r="100" spans="1:23" hidden="1">
      <c r="A100" s="4021"/>
      <c r="B100" s="3030">
        <v>2007</v>
      </c>
      <c r="C100" s="2205"/>
      <c r="D100" s="2484"/>
      <c r="E100" s="2484"/>
      <c r="F100" s="2484"/>
      <c r="G100" s="2484"/>
      <c r="H100" s="2484"/>
      <c r="I100" s="2484"/>
      <c r="J100" s="2484"/>
      <c r="K100" s="2484"/>
      <c r="L100" s="2484"/>
      <c r="M100" s="2687"/>
      <c r="N100" s="2101"/>
    </row>
    <row r="101" spans="1:23" hidden="1">
      <c r="A101" s="4021"/>
      <c r="B101" s="3491" t="s">
        <v>161</v>
      </c>
      <c r="C101" s="2331">
        <v>1787.6070850400001</v>
      </c>
      <c r="D101" s="2483">
        <v>79.066161530000002</v>
      </c>
      <c r="E101" s="2483">
        <v>11.209551089999998</v>
      </c>
      <c r="F101" s="2483">
        <v>4.4629309999999998E-2</v>
      </c>
      <c r="G101" s="2483">
        <v>11.164921779999998</v>
      </c>
      <c r="H101" s="2483">
        <v>0</v>
      </c>
      <c r="I101" s="2483">
        <v>0</v>
      </c>
      <c r="J101" s="2483">
        <v>18.280522519999998</v>
      </c>
      <c r="K101" s="2483">
        <v>1617.9258499</v>
      </c>
      <c r="L101" s="2483">
        <v>58.125</v>
      </c>
      <c r="M101" s="2687">
        <v>3</v>
      </c>
      <c r="N101" s="2101"/>
    </row>
    <row r="102" spans="1:23" hidden="1">
      <c r="A102" s="4021"/>
      <c r="B102" s="3491" t="s">
        <v>162</v>
      </c>
      <c r="C102" s="2331">
        <v>1809.5851453999999</v>
      </c>
      <c r="D102" s="2483">
        <v>78.99849442</v>
      </c>
      <c r="E102" s="2483">
        <v>14.873771980000001</v>
      </c>
      <c r="F102" s="2483">
        <v>3.4330352</v>
      </c>
      <c r="G102" s="2483">
        <v>11.44073678</v>
      </c>
      <c r="H102" s="2483">
        <v>0</v>
      </c>
      <c r="I102" s="2483">
        <v>0</v>
      </c>
      <c r="J102" s="2483">
        <v>21.288268549999998</v>
      </c>
      <c r="K102" s="2483">
        <v>1628.2996104499998</v>
      </c>
      <c r="L102" s="2483">
        <v>63.125</v>
      </c>
      <c r="M102" s="2687">
        <v>3</v>
      </c>
      <c r="N102" s="2101"/>
    </row>
    <row r="103" spans="1:23" hidden="1">
      <c r="A103" s="4021"/>
      <c r="B103" s="3491" t="s">
        <v>163</v>
      </c>
      <c r="C103" s="2331">
        <v>1817.17896638</v>
      </c>
      <c r="D103" s="2483">
        <v>46.418811859999998</v>
      </c>
      <c r="E103" s="2483">
        <v>11.485366089999999</v>
      </c>
      <c r="F103" s="2483">
        <v>4.4629309999999998E-2</v>
      </c>
      <c r="G103" s="2483">
        <v>11.44073678</v>
      </c>
      <c r="H103" s="2483">
        <v>0</v>
      </c>
      <c r="I103" s="2483">
        <v>0</v>
      </c>
      <c r="J103" s="2483">
        <v>22.82891755</v>
      </c>
      <c r="K103" s="2483">
        <v>1670.32087088</v>
      </c>
      <c r="L103" s="2483">
        <v>63.125</v>
      </c>
      <c r="M103" s="2687">
        <v>3</v>
      </c>
      <c r="N103" s="2101"/>
    </row>
    <row r="104" spans="1:23" hidden="1">
      <c r="A104" s="4021"/>
      <c r="B104" s="3491" t="s">
        <v>164</v>
      </c>
      <c r="C104" s="2331">
        <v>1869.01036505</v>
      </c>
      <c r="D104" s="2483">
        <v>95.570891689999996</v>
      </c>
      <c r="E104" s="2483">
        <v>21.897749090000001</v>
      </c>
      <c r="F104" s="2483">
        <v>4.4629309999999998E-2</v>
      </c>
      <c r="G104" s="2483">
        <v>21.85311978</v>
      </c>
      <c r="H104" s="2483">
        <v>0</v>
      </c>
      <c r="I104" s="2483">
        <v>0</v>
      </c>
      <c r="J104" s="2483">
        <v>25.121222599999999</v>
      </c>
      <c r="K104" s="2483">
        <v>1635.29550167</v>
      </c>
      <c r="L104" s="2483">
        <v>88.125</v>
      </c>
      <c r="M104" s="2687">
        <v>3</v>
      </c>
      <c r="N104" s="2101"/>
    </row>
    <row r="105" spans="1:23" hidden="1">
      <c r="A105" s="4021"/>
      <c r="B105" s="3491" t="s">
        <v>165</v>
      </c>
      <c r="C105" s="2331">
        <v>1880.6483818499999</v>
      </c>
      <c r="D105" s="2483">
        <v>101.71085764</v>
      </c>
      <c r="E105" s="2483">
        <v>12.937640089999999</v>
      </c>
      <c r="F105" s="2483">
        <v>4.4629309999999998E-2</v>
      </c>
      <c r="G105" s="2483">
        <v>12.893010779999999</v>
      </c>
      <c r="H105" s="2483">
        <v>0</v>
      </c>
      <c r="I105" s="2483">
        <v>0</v>
      </c>
      <c r="J105" s="2483">
        <v>25.179459699999999</v>
      </c>
      <c r="K105" s="2483">
        <v>1634.6954244199999</v>
      </c>
      <c r="L105" s="2483">
        <v>103.125</v>
      </c>
      <c r="M105" s="2687">
        <v>3</v>
      </c>
      <c r="N105" s="2101"/>
    </row>
    <row r="106" spans="1:23" hidden="1">
      <c r="A106" s="4021"/>
      <c r="B106" s="3491" t="s">
        <v>166</v>
      </c>
      <c r="C106" s="2331">
        <v>1887.8954105700002</v>
      </c>
      <c r="D106" s="2483">
        <v>93.53690881</v>
      </c>
      <c r="E106" s="2483">
        <v>12.831333089999999</v>
      </c>
      <c r="F106" s="2483">
        <v>4.4629309999999998E-2</v>
      </c>
      <c r="G106" s="2483">
        <v>12.78670378</v>
      </c>
      <c r="H106" s="2483">
        <v>0</v>
      </c>
      <c r="I106" s="2483">
        <v>0</v>
      </c>
      <c r="J106" s="2483">
        <v>29.782525230000001</v>
      </c>
      <c r="K106" s="2483">
        <v>1670.6196434400001</v>
      </c>
      <c r="L106" s="2483">
        <v>78.125</v>
      </c>
      <c r="M106" s="2687">
        <v>3</v>
      </c>
      <c r="N106" s="2101"/>
    </row>
    <row r="107" spans="1:23" hidden="1">
      <c r="A107" s="4021"/>
      <c r="B107" s="3491" t="s">
        <v>167</v>
      </c>
      <c r="C107" s="2331">
        <v>1909.386458212</v>
      </c>
      <c r="D107" s="2483">
        <v>43.525362299999991</v>
      </c>
      <c r="E107" s="2483">
        <v>14.186333089999998</v>
      </c>
      <c r="F107" s="2483">
        <v>4.4629309999999998E-2</v>
      </c>
      <c r="G107" s="2483">
        <v>14.141703779999999</v>
      </c>
      <c r="H107" s="2483">
        <v>0</v>
      </c>
      <c r="I107" s="2483">
        <v>0</v>
      </c>
      <c r="J107" s="2483">
        <v>32.138819650000002</v>
      </c>
      <c r="K107" s="2483">
        <v>1748.4109431720001</v>
      </c>
      <c r="L107" s="2483">
        <v>68.125</v>
      </c>
      <c r="M107" s="2687">
        <v>3</v>
      </c>
      <c r="N107" s="2101"/>
    </row>
    <row r="108" spans="1:23" hidden="1">
      <c r="A108" s="4021"/>
      <c r="B108" s="3491" t="s">
        <v>168</v>
      </c>
      <c r="C108" s="2331">
        <v>1913.96847723</v>
      </c>
      <c r="D108" s="2483">
        <v>57.425717750000004</v>
      </c>
      <c r="E108" s="2483">
        <v>14.186333089999998</v>
      </c>
      <c r="F108" s="2483">
        <v>4.4629309999999998E-2</v>
      </c>
      <c r="G108" s="2483">
        <v>14.141703779999999</v>
      </c>
      <c r="H108" s="2483">
        <v>0</v>
      </c>
      <c r="I108" s="2483">
        <v>0</v>
      </c>
      <c r="J108" s="2483">
        <v>33.789955129999996</v>
      </c>
      <c r="K108" s="2483">
        <v>1797.4414712600001</v>
      </c>
      <c r="L108" s="2483">
        <v>8.125</v>
      </c>
      <c r="M108" s="2687">
        <v>3</v>
      </c>
      <c r="N108" s="2101"/>
    </row>
    <row r="109" spans="1:23" hidden="1">
      <c r="A109" s="4021"/>
      <c r="B109" s="3491" t="s">
        <v>169</v>
      </c>
      <c r="C109" s="2331">
        <v>1957.8482330200002</v>
      </c>
      <c r="D109" s="2483">
        <v>61.230652670000005</v>
      </c>
      <c r="E109" s="2483">
        <v>13.98984709</v>
      </c>
      <c r="F109" s="2483">
        <v>4.4629309999999998E-2</v>
      </c>
      <c r="G109" s="2483">
        <v>13.94521778</v>
      </c>
      <c r="H109" s="2483">
        <v>0</v>
      </c>
      <c r="I109" s="2483">
        <v>0</v>
      </c>
      <c r="J109" s="2483">
        <v>35.434029330000001</v>
      </c>
      <c r="K109" s="2483">
        <v>1836.0687039300001</v>
      </c>
      <c r="L109" s="2483">
        <v>8.125</v>
      </c>
      <c r="M109" s="2687">
        <v>3</v>
      </c>
      <c r="N109" s="2101"/>
    </row>
    <row r="110" spans="1:23" hidden="1">
      <c r="A110" s="4021"/>
      <c r="B110" s="3491" t="s">
        <v>170</v>
      </c>
      <c r="C110" s="2331">
        <v>2013.2970175</v>
      </c>
      <c r="D110" s="2483">
        <v>76.672705190000002</v>
      </c>
      <c r="E110" s="2483">
        <v>9.9271690899999996</v>
      </c>
      <c r="F110" s="2483">
        <v>4.4629309999999998E-2</v>
      </c>
      <c r="G110" s="2483">
        <v>9.8825397800000001</v>
      </c>
      <c r="H110" s="2483">
        <v>0</v>
      </c>
      <c r="I110" s="2483">
        <v>0</v>
      </c>
      <c r="J110" s="2483">
        <v>35.601437600000004</v>
      </c>
      <c r="K110" s="2483">
        <v>1879.97070562</v>
      </c>
      <c r="L110" s="2483">
        <v>8.125</v>
      </c>
      <c r="M110" s="2687">
        <v>3</v>
      </c>
      <c r="N110" s="2101"/>
    </row>
    <row r="111" spans="1:23" hidden="1">
      <c r="A111" s="4021"/>
      <c r="B111" s="3491" t="s">
        <v>171</v>
      </c>
      <c r="C111" s="2331">
        <v>2048.4584003100003</v>
      </c>
      <c r="D111" s="2483">
        <v>92.734140389999993</v>
      </c>
      <c r="E111" s="2483">
        <v>9.9271690899999996</v>
      </c>
      <c r="F111" s="2483">
        <v>4.4629309999999998E-2</v>
      </c>
      <c r="G111" s="2483">
        <v>9.8825397800000001</v>
      </c>
      <c r="H111" s="2483">
        <v>0</v>
      </c>
      <c r="I111" s="2483">
        <v>0</v>
      </c>
      <c r="J111" s="2483">
        <v>37.271269239999995</v>
      </c>
      <c r="K111" s="2483">
        <v>1897.4008215900003</v>
      </c>
      <c r="L111" s="2483">
        <v>8.125</v>
      </c>
      <c r="M111" s="2687">
        <v>3</v>
      </c>
      <c r="N111" s="2101"/>
    </row>
    <row r="112" spans="1:23">
      <c r="A112" s="4021"/>
      <c r="B112" s="3030">
        <v>2007</v>
      </c>
      <c r="C112" s="2331">
        <v>2030.7459090500004</v>
      </c>
      <c r="D112" s="2483">
        <v>98.568854829999992</v>
      </c>
      <c r="E112" s="2483">
        <v>7.5098259999999994</v>
      </c>
      <c r="F112" s="2483">
        <v>4.4629000000000002E-2</v>
      </c>
      <c r="G112" s="2483">
        <v>7.4651969999999999</v>
      </c>
      <c r="H112" s="2483">
        <v>0</v>
      </c>
      <c r="I112" s="2483">
        <v>0</v>
      </c>
      <c r="J112" s="2483">
        <v>37.291547139999999</v>
      </c>
      <c r="K112" s="2483">
        <v>1876.2506810800003</v>
      </c>
      <c r="L112" s="2483">
        <v>8.125</v>
      </c>
      <c r="M112" s="2687">
        <v>3</v>
      </c>
      <c r="N112" s="2101"/>
      <c r="P112" s="2117"/>
      <c r="R112" s="2117"/>
    </row>
    <row r="113" spans="1:18" hidden="1">
      <c r="A113" s="4021"/>
      <c r="B113" s="3030">
        <v>2008</v>
      </c>
      <c r="C113" s="2205"/>
      <c r="D113" s="2484"/>
      <c r="E113" s="2484"/>
      <c r="F113" s="2484"/>
      <c r="G113" s="2484"/>
      <c r="H113" s="2484"/>
      <c r="I113" s="2484"/>
      <c r="J113" s="2484"/>
      <c r="K113" s="2484"/>
      <c r="L113" s="2484"/>
      <c r="M113" s="2687"/>
      <c r="N113" s="2101"/>
    </row>
    <row r="114" spans="1:18" hidden="1">
      <c r="A114" s="4021"/>
      <c r="B114" s="3491" t="s">
        <v>161</v>
      </c>
      <c r="C114" s="2331">
        <v>2062.5893459700001</v>
      </c>
      <c r="D114" s="2483">
        <v>96.487575269999994</v>
      </c>
      <c r="E114" s="2483">
        <v>6.60679602</v>
      </c>
      <c r="F114" s="2483">
        <v>4.4629309999999998E-2</v>
      </c>
      <c r="G114" s="2483">
        <v>6.5621667099999996</v>
      </c>
      <c r="H114" s="2483">
        <v>0</v>
      </c>
      <c r="I114" s="2483">
        <v>0</v>
      </c>
      <c r="J114" s="2483">
        <v>37.309959989999996</v>
      </c>
      <c r="K114" s="2483">
        <v>1911.0600146899999</v>
      </c>
      <c r="L114" s="2483">
        <v>8.125</v>
      </c>
      <c r="M114" s="2687">
        <v>3</v>
      </c>
      <c r="N114" s="2101"/>
      <c r="Q114" s="2118"/>
    </row>
    <row r="115" spans="1:18" hidden="1">
      <c r="A115" s="4021"/>
      <c r="B115" s="3491" t="s">
        <v>162</v>
      </c>
      <c r="C115" s="2331">
        <v>2097.0746175499999</v>
      </c>
      <c r="D115" s="2483">
        <v>111.3404515</v>
      </c>
      <c r="E115" s="2483">
        <v>6.1611000200000001</v>
      </c>
      <c r="F115" s="2483">
        <v>4.4629309999999998E-2</v>
      </c>
      <c r="G115" s="2483">
        <v>6.1164707099999998</v>
      </c>
      <c r="H115" s="2483">
        <v>0</v>
      </c>
      <c r="I115" s="2483">
        <v>0</v>
      </c>
      <c r="J115" s="2483">
        <v>37.48220886</v>
      </c>
      <c r="K115" s="2483">
        <v>1930.9658571699999</v>
      </c>
      <c r="L115" s="2483">
        <v>8.125</v>
      </c>
      <c r="M115" s="2687">
        <v>3</v>
      </c>
      <c r="N115" s="2101"/>
    </row>
    <row r="116" spans="1:18" hidden="1">
      <c r="A116" s="4021"/>
      <c r="B116" s="3491" t="s">
        <v>163</v>
      </c>
      <c r="C116" s="2331">
        <v>2404.1804417200001</v>
      </c>
      <c r="D116" s="2483">
        <v>384.63996778000001</v>
      </c>
      <c r="E116" s="2483">
        <v>6.0674900200000002</v>
      </c>
      <c r="F116" s="2483">
        <v>4.4629309999999998E-2</v>
      </c>
      <c r="G116" s="2483">
        <v>6.0228607099999998</v>
      </c>
      <c r="H116" s="2483">
        <v>0</v>
      </c>
      <c r="I116" s="2483">
        <v>0</v>
      </c>
      <c r="J116" s="2483">
        <v>37.659259300000002</v>
      </c>
      <c r="K116" s="2483">
        <v>1964.6887246200004</v>
      </c>
      <c r="L116" s="2483">
        <v>8.125</v>
      </c>
      <c r="M116" s="2687">
        <v>3</v>
      </c>
      <c r="N116" s="2101"/>
    </row>
    <row r="117" spans="1:18" hidden="1">
      <c r="A117" s="4021"/>
      <c r="B117" s="3491" t="s">
        <v>164</v>
      </c>
      <c r="C117" s="2331">
        <v>2427.2286640600005</v>
      </c>
      <c r="D117" s="2483">
        <v>373.12491525000002</v>
      </c>
      <c r="E117" s="2483">
        <v>13.138499020000001</v>
      </c>
      <c r="F117" s="2483">
        <v>4.4629309999999998E-2</v>
      </c>
      <c r="G117" s="2483">
        <v>13.093869710000002</v>
      </c>
      <c r="H117" s="2483">
        <v>0</v>
      </c>
      <c r="I117" s="2483">
        <v>0</v>
      </c>
      <c r="J117" s="2483">
        <v>37.837897990000002</v>
      </c>
      <c r="K117" s="2483">
        <v>1992.0023518000005</v>
      </c>
      <c r="L117" s="2483">
        <v>8.125</v>
      </c>
      <c r="M117" s="2687">
        <v>3</v>
      </c>
      <c r="N117" s="2108"/>
    </row>
    <row r="118" spans="1:18" hidden="1">
      <c r="A118" s="4021"/>
      <c r="B118" s="3491" t="s">
        <v>165</v>
      </c>
      <c r="C118" s="2331">
        <v>2451.7988047600006</v>
      </c>
      <c r="D118" s="2483">
        <v>375.36051327999996</v>
      </c>
      <c r="E118" s="2483">
        <v>13.138499020000001</v>
      </c>
      <c r="F118" s="2483">
        <v>4.4629309999999998E-2</v>
      </c>
      <c r="G118" s="2483">
        <v>13.093869710000002</v>
      </c>
      <c r="H118" s="2483">
        <v>0</v>
      </c>
      <c r="I118" s="2483">
        <v>0</v>
      </c>
      <c r="J118" s="2483">
        <v>38.172440659999999</v>
      </c>
      <c r="K118" s="2483">
        <v>2014.0023518000005</v>
      </c>
      <c r="L118" s="2483">
        <v>8.125</v>
      </c>
      <c r="M118" s="2687">
        <v>3</v>
      </c>
      <c r="N118" s="2101"/>
    </row>
    <row r="119" spans="1:18" ht="17.25" hidden="1" customHeight="1">
      <c r="A119" s="4021"/>
      <c r="B119" s="3491" t="s">
        <v>166</v>
      </c>
      <c r="C119" s="2331">
        <v>2323.5115627700002</v>
      </c>
      <c r="D119" s="2483">
        <v>120.02858714999999</v>
      </c>
      <c r="E119" s="2483">
        <v>14.04902102</v>
      </c>
      <c r="F119" s="2483">
        <v>4.4629309999999998E-2</v>
      </c>
      <c r="G119" s="2483">
        <v>14.00439171</v>
      </c>
      <c r="H119" s="2483">
        <v>0</v>
      </c>
      <c r="I119" s="2483">
        <v>0</v>
      </c>
      <c r="J119" s="2483">
        <v>38.191844459999999</v>
      </c>
      <c r="K119" s="2483">
        <v>2010.1171101400002</v>
      </c>
      <c r="L119" s="2483">
        <v>138.125</v>
      </c>
      <c r="M119" s="2687">
        <v>3</v>
      </c>
      <c r="N119" s="2101"/>
    </row>
    <row r="120" spans="1:18" ht="15" hidden="1" customHeight="1">
      <c r="A120" s="4021"/>
      <c r="B120" s="3491" t="s">
        <v>167</v>
      </c>
      <c r="C120" s="2331">
        <v>2311.6674841599997</v>
      </c>
      <c r="D120" s="2483">
        <v>137.76846132</v>
      </c>
      <c r="E120" s="2483">
        <v>14.97790902</v>
      </c>
      <c r="F120" s="2483">
        <v>4.4629309999999998E-2</v>
      </c>
      <c r="G120" s="2483">
        <v>14.933279710000001</v>
      </c>
      <c r="H120" s="2483">
        <v>0</v>
      </c>
      <c r="I120" s="2483">
        <v>0</v>
      </c>
      <c r="J120" s="2483">
        <v>38.373770700000001</v>
      </c>
      <c r="K120" s="2483">
        <v>2109.4223431199998</v>
      </c>
      <c r="L120" s="2483">
        <v>8.125</v>
      </c>
      <c r="M120" s="2687">
        <v>3</v>
      </c>
      <c r="N120" s="2101"/>
    </row>
    <row r="121" spans="1:18" ht="17.25" hidden="1" customHeight="1">
      <c r="A121" s="4021"/>
      <c r="B121" s="3491" t="s">
        <v>168</v>
      </c>
      <c r="C121" s="2331">
        <v>2326.5236151000004</v>
      </c>
      <c r="D121" s="2483">
        <v>128.12004030999998</v>
      </c>
      <c r="E121" s="2483">
        <v>14.97790902</v>
      </c>
      <c r="F121" s="2483">
        <v>4.4629309999999998E-2</v>
      </c>
      <c r="G121" s="2483">
        <v>14.933279710000001</v>
      </c>
      <c r="H121" s="2483">
        <v>0</v>
      </c>
      <c r="I121" s="2483">
        <v>0</v>
      </c>
      <c r="J121" s="2483">
        <v>38.274458199999998</v>
      </c>
      <c r="K121" s="2483">
        <v>2132.7762075700002</v>
      </c>
      <c r="L121" s="2483">
        <v>9.375</v>
      </c>
      <c r="M121" s="2687">
        <v>3</v>
      </c>
      <c r="N121" s="2101"/>
    </row>
    <row r="122" spans="1:18" hidden="1">
      <c r="A122" s="4021"/>
      <c r="B122" s="3491" t="s">
        <v>169</v>
      </c>
      <c r="C122" s="2331">
        <v>2308.7128404300001</v>
      </c>
      <c r="D122" s="2483">
        <v>136.52509737</v>
      </c>
      <c r="E122" s="2483">
        <v>9.17629202</v>
      </c>
      <c r="F122" s="2483">
        <v>4.4629309999999998E-2</v>
      </c>
      <c r="G122" s="2483">
        <v>9.1316627100000005</v>
      </c>
      <c r="H122" s="2483">
        <v>0</v>
      </c>
      <c r="I122" s="2483">
        <v>0</v>
      </c>
      <c r="J122" s="2483">
        <v>45.277490980000003</v>
      </c>
      <c r="K122" s="2483">
        <v>2105.3589600600003</v>
      </c>
      <c r="L122" s="2483">
        <v>9.375</v>
      </c>
      <c r="M122" s="2687">
        <v>3</v>
      </c>
      <c r="N122" s="2101"/>
    </row>
    <row r="123" spans="1:18" ht="17.25" hidden="1" customHeight="1">
      <c r="A123" s="4021"/>
      <c r="B123" s="3491" t="s">
        <v>170</v>
      </c>
      <c r="C123" s="2331">
        <v>2399.1078449900001</v>
      </c>
      <c r="D123" s="2483">
        <v>136.55483854000002</v>
      </c>
      <c r="E123" s="2483">
        <v>17.584654020000002</v>
      </c>
      <c r="F123" s="2483">
        <v>4.4629309999999998E-2</v>
      </c>
      <c r="G123" s="2483">
        <v>17.540024710000001</v>
      </c>
      <c r="H123" s="2483">
        <v>0</v>
      </c>
      <c r="I123" s="2483">
        <v>0</v>
      </c>
      <c r="J123" s="2483">
        <v>45.559540159999997</v>
      </c>
      <c r="K123" s="2483">
        <v>2147.03381227</v>
      </c>
      <c r="L123" s="2483">
        <v>49.375</v>
      </c>
      <c r="M123" s="2687">
        <v>3</v>
      </c>
      <c r="N123" s="2101"/>
    </row>
    <row r="124" spans="1:18" hidden="1">
      <c r="A124" s="4021"/>
      <c r="B124" s="3491" t="s">
        <v>171</v>
      </c>
      <c r="C124" s="2331">
        <v>2413.9184717000003</v>
      </c>
      <c r="D124" s="2483">
        <v>149.25755031</v>
      </c>
      <c r="E124" s="2483">
        <v>28.119481020000002</v>
      </c>
      <c r="F124" s="2483">
        <v>4.4629309999999998E-2</v>
      </c>
      <c r="G124" s="2483">
        <v>28.074851710000001</v>
      </c>
      <c r="H124" s="2483">
        <v>0</v>
      </c>
      <c r="I124" s="2483">
        <v>0</v>
      </c>
      <c r="J124" s="2483">
        <v>45.836327050000001</v>
      </c>
      <c r="K124" s="2483">
        <v>2178.3301133200002</v>
      </c>
      <c r="L124" s="2483">
        <v>9.375</v>
      </c>
      <c r="M124" s="2687">
        <v>3</v>
      </c>
      <c r="N124" s="2101"/>
    </row>
    <row r="125" spans="1:18" ht="17.25" customHeight="1">
      <c r="A125" s="4021"/>
      <c r="B125" s="3030">
        <v>2008</v>
      </c>
      <c r="C125" s="2331">
        <v>2600.7298603300001</v>
      </c>
      <c r="D125" s="2483">
        <v>332.92459287999998</v>
      </c>
      <c r="E125" s="2483">
        <v>31.14472606</v>
      </c>
      <c r="F125" s="2483">
        <v>4.4629309999999998E-2</v>
      </c>
      <c r="G125" s="2483">
        <v>31.100096749999999</v>
      </c>
      <c r="H125" s="2483">
        <v>0</v>
      </c>
      <c r="I125" s="2483">
        <v>0</v>
      </c>
      <c r="J125" s="2483">
        <v>46.138195899999999</v>
      </c>
      <c r="K125" s="2483">
        <v>2178.1473454900001</v>
      </c>
      <c r="L125" s="2483">
        <v>9.375</v>
      </c>
      <c r="M125" s="2687">
        <v>3</v>
      </c>
      <c r="N125" s="2101"/>
      <c r="P125" s="2117"/>
      <c r="R125" s="2117"/>
    </row>
    <row r="126" spans="1:18" ht="15.75" hidden="1" customHeight="1">
      <c r="A126" s="4021"/>
      <c r="B126" s="3030">
        <v>2009</v>
      </c>
      <c r="C126" s="2205"/>
      <c r="D126" s="2484"/>
      <c r="E126" s="2484"/>
      <c r="F126" s="2484"/>
      <c r="G126" s="2484"/>
      <c r="H126" s="2484"/>
      <c r="I126" s="2484"/>
      <c r="J126" s="2484"/>
      <c r="K126" s="2484"/>
      <c r="L126" s="2484"/>
      <c r="M126" s="2687"/>
      <c r="N126" s="2101"/>
    </row>
    <row r="127" spans="1:18" hidden="1">
      <c r="A127" s="4021"/>
      <c r="B127" s="3491" t="s">
        <v>161</v>
      </c>
      <c r="C127" s="2331">
        <v>2497.8637322700001</v>
      </c>
      <c r="D127" s="2483">
        <v>145.73690711</v>
      </c>
      <c r="E127" s="2483">
        <v>31.14472606</v>
      </c>
      <c r="F127" s="2483">
        <v>4.4629309999999998E-2</v>
      </c>
      <c r="G127" s="2483">
        <v>31.100096749999999</v>
      </c>
      <c r="H127" s="2483">
        <v>0</v>
      </c>
      <c r="I127" s="2483">
        <v>0</v>
      </c>
      <c r="J127" s="2483">
        <v>46.440891790000002</v>
      </c>
      <c r="K127" s="2483">
        <v>2262.1662073100001</v>
      </c>
      <c r="L127" s="2483">
        <v>9.375</v>
      </c>
      <c r="M127" s="2687">
        <v>3</v>
      </c>
      <c r="N127" s="2101"/>
      <c r="P127" s="2119"/>
      <c r="R127" s="2119"/>
    </row>
    <row r="128" spans="1:18" hidden="1">
      <c r="A128" s="4021"/>
      <c r="B128" s="3491" t="s">
        <v>162</v>
      </c>
      <c r="C128" s="2331">
        <v>2560.6791509200002</v>
      </c>
      <c r="D128" s="2483">
        <v>156.63467775999999</v>
      </c>
      <c r="E128" s="2483">
        <v>32.241063059999995</v>
      </c>
      <c r="F128" s="2483">
        <v>4.4629309999999998E-2</v>
      </c>
      <c r="G128" s="2483">
        <v>32.196433749999997</v>
      </c>
      <c r="H128" s="2483">
        <v>0</v>
      </c>
      <c r="I128" s="2483">
        <v>0</v>
      </c>
      <c r="J128" s="2483">
        <v>46.714294530000004</v>
      </c>
      <c r="K128" s="2483">
        <v>2312.7141155700001</v>
      </c>
      <c r="L128" s="2483">
        <v>9.375</v>
      </c>
      <c r="M128" s="2687">
        <v>3</v>
      </c>
      <c r="N128" s="2101"/>
    </row>
    <row r="129" spans="1:21" hidden="1">
      <c r="A129" s="4021"/>
      <c r="B129" s="3491" t="s">
        <v>163</v>
      </c>
      <c r="C129" s="2331">
        <v>2547.5935975300004</v>
      </c>
      <c r="D129" s="2483">
        <v>74.821130699999998</v>
      </c>
      <c r="E129" s="2483">
        <v>32.241063059999995</v>
      </c>
      <c r="F129" s="2483">
        <v>4.4629309999999998E-2</v>
      </c>
      <c r="G129" s="2483">
        <v>32.196433749999997</v>
      </c>
      <c r="H129" s="2483">
        <v>0</v>
      </c>
      <c r="I129" s="2483">
        <v>0</v>
      </c>
      <c r="J129" s="2483">
        <v>47.016990420000006</v>
      </c>
      <c r="K129" s="2483">
        <v>2381.1394133500003</v>
      </c>
      <c r="L129" s="2483">
        <v>9.375</v>
      </c>
      <c r="M129" s="2687">
        <v>3</v>
      </c>
      <c r="N129" s="2101"/>
      <c r="R129" s="2119"/>
    </row>
    <row r="130" spans="1:21" ht="15.75" hidden="1" customHeight="1">
      <c r="A130" s="4021"/>
      <c r="B130" s="3491" t="s">
        <v>164</v>
      </c>
      <c r="C130" s="2331">
        <v>2713.6835558100001</v>
      </c>
      <c r="D130" s="2483">
        <v>143.44931621000001</v>
      </c>
      <c r="E130" s="2483">
        <v>33.58185606</v>
      </c>
      <c r="F130" s="2483">
        <v>4.4629309999999998E-2</v>
      </c>
      <c r="G130" s="2483">
        <v>33.537226750000002</v>
      </c>
      <c r="H130" s="2483">
        <v>1.2201120000000001E-2</v>
      </c>
      <c r="I130" s="2483">
        <v>0</v>
      </c>
      <c r="J130" s="2483">
        <v>49.019528090000001</v>
      </c>
      <c r="K130" s="2483">
        <v>2475.24565433</v>
      </c>
      <c r="L130" s="2483">
        <v>9.375</v>
      </c>
      <c r="M130" s="2687">
        <v>3</v>
      </c>
      <c r="N130" s="2101"/>
      <c r="P130" s="2117"/>
    </row>
    <row r="131" spans="1:21" hidden="1">
      <c r="A131" s="4021"/>
      <c r="B131" s="3491" t="s">
        <v>165</v>
      </c>
      <c r="C131" s="2331">
        <v>2725.7564944800001</v>
      </c>
      <c r="D131" s="2483">
        <v>119.16529165999999</v>
      </c>
      <c r="E131" s="2483">
        <v>33.58185606</v>
      </c>
      <c r="F131" s="2483">
        <v>4.4629309999999998E-2</v>
      </c>
      <c r="G131" s="2483">
        <v>33.537226750000002</v>
      </c>
      <c r="H131" s="2483">
        <v>1.2355989999999999E-2</v>
      </c>
      <c r="I131" s="2483">
        <v>0</v>
      </c>
      <c r="J131" s="2483">
        <v>47.612617820000004</v>
      </c>
      <c r="K131" s="2483">
        <v>2513.0093729499999</v>
      </c>
      <c r="L131" s="2483">
        <v>9.375</v>
      </c>
      <c r="M131" s="2687">
        <v>3</v>
      </c>
      <c r="N131" s="2101"/>
      <c r="S131" s="2109"/>
    </row>
    <row r="132" spans="1:21" hidden="1">
      <c r="A132" s="4021"/>
      <c r="B132" s="3491" t="s">
        <v>166</v>
      </c>
      <c r="C132" s="2331">
        <v>2754.0139368600003</v>
      </c>
      <c r="D132" s="2483">
        <v>103.95669687</v>
      </c>
      <c r="E132" s="2483">
        <v>33.572004059999998</v>
      </c>
      <c r="F132" s="2483">
        <v>4.4629309999999998E-2</v>
      </c>
      <c r="G132" s="2483">
        <v>33.52737475</v>
      </c>
      <c r="H132" s="2483">
        <v>1.2505860000000001E-2</v>
      </c>
      <c r="I132" s="2483">
        <v>0</v>
      </c>
      <c r="J132" s="2483">
        <v>47.905549329999999</v>
      </c>
      <c r="K132" s="2483">
        <v>2556.1921807400004</v>
      </c>
      <c r="L132" s="2483">
        <v>9.375</v>
      </c>
      <c r="M132" s="2687">
        <v>3</v>
      </c>
      <c r="N132" s="2101"/>
      <c r="S132" s="2109"/>
    </row>
    <row r="133" spans="1:21" hidden="1">
      <c r="A133" s="4021"/>
      <c r="B133" s="3491" t="s">
        <v>167</v>
      </c>
      <c r="C133" s="2331">
        <v>2815.6559257599997</v>
      </c>
      <c r="D133" s="2483">
        <v>104.76727201999999</v>
      </c>
      <c r="E133" s="2483">
        <v>36.782431510000002</v>
      </c>
      <c r="F133" s="2483">
        <v>4.4629309999999998E-2</v>
      </c>
      <c r="G133" s="2483">
        <v>36.737802200000004</v>
      </c>
      <c r="H133" s="2483">
        <v>1.5671419999999998E-2</v>
      </c>
      <c r="I133" s="2483">
        <v>0</v>
      </c>
      <c r="J133" s="2483">
        <v>48.208245220000002</v>
      </c>
      <c r="K133" s="2483">
        <v>2613.5073055899998</v>
      </c>
      <c r="L133" s="2483">
        <v>9.375</v>
      </c>
      <c r="M133" s="2687">
        <v>3</v>
      </c>
      <c r="N133" s="2101"/>
      <c r="S133" s="2109"/>
    </row>
    <row r="134" spans="1:21" hidden="1">
      <c r="A134" s="4021"/>
      <c r="B134" s="3491" t="s">
        <v>168</v>
      </c>
      <c r="C134" s="2331">
        <v>3302.38323709</v>
      </c>
      <c r="D134" s="2483">
        <v>521.50394362999998</v>
      </c>
      <c r="E134" s="2483">
        <v>37.043446840000001</v>
      </c>
      <c r="F134" s="2483">
        <v>4.4629309999999998E-2</v>
      </c>
      <c r="G134" s="2483">
        <v>36.998817530000004</v>
      </c>
      <c r="H134" s="2483">
        <v>0.28551093999999999</v>
      </c>
      <c r="I134" s="2483">
        <v>0</v>
      </c>
      <c r="J134" s="2483">
        <v>48.510941110000005</v>
      </c>
      <c r="K134" s="2483">
        <v>2682.6643945699998</v>
      </c>
      <c r="L134" s="2483">
        <v>9.375</v>
      </c>
      <c r="M134" s="2687">
        <v>3</v>
      </c>
      <c r="N134" s="2101"/>
      <c r="S134" s="2109"/>
    </row>
    <row r="135" spans="1:21" hidden="1">
      <c r="A135" s="4021"/>
      <c r="B135" s="3491" t="s">
        <v>169</v>
      </c>
      <c r="C135" s="2331">
        <v>3282.2094700400003</v>
      </c>
      <c r="D135" s="2483">
        <v>414.24003307999999</v>
      </c>
      <c r="E135" s="2483">
        <v>36.890136169999998</v>
      </c>
      <c r="F135" s="2483">
        <v>4.4629309999999998E-2</v>
      </c>
      <c r="G135" s="2483">
        <v>36.84550686</v>
      </c>
      <c r="H135" s="2483">
        <v>0.27806527999999997</v>
      </c>
      <c r="I135" s="2483">
        <v>0</v>
      </c>
      <c r="J135" s="2483">
        <v>57.145886320000002</v>
      </c>
      <c r="K135" s="2483">
        <v>2761.2803491900004</v>
      </c>
      <c r="L135" s="2483">
        <v>9.375</v>
      </c>
      <c r="M135" s="2687">
        <v>3</v>
      </c>
      <c r="N135" s="2108"/>
      <c r="Q135" s="2119"/>
    </row>
    <row r="136" spans="1:21" hidden="1">
      <c r="A136" s="4021"/>
      <c r="B136" s="3491" t="s">
        <v>170</v>
      </c>
      <c r="C136" s="2331">
        <v>3247.3656167499994</v>
      </c>
      <c r="D136" s="2483">
        <v>206.51498712000003</v>
      </c>
      <c r="E136" s="2483">
        <v>155.27709785000002</v>
      </c>
      <c r="F136" s="2483">
        <v>110.04462931</v>
      </c>
      <c r="G136" s="2483">
        <v>45.232468539999999</v>
      </c>
      <c r="H136" s="2483">
        <v>0.28817261</v>
      </c>
      <c r="I136" s="2483">
        <v>0</v>
      </c>
      <c r="J136" s="2483">
        <v>45.844576170000003</v>
      </c>
      <c r="K136" s="2483">
        <v>2827.0657829999996</v>
      </c>
      <c r="L136" s="2483">
        <v>9.375</v>
      </c>
      <c r="M136" s="2687">
        <v>3</v>
      </c>
      <c r="N136" s="2108"/>
    </row>
    <row r="137" spans="1:21" hidden="1">
      <c r="A137" s="4021"/>
      <c r="B137" s="3491" t="s">
        <v>171</v>
      </c>
      <c r="C137" s="2331">
        <v>3244.8723669999999</v>
      </c>
      <c r="D137" s="2483">
        <v>177.14104129999998</v>
      </c>
      <c r="E137" s="2483">
        <v>37.099292609999992</v>
      </c>
      <c r="F137" s="2483">
        <v>4.4629309999999998E-2</v>
      </c>
      <c r="G137" s="2483">
        <v>37.054663299999994</v>
      </c>
      <c r="H137" s="2483">
        <v>0.25363162</v>
      </c>
      <c r="I137" s="2483">
        <v>0</v>
      </c>
      <c r="J137" s="2483">
        <v>45.144294170000002</v>
      </c>
      <c r="K137" s="2483">
        <v>2862.8591072999998</v>
      </c>
      <c r="L137" s="2483">
        <v>119.375</v>
      </c>
      <c r="M137" s="2687">
        <v>3</v>
      </c>
      <c r="N137" s="2108"/>
    </row>
    <row r="138" spans="1:21">
      <c r="A138" s="4021"/>
      <c r="B138" s="3030">
        <v>2009</v>
      </c>
      <c r="C138" s="2331">
        <v>3328.8768078200005</v>
      </c>
      <c r="D138" s="2483">
        <v>313.72896400000002</v>
      </c>
      <c r="E138" s="2483">
        <v>30.004704</v>
      </c>
      <c r="F138" s="2483">
        <v>4.4629000000000002E-2</v>
      </c>
      <c r="G138" s="2483">
        <v>29.960075</v>
      </c>
      <c r="H138" s="2483">
        <v>0.25508438999999999</v>
      </c>
      <c r="I138" s="2483">
        <v>0</v>
      </c>
      <c r="J138" s="2483">
        <v>43.678389960000004</v>
      </c>
      <c r="K138" s="2483">
        <v>2928.8346654700003</v>
      </c>
      <c r="L138" s="2483">
        <v>9.375</v>
      </c>
      <c r="M138" s="2687">
        <v>3</v>
      </c>
      <c r="N138" s="2108"/>
    </row>
    <row r="139" spans="1:21" hidden="1">
      <c r="A139" s="4021"/>
      <c r="B139" s="2482">
        <v>2010</v>
      </c>
      <c r="C139" s="2993"/>
      <c r="D139" s="2483"/>
      <c r="E139" s="2483"/>
      <c r="F139" s="2483"/>
      <c r="G139" s="2483"/>
      <c r="H139" s="2483"/>
      <c r="I139" s="2483"/>
      <c r="J139" s="2483"/>
      <c r="K139" s="2483"/>
      <c r="L139" s="2483"/>
      <c r="M139" s="2687"/>
      <c r="N139" s="2108"/>
    </row>
    <row r="140" spans="1:21" hidden="1">
      <c r="A140" s="4021"/>
      <c r="B140" s="2994" t="s">
        <v>161</v>
      </c>
      <c r="C140" s="2686">
        <v>3377.8870709900002</v>
      </c>
      <c r="D140" s="2687">
        <v>56.788018269999981</v>
      </c>
      <c r="E140" s="2687">
        <v>35.045512729999999</v>
      </c>
      <c r="F140" s="2687">
        <v>0</v>
      </c>
      <c r="G140" s="2687">
        <v>35.045512729999999</v>
      </c>
      <c r="H140" s="2687">
        <v>0.36517896</v>
      </c>
      <c r="I140" s="2687">
        <v>0</v>
      </c>
      <c r="J140" s="2687">
        <v>43.980190200000003</v>
      </c>
      <c r="K140" s="2687">
        <v>3029.3331708300002</v>
      </c>
      <c r="L140" s="2687">
        <v>209.375</v>
      </c>
      <c r="M140" s="2687">
        <v>3</v>
      </c>
      <c r="N140" s="2108"/>
    </row>
    <row r="141" spans="1:21" hidden="1">
      <c r="A141" s="4021"/>
      <c r="B141" s="2994" t="s">
        <v>162</v>
      </c>
      <c r="C141" s="2686">
        <v>3426.1320771699989</v>
      </c>
      <c r="D141" s="2687">
        <v>6.2099755000000059</v>
      </c>
      <c r="E141" s="2687">
        <v>35.045512729999999</v>
      </c>
      <c r="F141" s="2687">
        <v>0</v>
      </c>
      <c r="G141" s="2687">
        <v>35.045512729999999</v>
      </c>
      <c r="H141" s="2687">
        <v>0.81469984000000006</v>
      </c>
      <c r="I141" s="2687">
        <v>0.20026301000000002</v>
      </c>
      <c r="J141" s="2687">
        <v>44.312882599999995</v>
      </c>
      <c r="K141" s="2687">
        <v>3127.1737434899987</v>
      </c>
      <c r="L141" s="2687">
        <v>209.375</v>
      </c>
      <c r="M141" s="2687">
        <v>3</v>
      </c>
      <c r="N141" s="2108"/>
      <c r="R141" s="2117"/>
      <c r="S141" s="2117"/>
      <c r="T141" s="2117">
        <f>H145+I145+J145+K145+L145+M145+'[15]BIL Assets'!I16+'[15]BIL Assets'!J16+'[15]BIL Assets'!K16+'[15]BIL Assets'!L16+'[15]BIL Assets'!M16</f>
        <v>4297.7071958399974</v>
      </c>
      <c r="U141" s="2121"/>
    </row>
    <row r="142" spans="1:21" hidden="1">
      <c r="A142" s="4021"/>
      <c r="B142" s="2994" t="s">
        <v>163</v>
      </c>
      <c r="C142" s="2686">
        <v>3529.1485406599954</v>
      </c>
      <c r="D142" s="2687">
        <v>162.28384779000001</v>
      </c>
      <c r="E142" s="2687">
        <v>29.960075289999999</v>
      </c>
      <c r="F142" s="2687">
        <v>0</v>
      </c>
      <c r="G142" s="2687">
        <v>29.960075289999999</v>
      </c>
      <c r="H142" s="2687">
        <v>9.9049260799999974</v>
      </c>
      <c r="I142" s="2687">
        <v>0.19896941000000001</v>
      </c>
      <c r="J142" s="2687">
        <v>43.389294839999998</v>
      </c>
      <c r="K142" s="2687">
        <v>3231.0364272499955</v>
      </c>
      <c r="L142" s="2687">
        <v>49.375</v>
      </c>
      <c r="M142" s="2687">
        <v>3</v>
      </c>
      <c r="N142" s="2108"/>
      <c r="R142" s="2122"/>
      <c r="S142" s="2119"/>
      <c r="T142" s="2119">
        <f>C145+'[15]BIL Assets'!C16</f>
        <v>5063.5361382199981</v>
      </c>
      <c r="U142" s="2121"/>
    </row>
    <row r="143" spans="1:21" hidden="1">
      <c r="A143" s="4021"/>
      <c r="B143" s="2994" t="s">
        <v>164</v>
      </c>
      <c r="C143" s="2686">
        <v>3713.50474184</v>
      </c>
      <c r="D143" s="2687">
        <v>210.26324656000003</v>
      </c>
      <c r="E143" s="2687">
        <v>36.473321729999995</v>
      </c>
      <c r="F143" s="2687">
        <v>0</v>
      </c>
      <c r="G143" s="2687">
        <v>36.473321729999995</v>
      </c>
      <c r="H143" s="2687">
        <v>44.324683710000009</v>
      </c>
      <c r="I143" s="2687">
        <v>0.19647904000000002</v>
      </c>
      <c r="J143" s="2687">
        <v>43.70887587</v>
      </c>
      <c r="K143" s="2687">
        <v>3336.1631349300001</v>
      </c>
      <c r="L143" s="2687">
        <v>39.375</v>
      </c>
      <c r="M143" s="2687">
        <v>3</v>
      </c>
      <c r="N143" s="2108"/>
    </row>
    <row r="144" spans="1:21" hidden="1">
      <c r="A144" s="4021"/>
      <c r="B144" s="2994" t="s">
        <v>165</v>
      </c>
      <c r="C144" s="2686">
        <v>4245.9558882299971</v>
      </c>
      <c r="D144" s="2687">
        <v>544.88683469</v>
      </c>
      <c r="E144" s="2687">
        <v>36.473321729999995</v>
      </c>
      <c r="F144" s="2687">
        <v>0</v>
      </c>
      <c r="G144" s="2687">
        <v>36.473321729999995</v>
      </c>
      <c r="H144" s="2687">
        <v>57.302194289999989</v>
      </c>
      <c r="I144" s="2687">
        <v>0.19402712</v>
      </c>
      <c r="J144" s="2687">
        <v>44.039800679999999</v>
      </c>
      <c r="K144" s="2687">
        <v>3520.6847097199975</v>
      </c>
      <c r="L144" s="2687">
        <v>39.375</v>
      </c>
      <c r="M144" s="2687">
        <v>3</v>
      </c>
      <c r="N144" s="2108"/>
      <c r="R144" s="2119"/>
      <c r="S144" s="2119"/>
      <c r="T144" s="2119">
        <f>(T141/T142)*100</f>
        <v>84.875610216357316</v>
      </c>
    </row>
    <row r="145" spans="1:21" hidden="1">
      <c r="A145" s="4021"/>
      <c r="B145" s="2994" t="s">
        <v>166</v>
      </c>
      <c r="C145" s="2686">
        <v>4899.1770409999981</v>
      </c>
      <c r="D145" s="2687">
        <v>686.97983371999999</v>
      </c>
      <c r="E145" s="2687">
        <v>7.4900114400000009</v>
      </c>
      <c r="F145" s="2687">
        <v>0</v>
      </c>
      <c r="G145" s="2687">
        <v>7.4900114400000009</v>
      </c>
      <c r="H145" s="2687">
        <v>62.985143410000006</v>
      </c>
      <c r="I145" s="2687">
        <v>0.19143446</v>
      </c>
      <c r="J145" s="2687">
        <v>44.318709179999999</v>
      </c>
      <c r="K145" s="2687">
        <v>3599.8369087899978</v>
      </c>
      <c r="L145" s="2687">
        <v>494.375</v>
      </c>
      <c r="M145" s="2687">
        <v>3</v>
      </c>
      <c r="N145" s="2108"/>
      <c r="P145" s="2121"/>
    </row>
    <row r="146" spans="1:21" hidden="1">
      <c r="A146" s="4021"/>
      <c r="B146" s="2994" t="s">
        <v>167</v>
      </c>
      <c r="C146" s="2686">
        <v>5585.2565042299993</v>
      </c>
      <c r="D146" s="2687">
        <v>977.37293765000015</v>
      </c>
      <c r="E146" s="2687">
        <v>17.74228244</v>
      </c>
      <c r="F146" s="2687">
        <v>0</v>
      </c>
      <c r="G146" s="2687">
        <v>17.74228244</v>
      </c>
      <c r="H146" s="2687">
        <v>67.306960289999992</v>
      </c>
      <c r="I146" s="2687">
        <v>0.19990559000000002</v>
      </c>
      <c r="J146" s="2687">
        <v>44.634499220000002</v>
      </c>
      <c r="K146" s="2687">
        <v>3730.6249190399994</v>
      </c>
      <c r="L146" s="2687">
        <v>744.375</v>
      </c>
      <c r="M146" s="2687">
        <v>3</v>
      </c>
      <c r="N146" s="2108"/>
      <c r="P146" s="2121"/>
    </row>
    <row r="147" spans="1:21" hidden="1">
      <c r="A147" s="4021"/>
      <c r="B147" s="2994" t="s">
        <v>168</v>
      </c>
      <c r="C147" s="2686">
        <v>5596.8028887299943</v>
      </c>
      <c r="D147" s="2687">
        <v>552.65593191999994</v>
      </c>
      <c r="E147" s="2687">
        <v>13.476281949999999</v>
      </c>
      <c r="F147" s="2687">
        <v>0</v>
      </c>
      <c r="G147" s="2687">
        <v>13.476281949999999</v>
      </c>
      <c r="H147" s="2687">
        <v>67.914924760000005</v>
      </c>
      <c r="I147" s="2687">
        <v>0.20345906</v>
      </c>
      <c r="J147" s="2687">
        <v>44.725065569999998</v>
      </c>
      <c r="K147" s="2687">
        <v>4005.4522254699941</v>
      </c>
      <c r="L147" s="2687">
        <v>909.375</v>
      </c>
      <c r="M147" s="2687">
        <v>3</v>
      </c>
      <c r="N147" s="2108"/>
      <c r="P147" s="2121"/>
      <c r="T147" s="2119">
        <f>K132</f>
        <v>2556.1921807400004</v>
      </c>
      <c r="U147" s="2119">
        <f>K135</f>
        <v>2761.2803491900004</v>
      </c>
    </row>
    <row r="148" spans="1:21" ht="17.25" hidden="1" customHeight="1">
      <c r="A148" s="4021"/>
      <c r="B148" s="2994" t="s">
        <v>169</v>
      </c>
      <c r="C148" s="2686">
        <v>5651.1777056499996</v>
      </c>
      <c r="D148" s="2687">
        <v>677.47020128000008</v>
      </c>
      <c r="E148" s="2687">
        <v>2.6852654999999999</v>
      </c>
      <c r="F148" s="2687">
        <v>4.4629309999999998E-2</v>
      </c>
      <c r="G148" s="2687">
        <v>2.6406361899999999</v>
      </c>
      <c r="H148" s="2687">
        <v>71.801560510000002</v>
      </c>
      <c r="I148" s="2687">
        <v>0.20966654000000001</v>
      </c>
      <c r="J148" s="2687">
        <v>43.664715399999999</v>
      </c>
      <c r="K148" s="2687">
        <v>4102.9712964199998</v>
      </c>
      <c r="L148" s="2687">
        <v>749.375</v>
      </c>
      <c r="M148" s="2687">
        <v>3</v>
      </c>
      <c r="N148" s="2108"/>
      <c r="P148" s="2123"/>
      <c r="T148" s="2119">
        <f>K145+'[15]BIL Assets'!K16</f>
        <v>3599.8369087899978</v>
      </c>
      <c r="U148" s="2119">
        <f>K148+'[15]BIL Assets'!K19</f>
        <v>4151.8829430199994</v>
      </c>
    </row>
    <row r="149" spans="1:21" ht="17.25" hidden="1" customHeight="1">
      <c r="A149" s="4021"/>
      <c r="B149" s="2994" t="s">
        <v>170</v>
      </c>
      <c r="C149" s="2686">
        <v>5695.8508915800003</v>
      </c>
      <c r="D149" s="2687">
        <v>884.03780782000001</v>
      </c>
      <c r="E149" s="2687">
        <v>2.6406361899999999</v>
      </c>
      <c r="F149" s="2687">
        <v>0</v>
      </c>
      <c r="G149" s="2687">
        <v>2.6406361899999999</v>
      </c>
      <c r="H149" s="2687">
        <v>73.454545019999998</v>
      </c>
      <c r="I149" s="2687">
        <v>0.2061142</v>
      </c>
      <c r="J149" s="2687">
        <v>43.868272490000003</v>
      </c>
      <c r="K149" s="2687">
        <v>4279.2685158600007</v>
      </c>
      <c r="L149" s="2687">
        <v>409.375</v>
      </c>
      <c r="M149" s="2687">
        <v>3</v>
      </c>
      <c r="N149" s="2108"/>
      <c r="P149" s="2123"/>
      <c r="T149" s="2119"/>
      <c r="U149" s="2119"/>
    </row>
    <row r="150" spans="1:21" ht="17.25" hidden="1" customHeight="1">
      <c r="A150" s="4021"/>
      <c r="B150" s="2994" t="s">
        <v>171</v>
      </c>
      <c r="C150" s="2686">
        <v>5710.4956262600017</v>
      </c>
      <c r="D150" s="2687">
        <v>483.17338028000006</v>
      </c>
      <c r="E150" s="2687">
        <v>2.6406361899999999</v>
      </c>
      <c r="F150" s="2687">
        <v>0</v>
      </c>
      <c r="G150" s="2687">
        <v>2.6406361899999999</v>
      </c>
      <c r="H150" s="2687">
        <v>55.752043200000003</v>
      </c>
      <c r="I150" s="2687">
        <v>0.20275834000000001</v>
      </c>
      <c r="J150" s="2687">
        <v>44.158623740000003</v>
      </c>
      <c r="K150" s="2687">
        <v>4512.1931845100016</v>
      </c>
      <c r="L150" s="2687">
        <v>609.375</v>
      </c>
      <c r="M150" s="2687">
        <v>3</v>
      </c>
      <c r="N150" s="2108"/>
      <c r="P150" s="2123"/>
      <c r="T150" s="2119"/>
      <c r="U150" s="2119"/>
    </row>
    <row r="151" spans="1:21" ht="17.25" customHeight="1">
      <c r="A151" s="4021"/>
      <c r="B151" s="2482">
        <v>2010</v>
      </c>
      <c r="C151" s="2686">
        <v>5584.0849618000002</v>
      </c>
      <c r="D151" s="2687">
        <v>330.09539579</v>
      </c>
      <c r="E151" s="2687">
        <v>1.7608055199999999</v>
      </c>
      <c r="F151" s="2687">
        <v>4.4629309999999998E-2</v>
      </c>
      <c r="G151" s="2687">
        <v>1.71617621</v>
      </c>
      <c r="H151" s="2687">
        <v>62.115683869999991</v>
      </c>
      <c r="I151" s="2687">
        <v>0.18607472</v>
      </c>
      <c r="J151" s="2687">
        <v>69.089810509999992</v>
      </c>
      <c r="K151" s="2687">
        <v>4708.46219139</v>
      </c>
      <c r="L151" s="2687">
        <v>409.375</v>
      </c>
      <c r="M151" s="2687">
        <v>3</v>
      </c>
      <c r="N151" s="2108"/>
      <c r="P151" s="2123"/>
      <c r="T151" s="2119"/>
      <c r="U151" s="2119"/>
    </row>
    <row r="152" spans="1:21" ht="15.75" hidden="1" customHeight="1">
      <c r="A152" s="4021"/>
      <c r="B152" s="2482">
        <v>2011</v>
      </c>
      <c r="C152" s="2686"/>
      <c r="D152" s="2687"/>
      <c r="E152" s="2687"/>
      <c r="F152" s="2687"/>
      <c r="G152" s="2687"/>
      <c r="H152" s="2687"/>
      <c r="I152" s="2687"/>
      <c r="J152" s="2687"/>
      <c r="K152" s="2687"/>
      <c r="L152" s="2687"/>
      <c r="M152" s="2688"/>
      <c r="N152" s="2108"/>
      <c r="P152" s="2123"/>
      <c r="T152" s="2119"/>
      <c r="U152" s="2119"/>
    </row>
    <row r="153" spans="1:21" ht="17.25" hidden="1" customHeight="1">
      <c r="A153" s="4021"/>
      <c r="B153" s="2994" t="s">
        <v>161</v>
      </c>
      <c r="C153" s="2686">
        <v>5584.5567680500008</v>
      </c>
      <c r="D153" s="2688">
        <v>197.89965028999995</v>
      </c>
      <c r="E153" s="2687">
        <v>1.7608055199999999</v>
      </c>
      <c r="F153" s="2687">
        <v>4.4629309999999998E-2</v>
      </c>
      <c r="G153" s="2688">
        <v>1.71617621</v>
      </c>
      <c r="H153" s="2687">
        <v>0</v>
      </c>
      <c r="I153" s="2687">
        <v>0</v>
      </c>
      <c r="J153" s="2688">
        <v>69.485071149999996</v>
      </c>
      <c r="K153" s="2688">
        <v>4903.0362410900007</v>
      </c>
      <c r="L153" s="2688">
        <v>409.375</v>
      </c>
      <c r="M153" s="2687">
        <v>3</v>
      </c>
      <c r="N153" s="2108"/>
      <c r="P153" s="2125"/>
      <c r="T153" s="2119"/>
      <c r="U153" s="2119"/>
    </row>
    <row r="154" spans="1:21" ht="17.25" hidden="1" customHeight="1">
      <c r="A154" s="4021"/>
      <c r="B154" s="2994" t="s">
        <v>162</v>
      </c>
      <c r="C154" s="2686">
        <v>5856.9122788599989</v>
      </c>
      <c r="D154" s="2688">
        <v>230.57287097000003</v>
      </c>
      <c r="E154" s="2687">
        <v>1.3183618099999999</v>
      </c>
      <c r="F154" s="2687">
        <v>4.4629309999999998E-2</v>
      </c>
      <c r="G154" s="2688">
        <v>1.2737324999999999</v>
      </c>
      <c r="H154" s="2687">
        <v>0.16996480999999999</v>
      </c>
      <c r="I154" s="2687">
        <v>2.797038E-2</v>
      </c>
      <c r="J154" s="2688">
        <v>14.95865</v>
      </c>
      <c r="K154" s="2688">
        <v>5122.4894608899986</v>
      </c>
      <c r="L154" s="2688">
        <v>484.375</v>
      </c>
      <c r="M154" s="2687">
        <v>3</v>
      </c>
      <c r="N154" s="2108"/>
      <c r="P154" s="2123"/>
      <c r="T154" s="2119"/>
      <c r="U154" s="2119"/>
    </row>
    <row r="155" spans="1:21" ht="17.25" hidden="1" customHeight="1">
      <c r="A155" s="4021"/>
      <c r="B155" s="2994" t="s">
        <v>163</v>
      </c>
      <c r="C155" s="2686">
        <v>5942.326017639999</v>
      </c>
      <c r="D155" s="2688">
        <v>242.25968782999996</v>
      </c>
      <c r="E155" s="2687">
        <v>1.32169366</v>
      </c>
      <c r="F155" s="2687">
        <v>4.4629309999999998E-2</v>
      </c>
      <c r="G155" s="2688">
        <v>1.2770643500000001</v>
      </c>
      <c r="H155" s="2687">
        <v>1.2444510000000001E-2</v>
      </c>
      <c r="I155" s="2687">
        <v>0</v>
      </c>
      <c r="J155" s="2688">
        <v>13.97865</v>
      </c>
      <c r="K155" s="2688">
        <v>5232.3785416399987</v>
      </c>
      <c r="L155" s="2688">
        <v>449.375</v>
      </c>
      <c r="M155" s="2687">
        <v>3</v>
      </c>
      <c r="N155" s="2108"/>
      <c r="P155" s="2123"/>
      <c r="T155" s="2119"/>
      <c r="U155" s="2119"/>
    </row>
    <row r="156" spans="1:21" ht="17.25" hidden="1" customHeight="1">
      <c r="A156" s="4021"/>
      <c r="B156" s="2994" t="s">
        <v>164</v>
      </c>
      <c r="C156" s="2686">
        <v>5961.4271311900002</v>
      </c>
      <c r="D156" s="2688">
        <v>181.89073058</v>
      </c>
      <c r="E156" s="2687">
        <v>1.32169366</v>
      </c>
      <c r="F156" s="2687">
        <v>4.4629309999999998E-2</v>
      </c>
      <c r="G156" s="2688">
        <v>1.2770643500000001</v>
      </c>
      <c r="H156" s="2687">
        <v>42.667863780000005</v>
      </c>
      <c r="I156" s="2687">
        <v>0</v>
      </c>
      <c r="J156" s="2688">
        <v>13.97865</v>
      </c>
      <c r="K156" s="2688">
        <v>5269.1931931700001</v>
      </c>
      <c r="L156" s="2688">
        <v>449.375</v>
      </c>
      <c r="M156" s="2687">
        <v>3</v>
      </c>
      <c r="N156" s="2108"/>
      <c r="P156" s="2123"/>
      <c r="T156" s="2119"/>
      <c r="U156" s="2119"/>
    </row>
    <row r="157" spans="1:21" ht="17.25" hidden="1" customHeight="1">
      <c r="A157" s="4021"/>
      <c r="B157" s="2994" t="s">
        <v>165</v>
      </c>
      <c r="C157" s="2686">
        <v>6017.4912897499953</v>
      </c>
      <c r="D157" s="2688">
        <v>178.89652953000004</v>
      </c>
      <c r="E157" s="2687">
        <v>1.3243354599999999</v>
      </c>
      <c r="F157" s="2687">
        <v>4.4629309999999998E-2</v>
      </c>
      <c r="G157" s="2688">
        <v>1.27970615</v>
      </c>
      <c r="H157" s="2687">
        <v>0</v>
      </c>
      <c r="I157" s="2687">
        <v>0</v>
      </c>
      <c r="J157" s="2688">
        <v>13.97865</v>
      </c>
      <c r="K157" s="2688">
        <v>5365.916774759995</v>
      </c>
      <c r="L157" s="2688">
        <v>454.375</v>
      </c>
      <c r="M157" s="2687">
        <v>3</v>
      </c>
      <c r="N157" s="2108"/>
      <c r="P157" s="2123"/>
      <c r="Q157" s="2121"/>
      <c r="T157" s="2119"/>
      <c r="U157" s="2119"/>
    </row>
    <row r="158" spans="1:21" ht="17.25" hidden="1" customHeight="1">
      <c r="A158" s="4021"/>
      <c r="B158" s="2994" t="s">
        <v>166</v>
      </c>
      <c r="C158" s="2686">
        <v>6095.3870445799994</v>
      </c>
      <c r="D158" s="2688">
        <v>280.94757597</v>
      </c>
      <c r="E158" s="2687">
        <v>1.2994855599999999</v>
      </c>
      <c r="F158" s="2687">
        <v>4.4629309999999998E-2</v>
      </c>
      <c r="G158" s="2688">
        <v>1.25485625</v>
      </c>
      <c r="H158" s="2687">
        <v>0</v>
      </c>
      <c r="I158" s="2687">
        <v>0</v>
      </c>
      <c r="J158" s="2688">
        <v>13.97865</v>
      </c>
      <c r="K158" s="2688">
        <v>5336.7863330499995</v>
      </c>
      <c r="L158" s="2688">
        <v>459.375</v>
      </c>
      <c r="M158" s="2687">
        <v>3</v>
      </c>
      <c r="N158" s="2108"/>
      <c r="P158" s="2119"/>
      <c r="Q158" s="2119"/>
      <c r="R158" s="2122"/>
      <c r="T158" s="2119"/>
      <c r="U158" s="2119"/>
    </row>
    <row r="159" spans="1:21" ht="18" hidden="1" customHeight="1">
      <c r="A159" s="4021"/>
      <c r="B159" s="2994" t="s">
        <v>167</v>
      </c>
      <c r="C159" s="2686">
        <v>6192.2153206899993</v>
      </c>
      <c r="D159" s="2688">
        <v>188.61391792000001</v>
      </c>
      <c r="E159" s="2687">
        <v>1.20273656</v>
      </c>
      <c r="F159" s="2687">
        <v>4.4629309999999998E-2</v>
      </c>
      <c r="G159" s="2688">
        <v>1.15810725</v>
      </c>
      <c r="H159" s="2687">
        <v>0</v>
      </c>
      <c r="I159" s="2687">
        <v>0</v>
      </c>
      <c r="J159" s="2688">
        <v>13.97865</v>
      </c>
      <c r="K159" s="2688">
        <v>5421.0450162099996</v>
      </c>
      <c r="L159" s="2688">
        <v>564.375</v>
      </c>
      <c r="M159" s="2687">
        <v>3</v>
      </c>
      <c r="N159" s="2108"/>
      <c r="P159" s="2119"/>
      <c r="Q159" s="2119"/>
      <c r="R159" s="2119"/>
      <c r="T159" s="2119"/>
      <c r="U159" s="2119"/>
    </row>
    <row r="160" spans="1:21" ht="18" hidden="1" customHeight="1">
      <c r="A160" s="4021"/>
      <c r="B160" s="2994" t="s">
        <v>168</v>
      </c>
      <c r="C160" s="2686">
        <v>6102.8271497599944</v>
      </c>
      <c r="D160" s="2688">
        <v>100.72631362999998</v>
      </c>
      <c r="E160" s="2687">
        <v>1.20273656</v>
      </c>
      <c r="F160" s="2687">
        <v>4.4629309999999998E-2</v>
      </c>
      <c r="G160" s="2688">
        <v>1.15810725</v>
      </c>
      <c r="H160" s="2687">
        <v>0</v>
      </c>
      <c r="I160" s="2687">
        <v>0</v>
      </c>
      <c r="J160" s="2688">
        <v>13.97865</v>
      </c>
      <c r="K160" s="2688">
        <v>5449.5444495699949</v>
      </c>
      <c r="L160" s="2688">
        <v>534.375</v>
      </c>
      <c r="M160" s="2687">
        <v>3</v>
      </c>
      <c r="N160" s="2108"/>
      <c r="P160" s="2119"/>
      <c r="Q160" s="2119"/>
      <c r="R160" s="2122"/>
      <c r="T160" s="2119"/>
      <c r="U160" s="2119"/>
    </row>
    <row r="161" spans="1:21" ht="18" hidden="1" customHeight="1">
      <c r="A161" s="4021"/>
      <c r="B161" s="2994" t="s">
        <v>169</v>
      </c>
      <c r="C161" s="2686">
        <v>6221.5317573700131</v>
      </c>
      <c r="D161" s="2688">
        <v>76.034172439999992</v>
      </c>
      <c r="E161" s="2687">
        <v>1.17821317</v>
      </c>
      <c r="F161" s="2687">
        <v>4.4629309999999998E-2</v>
      </c>
      <c r="G161" s="2688">
        <v>1.1335838600000001</v>
      </c>
      <c r="H161" s="2687">
        <v>0</v>
      </c>
      <c r="I161" s="2687">
        <v>0</v>
      </c>
      <c r="J161" s="2688">
        <v>13.97865</v>
      </c>
      <c r="K161" s="2688">
        <v>5442.9657217600134</v>
      </c>
      <c r="L161" s="2688">
        <v>684.375</v>
      </c>
      <c r="M161" s="2687">
        <v>3</v>
      </c>
      <c r="N161" s="2108"/>
      <c r="P161" s="2119"/>
      <c r="Q161" s="2119"/>
      <c r="R161" s="2122"/>
      <c r="T161" s="2119"/>
      <c r="U161" s="2119"/>
    </row>
    <row r="162" spans="1:21" ht="18" hidden="1" customHeight="1">
      <c r="A162" s="4021"/>
      <c r="B162" s="2994" t="s">
        <v>170</v>
      </c>
      <c r="C162" s="2686">
        <v>6357.5520876399905</v>
      </c>
      <c r="D162" s="2688">
        <v>99.914209719999988</v>
      </c>
      <c r="E162" s="2687">
        <v>1.17821317</v>
      </c>
      <c r="F162" s="2687">
        <v>4.4629309999999998E-2</v>
      </c>
      <c r="G162" s="2688">
        <v>1.1335838600000001</v>
      </c>
      <c r="H162" s="2687">
        <v>0</v>
      </c>
      <c r="I162" s="2687">
        <v>0</v>
      </c>
      <c r="J162" s="2688">
        <v>13.97865</v>
      </c>
      <c r="K162" s="2688">
        <v>5515.1060147499902</v>
      </c>
      <c r="L162" s="2688">
        <v>724.375</v>
      </c>
      <c r="M162" s="2687">
        <v>3</v>
      </c>
      <c r="N162" s="2108"/>
      <c r="P162" s="2119"/>
      <c r="Q162" s="2119"/>
      <c r="R162" s="2122"/>
      <c r="T162" s="2119"/>
      <c r="U162" s="2119"/>
    </row>
    <row r="163" spans="1:21" ht="18" hidden="1" customHeight="1">
      <c r="A163" s="4021"/>
      <c r="B163" s="2994" t="s">
        <v>171</v>
      </c>
      <c r="C163" s="2686">
        <v>6401.4549635600033</v>
      </c>
      <c r="D163" s="2688">
        <v>132.72278123000001</v>
      </c>
      <c r="E163" s="2687">
        <v>1.11576941</v>
      </c>
      <c r="F163" s="2687">
        <v>4.4629309999999998E-2</v>
      </c>
      <c r="G163" s="2688">
        <v>1.0711401</v>
      </c>
      <c r="H163" s="2687">
        <v>0</v>
      </c>
      <c r="I163" s="2687">
        <v>0</v>
      </c>
      <c r="J163" s="2688">
        <v>13.97865</v>
      </c>
      <c r="K163" s="2688">
        <v>5516.2627629200033</v>
      </c>
      <c r="L163" s="2688">
        <v>734.375</v>
      </c>
      <c r="M163" s="2687">
        <v>3</v>
      </c>
      <c r="N163" s="2108"/>
      <c r="P163" s="2119"/>
      <c r="Q163" s="2119"/>
      <c r="R163" s="2122"/>
      <c r="T163" s="2119"/>
      <c r="U163" s="2119"/>
    </row>
    <row r="164" spans="1:21" ht="18" customHeight="1">
      <c r="A164" s="4021"/>
      <c r="B164" s="2482">
        <v>2011</v>
      </c>
      <c r="C164" s="2686">
        <v>6446.5488294399956</v>
      </c>
      <c r="D164" s="2688">
        <v>223.129133</v>
      </c>
      <c r="E164" s="2687">
        <v>1.3937904599999997</v>
      </c>
      <c r="F164" s="2687">
        <v>4.4629309999999998E-2</v>
      </c>
      <c r="G164" s="2688">
        <v>1.3491611499999998</v>
      </c>
      <c r="H164" s="2687">
        <v>0</v>
      </c>
      <c r="I164" s="2687">
        <v>0</v>
      </c>
      <c r="J164" s="2688">
        <v>13.97865</v>
      </c>
      <c r="K164" s="2688">
        <v>5406.9222559799955</v>
      </c>
      <c r="L164" s="2688">
        <v>798.125</v>
      </c>
      <c r="M164" s="2687">
        <v>3</v>
      </c>
      <c r="N164" s="2108"/>
      <c r="P164" s="2119"/>
      <c r="Q164" s="2126"/>
      <c r="R164" s="2122"/>
      <c r="T164" s="2119"/>
      <c r="U164" s="2119"/>
    </row>
    <row r="165" spans="1:21" ht="18" hidden="1" customHeight="1">
      <c r="A165" s="4021"/>
      <c r="B165" s="2482">
        <v>2012</v>
      </c>
      <c r="C165" s="2686"/>
      <c r="D165" s="2687"/>
      <c r="E165" s="2687"/>
      <c r="F165" s="2687"/>
      <c r="G165" s="2687"/>
      <c r="H165" s="2687"/>
      <c r="I165" s="2687"/>
      <c r="J165" s="2687"/>
      <c r="K165" s="2687"/>
      <c r="L165" s="2687"/>
      <c r="M165" s="2688"/>
      <c r="N165" s="2108"/>
      <c r="P165" s="2119"/>
      <c r="Q165" s="2119"/>
      <c r="R165" s="2122"/>
      <c r="T165" s="2119"/>
      <c r="U165" s="2119"/>
    </row>
    <row r="166" spans="1:21" ht="18" hidden="1" customHeight="1">
      <c r="A166" s="4021"/>
      <c r="B166" s="2994" t="s">
        <v>161</v>
      </c>
      <c r="C166" s="2686">
        <v>6458.8756576400074</v>
      </c>
      <c r="D166" s="2688">
        <v>164.42274835999999</v>
      </c>
      <c r="E166" s="2687">
        <v>1.3937904599999997</v>
      </c>
      <c r="F166" s="2687">
        <v>4.4629309999999998E-2</v>
      </c>
      <c r="G166" s="2688">
        <v>1.3491611499999998</v>
      </c>
      <c r="H166" s="2687">
        <v>0</v>
      </c>
      <c r="I166" s="2687">
        <v>0</v>
      </c>
      <c r="J166" s="2688">
        <v>13.97865</v>
      </c>
      <c r="K166" s="2688">
        <v>5477.9554688200078</v>
      </c>
      <c r="L166" s="2688">
        <v>798.125</v>
      </c>
      <c r="M166" s="2687">
        <v>3</v>
      </c>
      <c r="N166" s="2108"/>
      <c r="P166" s="2119"/>
      <c r="Q166" s="2119"/>
      <c r="R166" s="2122"/>
      <c r="T166" s="2119"/>
      <c r="U166" s="2119"/>
    </row>
    <row r="167" spans="1:21" ht="18" hidden="1" customHeight="1">
      <c r="A167" s="4021"/>
      <c r="B167" s="2994" t="s">
        <v>162</v>
      </c>
      <c r="C167" s="2686">
        <v>6522.581811040006</v>
      </c>
      <c r="D167" s="2688">
        <v>210.97138409000002</v>
      </c>
      <c r="E167" s="2687">
        <v>1.3937904599999997</v>
      </c>
      <c r="F167" s="2687">
        <v>4.4629309999999998E-2</v>
      </c>
      <c r="G167" s="2688">
        <v>1.3491611499999998</v>
      </c>
      <c r="H167" s="2687">
        <v>0</v>
      </c>
      <c r="I167" s="2687">
        <v>0</v>
      </c>
      <c r="J167" s="2688">
        <v>13.97865</v>
      </c>
      <c r="K167" s="2688">
        <v>5495.1129864900058</v>
      </c>
      <c r="L167" s="2688">
        <v>798.125</v>
      </c>
      <c r="M167" s="2687">
        <v>3</v>
      </c>
      <c r="N167" s="2108"/>
      <c r="P167" s="2119"/>
      <c r="Q167" s="2119"/>
      <c r="R167" s="2122"/>
      <c r="T167" s="2119"/>
      <c r="U167" s="2119"/>
    </row>
    <row r="168" spans="1:21" ht="18" hidden="1" customHeight="1">
      <c r="A168" s="4021"/>
      <c r="B168" s="2994" t="s">
        <v>163</v>
      </c>
      <c r="C168" s="2686">
        <v>6661.6498986200013</v>
      </c>
      <c r="D168" s="2688">
        <v>326.28906448000009</v>
      </c>
      <c r="E168" s="2687">
        <v>1.3937904599999997</v>
      </c>
      <c r="F168" s="2687">
        <v>4.4629309999999998E-2</v>
      </c>
      <c r="G168" s="2688">
        <v>1.3491611499999998</v>
      </c>
      <c r="H168" s="2687">
        <v>0</v>
      </c>
      <c r="I168" s="2687">
        <v>0</v>
      </c>
      <c r="J168" s="2688">
        <v>47.728650000000002</v>
      </c>
      <c r="K168" s="2688">
        <v>5528.8633936800015</v>
      </c>
      <c r="L168" s="2688">
        <v>754.375</v>
      </c>
      <c r="M168" s="2687">
        <v>3</v>
      </c>
      <c r="N168" s="2108"/>
      <c r="P168" s="2119"/>
      <c r="Q168" s="2119"/>
      <c r="R168" s="2122"/>
      <c r="T168" s="2119"/>
      <c r="U168" s="2119"/>
    </row>
    <row r="169" spans="1:21" ht="18" hidden="1" customHeight="1">
      <c r="A169" s="4021"/>
      <c r="B169" s="2994" t="s">
        <v>164</v>
      </c>
      <c r="C169" s="2686">
        <v>6710.0602634400002</v>
      </c>
      <c r="D169" s="2688">
        <v>304.10597591999999</v>
      </c>
      <c r="E169" s="2687">
        <v>1.3937904599999997</v>
      </c>
      <c r="F169" s="2687">
        <v>4.4629309999999998E-2</v>
      </c>
      <c r="G169" s="2688">
        <v>1.3491611499999998</v>
      </c>
      <c r="H169" s="2687">
        <v>0</v>
      </c>
      <c r="I169" s="2687">
        <v>0</v>
      </c>
      <c r="J169" s="2688">
        <v>13.97865</v>
      </c>
      <c r="K169" s="2688">
        <v>5599.4568470599997</v>
      </c>
      <c r="L169" s="2688">
        <v>788.125</v>
      </c>
      <c r="M169" s="2687">
        <v>3</v>
      </c>
      <c r="N169" s="2108"/>
      <c r="P169" s="2119"/>
      <c r="Q169" s="2119"/>
      <c r="R169" s="2122"/>
      <c r="T169" s="2119"/>
      <c r="U169" s="2119"/>
    </row>
    <row r="170" spans="1:21" ht="18" hidden="1" customHeight="1">
      <c r="A170" s="4021"/>
      <c r="B170" s="2994" t="s">
        <v>165</v>
      </c>
      <c r="C170" s="2686">
        <v>6662.2013057100075</v>
      </c>
      <c r="D170" s="2688">
        <v>253.5714845</v>
      </c>
      <c r="E170" s="2687">
        <v>1.3937904599999997</v>
      </c>
      <c r="F170" s="2687">
        <v>4.4629309999999998E-2</v>
      </c>
      <c r="G170" s="2688">
        <v>1.3491611499999998</v>
      </c>
      <c r="H170" s="2687">
        <v>0</v>
      </c>
      <c r="I170" s="2687">
        <v>0</v>
      </c>
      <c r="J170" s="2688">
        <v>13.97865</v>
      </c>
      <c r="K170" s="2688">
        <v>5607.1323807500075</v>
      </c>
      <c r="L170" s="2688">
        <v>783.125</v>
      </c>
      <c r="M170" s="2687">
        <v>3</v>
      </c>
      <c r="N170" s="2108"/>
      <c r="P170" s="2119"/>
      <c r="Q170" s="2119"/>
      <c r="R170" s="2122"/>
      <c r="T170" s="2119"/>
      <c r="U170" s="2119"/>
    </row>
    <row r="171" spans="1:21" ht="18" hidden="1" customHeight="1">
      <c r="A171" s="4021"/>
      <c r="B171" s="2994" t="s">
        <v>166</v>
      </c>
      <c r="C171" s="2686">
        <v>6783.3267420900102</v>
      </c>
      <c r="D171" s="2688">
        <v>415.61722417000004</v>
      </c>
      <c r="E171" s="2687">
        <v>3.5470893100000001</v>
      </c>
      <c r="F171" s="2687">
        <v>4.4629309999999998E-2</v>
      </c>
      <c r="G171" s="2688">
        <v>3.5024600000000001</v>
      </c>
      <c r="H171" s="2687">
        <v>0</v>
      </c>
      <c r="I171" s="2687">
        <v>0</v>
      </c>
      <c r="J171" s="2688">
        <v>13.97865</v>
      </c>
      <c r="K171" s="2688">
        <v>5549.0587786100104</v>
      </c>
      <c r="L171" s="2688">
        <v>798.125</v>
      </c>
      <c r="M171" s="2687">
        <v>3</v>
      </c>
      <c r="N171" s="2108"/>
      <c r="O171" s="2127"/>
      <c r="P171" s="2119"/>
      <c r="Q171" s="2119"/>
      <c r="R171" s="2122"/>
      <c r="T171" s="2119"/>
      <c r="U171" s="2119"/>
    </row>
    <row r="172" spans="1:21" ht="18" hidden="1" customHeight="1">
      <c r="A172" s="4021"/>
      <c r="B172" s="2994" t="s">
        <v>167</v>
      </c>
      <c r="C172" s="2686">
        <v>6748.9258664500094</v>
      </c>
      <c r="D172" s="2688">
        <v>337.25721178999993</v>
      </c>
      <c r="E172" s="2687">
        <v>3.5470893100000001</v>
      </c>
      <c r="F172" s="2687">
        <v>4.4629309999999998E-2</v>
      </c>
      <c r="G172" s="2688">
        <v>3.5024600000000001</v>
      </c>
      <c r="H172" s="2687">
        <v>0</v>
      </c>
      <c r="I172" s="2687">
        <v>0</v>
      </c>
      <c r="J172" s="2688">
        <v>13.97865</v>
      </c>
      <c r="K172" s="2688">
        <v>5573.0179153500094</v>
      </c>
      <c r="L172" s="2688">
        <v>818.125</v>
      </c>
      <c r="M172" s="2687">
        <v>3</v>
      </c>
      <c r="N172" s="2108"/>
      <c r="O172" s="2127"/>
      <c r="P172" s="2119"/>
      <c r="Q172" s="2119"/>
      <c r="R172" s="2122"/>
      <c r="T172" s="2119"/>
      <c r="U172" s="2119"/>
    </row>
    <row r="173" spans="1:21" ht="18" hidden="1" customHeight="1">
      <c r="A173" s="4021"/>
      <c r="B173" s="2994" t="s">
        <v>168</v>
      </c>
      <c r="C173" s="2686">
        <v>6845.5285550799917</v>
      </c>
      <c r="D173" s="2688">
        <v>350.18678886999999</v>
      </c>
      <c r="E173" s="2687">
        <v>2.3361333100000001</v>
      </c>
      <c r="F173" s="2687">
        <v>4.4629309999999998E-2</v>
      </c>
      <c r="G173" s="2688">
        <v>2.2915040000000002</v>
      </c>
      <c r="H173" s="2687">
        <v>0</v>
      </c>
      <c r="I173" s="2687">
        <v>0</v>
      </c>
      <c r="J173" s="2688">
        <v>13.97865</v>
      </c>
      <c r="K173" s="2688">
        <v>5607.9019828999917</v>
      </c>
      <c r="L173" s="2688">
        <v>868.125</v>
      </c>
      <c r="M173" s="2687">
        <v>3</v>
      </c>
      <c r="N173" s="2108"/>
      <c r="O173" s="2127"/>
      <c r="P173" s="2119"/>
      <c r="Q173" s="2119"/>
      <c r="R173" s="2122"/>
      <c r="T173" s="2119"/>
      <c r="U173" s="2119"/>
    </row>
    <row r="174" spans="1:21" ht="18" hidden="1" customHeight="1">
      <c r="A174" s="4021"/>
      <c r="B174" s="2994" t="s">
        <v>169</v>
      </c>
      <c r="C174" s="2686">
        <v>6756.4648121200134</v>
      </c>
      <c r="D174" s="2688">
        <v>198.08909181999999</v>
      </c>
      <c r="E174" s="2687">
        <v>2.3361333100000001</v>
      </c>
      <c r="F174" s="2687">
        <v>4.4629309999999998E-2</v>
      </c>
      <c r="G174" s="2688">
        <v>2.2915040000000002</v>
      </c>
      <c r="H174" s="2687">
        <v>0</v>
      </c>
      <c r="I174" s="2687">
        <v>0</v>
      </c>
      <c r="J174" s="2688">
        <v>13.97865</v>
      </c>
      <c r="K174" s="2688">
        <v>5650.935936990013</v>
      </c>
      <c r="L174" s="2688">
        <v>888.125</v>
      </c>
      <c r="M174" s="2687">
        <v>3</v>
      </c>
      <c r="N174" s="2108"/>
      <c r="O174" s="2127"/>
      <c r="P174" s="2119"/>
      <c r="Q174" s="2119"/>
      <c r="R174" s="2122"/>
      <c r="T174" s="2119"/>
      <c r="U174" s="2119"/>
    </row>
    <row r="175" spans="1:21" ht="18" hidden="1" customHeight="1">
      <c r="A175" s="4021"/>
      <c r="B175" s="2994" t="s">
        <v>170</v>
      </c>
      <c r="C175" s="2686">
        <v>7047.9624551299994</v>
      </c>
      <c r="D175" s="2688">
        <v>167.40309093999997</v>
      </c>
      <c r="E175" s="2687">
        <v>2.3361333100000001</v>
      </c>
      <c r="F175" s="2687">
        <v>4.4629309999999998E-2</v>
      </c>
      <c r="G175" s="2688">
        <v>2.2915040000000002</v>
      </c>
      <c r="H175" s="2687">
        <v>0</v>
      </c>
      <c r="I175" s="2687">
        <v>0</v>
      </c>
      <c r="J175" s="2688">
        <v>13.97865</v>
      </c>
      <c r="K175" s="2688">
        <v>5688.1195808799994</v>
      </c>
      <c r="L175" s="2688">
        <v>1173.125</v>
      </c>
      <c r="M175" s="2687">
        <v>3</v>
      </c>
      <c r="N175" s="2108"/>
      <c r="O175" s="2127"/>
      <c r="P175" s="2119"/>
      <c r="Q175" s="2119"/>
      <c r="R175" s="2122"/>
      <c r="T175" s="2119"/>
      <c r="U175" s="2119"/>
    </row>
    <row r="176" spans="1:21" ht="18" hidden="1" customHeight="1">
      <c r="A176" s="4021"/>
      <c r="B176" s="2994" t="s">
        <v>171</v>
      </c>
      <c r="C176" s="2686">
        <v>7119.2099168799996</v>
      </c>
      <c r="D176" s="2688">
        <v>202.11383087000004</v>
      </c>
      <c r="E176" s="2687">
        <v>2.3361333100000001</v>
      </c>
      <c r="F176" s="2687">
        <v>4.4629309999999998E-2</v>
      </c>
      <c r="G176" s="2688">
        <v>2.2915040000000002</v>
      </c>
      <c r="H176" s="2687">
        <v>0</v>
      </c>
      <c r="I176" s="2687">
        <v>0</v>
      </c>
      <c r="J176" s="2688">
        <v>13.97865</v>
      </c>
      <c r="K176" s="2688">
        <v>5674.6563026999993</v>
      </c>
      <c r="L176" s="2688">
        <v>1223.125</v>
      </c>
      <c r="M176" s="2687">
        <v>3</v>
      </c>
      <c r="N176" s="2108"/>
      <c r="O176" s="2127"/>
      <c r="P176" s="2119"/>
      <c r="Q176" s="2119"/>
      <c r="R176" s="2122"/>
      <c r="T176" s="2119"/>
      <c r="U176" s="2119"/>
    </row>
    <row r="177" spans="1:21" ht="18" customHeight="1">
      <c r="A177" s="4021"/>
      <c r="B177" s="2482">
        <v>2012</v>
      </c>
      <c r="C177" s="2686">
        <v>7222.9907320000002</v>
      </c>
      <c r="D177" s="2688">
        <v>306.85750100000001</v>
      </c>
      <c r="E177" s="2687">
        <v>2.34517</v>
      </c>
      <c r="F177" s="2687">
        <v>4.4629000000000002E-2</v>
      </c>
      <c r="G177" s="2688">
        <v>2.3005409999999999</v>
      </c>
      <c r="H177" s="2687">
        <v>0</v>
      </c>
      <c r="I177" s="2687">
        <v>0</v>
      </c>
      <c r="J177" s="2688">
        <v>13.97865</v>
      </c>
      <c r="K177" s="2688">
        <v>5673.6844110000002</v>
      </c>
      <c r="L177" s="2688">
        <v>1223.125</v>
      </c>
      <c r="M177" s="2687">
        <v>3</v>
      </c>
      <c r="N177" s="2108"/>
      <c r="O177" s="2127"/>
      <c r="P177" s="2119"/>
      <c r="Q177" s="2119"/>
      <c r="R177" s="2122"/>
      <c r="T177" s="2119"/>
      <c r="U177" s="2119"/>
    </row>
    <row r="178" spans="1:21" ht="18" customHeight="1">
      <c r="A178" s="4021"/>
      <c r="B178" s="2482">
        <v>2013</v>
      </c>
      <c r="C178" s="4024"/>
      <c r="D178" s="2688"/>
      <c r="E178" s="2688"/>
      <c r="F178" s="2688"/>
      <c r="G178" s="2688"/>
      <c r="H178" s="2688"/>
      <c r="I178" s="2688"/>
      <c r="J178" s="2688"/>
      <c r="K178" s="2688"/>
      <c r="L178" s="2688"/>
      <c r="M178" s="2687"/>
      <c r="N178" s="2108"/>
      <c r="O178" s="2127"/>
      <c r="P178" s="2119"/>
      <c r="Q178" s="2119"/>
      <c r="R178" s="2122"/>
      <c r="T178" s="2119"/>
      <c r="U178" s="2119"/>
    </row>
    <row r="179" spans="1:21" ht="18" customHeight="1">
      <c r="A179" s="4021"/>
      <c r="B179" s="2484" t="s">
        <v>161</v>
      </c>
      <c r="C179" s="2686">
        <v>7274.8665498499995</v>
      </c>
      <c r="D179" s="2688">
        <v>356.67839742000001</v>
      </c>
      <c r="E179" s="2687">
        <v>2.3451703099999999</v>
      </c>
      <c r="F179" s="2687">
        <v>4.4629309999999998E-2</v>
      </c>
      <c r="G179" s="2688">
        <v>2.3005409999999999</v>
      </c>
      <c r="H179" s="2687">
        <v>0</v>
      </c>
      <c r="I179" s="2687">
        <v>0</v>
      </c>
      <c r="J179" s="2688">
        <v>13.97865</v>
      </c>
      <c r="K179" s="2688">
        <v>5755.7393321199997</v>
      </c>
      <c r="L179" s="2688">
        <v>1143.125</v>
      </c>
      <c r="M179" s="2687">
        <v>3</v>
      </c>
      <c r="N179" s="2108"/>
      <c r="O179" s="2127"/>
      <c r="P179" s="2119"/>
      <c r="Q179" s="2119"/>
      <c r="R179" s="2122"/>
      <c r="T179" s="2119"/>
      <c r="U179" s="2119"/>
    </row>
    <row r="180" spans="1:21" ht="18" customHeight="1">
      <c r="A180" s="4021"/>
      <c r="B180" s="2484" t="s">
        <v>162</v>
      </c>
      <c r="C180" s="2686">
        <v>7403.6357202499903</v>
      </c>
      <c r="D180" s="2688">
        <v>296.93758349000001</v>
      </c>
      <c r="E180" s="2687">
        <v>2.35081622</v>
      </c>
      <c r="F180" s="2687">
        <v>4.4629309999999998E-2</v>
      </c>
      <c r="G180" s="2688">
        <v>2.3061869100000001</v>
      </c>
      <c r="H180" s="2687">
        <v>0</v>
      </c>
      <c r="I180" s="2687">
        <v>0</v>
      </c>
      <c r="J180" s="2688">
        <v>13.97865</v>
      </c>
      <c r="K180" s="2688">
        <v>5944.2436705399905</v>
      </c>
      <c r="L180" s="2688">
        <v>1143.125</v>
      </c>
      <c r="M180" s="2687">
        <v>3</v>
      </c>
      <c r="N180" s="2108"/>
      <c r="O180" s="2127"/>
      <c r="P180" s="2119"/>
      <c r="Q180" s="2119"/>
      <c r="R180" s="2122"/>
      <c r="T180" s="2119"/>
      <c r="U180" s="2119"/>
    </row>
    <row r="181" spans="1:21" ht="18" customHeight="1">
      <c r="A181" s="4021"/>
      <c r="B181" s="2484" t="s">
        <v>163</v>
      </c>
      <c r="C181" s="2686">
        <v>7571.3605843300002</v>
      </c>
      <c r="D181" s="2688">
        <v>354.24421354999993</v>
      </c>
      <c r="E181" s="2687">
        <v>2.3508163099999999</v>
      </c>
      <c r="F181" s="2687">
        <v>4.4629309999999998E-2</v>
      </c>
      <c r="G181" s="2688">
        <v>2.306187</v>
      </c>
      <c r="H181" s="2687">
        <v>0</v>
      </c>
      <c r="I181" s="2687">
        <v>0</v>
      </c>
      <c r="J181" s="2688">
        <v>13.97865</v>
      </c>
      <c r="K181" s="2688">
        <v>6054.6619044700001</v>
      </c>
      <c r="L181" s="2688">
        <v>1143.125</v>
      </c>
      <c r="M181" s="2687">
        <v>3</v>
      </c>
      <c r="N181" s="2108"/>
      <c r="O181" s="2127"/>
      <c r="P181" s="2119"/>
      <c r="Q181" s="2119"/>
      <c r="R181" s="2122"/>
      <c r="T181" s="2119"/>
      <c r="U181" s="2119"/>
    </row>
    <row r="182" spans="1:21" ht="18" customHeight="1">
      <c r="A182" s="4021"/>
      <c r="B182" s="2484" t="s">
        <v>164</v>
      </c>
      <c r="C182" s="2686">
        <v>7549.7874537100006</v>
      </c>
      <c r="D182" s="2688">
        <v>375.58562102000008</v>
      </c>
      <c r="E182" s="2687">
        <v>2.3508163099999999</v>
      </c>
      <c r="F182" s="2687">
        <v>4.4629309999999998E-2</v>
      </c>
      <c r="G182" s="2688">
        <v>2.306187</v>
      </c>
      <c r="H182" s="2687">
        <v>0</v>
      </c>
      <c r="I182" s="2687">
        <v>0</v>
      </c>
      <c r="J182" s="2688">
        <v>13.97865</v>
      </c>
      <c r="K182" s="2688">
        <v>6061.7473663800001</v>
      </c>
      <c r="L182" s="2688">
        <v>1093.125</v>
      </c>
      <c r="M182" s="2687">
        <v>3</v>
      </c>
      <c r="N182" s="2108"/>
      <c r="O182" s="2127"/>
      <c r="P182" s="2119"/>
      <c r="Q182" s="2119"/>
      <c r="R182" s="2122"/>
      <c r="T182" s="2119"/>
      <c r="U182" s="2119"/>
    </row>
    <row r="183" spans="1:21" ht="18" customHeight="1">
      <c r="A183" s="4021"/>
      <c r="B183" s="2488" t="s">
        <v>165</v>
      </c>
      <c r="C183" s="2689">
        <v>7682.0994549599991</v>
      </c>
      <c r="D183" s="2690">
        <v>413.41833183</v>
      </c>
      <c r="E183" s="2691">
        <v>2.3508163099999999</v>
      </c>
      <c r="F183" s="2691">
        <v>4.4629309999999998E-2</v>
      </c>
      <c r="G183" s="2690">
        <v>2.306187</v>
      </c>
      <c r="H183" s="2691">
        <v>0</v>
      </c>
      <c r="I183" s="2691">
        <v>0</v>
      </c>
      <c r="J183" s="2690">
        <v>13.97865</v>
      </c>
      <c r="K183" s="2690">
        <v>6156.2266568199993</v>
      </c>
      <c r="L183" s="2690">
        <v>1093.125</v>
      </c>
      <c r="M183" s="2691">
        <v>3</v>
      </c>
      <c r="N183" s="2108"/>
      <c r="O183" s="2127"/>
      <c r="P183" s="2119"/>
      <c r="Q183" s="2119"/>
      <c r="R183" s="2122"/>
      <c r="T183" s="2119"/>
      <c r="U183" s="2119"/>
    </row>
    <row r="184" spans="1:21" ht="18" customHeight="1">
      <c r="A184" s="4021"/>
      <c r="B184" s="2488" t="s">
        <v>166</v>
      </c>
      <c r="C184" s="2689">
        <v>7873.1053100499948</v>
      </c>
      <c r="D184" s="2690">
        <v>535.97457252000004</v>
      </c>
      <c r="E184" s="2691">
        <v>2.35683431</v>
      </c>
      <c r="F184" s="2691">
        <v>4.4629309999999998E-2</v>
      </c>
      <c r="G184" s="2690">
        <v>2.3122050000000001</v>
      </c>
      <c r="H184" s="2691">
        <v>0</v>
      </c>
      <c r="I184" s="2691">
        <v>0</v>
      </c>
      <c r="J184" s="2690">
        <v>13.97865</v>
      </c>
      <c r="K184" s="2690">
        <v>6112.6702532199952</v>
      </c>
      <c r="L184" s="2690">
        <v>1193.125</v>
      </c>
      <c r="M184" s="2691">
        <v>15</v>
      </c>
      <c r="N184" s="2108"/>
      <c r="O184" s="2127"/>
      <c r="P184" s="2119"/>
      <c r="Q184" s="2119"/>
      <c r="R184" s="2122"/>
      <c r="T184" s="2119"/>
      <c r="U184" s="2119"/>
    </row>
    <row r="185" spans="1:21" ht="18" customHeight="1">
      <c r="A185" s="4021"/>
      <c r="B185" s="2488" t="s">
        <v>167</v>
      </c>
      <c r="C185" s="2689">
        <v>8310.1139932500118</v>
      </c>
      <c r="D185" s="2690">
        <v>656.81485088999989</v>
      </c>
      <c r="E185" s="2691">
        <v>2.35683431</v>
      </c>
      <c r="F185" s="2691">
        <v>4.4629309999999998E-2</v>
      </c>
      <c r="G185" s="2690">
        <v>2.3122050000000001</v>
      </c>
      <c r="H185" s="2691">
        <v>0</v>
      </c>
      <c r="I185" s="2691">
        <v>0</v>
      </c>
      <c r="J185" s="2690">
        <v>13.97865</v>
      </c>
      <c r="K185" s="2690">
        <v>6228.838658050011</v>
      </c>
      <c r="L185" s="2690">
        <v>1393.125</v>
      </c>
      <c r="M185" s="2691">
        <v>15</v>
      </c>
      <c r="N185" s="2108"/>
      <c r="O185" s="2127"/>
      <c r="P185" s="2119"/>
      <c r="Q185" s="2119"/>
      <c r="R185" s="2122"/>
      <c r="T185" s="2119"/>
      <c r="U185" s="2119"/>
    </row>
    <row r="186" spans="1:21" ht="18" customHeight="1">
      <c r="A186" s="4021"/>
      <c r="B186" s="2488" t="s">
        <v>168</v>
      </c>
      <c r="C186" s="2689">
        <v>8237.5490027100059</v>
      </c>
      <c r="D186" s="2690">
        <v>473.49462411999997</v>
      </c>
      <c r="E186" s="2691">
        <v>2.35683431</v>
      </c>
      <c r="F186" s="2691">
        <v>4.4629309999999998E-2</v>
      </c>
      <c r="G186" s="2690">
        <v>2.3122050000000001</v>
      </c>
      <c r="H186" s="2691">
        <v>0</v>
      </c>
      <c r="I186" s="2691">
        <v>0</v>
      </c>
      <c r="J186" s="2690">
        <v>13.97865</v>
      </c>
      <c r="K186" s="2690">
        <v>6339.5938942800058</v>
      </c>
      <c r="L186" s="2690">
        <v>1393.125</v>
      </c>
      <c r="M186" s="2691">
        <v>15</v>
      </c>
      <c r="N186" s="2108"/>
      <c r="O186" s="2127"/>
      <c r="P186" s="2119"/>
      <c r="Q186" s="2119"/>
      <c r="R186" s="2122"/>
      <c r="T186" s="2119"/>
      <c r="U186" s="2119"/>
    </row>
    <row r="187" spans="1:21" ht="18" customHeight="1">
      <c r="A187" s="4021"/>
      <c r="B187" s="2488" t="s">
        <v>169</v>
      </c>
      <c r="C187" s="2689">
        <v>8201.1246706900019</v>
      </c>
      <c r="D187" s="2690">
        <v>320.16773390000003</v>
      </c>
      <c r="E187" s="2691">
        <v>2.3624303099999997</v>
      </c>
      <c r="F187" s="2691">
        <v>4.4629309999999998E-2</v>
      </c>
      <c r="G187" s="2690">
        <v>2.3178009999999998</v>
      </c>
      <c r="H187" s="2691">
        <v>0</v>
      </c>
      <c r="I187" s="2691">
        <v>0</v>
      </c>
      <c r="J187" s="2690">
        <v>13.97865</v>
      </c>
      <c r="K187" s="2690">
        <v>6456.4908564800007</v>
      </c>
      <c r="L187" s="2690">
        <v>1393.125</v>
      </c>
      <c r="M187" s="2691">
        <v>15</v>
      </c>
      <c r="N187" s="2108"/>
      <c r="O187" s="2127"/>
      <c r="P187" s="2119"/>
      <c r="Q187" s="2119"/>
      <c r="R187" s="2122"/>
      <c r="T187" s="2119"/>
      <c r="U187" s="2119"/>
    </row>
    <row r="188" spans="1:21" ht="18" customHeight="1">
      <c r="A188" s="4021"/>
      <c r="B188" s="2488" t="s">
        <v>170</v>
      </c>
      <c r="C188" s="2689">
        <v>8244.7852265199872</v>
      </c>
      <c r="D188" s="2690">
        <v>280.85287732</v>
      </c>
      <c r="E188" s="2691">
        <v>4.4629309999999998E-2</v>
      </c>
      <c r="F188" s="2691">
        <v>4.4629309999999998E-2</v>
      </c>
      <c r="G188" s="2690">
        <v>0</v>
      </c>
      <c r="H188" s="2691">
        <v>0</v>
      </c>
      <c r="I188" s="2691">
        <v>0</v>
      </c>
      <c r="J188" s="2690">
        <v>13.97865</v>
      </c>
      <c r="K188" s="2690">
        <v>6541.7840698899872</v>
      </c>
      <c r="L188" s="2690">
        <v>1393.125</v>
      </c>
      <c r="M188" s="2691">
        <v>15</v>
      </c>
      <c r="N188" s="2108"/>
      <c r="O188" s="2127"/>
      <c r="P188" s="2119"/>
      <c r="Q188" s="2119"/>
      <c r="R188" s="2122"/>
      <c r="T188" s="2119"/>
      <c r="U188" s="2119"/>
    </row>
    <row r="189" spans="1:21" ht="18" customHeight="1">
      <c r="A189" s="4021"/>
      <c r="B189" s="2488" t="s">
        <v>171</v>
      </c>
      <c r="C189" s="2689">
        <v>8301.4833557099773</v>
      </c>
      <c r="D189" s="2690">
        <v>231.89116787</v>
      </c>
      <c r="E189" s="2691">
        <v>4.4629309999999998E-2</v>
      </c>
      <c r="F189" s="2691">
        <v>4.4629309999999998E-2</v>
      </c>
      <c r="G189" s="2690">
        <v>0</v>
      </c>
      <c r="H189" s="2691">
        <v>0</v>
      </c>
      <c r="I189" s="2691">
        <v>0</v>
      </c>
      <c r="J189" s="2690">
        <v>13.97865</v>
      </c>
      <c r="K189" s="2690">
        <v>6647.4439085299782</v>
      </c>
      <c r="L189" s="2690">
        <v>1393.125</v>
      </c>
      <c r="M189" s="2691">
        <v>15</v>
      </c>
      <c r="N189" s="2108"/>
      <c r="O189" s="2127"/>
      <c r="P189" s="2119"/>
      <c r="Q189" s="2119"/>
      <c r="R189" s="2122"/>
      <c r="T189" s="2119"/>
      <c r="U189" s="2119"/>
    </row>
    <row r="190" spans="1:21" ht="18" customHeight="1">
      <c r="A190" s="4021"/>
      <c r="B190" s="2488" t="s">
        <v>148</v>
      </c>
      <c r="C190" s="2689">
        <v>8283.3822270900037</v>
      </c>
      <c r="D190" s="2690">
        <v>232.30999399999999</v>
      </c>
      <c r="E190" s="2691">
        <v>26.295057310000001</v>
      </c>
      <c r="F190" s="2691">
        <v>4.4629309999999998E-2</v>
      </c>
      <c r="G190" s="2690">
        <v>26.250427999999999</v>
      </c>
      <c r="H190" s="2691">
        <v>0</v>
      </c>
      <c r="I190" s="2691">
        <v>0</v>
      </c>
      <c r="J190" s="2690">
        <v>13.47865</v>
      </c>
      <c r="K190" s="2690">
        <v>6582.6735257800037</v>
      </c>
      <c r="L190" s="2690">
        <v>1393.125</v>
      </c>
      <c r="M190" s="2691">
        <v>35.5</v>
      </c>
      <c r="N190" s="2108"/>
      <c r="O190" s="2127"/>
      <c r="P190" s="2119"/>
      <c r="Q190" s="2119"/>
      <c r="R190" s="2122"/>
      <c r="T190" s="2119"/>
      <c r="U190" s="2119"/>
    </row>
    <row r="191" spans="1:21" ht="18" customHeight="1">
      <c r="A191" s="4021"/>
      <c r="B191" s="2487">
        <v>2014</v>
      </c>
      <c r="C191" s="2689"/>
      <c r="D191" s="2690"/>
      <c r="E191" s="2691"/>
      <c r="F191" s="2691"/>
      <c r="G191" s="2690"/>
      <c r="H191" s="2691"/>
      <c r="I191" s="2691"/>
      <c r="J191" s="2690"/>
      <c r="K191" s="2690"/>
      <c r="L191" s="2690"/>
      <c r="M191" s="2691"/>
      <c r="N191" s="2108"/>
      <c r="O191" s="2127"/>
      <c r="P191" s="2119"/>
      <c r="Q191" s="2119"/>
      <c r="R191" s="2122"/>
      <c r="T191" s="2119"/>
      <c r="U191" s="2119"/>
    </row>
    <row r="192" spans="1:21" ht="18" customHeight="1">
      <c r="A192" s="4021"/>
      <c r="B192" s="2488" t="s">
        <v>161</v>
      </c>
      <c r="C192" s="2689">
        <v>9316.5217273500093</v>
      </c>
      <c r="D192" s="2690">
        <v>999.08959642000002</v>
      </c>
      <c r="E192" s="2691">
        <v>7.5130039299999991</v>
      </c>
      <c r="F192" s="2691">
        <v>4.8865135699999991</v>
      </c>
      <c r="G192" s="2690">
        <v>2.62649036</v>
      </c>
      <c r="H192" s="2691">
        <v>0</v>
      </c>
      <c r="I192" s="2691">
        <v>0</v>
      </c>
      <c r="J192" s="2690">
        <v>13.97865</v>
      </c>
      <c r="K192" s="2690">
        <v>6867.8154770000101</v>
      </c>
      <c r="L192" s="2690">
        <v>1393.125</v>
      </c>
      <c r="M192" s="2691">
        <v>35</v>
      </c>
      <c r="N192" s="2108"/>
      <c r="O192" s="2127"/>
      <c r="P192" s="2119"/>
      <c r="Q192" s="2119"/>
      <c r="R192" s="2122"/>
      <c r="T192" s="2119"/>
      <c r="U192" s="2119"/>
    </row>
    <row r="193" spans="1:21" ht="18" customHeight="1">
      <c r="A193" s="4021"/>
      <c r="B193" s="2488" t="s">
        <v>162</v>
      </c>
      <c r="C193" s="2689">
        <v>9273.6024053200072</v>
      </c>
      <c r="D193" s="2690">
        <v>781.92482226000016</v>
      </c>
      <c r="E193" s="2691">
        <v>9.1158399699999997</v>
      </c>
      <c r="F193" s="2691">
        <v>6.4893496099999997</v>
      </c>
      <c r="G193" s="2690">
        <v>2.62649036</v>
      </c>
      <c r="H193" s="2691">
        <v>0</v>
      </c>
      <c r="I193" s="2691">
        <v>0</v>
      </c>
      <c r="J193" s="2690">
        <v>13.97865</v>
      </c>
      <c r="K193" s="2690">
        <v>7040.4580930900074</v>
      </c>
      <c r="L193" s="2690">
        <v>1393.125</v>
      </c>
      <c r="M193" s="2691">
        <v>35</v>
      </c>
      <c r="N193" s="2108"/>
      <c r="O193" s="2127"/>
      <c r="P193" s="2119"/>
      <c r="Q193" s="2119"/>
      <c r="R193" s="2122"/>
      <c r="T193" s="2119"/>
      <c r="U193" s="2119"/>
    </row>
    <row r="194" spans="1:21" ht="18" customHeight="1">
      <c r="A194" s="4021"/>
      <c r="B194" s="2488" t="s">
        <v>163</v>
      </c>
      <c r="C194" s="2689">
        <v>9111.7171783200029</v>
      </c>
      <c r="D194" s="2690">
        <v>425.08629268999994</v>
      </c>
      <c r="E194" s="2691">
        <v>6.6563144700000008</v>
      </c>
      <c r="F194" s="2691">
        <v>4.0263993100000004</v>
      </c>
      <c r="G194" s="2690">
        <v>2.6299151600000004</v>
      </c>
      <c r="H194" s="2691">
        <v>0</v>
      </c>
      <c r="I194" s="2691">
        <v>0</v>
      </c>
      <c r="J194" s="2690">
        <v>13.97865</v>
      </c>
      <c r="K194" s="2690">
        <v>7147.8709211600017</v>
      </c>
      <c r="L194" s="2690">
        <v>1483.125</v>
      </c>
      <c r="M194" s="2691">
        <v>35</v>
      </c>
      <c r="N194" s="2108"/>
      <c r="O194" s="2127"/>
      <c r="P194" s="2119"/>
      <c r="Q194" s="2119"/>
      <c r="R194" s="2122"/>
      <c r="T194" s="2119"/>
      <c r="U194" s="2119"/>
    </row>
    <row r="195" spans="1:21" ht="18" customHeight="1">
      <c r="A195" s="4021"/>
      <c r="B195" s="2488" t="s">
        <v>164</v>
      </c>
      <c r="C195" s="2689">
        <v>9567.1445850799973</v>
      </c>
      <c r="D195" s="2690">
        <v>550.16324057999998</v>
      </c>
      <c r="E195" s="2691">
        <v>7.2137221999999985</v>
      </c>
      <c r="F195" s="2691">
        <v>4.5872318399999985</v>
      </c>
      <c r="G195" s="2690">
        <v>2.62649036</v>
      </c>
      <c r="H195" s="2691">
        <v>0</v>
      </c>
      <c r="I195" s="2691">
        <v>0</v>
      </c>
      <c r="J195" s="2690">
        <v>13.97865</v>
      </c>
      <c r="K195" s="2690">
        <v>7277.663972299998</v>
      </c>
      <c r="L195" s="2690">
        <v>1683.125</v>
      </c>
      <c r="M195" s="2691">
        <v>35</v>
      </c>
      <c r="N195" s="2108"/>
      <c r="O195" s="2127"/>
      <c r="P195" s="2119"/>
      <c r="Q195" s="2119"/>
      <c r="R195" s="2122"/>
      <c r="T195" s="2119"/>
      <c r="U195" s="2119"/>
    </row>
    <row r="196" spans="1:21" ht="18" customHeight="1">
      <c r="A196" s="4021"/>
      <c r="B196" s="2488" t="s">
        <v>165</v>
      </c>
      <c r="C196" s="2689">
        <v>9751.8941473100003</v>
      </c>
      <c r="D196" s="2690">
        <v>565.93700690000003</v>
      </c>
      <c r="E196" s="2691">
        <v>12.308094479999999</v>
      </c>
      <c r="F196" s="2691">
        <v>9.6816041199999994</v>
      </c>
      <c r="G196" s="2690">
        <v>2.62649036</v>
      </c>
      <c r="H196" s="2691">
        <v>0</v>
      </c>
      <c r="I196" s="2691">
        <v>0</v>
      </c>
      <c r="J196" s="2690">
        <v>13.97865</v>
      </c>
      <c r="K196" s="2690">
        <v>7441.5453959300003</v>
      </c>
      <c r="L196" s="2690">
        <v>1683.125</v>
      </c>
      <c r="M196" s="2691">
        <v>35</v>
      </c>
      <c r="N196" s="2108"/>
      <c r="O196" s="2127"/>
      <c r="P196" s="2119"/>
      <c r="Q196" s="2119"/>
      <c r="R196" s="2122"/>
      <c r="T196" s="2119"/>
      <c r="U196" s="2119"/>
    </row>
    <row r="197" spans="1:21" ht="18" customHeight="1">
      <c r="A197" s="4021"/>
      <c r="B197" s="2488" t="s">
        <v>166</v>
      </c>
      <c r="C197" s="2689">
        <v>10367.198240510003</v>
      </c>
      <c r="D197" s="2690">
        <v>970.59124980999979</v>
      </c>
      <c r="E197" s="2691">
        <v>15.544878730000001</v>
      </c>
      <c r="F197" s="2691">
        <v>12.912193250000001</v>
      </c>
      <c r="G197" s="2690">
        <v>2.6326854800000001</v>
      </c>
      <c r="H197" s="2691">
        <v>0</v>
      </c>
      <c r="I197" s="2691">
        <v>0</v>
      </c>
      <c r="J197" s="2690">
        <v>13.97865</v>
      </c>
      <c r="K197" s="2690">
        <v>7548.9584619700017</v>
      </c>
      <c r="L197" s="2690">
        <v>1783.125</v>
      </c>
      <c r="M197" s="2691">
        <v>35</v>
      </c>
      <c r="N197" s="2108"/>
      <c r="O197" s="2127"/>
      <c r="P197" s="2119"/>
      <c r="Q197" s="2119"/>
      <c r="R197" s="2122"/>
      <c r="T197" s="2119"/>
      <c r="U197" s="2119"/>
    </row>
    <row r="198" spans="1:21" ht="18" customHeight="1">
      <c r="A198" s="4021"/>
      <c r="B198" s="2488" t="s">
        <v>167</v>
      </c>
      <c r="C198" s="2689">
        <v>10404.462147409975</v>
      </c>
      <c r="D198" s="2690">
        <v>974.84220011000014</v>
      </c>
      <c r="E198" s="2691">
        <v>21.269477170000002</v>
      </c>
      <c r="F198" s="2691">
        <v>18.636791690000003</v>
      </c>
      <c r="G198" s="2690">
        <v>2.6326854800000001</v>
      </c>
      <c r="H198" s="2691">
        <v>0</v>
      </c>
      <c r="I198" s="2691">
        <v>0</v>
      </c>
      <c r="J198" s="2690">
        <v>38.978650000000002</v>
      </c>
      <c r="K198" s="2690">
        <v>7641.2468201299753</v>
      </c>
      <c r="L198" s="2690">
        <v>1693.125</v>
      </c>
      <c r="M198" s="2691">
        <v>35</v>
      </c>
      <c r="N198" s="2108"/>
      <c r="O198" s="2127"/>
      <c r="P198" s="2119"/>
      <c r="Q198" s="2119"/>
      <c r="R198" s="2122"/>
      <c r="T198" s="2119"/>
      <c r="U198" s="2119"/>
    </row>
    <row r="199" spans="1:21" ht="18" customHeight="1">
      <c r="A199" s="4021"/>
      <c r="B199" s="2488" t="s">
        <v>168</v>
      </c>
      <c r="C199" s="2689">
        <v>10045.973809439995</v>
      </c>
      <c r="D199" s="2690">
        <v>804.55238774000009</v>
      </c>
      <c r="E199" s="2691">
        <v>13.01281986</v>
      </c>
      <c r="F199" s="2691">
        <v>10.380134380000001</v>
      </c>
      <c r="G199" s="2690">
        <v>2.6326854800000001</v>
      </c>
      <c r="H199" s="2691">
        <v>0</v>
      </c>
      <c r="I199" s="2691">
        <v>0</v>
      </c>
      <c r="J199" s="2690">
        <v>38.978650000000002</v>
      </c>
      <c r="K199" s="2690">
        <v>7731.3049518399948</v>
      </c>
      <c r="L199" s="2690">
        <v>1423.125</v>
      </c>
      <c r="M199" s="2691">
        <v>35</v>
      </c>
      <c r="N199" s="2108"/>
      <c r="O199" s="2127"/>
      <c r="P199" s="2119"/>
      <c r="Q199" s="2119"/>
      <c r="R199" s="2122"/>
      <c r="T199" s="2119"/>
      <c r="U199" s="2119"/>
    </row>
    <row r="200" spans="1:21" ht="18" customHeight="1">
      <c r="A200" s="4021"/>
      <c r="B200" s="2488" t="s">
        <v>169</v>
      </c>
      <c r="C200" s="2689">
        <v>10526.554364693995</v>
      </c>
      <c r="D200" s="2690">
        <v>1082.6649894439997</v>
      </c>
      <c r="E200" s="2691">
        <v>15.544878730000001</v>
      </c>
      <c r="F200" s="2691">
        <v>12.912193250000001</v>
      </c>
      <c r="G200" s="2690">
        <v>2.6326854800000001</v>
      </c>
      <c r="H200" s="2691">
        <v>0</v>
      </c>
      <c r="I200" s="2691">
        <v>0</v>
      </c>
      <c r="J200" s="2690">
        <v>38.978650000000002</v>
      </c>
      <c r="K200" s="2690">
        <v>7931.240846519996</v>
      </c>
      <c r="L200" s="2690">
        <v>1423.125</v>
      </c>
      <c r="M200" s="2691">
        <v>35</v>
      </c>
      <c r="N200" s="2108"/>
      <c r="O200" s="2127"/>
      <c r="P200" s="2119"/>
      <c r="Q200" s="2119"/>
      <c r="R200" s="2122"/>
      <c r="T200" s="2119"/>
      <c r="U200" s="2119"/>
    </row>
    <row r="201" spans="1:21" ht="18" customHeight="1">
      <c r="A201" s="4021"/>
      <c r="B201" s="2488" t="s">
        <v>170</v>
      </c>
      <c r="C201" s="2689">
        <v>10755.429485070006</v>
      </c>
      <c r="D201" s="2690">
        <v>1150.5366695999996</v>
      </c>
      <c r="E201" s="2691">
        <v>20.77071196</v>
      </c>
      <c r="F201" s="2691">
        <v>18.138026480000001</v>
      </c>
      <c r="G201" s="2690">
        <v>2.6326854800000001</v>
      </c>
      <c r="H201" s="2691">
        <v>0</v>
      </c>
      <c r="I201" s="2691">
        <v>0</v>
      </c>
      <c r="J201" s="2690">
        <v>38.978650000000002</v>
      </c>
      <c r="K201" s="2690">
        <v>8087.018453510007</v>
      </c>
      <c r="L201" s="2690">
        <v>1423.125</v>
      </c>
      <c r="M201" s="2691">
        <v>35</v>
      </c>
      <c r="N201" s="2108"/>
      <c r="O201" s="2127"/>
      <c r="P201" s="2119"/>
      <c r="Q201" s="2119"/>
      <c r="R201" s="2122"/>
      <c r="T201" s="2119"/>
      <c r="U201" s="2119"/>
    </row>
    <row r="202" spans="1:21" ht="18" customHeight="1">
      <c r="A202" s="4021"/>
      <c r="B202" s="2488" t="s">
        <v>171</v>
      </c>
      <c r="C202" s="2689">
        <v>10882.663163239989</v>
      </c>
      <c r="D202" s="2690">
        <v>964.98090895000018</v>
      </c>
      <c r="E202" s="2691">
        <v>23.243216959999998</v>
      </c>
      <c r="F202" s="2691">
        <v>20.610531479999999</v>
      </c>
      <c r="G202" s="2690">
        <v>2.6326854800000001</v>
      </c>
      <c r="H202" s="2691">
        <v>0</v>
      </c>
      <c r="I202" s="2691">
        <v>0</v>
      </c>
      <c r="J202" s="2690">
        <v>38.978650000000002</v>
      </c>
      <c r="K202" s="2690">
        <v>8217.3353873299893</v>
      </c>
      <c r="L202" s="2690">
        <v>1603.125</v>
      </c>
      <c r="M202" s="2691">
        <v>35</v>
      </c>
      <c r="N202" s="2108"/>
      <c r="O202" s="2127"/>
      <c r="P202" s="2119"/>
      <c r="Q202" s="2119"/>
      <c r="R202" s="2122"/>
      <c r="T202" s="2119"/>
      <c r="U202" s="2119"/>
    </row>
    <row r="203" spans="1:21" ht="18" customHeight="1">
      <c r="A203" s="4021"/>
      <c r="B203" s="2488" t="s">
        <v>148</v>
      </c>
      <c r="C203" s="2689">
        <v>10885.42028631</v>
      </c>
      <c r="D203" s="2690">
        <v>880.25800522999964</v>
      </c>
      <c r="E203" s="2691">
        <v>36.706385269999998</v>
      </c>
      <c r="F203" s="2691">
        <v>34.002126029999999</v>
      </c>
      <c r="G203" s="2690">
        <v>2.7042592400000003</v>
      </c>
      <c r="H203" s="2691">
        <v>0</v>
      </c>
      <c r="I203" s="2691">
        <v>0</v>
      </c>
      <c r="J203" s="2690">
        <v>38.978650000000002</v>
      </c>
      <c r="K203" s="2690">
        <v>8283.5272458099989</v>
      </c>
      <c r="L203" s="2690">
        <v>1603.125</v>
      </c>
      <c r="M203" s="2691">
        <v>42.825000000000003</v>
      </c>
      <c r="N203" s="2108"/>
      <c r="O203" s="2127"/>
      <c r="P203" s="2119"/>
      <c r="Q203" s="2119"/>
      <c r="R203" s="2122"/>
      <c r="T203" s="2119"/>
      <c r="U203" s="2119"/>
    </row>
    <row r="204" spans="1:21" ht="18" customHeight="1">
      <c r="A204" s="4021"/>
      <c r="B204" s="2487">
        <v>2015</v>
      </c>
      <c r="C204" s="2689"/>
      <c r="D204" s="2690"/>
      <c r="E204" s="2691"/>
      <c r="F204" s="2691"/>
      <c r="G204" s="2690"/>
      <c r="H204" s="2691"/>
      <c r="I204" s="2691"/>
      <c r="J204" s="2690"/>
      <c r="K204" s="2690"/>
      <c r="L204" s="2690"/>
      <c r="M204" s="2691"/>
      <c r="N204" s="2108"/>
      <c r="O204" s="2127"/>
      <c r="P204" s="2119"/>
      <c r="Q204" s="2119"/>
      <c r="R204" s="2122"/>
      <c r="T204" s="2119"/>
      <c r="U204" s="2119"/>
    </row>
    <row r="205" spans="1:21" ht="18" customHeight="1">
      <c r="A205" s="4021"/>
      <c r="B205" s="2488" t="s">
        <v>161</v>
      </c>
      <c r="C205" s="2689">
        <v>10964.55578517</v>
      </c>
      <c r="D205" s="2690">
        <v>772.17960680999977</v>
      </c>
      <c r="E205" s="2691">
        <v>20.271522879999996</v>
      </c>
      <c r="F205" s="2691">
        <v>17.567263639999997</v>
      </c>
      <c r="G205" s="2690">
        <v>2.7042592400000003</v>
      </c>
      <c r="H205" s="2691">
        <v>0</v>
      </c>
      <c r="I205" s="2691">
        <v>0</v>
      </c>
      <c r="J205" s="2690">
        <v>38.978650000000002</v>
      </c>
      <c r="K205" s="2690">
        <v>8487.1760054799997</v>
      </c>
      <c r="L205" s="2690">
        <v>1603.125</v>
      </c>
      <c r="M205" s="2691">
        <v>42.825000000000003</v>
      </c>
      <c r="N205" s="2108"/>
      <c r="O205" s="2127"/>
      <c r="P205" s="2119"/>
      <c r="Q205" s="2119"/>
      <c r="R205" s="2122"/>
      <c r="T205" s="2119"/>
      <c r="U205" s="2119"/>
    </row>
    <row r="206" spans="1:21" ht="18" customHeight="1">
      <c r="A206" s="4021"/>
      <c r="B206" s="2488" t="s">
        <v>162</v>
      </c>
      <c r="C206" s="2689">
        <v>11204.508867649998</v>
      </c>
      <c r="D206" s="2690">
        <v>847.9664472799999</v>
      </c>
      <c r="E206" s="2691">
        <v>25.928081559999995</v>
      </c>
      <c r="F206" s="2691">
        <v>23.223822319999996</v>
      </c>
      <c r="G206" s="2690">
        <v>2.7042592400000003</v>
      </c>
      <c r="H206" s="2691">
        <v>0</v>
      </c>
      <c r="I206" s="2691">
        <v>0</v>
      </c>
      <c r="J206" s="2690">
        <v>38.978650000000002</v>
      </c>
      <c r="K206" s="2690">
        <v>8645.6856888099974</v>
      </c>
      <c r="L206" s="2690">
        <v>1603.125</v>
      </c>
      <c r="M206" s="2691">
        <v>42.825000000000003</v>
      </c>
      <c r="N206" s="2108"/>
      <c r="O206" s="2127"/>
      <c r="P206" s="2119"/>
      <c r="Q206" s="2119"/>
      <c r="R206" s="2122"/>
      <c r="T206" s="2119"/>
      <c r="U206" s="2119"/>
    </row>
    <row r="207" spans="1:21" ht="18" customHeight="1">
      <c r="A207" s="4021"/>
      <c r="B207" s="2488" t="s">
        <v>163</v>
      </c>
      <c r="C207" s="2689">
        <v>11331.514177330004</v>
      </c>
      <c r="D207" s="2690">
        <v>604.37220202999993</v>
      </c>
      <c r="E207" s="2691">
        <v>7.4257986000000002</v>
      </c>
      <c r="F207" s="2691">
        <v>4.7215393599999995</v>
      </c>
      <c r="G207" s="2690">
        <v>2.7042592400000003</v>
      </c>
      <c r="H207" s="2691">
        <v>0</v>
      </c>
      <c r="I207" s="2691">
        <v>0</v>
      </c>
      <c r="J207" s="2690">
        <v>38.978650000000002</v>
      </c>
      <c r="K207" s="2690">
        <v>9034.7875267000036</v>
      </c>
      <c r="L207" s="2690">
        <v>1603.125</v>
      </c>
      <c r="M207" s="2691">
        <v>42.825000000000003</v>
      </c>
      <c r="N207" s="2108"/>
      <c r="O207" s="2127"/>
      <c r="P207" s="2119"/>
      <c r="Q207" s="2119"/>
      <c r="R207" s="2122"/>
      <c r="T207" s="2119"/>
      <c r="U207" s="2119"/>
    </row>
    <row r="208" spans="1:21" ht="18" customHeight="1">
      <c r="A208" s="4021"/>
      <c r="B208" s="2488" t="s">
        <v>164</v>
      </c>
      <c r="C208" s="2689">
        <v>11345.236137010001</v>
      </c>
      <c r="D208" s="2690">
        <v>507.92171542999995</v>
      </c>
      <c r="E208" s="2691">
        <v>6.6809785800000006</v>
      </c>
      <c r="F208" s="2691">
        <v>3.9767193400000003</v>
      </c>
      <c r="G208" s="2690">
        <v>2.7042592400000003</v>
      </c>
      <c r="H208" s="2691">
        <v>0</v>
      </c>
      <c r="I208" s="2691">
        <v>0</v>
      </c>
      <c r="J208" s="2690">
        <v>38.978650000000002</v>
      </c>
      <c r="K208" s="2690">
        <v>9170.7047930000008</v>
      </c>
      <c r="L208" s="2690">
        <v>1578.125</v>
      </c>
      <c r="M208" s="2691">
        <v>42.825000000000003</v>
      </c>
      <c r="N208" s="2108"/>
      <c r="O208" s="2127"/>
      <c r="P208" s="2119"/>
      <c r="Q208" s="2119"/>
      <c r="R208" s="2122"/>
      <c r="T208" s="2119"/>
      <c r="U208" s="2119"/>
    </row>
    <row r="209" spans="1:21" ht="18" customHeight="1">
      <c r="A209" s="4021"/>
      <c r="B209" s="2488" t="s">
        <v>165</v>
      </c>
      <c r="C209" s="2689">
        <v>11800.605131960003</v>
      </c>
      <c r="D209" s="2690">
        <v>714.99280945999976</v>
      </c>
      <c r="E209" s="2691">
        <v>31.014966609999995</v>
      </c>
      <c r="F209" s="2691">
        <v>28.310707369999996</v>
      </c>
      <c r="G209" s="2690">
        <v>2.7042592400000003</v>
      </c>
      <c r="H209" s="2691">
        <v>0</v>
      </c>
      <c r="I209" s="2691">
        <v>0</v>
      </c>
      <c r="J209" s="2690">
        <v>38.978650000000002</v>
      </c>
      <c r="K209" s="2690">
        <v>9394.6687058900025</v>
      </c>
      <c r="L209" s="2690">
        <v>1578.125</v>
      </c>
      <c r="M209" s="2691">
        <v>42.825000000000003</v>
      </c>
      <c r="N209" s="2108"/>
      <c r="O209" s="2127"/>
      <c r="P209" s="2119"/>
      <c r="Q209" s="2119"/>
      <c r="R209" s="2122"/>
      <c r="T209" s="2119"/>
      <c r="U209" s="2119"/>
    </row>
    <row r="210" spans="1:21" ht="18" customHeight="1">
      <c r="A210" s="4021"/>
      <c r="B210" s="2488" t="s">
        <v>166</v>
      </c>
      <c r="C210" s="2689">
        <v>12185.363396270021</v>
      </c>
      <c r="D210" s="2690">
        <v>841.66903269999989</v>
      </c>
      <c r="E210" s="2691">
        <v>14.053459440000001</v>
      </c>
      <c r="F210" s="2691">
        <v>11.3492002</v>
      </c>
      <c r="G210" s="2690">
        <v>2.7042592400000003</v>
      </c>
      <c r="H210" s="2691">
        <v>0</v>
      </c>
      <c r="I210" s="2691">
        <v>0</v>
      </c>
      <c r="J210" s="2690">
        <v>38.978650000000002</v>
      </c>
      <c r="K210" s="2690">
        <v>9667.621254130021</v>
      </c>
      <c r="L210" s="2690">
        <v>1578.125</v>
      </c>
      <c r="M210" s="2691">
        <v>44.915999999999997</v>
      </c>
      <c r="N210" s="2108"/>
      <c r="O210" s="2127"/>
      <c r="P210" s="2119"/>
      <c r="Q210" s="2119"/>
      <c r="R210" s="2122"/>
      <c r="T210" s="2119"/>
      <c r="U210" s="2119"/>
    </row>
    <row r="211" spans="1:21" ht="18" customHeight="1">
      <c r="A211" s="4021"/>
      <c r="B211" s="2488" t="s">
        <v>167</v>
      </c>
      <c r="C211" s="2689">
        <v>12015.785409440026</v>
      </c>
      <c r="D211" s="2690">
        <v>779.70697699999971</v>
      </c>
      <c r="E211" s="2691">
        <v>23.159478589999996</v>
      </c>
      <c r="F211" s="2691">
        <v>20.455219349999997</v>
      </c>
      <c r="G211" s="2690">
        <v>2.7042592400000003</v>
      </c>
      <c r="H211" s="2691">
        <v>0</v>
      </c>
      <c r="I211" s="2691">
        <v>0</v>
      </c>
      <c r="J211" s="2690">
        <v>38.978650000000002</v>
      </c>
      <c r="K211" s="2690">
        <v>9950.8993038500266</v>
      </c>
      <c r="L211" s="2690">
        <v>1178.125</v>
      </c>
      <c r="M211" s="2691">
        <v>44.915999999999997</v>
      </c>
      <c r="N211" s="2108"/>
      <c r="O211" s="2127"/>
      <c r="P211" s="2119"/>
      <c r="Q211" s="2119"/>
      <c r="R211" s="2122"/>
      <c r="T211" s="2119"/>
      <c r="U211" s="2119"/>
    </row>
    <row r="212" spans="1:21" ht="18" customHeight="1">
      <c r="A212" s="4021"/>
      <c r="B212" s="2488" t="s">
        <v>168</v>
      </c>
      <c r="C212" s="2689">
        <v>11908.159163100057</v>
      </c>
      <c r="D212" s="2690">
        <v>308.62030643000003</v>
      </c>
      <c r="E212" s="2691">
        <v>6.6492337100000007</v>
      </c>
      <c r="F212" s="2691">
        <v>3.94497447</v>
      </c>
      <c r="G212" s="2690">
        <v>2.7042592400000003</v>
      </c>
      <c r="H212" s="2691">
        <v>0</v>
      </c>
      <c r="I212" s="2691">
        <v>0</v>
      </c>
      <c r="J212" s="2690">
        <v>38.978650000000002</v>
      </c>
      <c r="K212" s="2690">
        <v>10411.558972960056</v>
      </c>
      <c r="L212" s="2690">
        <v>1078.125</v>
      </c>
      <c r="M212" s="2691">
        <v>64.227000000000004</v>
      </c>
      <c r="N212" s="2108"/>
      <c r="O212" s="2127"/>
      <c r="P212" s="2119"/>
      <c r="Q212" s="2119"/>
      <c r="R212" s="2122"/>
      <c r="T212" s="2119"/>
      <c r="U212" s="2119"/>
    </row>
    <row r="213" spans="1:21" ht="18" customHeight="1">
      <c r="A213" s="4021"/>
      <c r="B213" s="2488" t="s">
        <v>169</v>
      </c>
      <c r="C213" s="2689">
        <v>12319.103756669994</v>
      </c>
      <c r="D213" s="2690">
        <v>451.6005426499998</v>
      </c>
      <c r="E213" s="2691">
        <v>6.0222483899999997</v>
      </c>
      <c r="F213" s="2691">
        <v>3.3106934099999998</v>
      </c>
      <c r="G213" s="2690">
        <v>2.7115549799999998</v>
      </c>
      <c r="H213" s="2691">
        <v>0</v>
      </c>
      <c r="I213" s="2691">
        <v>0</v>
      </c>
      <c r="J213" s="2690">
        <v>38.978650000000002</v>
      </c>
      <c r="K213" s="2690">
        <v>10680.150315629993</v>
      </c>
      <c r="L213" s="2690">
        <v>1078.125</v>
      </c>
      <c r="M213" s="2691">
        <v>64.227000000000004</v>
      </c>
      <c r="N213" s="2108"/>
      <c r="O213" s="2127"/>
      <c r="P213" s="2119"/>
      <c r="Q213" s="2119"/>
      <c r="R213" s="2122"/>
      <c r="T213" s="2119"/>
      <c r="U213" s="2119"/>
    </row>
    <row r="214" spans="1:21" ht="18" customHeight="1">
      <c r="A214" s="4021"/>
      <c r="B214" s="2488" t="s">
        <v>170</v>
      </c>
      <c r="C214" s="2689">
        <v>12950.936859729991</v>
      </c>
      <c r="D214" s="2690">
        <v>737.86348295999971</v>
      </c>
      <c r="E214" s="2691">
        <v>8.4821904099999994</v>
      </c>
      <c r="F214" s="2691">
        <v>8.4821904099999994</v>
      </c>
      <c r="G214" s="2690">
        <v>0</v>
      </c>
      <c r="H214" s="2691">
        <v>0</v>
      </c>
      <c r="I214" s="2691">
        <v>0</v>
      </c>
      <c r="J214" s="2690">
        <v>38.978650000000002</v>
      </c>
      <c r="K214" s="2690">
        <v>11023.260536359991</v>
      </c>
      <c r="L214" s="2690">
        <v>1078.125</v>
      </c>
      <c r="M214" s="2691">
        <v>64.227000000000004</v>
      </c>
      <c r="N214" s="2108"/>
      <c r="O214" s="2127"/>
      <c r="P214" s="2119"/>
      <c r="Q214" s="2119"/>
      <c r="R214" s="2122"/>
      <c r="T214" s="2119"/>
      <c r="U214" s="2119"/>
    </row>
    <row r="215" spans="1:21" ht="18" customHeight="1">
      <c r="A215" s="4021"/>
      <c r="B215" s="2488" t="s">
        <v>171</v>
      </c>
      <c r="C215" s="2689">
        <v>13274.870055840011</v>
      </c>
      <c r="D215" s="2690">
        <v>507.74606403999996</v>
      </c>
      <c r="E215" s="2691">
        <v>27.685247009999994</v>
      </c>
      <c r="F215" s="2691">
        <v>24.971793519999995</v>
      </c>
      <c r="G215" s="2690">
        <v>2.71345349</v>
      </c>
      <c r="H215" s="2691">
        <v>0</v>
      </c>
      <c r="I215" s="2691">
        <v>0</v>
      </c>
      <c r="J215" s="2690">
        <v>38.978650000000002</v>
      </c>
      <c r="K215" s="2690">
        <v>11398.10809479001</v>
      </c>
      <c r="L215" s="2690">
        <v>1238.125</v>
      </c>
      <c r="M215" s="2691">
        <v>64.227000000000004</v>
      </c>
      <c r="N215" s="2108"/>
      <c r="O215" s="2127"/>
      <c r="P215" s="2119"/>
      <c r="Q215" s="2119"/>
      <c r="R215" s="2122"/>
      <c r="T215" s="2119"/>
      <c r="U215" s="2119"/>
    </row>
    <row r="216" spans="1:21" ht="18" customHeight="1">
      <c r="A216" s="4021"/>
      <c r="B216" s="2950" t="s">
        <v>148</v>
      </c>
      <c r="C216" s="2951">
        <v>13805.94880496</v>
      </c>
      <c r="D216" s="2952">
        <v>399.63182584999993</v>
      </c>
      <c r="E216" s="2953">
        <v>14.048511790000001</v>
      </c>
      <c r="F216" s="2953">
        <v>11.208513210000001</v>
      </c>
      <c r="G216" s="2952">
        <v>2.8399985800000001</v>
      </c>
      <c r="H216" s="2953">
        <v>0</v>
      </c>
      <c r="I216" s="2953">
        <v>0</v>
      </c>
      <c r="J216" s="2952">
        <v>38.978650000000002</v>
      </c>
      <c r="K216" s="2952">
        <v>11860.06281732</v>
      </c>
      <c r="L216" s="2952">
        <v>1428.125</v>
      </c>
      <c r="M216" s="2953">
        <v>65.102000000000004</v>
      </c>
      <c r="N216" s="2108"/>
      <c r="O216" s="2127"/>
      <c r="P216" s="2119"/>
      <c r="Q216" s="2119"/>
      <c r="R216" s="2122"/>
      <c r="T216" s="2119"/>
      <c r="U216" s="2119"/>
    </row>
    <row r="217" spans="1:21" ht="17.25" customHeight="1">
      <c r="A217" s="4021"/>
      <c r="B217" s="4654" t="s">
        <v>1631</v>
      </c>
      <c r="C217" s="4654"/>
      <c r="D217" s="4654"/>
      <c r="E217" s="4654"/>
      <c r="F217" s="4654"/>
      <c r="G217" s="4654"/>
      <c r="H217" s="4654"/>
      <c r="I217" s="4654"/>
      <c r="J217" s="4654"/>
      <c r="K217" s="4654"/>
      <c r="L217" s="4654"/>
      <c r="M217" s="4654"/>
      <c r="N217" s="2335"/>
      <c r="O217" s="2127"/>
      <c r="P217" s="2119"/>
      <c r="Q217" s="2119"/>
      <c r="R217" s="2122"/>
      <c r="T217" s="2119"/>
      <c r="U217" s="2119"/>
    </row>
    <row r="218" spans="1:21" ht="17.25" customHeight="1">
      <c r="A218" s="4021"/>
      <c r="B218" s="4654"/>
      <c r="C218" s="4654"/>
      <c r="D218" s="4654"/>
      <c r="E218" s="4654"/>
      <c r="F218" s="4654"/>
      <c r="G218" s="4654"/>
      <c r="H218" s="4654"/>
      <c r="I218" s="4654"/>
      <c r="J218" s="4654"/>
      <c r="K218" s="4654"/>
      <c r="L218" s="4654"/>
      <c r="M218" s="4654"/>
      <c r="N218" s="2335"/>
      <c r="O218" s="2127"/>
      <c r="P218" s="2119"/>
      <c r="Q218" s="2119"/>
      <c r="R218" s="2122"/>
      <c r="T218" s="2119"/>
      <c r="U218" s="2119"/>
    </row>
    <row r="219" spans="1:21" ht="17.25" customHeight="1">
      <c r="A219" s="4021"/>
      <c r="B219" s="4664"/>
      <c r="C219" s="4664"/>
      <c r="D219" s="4664"/>
      <c r="E219" s="4664"/>
      <c r="F219" s="4664"/>
      <c r="G219" s="4664"/>
      <c r="H219" s="4664"/>
      <c r="I219" s="4664"/>
      <c r="J219" s="4664"/>
      <c r="K219" s="4664"/>
      <c r="L219" s="4664"/>
      <c r="M219" s="4664"/>
      <c r="N219" s="2335"/>
      <c r="O219" s="2127"/>
      <c r="P219" s="2119"/>
      <c r="Q219" s="2119"/>
      <c r="R219" s="2122"/>
      <c r="T219" s="2119"/>
      <c r="U219" s="2119"/>
    </row>
    <row r="220" spans="1:21" ht="112.5" hidden="1" customHeight="1">
      <c r="A220" s="4020"/>
      <c r="B220" s="4662" t="s">
        <v>1575</v>
      </c>
      <c r="C220" s="4663"/>
      <c r="D220" s="4663"/>
      <c r="E220" s="4663"/>
      <c r="F220" s="4663"/>
      <c r="G220" s="4663"/>
      <c r="H220" s="4663"/>
      <c r="I220" s="4663"/>
      <c r="J220" s="4663"/>
      <c r="K220" s="4663"/>
      <c r="L220" s="4663"/>
      <c r="M220" s="4663"/>
      <c r="N220" s="2101"/>
      <c r="S220" s="2119">
        <f>K145+'[15]BIL Assets'!K16</f>
        <v>3599.8369087899978</v>
      </c>
      <c r="T220" s="2119">
        <f>((T148-T147)/T147)*100</f>
        <v>40.828101107322432</v>
      </c>
      <c r="U220" s="2119">
        <f>((U148-U147)/U147)*100</f>
        <v>50.360789850183849</v>
      </c>
    </row>
    <row r="221" spans="1:21">
      <c r="A221" s="4020"/>
      <c r="B221" s="2204"/>
      <c r="C221" s="2320"/>
      <c r="D221" s="2204"/>
      <c r="E221" s="2204"/>
      <c r="F221" s="2204"/>
      <c r="G221" s="2204"/>
      <c r="H221" s="2204"/>
      <c r="I221" s="2204"/>
      <c r="J221" s="2204"/>
      <c r="K221" s="2204"/>
      <c r="L221" s="2204"/>
      <c r="M221" s="2204"/>
      <c r="N221" s="2101"/>
      <c r="O221" s="2101"/>
      <c r="P221" s="2119"/>
      <c r="Q221" s="2119"/>
      <c r="R221" s="2119"/>
      <c r="S221" s="2128"/>
    </row>
    <row r="222" spans="1:21">
      <c r="A222" s="4020"/>
      <c r="B222" s="2204"/>
      <c r="C222" s="2320"/>
      <c r="D222" s="2204"/>
      <c r="E222" s="2204"/>
      <c r="F222" s="2204"/>
      <c r="G222" s="2204"/>
      <c r="H222" s="2204"/>
      <c r="I222" s="2204"/>
      <c r="J222" s="2204"/>
      <c r="K222" s="2204"/>
      <c r="L222" s="2204"/>
      <c r="M222" s="2204"/>
      <c r="N222" s="2101"/>
      <c r="O222" s="2101"/>
      <c r="P222" s="2117"/>
    </row>
    <row r="223" spans="1:21">
      <c r="B223" s="3343"/>
    </row>
    <row r="224" spans="1:21">
      <c r="B224" s="3343"/>
      <c r="C224" s="3528"/>
      <c r="D224" s="2319"/>
      <c r="E224" s="2319"/>
      <c r="F224" s="2319"/>
      <c r="G224" s="2319"/>
      <c r="H224" s="2319"/>
      <c r="I224" s="2319"/>
      <c r="J224" s="2319"/>
      <c r="K224" s="2319"/>
      <c r="L224" s="2319"/>
      <c r="M224" s="2319"/>
    </row>
    <row r="225" spans="3:18">
      <c r="C225" s="3528"/>
      <c r="D225" s="2319"/>
      <c r="E225" s="2319"/>
      <c r="F225" s="2319"/>
      <c r="G225" s="2319"/>
      <c r="H225" s="2319"/>
      <c r="I225" s="2319"/>
      <c r="J225" s="2319"/>
      <c r="K225" s="2319"/>
      <c r="L225" s="2319"/>
      <c r="M225" s="2319"/>
      <c r="N225" s="2119"/>
    </row>
    <row r="226" spans="3:18">
      <c r="C226" s="3528"/>
      <c r="D226" s="2319"/>
      <c r="E226" s="2319"/>
      <c r="F226" s="2319"/>
      <c r="G226" s="2319"/>
      <c r="H226" s="2319"/>
      <c r="I226" s="2319"/>
      <c r="J226" s="2319"/>
      <c r="K226" s="2319"/>
      <c r="L226" s="2319"/>
      <c r="M226" s="2319"/>
      <c r="N226" s="2117"/>
      <c r="O226" s="2119"/>
      <c r="R226" s="2117"/>
    </row>
    <row r="227" spans="3:18">
      <c r="D227" s="2319"/>
      <c r="N227" s="2117"/>
    </row>
    <row r="228" spans="3:18">
      <c r="C228" s="3529"/>
      <c r="D228" s="2319"/>
      <c r="E228" s="2319"/>
      <c r="F228" s="2319"/>
      <c r="G228" s="2319"/>
      <c r="H228" s="2319"/>
      <c r="I228" s="2319"/>
      <c r="J228" s="2319"/>
      <c r="K228" s="2319"/>
      <c r="L228" s="3343"/>
      <c r="M228" s="3343"/>
      <c r="N228" s="2139"/>
      <c r="P228" s="2117"/>
      <c r="R228" s="2122"/>
    </row>
    <row r="229" spans="3:18">
      <c r="C229" s="3529"/>
      <c r="D229" s="2319"/>
      <c r="E229" s="2319"/>
      <c r="F229" s="2319"/>
      <c r="G229" s="2319"/>
      <c r="H229" s="2319"/>
      <c r="I229" s="2319"/>
      <c r="J229" s="2319"/>
      <c r="K229" s="2319"/>
      <c r="L229" s="3343"/>
      <c r="M229" s="3343"/>
      <c r="N229" s="2139"/>
      <c r="P229" s="2117"/>
      <c r="R229" s="2122"/>
    </row>
    <row r="230" spans="3:18">
      <c r="L230" s="3343"/>
      <c r="M230" s="3343"/>
      <c r="N230" s="3344"/>
    </row>
    <row r="231" spans="3:18">
      <c r="L231" s="3343"/>
      <c r="M231" s="3343"/>
      <c r="N231" s="2139"/>
    </row>
    <row r="232" spans="3:18">
      <c r="L232" s="3343"/>
      <c r="M232" s="3343"/>
      <c r="N232" s="2139"/>
    </row>
    <row r="233" spans="3:18">
      <c r="L233" s="3343"/>
      <c r="M233" s="3343"/>
      <c r="N233" s="2139"/>
    </row>
    <row r="234" spans="3:18">
      <c r="L234" s="3343"/>
      <c r="M234" s="3343"/>
      <c r="N234" s="2139"/>
    </row>
    <row r="235" spans="3:18">
      <c r="L235" s="3343"/>
      <c r="M235" s="3343"/>
      <c r="N235" s="2139"/>
    </row>
    <row r="236" spans="3:18">
      <c r="L236" s="3343"/>
      <c r="M236" s="3343"/>
      <c r="N236" s="2139"/>
    </row>
  </sheetData>
  <mergeCells count="5">
    <mergeCell ref="B1:M1"/>
    <mergeCell ref="E5:G5"/>
    <mergeCell ref="B220:M220"/>
    <mergeCell ref="B217:M218"/>
    <mergeCell ref="B219:M219"/>
  </mergeCells>
  <pageMargins left="0.77" right="0.38" top="0.59" bottom="0.45" header="0.5" footer="0.94"/>
  <pageSetup paperSize="9" scale="60"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7">
    <pageSetUpPr fitToPage="1"/>
  </sheetPr>
  <dimension ref="A1:J79"/>
  <sheetViews>
    <sheetView workbookViewId="0">
      <pane xSplit="1" ySplit="1" topLeftCell="B26" activePane="bottomRight" state="frozen"/>
      <selection pane="topRight" activeCell="B1" sqref="B1"/>
      <selection pane="bottomLeft" activeCell="A2" sqref="A2"/>
      <selection pane="bottomRight" activeCell="J53" sqref="J53"/>
    </sheetView>
  </sheetViews>
  <sheetFormatPr defaultRowHeight="12.75"/>
  <cols>
    <col min="1" max="1" width="50.7109375" customWidth="1"/>
  </cols>
  <sheetData>
    <row r="1" spans="1:9" s="35" customFormat="1">
      <c r="B1" s="35">
        <v>2001</v>
      </c>
      <c r="C1" s="35">
        <v>2002</v>
      </c>
      <c r="D1" s="35">
        <v>2003</v>
      </c>
      <c r="E1" s="35">
        <v>2004</v>
      </c>
      <c r="F1" s="35">
        <v>2005</v>
      </c>
      <c r="G1" s="35">
        <v>2006</v>
      </c>
      <c r="H1" s="35">
        <v>2007</v>
      </c>
      <c r="I1" s="35">
        <v>2008</v>
      </c>
    </row>
    <row r="3" spans="1:9">
      <c r="A3" s="132" t="s">
        <v>871</v>
      </c>
    </row>
    <row r="4" spans="1:9">
      <c r="A4" t="s">
        <v>1213</v>
      </c>
      <c r="B4" s="737">
        <f>'BOP COTI'!B10</f>
        <v>-2001.4249809999999</v>
      </c>
      <c r="C4" s="737">
        <f>'BOP COTI'!C10</f>
        <v>-880.28801984119184</v>
      </c>
      <c r="D4" s="737">
        <f>'BOP COTI'!D10</f>
        <v>-1334.0048343697545</v>
      </c>
      <c r="E4" s="737">
        <f>'BOP COTI'!E10</f>
        <v>-8192.4436300840607</v>
      </c>
      <c r="F4" s="737">
        <f>'BOP COTI'!F10</f>
        <v>-7455.1237033764955</v>
      </c>
      <c r="G4" s="737">
        <f>'BOP COTI'!G10</f>
        <v>-7827.8798885453207</v>
      </c>
      <c r="H4" s="737">
        <f>'BOP COTI'!H10</f>
        <v>-8219.2738829725877</v>
      </c>
      <c r="I4" s="737">
        <f>'BOP COTI'!I10</f>
        <v>0</v>
      </c>
    </row>
    <row r="5" spans="1:9">
      <c r="A5" t="s">
        <v>869</v>
      </c>
      <c r="B5" s="737">
        <f>BOPI!B16</f>
        <v>-6420.6661839999997</v>
      </c>
      <c r="C5" s="737">
        <f>BOPI!C16</f>
        <v>-6419.979483383323</v>
      </c>
      <c r="D5" s="737">
        <f>BOPI!D16</f>
        <v>-7716.0984739999994</v>
      </c>
      <c r="E5" s="737">
        <f>BOPI!E16</f>
        <v>-8467.4952140000005</v>
      </c>
      <c r="F5" s="737">
        <f>BOPI!F16</f>
        <v>-9616.5605838637221</v>
      </c>
      <c r="G5" s="737">
        <f>BOPI!G16</f>
        <v>-10921.557689246703</v>
      </c>
      <c r="H5" s="737">
        <f>BOPI!H16</f>
        <v>-12403.646950417229</v>
      </c>
    </row>
    <row r="6" spans="1:9">
      <c r="A6" t="s">
        <v>836</v>
      </c>
      <c r="B6" s="737">
        <f>BOPI!B15</f>
        <v>-568.11199999999997</v>
      </c>
      <c r="C6" s="737">
        <f>BOPI!C15</f>
        <v>-1786.6320000000001</v>
      </c>
      <c r="D6" s="737">
        <f>BOPI!D15</f>
        <v>-2073.3870000000002</v>
      </c>
      <c r="E6" s="737">
        <f>BOPI!E15</f>
        <v>-1653.418408</v>
      </c>
      <c r="F6" s="737">
        <f>BOPI!F15</f>
        <v>-3240</v>
      </c>
      <c r="G6" s="737">
        <f>BOPI!G15</f>
        <v>-2160</v>
      </c>
      <c r="H6" s="737">
        <f>BOPI!H15</f>
        <v>-753.12</v>
      </c>
      <c r="I6">
        <f>-'Revised assumptions'!E50</f>
        <v>0</v>
      </c>
    </row>
    <row r="7" spans="1:9">
      <c r="A7" s="35" t="s">
        <v>99</v>
      </c>
    </row>
    <row r="8" spans="1:9">
      <c r="A8" t="s">
        <v>1214</v>
      </c>
      <c r="B8" s="737"/>
      <c r="C8" s="737">
        <f>'BOP COTI'!C9</f>
        <v>310.57445100000001</v>
      </c>
      <c r="D8" s="737">
        <f>'BOP COTI'!D9</f>
        <v>388.64488899999998</v>
      </c>
      <c r="E8" s="737">
        <f>'BOP COTI'!E9</f>
        <v>723.16068499999994</v>
      </c>
      <c r="F8" s="737">
        <f>'BOP COTI'!F9</f>
        <v>780.10061022232696</v>
      </c>
      <c r="G8" s="737">
        <f>'BOP COTI'!G9</f>
        <v>841.52384759307938</v>
      </c>
      <c r="H8" s="737">
        <f>'BOP COTI'!H9</f>
        <v>907.78340227940032</v>
      </c>
    </row>
    <row r="9" spans="1:9">
      <c r="A9" t="s">
        <v>870</v>
      </c>
      <c r="B9" s="737">
        <f>BOPI!B12+BOPI!B10</f>
        <v>4700.4704229999998</v>
      </c>
      <c r="C9" s="737">
        <f>BOPI!C12+BOPI!C10</f>
        <v>5095.320909</v>
      </c>
      <c r="D9" s="737">
        <f>BOPI!D12+BOPI!D10</f>
        <v>6768.8240083000001</v>
      </c>
      <c r="E9" s="737">
        <f>BOPI!E12+BOPI!E10</f>
        <v>7574.6002250000001</v>
      </c>
      <c r="F9" s="737">
        <f>BOPI!F12+BOPI!F10</f>
        <v>9478.4300561839736</v>
      </c>
      <c r="G9" s="737">
        <f>BOPI!G12+BOPI!G10</f>
        <v>11034.122063537938</v>
      </c>
      <c r="H9" s="737">
        <f>BOPI!H12+BOPI!H10</f>
        <v>12698.059560379425</v>
      </c>
    </row>
    <row r="10" spans="1:9">
      <c r="A10" t="s">
        <v>1176</v>
      </c>
      <c r="G10" s="737">
        <f>'Revised assumptions'!C54</f>
        <v>847.68</v>
      </c>
      <c r="H10" s="737">
        <f>'Revised assumptions'!D54</f>
        <v>4238.3999999999996</v>
      </c>
    </row>
    <row r="11" spans="1:9" ht="12" customHeight="1">
      <c r="A11" t="s">
        <v>1177</v>
      </c>
      <c r="G11">
        <v>1.75</v>
      </c>
      <c r="H11">
        <v>1.75</v>
      </c>
    </row>
    <row r="12" spans="1:9">
      <c r="A12" t="s">
        <v>1178</v>
      </c>
      <c r="G12" s="737">
        <f>G11*G10</f>
        <v>1483.4399999999998</v>
      </c>
      <c r="H12" s="737">
        <f>H11*H10</f>
        <v>7417.1999999999989</v>
      </c>
    </row>
    <row r="13" spans="1:9">
      <c r="A13" s="35" t="s">
        <v>457</v>
      </c>
    </row>
    <row r="14" spans="1:9">
      <c r="A14" s="35" t="s">
        <v>867</v>
      </c>
      <c r="B14" s="737"/>
      <c r="C14" s="737"/>
      <c r="D14" s="737"/>
      <c r="E14" s="737"/>
      <c r="F14" s="737"/>
      <c r="G14" s="737"/>
      <c r="H14" s="737"/>
    </row>
    <row r="15" spans="1:9">
      <c r="A15" t="s">
        <v>840</v>
      </c>
      <c r="B15" s="737">
        <v>1731.7909999999999</v>
      </c>
      <c r="C15" s="737">
        <v>129.33699999999999</v>
      </c>
      <c r="D15" s="737">
        <v>537.20000000000005</v>
      </c>
      <c r="E15" s="737">
        <v>878</v>
      </c>
      <c r="F15" s="737">
        <v>1980</v>
      </c>
      <c r="G15" s="737">
        <v>3759</v>
      </c>
      <c r="H15" s="737">
        <v>3000</v>
      </c>
    </row>
    <row r="16" spans="1:9">
      <c r="A16" t="s">
        <v>1161</v>
      </c>
      <c r="B16" s="737">
        <v>800</v>
      </c>
      <c r="C16" s="737">
        <v>800</v>
      </c>
      <c r="D16" s="737">
        <v>1750</v>
      </c>
      <c r="E16" s="737">
        <v>1750</v>
      </c>
      <c r="F16" s="737">
        <v>1750</v>
      </c>
      <c r="G16" s="737">
        <v>1050</v>
      </c>
      <c r="H16" s="737">
        <v>0</v>
      </c>
    </row>
    <row r="17" spans="1:8">
      <c r="A17" s="35" t="s">
        <v>860</v>
      </c>
      <c r="B17" s="737">
        <f>BOPI!B41</f>
        <v>2021.3050000000001</v>
      </c>
      <c r="C17" s="737">
        <f>BOPI!C41</f>
        <v>5819.02</v>
      </c>
      <c r="D17" s="737">
        <f>BOPI!D41</f>
        <v>4666.7730000000001</v>
      </c>
      <c r="E17" s="737">
        <f>BOPI!E41</f>
        <v>4161.6397999999999</v>
      </c>
      <c r="F17" s="737">
        <f>BOPI!F41</f>
        <v>2700</v>
      </c>
      <c r="G17" s="737">
        <f>BOPI!G41</f>
        <v>1800</v>
      </c>
      <c r="H17" s="737">
        <f>BOPI!H41</f>
        <v>627.6</v>
      </c>
    </row>
    <row r="18" spans="1:8">
      <c r="A18" s="35" t="s">
        <v>861</v>
      </c>
      <c r="B18" s="737"/>
    </row>
    <row r="19" spans="1:8">
      <c r="A19" t="s">
        <v>840</v>
      </c>
      <c r="B19" s="737">
        <f>'BOP COTI'!B23-'BOP COTI'!B24</f>
        <v>248.21025567073048</v>
      </c>
      <c r="C19" s="737">
        <f>'BOP COTI'!C23-'BOP COTI'!C24</f>
        <v>288.18616167722257</v>
      </c>
      <c r="D19" s="737">
        <f>'BOP COTI'!D23-'BOP COTI'!D24</f>
        <v>563.38978194214087</v>
      </c>
      <c r="E19" s="737">
        <f>'BOP COTI'!E23-'BOP COTI'!E24</f>
        <v>567.06365836422901</v>
      </c>
      <c r="F19" s="737">
        <f>'BOP COTI'!F23-'BOP COTI'!F24</f>
        <v>1902.4637798943245</v>
      </c>
      <c r="G19" s="737">
        <f>'BOP COTI'!G23-'BOP COTI'!G24</f>
        <v>2136.7597989133883</v>
      </c>
      <c r="H19" s="737">
        <f>'BOP COTI'!H23-'BOP COTI'!H24</f>
        <v>3324.5528182479597</v>
      </c>
    </row>
    <row r="20" spans="1:8">
      <c r="A20" t="s">
        <v>841</v>
      </c>
      <c r="B20" s="737">
        <f>'BOP COTI'!B24</f>
        <v>1268.5999999999999</v>
      </c>
      <c r="C20" s="737">
        <f>'BOP COTI'!C24</f>
        <v>2616.8000000000002</v>
      </c>
      <c r="D20" s="737">
        <f>'BOP COTI'!D24</f>
        <v>1977.5</v>
      </c>
      <c r="E20" s="737">
        <f>'BOP COTI'!E24</f>
        <v>2405</v>
      </c>
      <c r="F20" s="737">
        <f>'BOP COTI'!F24</f>
        <v>1748</v>
      </c>
      <c r="G20" s="737">
        <f>'BOP COTI'!G24</f>
        <v>2346.9549999999999</v>
      </c>
      <c r="H20" s="737">
        <f>'BOP COTI'!H24</f>
        <v>2182.61</v>
      </c>
    </row>
    <row r="21" spans="1:8">
      <c r="A21" s="35" t="s">
        <v>837</v>
      </c>
    </row>
    <row r="22" spans="1:8">
      <c r="A22" t="s">
        <v>852</v>
      </c>
      <c r="B22" s="737">
        <f>'BOP COTI'!B34+'BOP COTI'!B38</f>
        <v>1113.6500000000001</v>
      </c>
      <c r="C22" s="737">
        <f>'BOP COTI'!C34+'BOP COTI'!C38</f>
        <v>1560.3441343707</v>
      </c>
      <c r="D22" s="737">
        <f>'BOP COTI'!D34+'BOP COTI'!D38</f>
        <v>1541.7903777417898</v>
      </c>
      <c r="E22" s="737">
        <f>'BOP COTI'!E34+'BOP COTI'!E38</f>
        <v>1292.5850836667335</v>
      </c>
      <c r="F22" s="737">
        <f>'BOP COTI'!F34+'BOP COTI'!F38</f>
        <v>1675.788</v>
      </c>
      <c r="G22" s="737">
        <f>'BOP COTI'!G34+'BOP COTI'!G38</f>
        <v>1204.0838999999999</v>
      </c>
      <c r="H22" s="737">
        <f>'BOP COTI'!H34+'BOP COTI'!H38</f>
        <v>1692.5909000000001</v>
      </c>
    </row>
    <row r="23" spans="1:8">
      <c r="A23" t="s">
        <v>838</v>
      </c>
      <c r="B23" s="737">
        <f>BOPI!B44</f>
        <v>1950.75648</v>
      </c>
      <c r="C23" s="737">
        <f>BOPI!C44</f>
        <v>3203.5848000000001</v>
      </c>
      <c r="D23" s="737">
        <f>BOPI!D44</f>
        <v>3346.1817999999998</v>
      </c>
      <c r="E23" s="737">
        <f>BOPI!E44</f>
        <v>2655.7377999999999</v>
      </c>
      <c r="F23" s="737">
        <f>BOPI!F44</f>
        <v>2239.547</v>
      </c>
      <c r="G23" s="737">
        <f>BOPI!G44</f>
        <v>0</v>
      </c>
      <c r="H23" s="737">
        <f>BOPI!H44</f>
        <v>0</v>
      </c>
    </row>
    <row r="24" spans="1:8">
      <c r="A24" s="35" t="s">
        <v>839</v>
      </c>
    </row>
    <row r="25" spans="1:8">
      <c r="A25" t="s">
        <v>856</v>
      </c>
      <c r="B25" s="737">
        <f>-('BOP COTI'!B35+'BOP COTI'!B39)</f>
        <v>-130.65</v>
      </c>
      <c r="C25" s="737">
        <f>-('BOP COTI'!C35+'BOP COTI'!C39)</f>
        <v>-148.83864797953999</v>
      </c>
      <c r="D25" s="737">
        <f>-('BOP COTI'!D35+'BOP COTI'!D39)</f>
        <v>-134.19273519672001</v>
      </c>
      <c r="E25" s="737">
        <f>-('BOP COTI'!E35+'BOP COTI'!E39)</f>
        <v>-117.22330513937999</v>
      </c>
      <c r="F25" s="737">
        <f>-('BOP COTI'!F35+'BOP COTI'!F39)</f>
        <v>-408.81109649244331</v>
      </c>
      <c r="G25" s="737">
        <f>-('BOP COTI'!G35+'BOP COTI'!G39)</f>
        <v>-259.84581558215109</v>
      </c>
      <c r="H25" s="737">
        <f>-('BOP COTI'!H35+'BOP COTI'!H39)</f>
        <v>-319.09006619293746</v>
      </c>
    </row>
    <row r="26" spans="1:8">
      <c r="A26" t="s">
        <v>854</v>
      </c>
      <c r="B26" s="737">
        <f>'BOP COTI'!B20</f>
        <v>-74.253387960000012</v>
      </c>
      <c r="C26" s="737">
        <f>'BOP COTI'!C20</f>
        <v>-85.186899191720002</v>
      </c>
      <c r="D26" s="737">
        <f>'BOP COTI'!D20</f>
        <v>-120.84715076000001</v>
      </c>
      <c r="E26" s="737">
        <f>'BOP COTI'!E20</f>
        <v>-125.23622864929811</v>
      </c>
      <c r="F26" s="737">
        <f>'BOP COTI'!F20</f>
        <v>-148.48417237073713</v>
      </c>
      <c r="G26" s="737">
        <f>'BOP COTI'!G20</f>
        <v>-176.04769548245528</v>
      </c>
      <c r="H26" s="737">
        <f>'BOP COTI'!H20</f>
        <v>-208.727910792405</v>
      </c>
    </row>
    <row r="27" spans="1:8">
      <c r="A27" t="s">
        <v>855</v>
      </c>
      <c r="B27" s="737"/>
      <c r="C27" s="737"/>
      <c r="D27" s="737"/>
      <c r="E27" s="737"/>
      <c r="F27" s="737"/>
      <c r="G27" s="737"/>
      <c r="H27" s="737"/>
    </row>
    <row r="28" spans="1:8">
      <c r="A28" t="s">
        <v>857</v>
      </c>
      <c r="B28" s="737">
        <f>BOPI!B26</f>
        <v>-685.90340086000003</v>
      </c>
      <c r="C28" s="737">
        <f>BOPI!C26</f>
        <v>-1021.08211013</v>
      </c>
      <c r="D28" s="737">
        <f>BOPI!D26</f>
        <v>-1055.7996101399999</v>
      </c>
      <c r="E28" s="737">
        <f>BOPI!E26</f>
        <v>-1152.64189833</v>
      </c>
      <c r="F28" s="737">
        <f>BOPI!F26</f>
        <v>-1286.0127656801956</v>
      </c>
      <c r="G28" s="737">
        <f>BOPI!G26</f>
        <v>-2731.8158225799079</v>
      </c>
      <c r="H28" s="737">
        <f>BOPI!H26</f>
        <v>-4344.9110870556742</v>
      </c>
    </row>
    <row r="29" spans="1:8">
      <c r="A29" t="s">
        <v>858</v>
      </c>
      <c r="G29">
        <f>-'Revised assumptions'!C73</f>
        <v>-1433.3</v>
      </c>
      <c r="H29">
        <f>-'Revised assumptions'!D73</f>
        <v>-1433.3</v>
      </c>
    </row>
    <row r="30" spans="1:8">
      <c r="A30" t="s">
        <v>859</v>
      </c>
      <c r="G30">
        <f>-'Revised assumptions'!C74</f>
        <v>-1297</v>
      </c>
      <c r="H30">
        <f>-'Revised assumptions'!D74</f>
        <v>-1297</v>
      </c>
    </row>
    <row r="32" spans="1:8">
      <c r="A32" s="35" t="s">
        <v>680</v>
      </c>
      <c r="B32" s="876">
        <f>SUM(B4:B31)</f>
        <v>3953.7732048507323</v>
      </c>
      <c r="C32" s="876">
        <f>SUM(C4:C31)</f>
        <v>9481.1602955221479</v>
      </c>
      <c r="D32" s="876">
        <f>SUM(D4:D31)</f>
        <v>9105.9740525174529</v>
      </c>
      <c r="E32" s="876">
        <f>SUM(E4:E31)</f>
        <v>2299.3285678282186</v>
      </c>
      <c r="F32" s="876">
        <f>SUM(F4:F31)</f>
        <v>2099.3371245170283</v>
      </c>
      <c r="G32" s="876">
        <f>SUM(G4:G6,G8:G9,G12,G15:G29)</f>
        <v>145.43769860786438</v>
      </c>
      <c r="H32" s="876">
        <f>SUM(H4:H6,H8:H9,H12,H15:H29)</f>
        <v>4168.3267834759545</v>
      </c>
    </row>
    <row r="33" spans="1:10">
      <c r="A33" t="s">
        <v>637</v>
      </c>
      <c r="C33" s="737">
        <f t="shared" ref="C33:H33" si="0">C32-B32</f>
        <v>5527.3870906714155</v>
      </c>
      <c r="D33" s="737">
        <f t="shared" si="0"/>
        <v>-375.18624300469492</v>
      </c>
      <c r="E33" s="737">
        <f t="shared" si="0"/>
        <v>-6806.6454846892339</v>
      </c>
      <c r="F33" s="737">
        <f t="shared" si="0"/>
        <v>-199.99144331119032</v>
      </c>
      <c r="G33" s="737">
        <f t="shared" si="0"/>
        <v>-1953.8994259091639</v>
      </c>
      <c r="H33" s="936">
        <f t="shared" si="0"/>
        <v>4022.8890848680903</v>
      </c>
    </row>
    <row r="34" spans="1:10">
      <c r="A34" t="s">
        <v>815</v>
      </c>
      <c r="C34" s="117">
        <f t="shared" ref="C34:H34" si="1">((C33)/B32)*100</f>
        <v>139.80030730872667</v>
      </c>
      <c r="D34" s="117">
        <f t="shared" si="1"/>
        <v>-3.9571764563656986</v>
      </c>
      <c r="E34" s="117">
        <f t="shared" si="1"/>
        <v>-74.749229960823982</v>
      </c>
      <c r="F34" s="117">
        <f t="shared" si="1"/>
        <v>-8.6978192725230183</v>
      </c>
      <c r="G34" s="117">
        <f t="shared" si="1"/>
        <v>-93.072208512421568</v>
      </c>
      <c r="H34" s="117">
        <f t="shared" si="1"/>
        <v>2766.0566162524228</v>
      </c>
    </row>
    <row r="36" spans="1:10">
      <c r="A36" s="35"/>
    </row>
    <row r="37" spans="1:10">
      <c r="A37" s="35" t="s">
        <v>679</v>
      </c>
      <c r="B37" s="35"/>
      <c r="C37" s="35"/>
      <c r="D37" s="35"/>
      <c r="E37" s="35"/>
      <c r="F37" s="35"/>
      <c r="G37" s="876">
        <f>SUM(G4:G6,G8:G9,G15:G17,G19:G20,G22:G23,G25:G26,G28:G29,G40)</f>
        <v>357.35769860786468</v>
      </c>
      <c r="H37" s="876">
        <f>SUM(H4:H6,H8:H9,H15:H17,H19:H20,H22:H23,H25:H26,H28:H29,H40)</f>
        <v>5227.926783475953</v>
      </c>
      <c r="I37" s="737"/>
      <c r="J37" s="737"/>
    </row>
    <row r="38" spans="1:10">
      <c r="A38" t="s">
        <v>1176</v>
      </c>
      <c r="G38" s="737">
        <f>G10</f>
        <v>847.68</v>
      </c>
      <c r="H38" s="737">
        <f>H10</f>
        <v>4238.3999999999996</v>
      </c>
    </row>
    <row r="39" spans="1:10">
      <c r="A39" t="s">
        <v>1177</v>
      </c>
      <c r="G39">
        <v>2</v>
      </c>
      <c r="H39">
        <v>2</v>
      </c>
      <c r="I39">
        <f>((G32-G37)/G37)*100</f>
        <v>-59.301926564213773</v>
      </c>
    </row>
    <row r="40" spans="1:10">
      <c r="A40" t="s">
        <v>1178</v>
      </c>
      <c r="G40" s="737">
        <f>G38*G39</f>
        <v>1695.36</v>
      </c>
      <c r="H40" s="737">
        <f>H38*H39</f>
        <v>8476.7999999999993</v>
      </c>
      <c r="I40">
        <v>20.0329401845717</v>
      </c>
      <c r="J40" t="s">
        <v>678</v>
      </c>
    </row>
    <row r="41" spans="1:10">
      <c r="A41" t="s">
        <v>248</v>
      </c>
      <c r="G41" s="737">
        <f>G37-G32</f>
        <v>211.9200000000003</v>
      </c>
      <c r="H41" s="737">
        <f>H37-H32</f>
        <v>1059.5999999999985</v>
      </c>
      <c r="J41" s="737"/>
    </row>
    <row r="42" spans="1:10">
      <c r="A42" t="s">
        <v>918</v>
      </c>
      <c r="G42" s="737">
        <f>((G32-G37)/G37)*100</f>
        <v>-59.301926564213773</v>
      </c>
      <c r="H42" s="737">
        <f>((H32-H37)/H37)*100</f>
        <v>-20.268072677473302</v>
      </c>
    </row>
    <row r="43" spans="1:10">
      <c r="G43" s="737"/>
      <c r="H43" s="737"/>
    </row>
    <row r="44" spans="1:10">
      <c r="A44" s="35" t="s">
        <v>917</v>
      </c>
      <c r="B44" s="876">
        <f t="shared" ref="B44:H44" si="2">SUM(B45:B46)</f>
        <v>3403.9494800000002</v>
      </c>
      <c r="C44" s="876">
        <f t="shared" si="2"/>
        <v>7235.9728000000014</v>
      </c>
      <c r="D44" s="876">
        <f t="shared" si="2"/>
        <v>5939.5677999999989</v>
      </c>
      <c r="E44" s="876">
        <f t="shared" si="2"/>
        <v>5163.9591920000003</v>
      </c>
      <c r="F44" s="876">
        <f t="shared" si="2"/>
        <v>1699.5470000000005</v>
      </c>
      <c r="G44" s="876">
        <f t="shared" si="2"/>
        <v>-1606.8600000000006</v>
      </c>
      <c r="H44" s="876">
        <f t="shared" si="2"/>
        <v>4561.3799999999992</v>
      </c>
      <c r="I44" s="876"/>
      <c r="J44" s="876"/>
    </row>
    <row r="45" spans="1:10">
      <c r="A45" t="s">
        <v>249</v>
      </c>
      <c r="B45" s="737">
        <f t="shared" ref="B45:H45" si="3">SUM(B12,B17,B23)</f>
        <v>3972.0614800000003</v>
      </c>
      <c r="C45" s="737">
        <f t="shared" si="3"/>
        <v>9022.604800000001</v>
      </c>
      <c r="D45" s="737">
        <f t="shared" si="3"/>
        <v>8012.9547999999995</v>
      </c>
      <c r="E45" s="737">
        <f t="shared" si="3"/>
        <v>6817.3775999999998</v>
      </c>
      <c r="F45" s="737">
        <f t="shared" si="3"/>
        <v>4939.5470000000005</v>
      </c>
      <c r="G45" s="737">
        <f t="shared" si="3"/>
        <v>3283.4399999999996</v>
      </c>
      <c r="H45" s="737">
        <f t="shared" si="3"/>
        <v>8044.7999999999993</v>
      </c>
      <c r="I45" s="737"/>
    </row>
    <row r="46" spans="1:10">
      <c r="A46" t="s">
        <v>250</v>
      </c>
      <c r="B46" s="737">
        <f t="shared" ref="B46:H46" si="4">SUM(B6,B29:B30)</f>
        <v>-568.11199999999997</v>
      </c>
      <c r="C46" s="737">
        <f t="shared" si="4"/>
        <v>-1786.6320000000001</v>
      </c>
      <c r="D46" s="737">
        <f t="shared" si="4"/>
        <v>-2073.3870000000002</v>
      </c>
      <c r="E46" s="737">
        <f t="shared" si="4"/>
        <v>-1653.418408</v>
      </c>
      <c r="F46" s="737">
        <f t="shared" si="4"/>
        <v>-3240</v>
      </c>
      <c r="G46" s="737">
        <f t="shared" si="4"/>
        <v>-4890.3</v>
      </c>
      <c r="H46" s="737">
        <f t="shared" si="4"/>
        <v>-3483.42</v>
      </c>
      <c r="I46" s="737"/>
    </row>
    <row r="47" spans="1:10">
      <c r="G47" s="737"/>
      <c r="H47" s="737"/>
    </row>
    <row r="48" spans="1:10">
      <c r="A48" s="35" t="s">
        <v>916</v>
      </c>
      <c r="B48" s="876">
        <f>SUM(B49:B50)</f>
        <v>3403.9494800000002</v>
      </c>
      <c r="C48" s="876">
        <f t="shared" ref="C48:H48" si="5">SUM(C49:C50)</f>
        <v>7235.9728000000014</v>
      </c>
      <c r="D48" s="876">
        <f t="shared" si="5"/>
        <v>5939.5677999999989</v>
      </c>
      <c r="E48" s="876">
        <f t="shared" si="5"/>
        <v>5163.9591920000003</v>
      </c>
      <c r="F48" s="876">
        <f t="shared" si="5"/>
        <v>1699.5470000000005</v>
      </c>
      <c r="G48" s="876">
        <f t="shared" si="5"/>
        <v>-1394.9400000000005</v>
      </c>
      <c r="H48" s="876">
        <f t="shared" si="5"/>
        <v>5620.98</v>
      </c>
    </row>
    <row r="49" spans="1:9">
      <c r="A49" t="s">
        <v>249</v>
      </c>
      <c r="B49" s="737">
        <f t="shared" ref="B49:H49" si="6">SUM(B17,B23,B40)</f>
        <v>3972.0614800000003</v>
      </c>
      <c r="C49" s="737">
        <f t="shared" si="6"/>
        <v>9022.604800000001</v>
      </c>
      <c r="D49" s="737">
        <f t="shared" si="6"/>
        <v>8012.9547999999995</v>
      </c>
      <c r="E49" s="737">
        <f t="shared" si="6"/>
        <v>6817.3775999999998</v>
      </c>
      <c r="F49" s="737">
        <f t="shared" si="6"/>
        <v>4939.5470000000005</v>
      </c>
      <c r="G49" s="737">
        <f t="shared" si="6"/>
        <v>3495.3599999999997</v>
      </c>
      <c r="H49" s="737">
        <f t="shared" si="6"/>
        <v>9104.4</v>
      </c>
    </row>
    <row r="50" spans="1:9">
      <c r="A50" t="s">
        <v>250</v>
      </c>
      <c r="B50" s="737">
        <f t="shared" ref="B50:H50" si="7">SUM(B6,B29,B30)</f>
        <v>-568.11199999999997</v>
      </c>
      <c r="C50" s="737">
        <f t="shared" si="7"/>
        <v>-1786.6320000000001</v>
      </c>
      <c r="D50" s="737">
        <f t="shared" si="7"/>
        <v>-2073.3870000000002</v>
      </c>
      <c r="E50" s="737">
        <f t="shared" si="7"/>
        <v>-1653.418408</v>
      </c>
      <c r="F50" s="737">
        <f t="shared" si="7"/>
        <v>-3240</v>
      </c>
      <c r="G50" s="737">
        <f t="shared" si="7"/>
        <v>-4890.3</v>
      </c>
      <c r="H50" s="737">
        <f t="shared" si="7"/>
        <v>-3483.42</v>
      </c>
    </row>
    <row r="51" spans="1:9">
      <c r="A51" t="s">
        <v>918</v>
      </c>
      <c r="G51" s="737">
        <f>-((G44-G48)/G48)*100</f>
        <v>-15.192051271022407</v>
      </c>
      <c r="H51" s="737">
        <f>((H44-H48)/H48)*100</f>
        <v>-18.850805375575085</v>
      </c>
    </row>
    <row r="53" spans="1:9">
      <c r="A53" s="35" t="s">
        <v>318</v>
      </c>
      <c r="B53" s="876">
        <f>'Reserves Projection'!E10</f>
        <v>3663.88</v>
      </c>
      <c r="C53" s="876">
        <f>'Reserves Projection'!F10</f>
        <v>3330.15</v>
      </c>
      <c r="D53" s="876">
        <f>'Reserves Projection'!G10</f>
        <v>4362.83</v>
      </c>
      <c r="E53" s="876">
        <f>'Reserves Projection'!H10</f>
        <v>3578.26</v>
      </c>
      <c r="F53" s="876">
        <f>E53+F33</f>
        <v>3378.2685566888099</v>
      </c>
      <c r="G53" s="935">
        <f>F53+G33</f>
        <v>1424.369130779646</v>
      </c>
      <c r="H53" s="876">
        <f>G53+H33</f>
        <v>5447.2582156477365</v>
      </c>
      <c r="I53" t="s">
        <v>684</v>
      </c>
    </row>
    <row r="54" spans="1:9">
      <c r="A54" s="35" t="s">
        <v>319</v>
      </c>
      <c r="F54" s="737"/>
      <c r="G54" s="737"/>
      <c r="H54" s="737"/>
    </row>
    <row r="55" spans="1:9">
      <c r="A55" t="s">
        <v>815</v>
      </c>
      <c r="G55" s="737">
        <f>((G53/F53)-1)*100</f>
        <v>-57.83730313685502</v>
      </c>
      <c r="H55" s="737">
        <f>((H53/G53)-1)*100</f>
        <v>282.43304336889923</v>
      </c>
    </row>
    <row r="56" spans="1:9">
      <c r="A56" s="35"/>
      <c r="G56" s="737"/>
      <c r="H56" s="737"/>
    </row>
    <row r="57" spans="1:9">
      <c r="A57" s="35" t="s">
        <v>686</v>
      </c>
      <c r="B57" s="737">
        <f>B53</f>
        <v>3663.88</v>
      </c>
      <c r="C57" s="737">
        <f>C53</f>
        <v>3330.15</v>
      </c>
      <c r="D57" s="737">
        <f>D53</f>
        <v>4362.83</v>
      </c>
      <c r="E57" s="737">
        <f>E53</f>
        <v>3578.26</v>
      </c>
      <c r="F57" s="737">
        <f>F53</f>
        <v>3378.2685566888099</v>
      </c>
      <c r="G57" s="737">
        <f>G53+1433.3+1297</f>
        <v>4154.6691307796464</v>
      </c>
      <c r="H57" s="737">
        <f>G57+H33</f>
        <v>8177.5582156477367</v>
      </c>
    </row>
    <row r="58" spans="1:9">
      <c r="A58" s="35" t="s">
        <v>683</v>
      </c>
      <c r="F58" s="737"/>
      <c r="G58" s="737"/>
      <c r="H58" s="737"/>
    </row>
    <row r="59" spans="1:9">
      <c r="A59" t="s">
        <v>815</v>
      </c>
      <c r="G59" s="4">
        <f>((G57/F57)-1)*100</f>
        <v>22.982204080655478</v>
      </c>
      <c r="H59" s="4">
        <f>((H57/G57)-1)*100</f>
        <v>96.828145833918029</v>
      </c>
    </row>
    <row r="62" spans="1:9">
      <c r="A62" s="35"/>
    </row>
    <row r="67" spans="1:1">
      <c r="A67" s="35"/>
    </row>
    <row r="68" spans="1:1">
      <c r="A68" s="35"/>
    </row>
    <row r="69" spans="1:1">
      <c r="A69" s="35"/>
    </row>
    <row r="71" spans="1:1">
      <c r="A71" s="758"/>
    </row>
    <row r="74" spans="1:1">
      <c r="A74" s="35"/>
    </row>
    <row r="76" spans="1:1">
      <c r="A76" s="35"/>
    </row>
    <row r="79" spans="1:1">
      <c r="A79" s="35"/>
    </row>
  </sheetData>
  <phoneticPr fontId="44" type="noConversion"/>
  <pageMargins left="0.75" right="0.75" top="1" bottom="1" header="0.5" footer="0.5"/>
  <pageSetup scale="48" orientation="portrait" r:id="rId1"/>
  <headerFooter alignWithMargins="0"/>
</worksheet>
</file>

<file path=xl/worksheets/sheet40.xml><?xml version="1.0" encoding="utf-8"?>
<worksheet xmlns="http://schemas.openxmlformats.org/spreadsheetml/2006/main" xmlns:r="http://schemas.openxmlformats.org/officeDocument/2006/relationships">
  <dimension ref="A1:Q226"/>
  <sheetViews>
    <sheetView zoomScale="70" zoomScaleNormal="70" zoomScaleSheetLayoutView="75" workbookViewId="0">
      <pane xSplit="2" ySplit="8" topLeftCell="C9" activePane="bottomRight" state="frozen"/>
      <selection activeCell="O92" sqref="O92"/>
      <selection pane="topRight" activeCell="O92" sqref="O92"/>
      <selection pane="bottomLeft" activeCell="O92" sqref="O92"/>
      <selection pane="bottomRight" activeCell="M218" sqref="M218"/>
    </sheetView>
  </sheetViews>
  <sheetFormatPr defaultRowHeight="16.5"/>
  <cols>
    <col min="1" max="1" width="9.140625" style="2101"/>
    <col min="2" max="2" width="11.5703125" style="2112" customWidth="1"/>
    <col min="3" max="3" width="13.42578125" style="3503" customWidth="1"/>
    <col min="4" max="4" width="9.28515625" style="2112" customWidth="1"/>
    <col min="5" max="5" width="9.7109375" style="2112" customWidth="1"/>
    <col min="6" max="6" width="10.7109375" style="2112" customWidth="1"/>
    <col min="7" max="8" width="12.28515625" style="2112" customWidth="1"/>
    <col min="9" max="9" width="13.5703125" style="2112" customWidth="1"/>
    <col min="10" max="10" width="11.7109375" style="2112" customWidth="1"/>
    <col min="11" max="11" width="10" style="2105" bestFit="1" customWidth="1"/>
    <col min="12" max="254" width="9.140625" style="2105"/>
    <col min="255" max="255" width="11.5703125" style="2105" customWidth="1"/>
    <col min="256" max="256" width="12.140625" style="2105" customWidth="1"/>
    <col min="257" max="257" width="0" style="2105" hidden="1" customWidth="1"/>
    <col min="258" max="258" width="11.5703125" style="2105" customWidth="1"/>
    <col min="259" max="259" width="11.7109375" style="2105" customWidth="1"/>
    <col min="260" max="260" width="13" style="2105" customWidth="1"/>
    <col min="261" max="262" width="12.28515625" style="2105" customWidth="1"/>
    <col min="263" max="263" width="0" style="2105" hidden="1" customWidth="1"/>
    <col min="264" max="264" width="13.5703125" style="2105" customWidth="1"/>
    <col min="265" max="265" width="11" style="2105" customWidth="1"/>
    <col min="266" max="266" width="10" style="2105" bestFit="1" customWidth="1"/>
    <col min="267" max="510" width="9.140625" style="2105"/>
    <col min="511" max="511" width="11.5703125" style="2105" customWidth="1"/>
    <col min="512" max="512" width="12.140625" style="2105" customWidth="1"/>
    <col min="513" max="513" width="0" style="2105" hidden="1" customWidth="1"/>
    <col min="514" max="514" width="11.5703125" style="2105" customWidth="1"/>
    <col min="515" max="515" width="11.7109375" style="2105" customWidth="1"/>
    <col min="516" max="516" width="13" style="2105" customWidth="1"/>
    <col min="517" max="518" width="12.28515625" style="2105" customWidth="1"/>
    <col min="519" max="519" width="0" style="2105" hidden="1" customWidth="1"/>
    <col min="520" max="520" width="13.5703125" style="2105" customWidth="1"/>
    <col min="521" max="521" width="11" style="2105" customWidth="1"/>
    <col min="522" max="522" width="10" style="2105" bestFit="1" customWidth="1"/>
    <col min="523" max="766" width="9.140625" style="2105"/>
    <col min="767" max="767" width="11.5703125" style="2105" customWidth="1"/>
    <col min="768" max="768" width="12.140625" style="2105" customWidth="1"/>
    <col min="769" max="769" width="0" style="2105" hidden="1" customWidth="1"/>
    <col min="770" max="770" width="11.5703125" style="2105" customWidth="1"/>
    <col min="771" max="771" width="11.7109375" style="2105" customWidth="1"/>
    <col min="772" max="772" width="13" style="2105" customWidth="1"/>
    <col min="773" max="774" width="12.28515625" style="2105" customWidth="1"/>
    <col min="775" max="775" width="0" style="2105" hidden="1" customWidth="1"/>
    <col min="776" max="776" width="13.5703125" style="2105" customWidth="1"/>
    <col min="777" max="777" width="11" style="2105" customWidth="1"/>
    <col min="778" max="778" width="10" style="2105" bestFit="1" customWidth="1"/>
    <col min="779" max="1022" width="9.140625" style="2105"/>
    <col min="1023" max="1023" width="11.5703125" style="2105" customWidth="1"/>
    <col min="1024" max="1024" width="12.140625" style="2105" customWidth="1"/>
    <col min="1025" max="1025" width="0" style="2105" hidden="1" customWidth="1"/>
    <col min="1026" max="1026" width="11.5703125" style="2105" customWidth="1"/>
    <col min="1027" max="1027" width="11.7109375" style="2105" customWidth="1"/>
    <col min="1028" max="1028" width="13" style="2105" customWidth="1"/>
    <col min="1029" max="1030" width="12.28515625" style="2105" customWidth="1"/>
    <col min="1031" max="1031" width="0" style="2105" hidden="1" customWidth="1"/>
    <col min="1032" max="1032" width="13.5703125" style="2105" customWidth="1"/>
    <col min="1033" max="1033" width="11" style="2105" customWidth="1"/>
    <col min="1034" max="1034" width="10" style="2105" bestFit="1" customWidth="1"/>
    <col min="1035" max="1278" width="9.140625" style="2105"/>
    <col min="1279" max="1279" width="11.5703125" style="2105" customWidth="1"/>
    <col min="1280" max="1280" width="12.140625" style="2105" customWidth="1"/>
    <col min="1281" max="1281" width="0" style="2105" hidden="1" customWidth="1"/>
    <col min="1282" max="1282" width="11.5703125" style="2105" customWidth="1"/>
    <col min="1283" max="1283" width="11.7109375" style="2105" customWidth="1"/>
    <col min="1284" max="1284" width="13" style="2105" customWidth="1"/>
    <col min="1285" max="1286" width="12.28515625" style="2105" customWidth="1"/>
    <col min="1287" max="1287" width="0" style="2105" hidden="1" customWidth="1"/>
    <col min="1288" max="1288" width="13.5703125" style="2105" customWidth="1"/>
    <col min="1289" max="1289" width="11" style="2105" customWidth="1"/>
    <col min="1290" max="1290" width="10" style="2105" bestFit="1" customWidth="1"/>
    <col min="1291" max="1534" width="9.140625" style="2105"/>
    <col min="1535" max="1535" width="11.5703125" style="2105" customWidth="1"/>
    <col min="1536" max="1536" width="12.140625" style="2105" customWidth="1"/>
    <col min="1537" max="1537" width="0" style="2105" hidden="1" customWidth="1"/>
    <col min="1538" max="1538" width="11.5703125" style="2105" customWidth="1"/>
    <col min="1539" max="1539" width="11.7109375" style="2105" customWidth="1"/>
    <col min="1540" max="1540" width="13" style="2105" customWidth="1"/>
    <col min="1541" max="1542" width="12.28515625" style="2105" customWidth="1"/>
    <col min="1543" max="1543" width="0" style="2105" hidden="1" customWidth="1"/>
    <col min="1544" max="1544" width="13.5703125" style="2105" customWidth="1"/>
    <col min="1545" max="1545" width="11" style="2105" customWidth="1"/>
    <col min="1546" max="1546" width="10" style="2105" bestFit="1" customWidth="1"/>
    <col min="1547" max="1790" width="9.140625" style="2105"/>
    <col min="1791" max="1791" width="11.5703125" style="2105" customWidth="1"/>
    <col min="1792" max="1792" width="12.140625" style="2105" customWidth="1"/>
    <col min="1793" max="1793" width="0" style="2105" hidden="1" customWidth="1"/>
    <col min="1794" max="1794" width="11.5703125" style="2105" customWidth="1"/>
    <col min="1795" max="1795" width="11.7109375" style="2105" customWidth="1"/>
    <col min="1796" max="1796" width="13" style="2105" customWidth="1"/>
    <col min="1797" max="1798" width="12.28515625" style="2105" customWidth="1"/>
    <col min="1799" max="1799" width="0" style="2105" hidden="1" customWidth="1"/>
    <col min="1800" max="1800" width="13.5703125" style="2105" customWidth="1"/>
    <col min="1801" max="1801" width="11" style="2105" customWidth="1"/>
    <col min="1802" max="1802" width="10" style="2105" bestFit="1" customWidth="1"/>
    <col min="1803" max="2046" width="9.140625" style="2105"/>
    <col min="2047" max="2047" width="11.5703125" style="2105" customWidth="1"/>
    <col min="2048" max="2048" width="12.140625" style="2105" customWidth="1"/>
    <col min="2049" max="2049" width="0" style="2105" hidden="1" customWidth="1"/>
    <col min="2050" max="2050" width="11.5703125" style="2105" customWidth="1"/>
    <col min="2051" max="2051" width="11.7109375" style="2105" customWidth="1"/>
    <col min="2052" max="2052" width="13" style="2105" customWidth="1"/>
    <col min="2053" max="2054" width="12.28515625" style="2105" customWidth="1"/>
    <col min="2055" max="2055" width="0" style="2105" hidden="1" customWidth="1"/>
    <col min="2056" max="2056" width="13.5703125" style="2105" customWidth="1"/>
    <col min="2057" max="2057" width="11" style="2105" customWidth="1"/>
    <col min="2058" max="2058" width="10" style="2105" bestFit="1" customWidth="1"/>
    <col min="2059" max="2302" width="9.140625" style="2105"/>
    <col min="2303" max="2303" width="11.5703125" style="2105" customWidth="1"/>
    <col min="2304" max="2304" width="12.140625" style="2105" customWidth="1"/>
    <col min="2305" max="2305" width="0" style="2105" hidden="1" customWidth="1"/>
    <col min="2306" max="2306" width="11.5703125" style="2105" customWidth="1"/>
    <col min="2307" max="2307" width="11.7109375" style="2105" customWidth="1"/>
    <col min="2308" max="2308" width="13" style="2105" customWidth="1"/>
    <col min="2309" max="2310" width="12.28515625" style="2105" customWidth="1"/>
    <col min="2311" max="2311" width="0" style="2105" hidden="1" customWidth="1"/>
    <col min="2312" max="2312" width="13.5703125" style="2105" customWidth="1"/>
    <col min="2313" max="2313" width="11" style="2105" customWidth="1"/>
    <col min="2314" max="2314" width="10" style="2105" bestFit="1" customWidth="1"/>
    <col min="2315" max="2558" width="9.140625" style="2105"/>
    <col min="2559" max="2559" width="11.5703125" style="2105" customWidth="1"/>
    <col min="2560" max="2560" width="12.140625" style="2105" customWidth="1"/>
    <col min="2561" max="2561" width="0" style="2105" hidden="1" customWidth="1"/>
    <col min="2562" max="2562" width="11.5703125" style="2105" customWidth="1"/>
    <col min="2563" max="2563" width="11.7109375" style="2105" customWidth="1"/>
    <col min="2564" max="2564" width="13" style="2105" customWidth="1"/>
    <col min="2565" max="2566" width="12.28515625" style="2105" customWidth="1"/>
    <col min="2567" max="2567" width="0" style="2105" hidden="1" customWidth="1"/>
    <col min="2568" max="2568" width="13.5703125" style="2105" customWidth="1"/>
    <col min="2569" max="2569" width="11" style="2105" customWidth="1"/>
    <col min="2570" max="2570" width="10" style="2105" bestFit="1" customWidth="1"/>
    <col min="2571" max="2814" width="9.140625" style="2105"/>
    <col min="2815" max="2815" width="11.5703125" style="2105" customWidth="1"/>
    <col min="2816" max="2816" width="12.140625" style="2105" customWidth="1"/>
    <col min="2817" max="2817" width="0" style="2105" hidden="1" customWidth="1"/>
    <col min="2818" max="2818" width="11.5703125" style="2105" customWidth="1"/>
    <col min="2819" max="2819" width="11.7109375" style="2105" customWidth="1"/>
    <col min="2820" max="2820" width="13" style="2105" customWidth="1"/>
    <col min="2821" max="2822" width="12.28515625" style="2105" customWidth="1"/>
    <col min="2823" max="2823" width="0" style="2105" hidden="1" customWidth="1"/>
    <col min="2824" max="2824" width="13.5703125" style="2105" customWidth="1"/>
    <col min="2825" max="2825" width="11" style="2105" customWidth="1"/>
    <col min="2826" max="2826" width="10" style="2105" bestFit="1" customWidth="1"/>
    <col min="2827" max="3070" width="9.140625" style="2105"/>
    <col min="3071" max="3071" width="11.5703125" style="2105" customWidth="1"/>
    <col min="3072" max="3072" width="12.140625" style="2105" customWidth="1"/>
    <col min="3073" max="3073" width="0" style="2105" hidden="1" customWidth="1"/>
    <col min="3074" max="3074" width="11.5703125" style="2105" customWidth="1"/>
    <col min="3075" max="3075" width="11.7109375" style="2105" customWidth="1"/>
    <col min="3076" max="3076" width="13" style="2105" customWidth="1"/>
    <col min="3077" max="3078" width="12.28515625" style="2105" customWidth="1"/>
    <col min="3079" max="3079" width="0" style="2105" hidden="1" customWidth="1"/>
    <col min="3080" max="3080" width="13.5703125" style="2105" customWidth="1"/>
    <col min="3081" max="3081" width="11" style="2105" customWidth="1"/>
    <col min="3082" max="3082" width="10" style="2105" bestFit="1" customWidth="1"/>
    <col min="3083" max="3326" width="9.140625" style="2105"/>
    <col min="3327" max="3327" width="11.5703125" style="2105" customWidth="1"/>
    <col min="3328" max="3328" width="12.140625" style="2105" customWidth="1"/>
    <col min="3329" max="3329" width="0" style="2105" hidden="1" customWidth="1"/>
    <col min="3330" max="3330" width="11.5703125" style="2105" customWidth="1"/>
    <col min="3331" max="3331" width="11.7109375" style="2105" customWidth="1"/>
    <col min="3332" max="3332" width="13" style="2105" customWidth="1"/>
    <col min="3333" max="3334" width="12.28515625" style="2105" customWidth="1"/>
    <col min="3335" max="3335" width="0" style="2105" hidden="1" customWidth="1"/>
    <col min="3336" max="3336" width="13.5703125" style="2105" customWidth="1"/>
    <col min="3337" max="3337" width="11" style="2105" customWidth="1"/>
    <col min="3338" max="3338" width="10" style="2105" bestFit="1" customWidth="1"/>
    <col min="3339" max="3582" width="9.140625" style="2105"/>
    <col min="3583" max="3583" width="11.5703125" style="2105" customWidth="1"/>
    <col min="3584" max="3584" width="12.140625" style="2105" customWidth="1"/>
    <col min="3585" max="3585" width="0" style="2105" hidden="1" customWidth="1"/>
    <col min="3586" max="3586" width="11.5703125" style="2105" customWidth="1"/>
    <col min="3587" max="3587" width="11.7109375" style="2105" customWidth="1"/>
    <col min="3588" max="3588" width="13" style="2105" customWidth="1"/>
    <col min="3589" max="3590" width="12.28515625" style="2105" customWidth="1"/>
    <col min="3591" max="3591" width="0" style="2105" hidden="1" customWidth="1"/>
    <col min="3592" max="3592" width="13.5703125" style="2105" customWidth="1"/>
    <col min="3593" max="3593" width="11" style="2105" customWidth="1"/>
    <col min="3594" max="3594" width="10" style="2105" bestFit="1" customWidth="1"/>
    <col min="3595" max="3838" width="9.140625" style="2105"/>
    <col min="3839" max="3839" width="11.5703125" style="2105" customWidth="1"/>
    <col min="3840" max="3840" width="12.140625" style="2105" customWidth="1"/>
    <col min="3841" max="3841" width="0" style="2105" hidden="1" customWidth="1"/>
    <col min="3842" max="3842" width="11.5703125" style="2105" customWidth="1"/>
    <col min="3843" max="3843" width="11.7109375" style="2105" customWidth="1"/>
    <col min="3844" max="3844" width="13" style="2105" customWidth="1"/>
    <col min="3845" max="3846" width="12.28515625" style="2105" customWidth="1"/>
    <col min="3847" max="3847" width="0" style="2105" hidden="1" customWidth="1"/>
    <col min="3848" max="3848" width="13.5703125" style="2105" customWidth="1"/>
    <col min="3849" max="3849" width="11" style="2105" customWidth="1"/>
    <col min="3850" max="3850" width="10" style="2105" bestFit="1" customWidth="1"/>
    <col min="3851" max="4094" width="9.140625" style="2105"/>
    <col min="4095" max="4095" width="11.5703125" style="2105" customWidth="1"/>
    <col min="4096" max="4096" width="12.140625" style="2105" customWidth="1"/>
    <col min="4097" max="4097" width="0" style="2105" hidden="1" customWidth="1"/>
    <col min="4098" max="4098" width="11.5703125" style="2105" customWidth="1"/>
    <col min="4099" max="4099" width="11.7109375" style="2105" customWidth="1"/>
    <col min="4100" max="4100" width="13" style="2105" customWidth="1"/>
    <col min="4101" max="4102" width="12.28515625" style="2105" customWidth="1"/>
    <col min="4103" max="4103" width="0" style="2105" hidden="1" customWidth="1"/>
    <col min="4104" max="4104" width="13.5703125" style="2105" customWidth="1"/>
    <col min="4105" max="4105" width="11" style="2105" customWidth="1"/>
    <col min="4106" max="4106" width="10" style="2105" bestFit="1" customWidth="1"/>
    <col min="4107" max="4350" width="9.140625" style="2105"/>
    <col min="4351" max="4351" width="11.5703125" style="2105" customWidth="1"/>
    <col min="4352" max="4352" width="12.140625" style="2105" customWidth="1"/>
    <col min="4353" max="4353" width="0" style="2105" hidden="1" customWidth="1"/>
    <col min="4354" max="4354" width="11.5703125" style="2105" customWidth="1"/>
    <col min="4355" max="4355" width="11.7109375" style="2105" customWidth="1"/>
    <col min="4356" max="4356" width="13" style="2105" customWidth="1"/>
    <col min="4357" max="4358" width="12.28515625" style="2105" customWidth="1"/>
    <col min="4359" max="4359" width="0" style="2105" hidden="1" customWidth="1"/>
    <col min="4360" max="4360" width="13.5703125" style="2105" customWidth="1"/>
    <col min="4361" max="4361" width="11" style="2105" customWidth="1"/>
    <col min="4362" max="4362" width="10" style="2105" bestFit="1" customWidth="1"/>
    <col min="4363" max="4606" width="9.140625" style="2105"/>
    <col min="4607" max="4607" width="11.5703125" style="2105" customWidth="1"/>
    <col min="4608" max="4608" width="12.140625" style="2105" customWidth="1"/>
    <col min="4609" max="4609" width="0" style="2105" hidden="1" customWidth="1"/>
    <col min="4610" max="4610" width="11.5703125" style="2105" customWidth="1"/>
    <col min="4611" max="4611" width="11.7109375" style="2105" customWidth="1"/>
    <col min="4612" max="4612" width="13" style="2105" customWidth="1"/>
    <col min="4613" max="4614" width="12.28515625" style="2105" customWidth="1"/>
    <col min="4615" max="4615" width="0" style="2105" hidden="1" customWidth="1"/>
    <col min="4616" max="4616" width="13.5703125" style="2105" customWidth="1"/>
    <col min="4617" max="4617" width="11" style="2105" customWidth="1"/>
    <col min="4618" max="4618" width="10" style="2105" bestFit="1" customWidth="1"/>
    <col min="4619" max="4862" width="9.140625" style="2105"/>
    <col min="4863" max="4863" width="11.5703125" style="2105" customWidth="1"/>
    <col min="4864" max="4864" width="12.140625" style="2105" customWidth="1"/>
    <col min="4865" max="4865" width="0" style="2105" hidden="1" customWidth="1"/>
    <col min="4866" max="4866" width="11.5703125" style="2105" customWidth="1"/>
    <col min="4867" max="4867" width="11.7109375" style="2105" customWidth="1"/>
    <col min="4868" max="4868" width="13" style="2105" customWidth="1"/>
    <col min="4869" max="4870" width="12.28515625" style="2105" customWidth="1"/>
    <col min="4871" max="4871" width="0" style="2105" hidden="1" customWidth="1"/>
    <col min="4872" max="4872" width="13.5703125" style="2105" customWidth="1"/>
    <col min="4873" max="4873" width="11" style="2105" customWidth="1"/>
    <col min="4874" max="4874" width="10" style="2105" bestFit="1" customWidth="1"/>
    <col min="4875" max="5118" width="9.140625" style="2105"/>
    <col min="5119" max="5119" width="11.5703125" style="2105" customWidth="1"/>
    <col min="5120" max="5120" width="12.140625" style="2105" customWidth="1"/>
    <col min="5121" max="5121" width="0" style="2105" hidden="1" customWidth="1"/>
    <col min="5122" max="5122" width="11.5703125" style="2105" customWidth="1"/>
    <col min="5123" max="5123" width="11.7109375" style="2105" customWidth="1"/>
    <col min="5124" max="5124" width="13" style="2105" customWidth="1"/>
    <col min="5125" max="5126" width="12.28515625" style="2105" customWidth="1"/>
    <col min="5127" max="5127" width="0" style="2105" hidden="1" customWidth="1"/>
    <col min="5128" max="5128" width="13.5703125" style="2105" customWidth="1"/>
    <col min="5129" max="5129" width="11" style="2105" customWidth="1"/>
    <col min="5130" max="5130" width="10" style="2105" bestFit="1" customWidth="1"/>
    <col min="5131" max="5374" width="9.140625" style="2105"/>
    <col min="5375" max="5375" width="11.5703125" style="2105" customWidth="1"/>
    <col min="5376" max="5376" width="12.140625" style="2105" customWidth="1"/>
    <col min="5377" max="5377" width="0" style="2105" hidden="1" customWidth="1"/>
    <col min="5378" max="5378" width="11.5703125" style="2105" customWidth="1"/>
    <col min="5379" max="5379" width="11.7109375" style="2105" customWidth="1"/>
    <col min="5380" max="5380" width="13" style="2105" customWidth="1"/>
    <col min="5381" max="5382" width="12.28515625" style="2105" customWidth="1"/>
    <col min="5383" max="5383" width="0" style="2105" hidden="1" customWidth="1"/>
    <col min="5384" max="5384" width="13.5703125" style="2105" customWidth="1"/>
    <col min="5385" max="5385" width="11" style="2105" customWidth="1"/>
    <col min="5386" max="5386" width="10" style="2105" bestFit="1" customWidth="1"/>
    <col min="5387" max="5630" width="9.140625" style="2105"/>
    <col min="5631" max="5631" width="11.5703125" style="2105" customWidth="1"/>
    <col min="5632" max="5632" width="12.140625" style="2105" customWidth="1"/>
    <col min="5633" max="5633" width="0" style="2105" hidden="1" customWidth="1"/>
    <col min="5634" max="5634" width="11.5703125" style="2105" customWidth="1"/>
    <col min="5635" max="5635" width="11.7109375" style="2105" customWidth="1"/>
    <col min="5636" max="5636" width="13" style="2105" customWidth="1"/>
    <col min="5637" max="5638" width="12.28515625" style="2105" customWidth="1"/>
    <col min="5639" max="5639" width="0" style="2105" hidden="1" customWidth="1"/>
    <col min="5640" max="5640" width="13.5703125" style="2105" customWidth="1"/>
    <col min="5641" max="5641" width="11" style="2105" customWidth="1"/>
    <col min="5642" max="5642" width="10" style="2105" bestFit="1" customWidth="1"/>
    <col min="5643" max="5886" width="9.140625" style="2105"/>
    <col min="5887" max="5887" width="11.5703125" style="2105" customWidth="1"/>
    <col min="5888" max="5888" width="12.140625" style="2105" customWidth="1"/>
    <col min="5889" max="5889" width="0" style="2105" hidden="1" customWidth="1"/>
    <col min="5890" max="5890" width="11.5703125" style="2105" customWidth="1"/>
    <col min="5891" max="5891" width="11.7109375" style="2105" customWidth="1"/>
    <col min="5892" max="5892" width="13" style="2105" customWidth="1"/>
    <col min="5893" max="5894" width="12.28515625" style="2105" customWidth="1"/>
    <col min="5895" max="5895" width="0" style="2105" hidden="1" customWidth="1"/>
    <col min="5896" max="5896" width="13.5703125" style="2105" customWidth="1"/>
    <col min="5897" max="5897" width="11" style="2105" customWidth="1"/>
    <col min="5898" max="5898" width="10" style="2105" bestFit="1" customWidth="1"/>
    <col min="5899" max="6142" width="9.140625" style="2105"/>
    <col min="6143" max="6143" width="11.5703125" style="2105" customWidth="1"/>
    <col min="6144" max="6144" width="12.140625" style="2105" customWidth="1"/>
    <col min="6145" max="6145" width="0" style="2105" hidden="1" customWidth="1"/>
    <col min="6146" max="6146" width="11.5703125" style="2105" customWidth="1"/>
    <col min="6147" max="6147" width="11.7109375" style="2105" customWidth="1"/>
    <col min="6148" max="6148" width="13" style="2105" customWidth="1"/>
    <col min="6149" max="6150" width="12.28515625" style="2105" customWidth="1"/>
    <col min="6151" max="6151" width="0" style="2105" hidden="1" customWidth="1"/>
    <col min="6152" max="6152" width="13.5703125" style="2105" customWidth="1"/>
    <col min="6153" max="6153" width="11" style="2105" customWidth="1"/>
    <col min="6154" max="6154" width="10" style="2105" bestFit="1" customWidth="1"/>
    <col min="6155" max="6398" width="9.140625" style="2105"/>
    <col min="6399" max="6399" width="11.5703125" style="2105" customWidth="1"/>
    <col min="6400" max="6400" width="12.140625" style="2105" customWidth="1"/>
    <col min="6401" max="6401" width="0" style="2105" hidden="1" customWidth="1"/>
    <col min="6402" max="6402" width="11.5703125" style="2105" customWidth="1"/>
    <col min="6403" max="6403" width="11.7109375" style="2105" customWidth="1"/>
    <col min="6404" max="6404" width="13" style="2105" customWidth="1"/>
    <col min="6405" max="6406" width="12.28515625" style="2105" customWidth="1"/>
    <col min="6407" max="6407" width="0" style="2105" hidden="1" customWidth="1"/>
    <col min="6408" max="6408" width="13.5703125" style="2105" customWidth="1"/>
    <col min="6409" max="6409" width="11" style="2105" customWidth="1"/>
    <col min="6410" max="6410" width="10" style="2105" bestFit="1" customWidth="1"/>
    <col min="6411" max="6654" width="9.140625" style="2105"/>
    <col min="6655" max="6655" width="11.5703125" style="2105" customWidth="1"/>
    <col min="6656" max="6656" width="12.140625" style="2105" customWidth="1"/>
    <col min="6657" max="6657" width="0" style="2105" hidden="1" customWidth="1"/>
    <col min="6658" max="6658" width="11.5703125" style="2105" customWidth="1"/>
    <col min="6659" max="6659" width="11.7109375" style="2105" customWidth="1"/>
    <col min="6660" max="6660" width="13" style="2105" customWidth="1"/>
    <col min="6661" max="6662" width="12.28515625" style="2105" customWidth="1"/>
    <col min="6663" max="6663" width="0" style="2105" hidden="1" customWidth="1"/>
    <col min="6664" max="6664" width="13.5703125" style="2105" customWidth="1"/>
    <col min="6665" max="6665" width="11" style="2105" customWidth="1"/>
    <col min="6666" max="6666" width="10" style="2105" bestFit="1" customWidth="1"/>
    <col min="6667" max="6910" width="9.140625" style="2105"/>
    <col min="6911" max="6911" width="11.5703125" style="2105" customWidth="1"/>
    <col min="6912" max="6912" width="12.140625" style="2105" customWidth="1"/>
    <col min="6913" max="6913" width="0" style="2105" hidden="1" customWidth="1"/>
    <col min="6914" max="6914" width="11.5703125" style="2105" customWidth="1"/>
    <col min="6915" max="6915" width="11.7109375" style="2105" customWidth="1"/>
    <col min="6916" max="6916" width="13" style="2105" customWidth="1"/>
    <col min="6917" max="6918" width="12.28515625" style="2105" customWidth="1"/>
    <col min="6919" max="6919" width="0" style="2105" hidden="1" customWidth="1"/>
    <col min="6920" max="6920" width="13.5703125" style="2105" customWidth="1"/>
    <col min="6921" max="6921" width="11" style="2105" customWidth="1"/>
    <col min="6922" max="6922" width="10" style="2105" bestFit="1" customWidth="1"/>
    <col min="6923" max="7166" width="9.140625" style="2105"/>
    <col min="7167" max="7167" width="11.5703125" style="2105" customWidth="1"/>
    <col min="7168" max="7168" width="12.140625" style="2105" customWidth="1"/>
    <col min="7169" max="7169" width="0" style="2105" hidden="1" customWidth="1"/>
    <col min="7170" max="7170" width="11.5703125" style="2105" customWidth="1"/>
    <col min="7171" max="7171" width="11.7109375" style="2105" customWidth="1"/>
    <col min="7172" max="7172" width="13" style="2105" customWidth="1"/>
    <col min="7173" max="7174" width="12.28515625" style="2105" customWidth="1"/>
    <col min="7175" max="7175" width="0" style="2105" hidden="1" customWidth="1"/>
    <col min="7176" max="7176" width="13.5703125" style="2105" customWidth="1"/>
    <col min="7177" max="7177" width="11" style="2105" customWidth="1"/>
    <col min="7178" max="7178" width="10" style="2105" bestFit="1" customWidth="1"/>
    <col min="7179" max="7422" width="9.140625" style="2105"/>
    <col min="7423" max="7423" width="11.5703125" style="2105" customWidth="1"/>
    <col min="7424" max="7424" width="12.140625" style="2105" customWidth="1"/>
    <col min="7425" max="7425" width="0" style="2105" hidden="1" customWidth="1"/>
    <col min="7426" max="7426" width="11.5703125" style="2105" customWidth="1"/>
    <col min="7427" max="7427" width="11.7109375" style="2105" customWidth="1"/>
    <col min="7428" max="7428" width="13" style="2105" customWidth="1"/>
    <col min="7429" max="7430" width="12.28515625" style="2105" customWidth="1"/>
    <col min="7431" max="7431" width="0" style="2105" hidden="1" customWidth="1"/>
    <col min="7432" max="7432" width="13.5703125" style="2105" customWidth="1"/>
    <col min="7433" max="7433" width="11" style="2105" customWidth="1"/>
    <col min="7434" max="7434" width="10" style="2105" bestFit="1" customWidth="1"/>
    <col min="7435" max="7678" width="9.140625" style="2105"/>
    <col min="7679" max="7679" width="11.5703125" style="2105" customWidth="1"/>
    <col min="7680" max="7680" width="12.140625" style="2105" customWidth="1"/>
    <col min="7681" max="7681" width="0" style="2105" hidden="1" customWidth="1"/>
    <col min="7682" max="7682" width="11.5703125" style="2105" customWidth="1"/>
    <col min="7683" max="7683" width="11.7109375" style="2105" customWidth="1"/>
    <col min="7684" max="7684" width="13" style="2105" customWidth="1"/>
    <col min="7685" max="7686" width="12.28515625" style="2105" customWidth="1"/>
    <col min="7687" max="7687" width="0" style="2105" hidden="1" customWidth="1"/>
    <col min="7688" max="7688" width="13.5703125" style="2105" customWidth="1"/>
    <col min="7689" max="7689" width="11" style="2105" customWidth="1"/>
    <col min="7690" max="7690" width="10" style="2105" bestFit="1" customWidth="1"/>
    <col min="7691" max="7934" width="9.140625" style="2105"/>
    <col min="7935" max="7935" width="11.5703125" style="2105" customWidth="1"/>
    <col min="7936" max="7936" width="12.140625" style="2105" customWidth="1"/>
    <col min="7937" max="7937" width="0" style="2105" hidden="1" customWidth="1"/>
    <col min="7938" max="7938" width="11.5703125" style="2105" customWidth="1"/>
    <col min="7939" max="7939" width="11.7109375" style="2105" customWidth="1"/>
    <col min="7940" max="7940" width="13" style="2105" customWidth="1"/>
    <col min="7941" max="7942" width="12.28515625" style="2105" customWidth="1"/>
    <col min="7943" max="7943" width="0" style="2105" hidden="1" customWidth="1"/>
    <col min="7944" max="7944" width="13.5703125" style="2105" customWidth="1"/>
    <col min="7945" max="7945" width="11" style="2105" customWidth="1"/>
    <col min="7946" max="7946" width="10" style="2105" bestFit="1" customWidth="1"/>
    <col min="7947" max="8190" width="9.140625" style="2105"/>
    <col min="8191" max="8191" width="11.5703125" style="2105" customWidth="1"/>
    <col min="8192" max="8192" width="12.140625" style="2105" customWidth="1"/>
    <col min="8193" max="8193" width="0" style="2105" hidden="1" customWidth="1"/>
    <col min="8194" max="8194" width="11.5703125" style="2105" customWidth="1"/>
    <col min="8195" max="8195" width="11.7109375" style="2105" customWidth="1"/>
    <col min="8196" max="8196" width="13" style="2105" customWidth="1"/>
    <col min="8197" max="8198" width="12.28515625" style="2105" customWidth="1"/>
    <col min="8199" max="8199" width="0" style="2105" hidden="1" customWidth="1"/>
    <col min="8200" max="8200" width="13.5703125" style="2105" customWidth="1"/>
    <col min="8201" max="8201" width="11" style="2105" customWidth="1"/>
    <col min="8202" max="8202" width="10" style="2105" bestFit="1" customWidth="1"/>
    <col min="8203" max="8446" width="9.140625" style="2105"/>
    <col min="8447" max="8447" width="11.5703125" style="2105" customWidth="1"/>
    <col min="8448" max="8448" width="12.140625" style="2105" customWidth="1"/>
    <col min="8449" max="8449" width="0" style="2105" hidden="1" customWidth="1"/>
    <col min="8450" max="8450" width="11.5703125" style="2105" customWidth="1"/>
    <col min="8451" max="8451" width="11.7109375" style="2105" customWidth="1"/>
    <col min="8452" max="8452" width="13" style="2105" customWidth="1"/>
    <col min="8453" max="8454" width="12.28515625" style="2105" customWidth="1"/>
    <col min="8455" max="8455" width="0" style="2105" hidden="1" customWidth="1"/>
    <col min="8456" max="8456" width="13.5703125" style="2105" customWidth="1"/>
    <col min="8457" max="8457" width="11" style="2105" customWidth="1"/>
    <col min="8458" max="8458" width="10" style="2105" bestFit="1" customWidth="1"/>
    <col min="8459" max="8702" width="9.140625" style="2105"/>
    <col min="8703" max="8703" width="11.5703125" style="2105" customWidth="1"/>
    <col min="8704" max="8704" width="12.140625" style="2105" customWidth="1"/>
    <col min="8705" max="8705" width="0" style="2105" hidden="1" customWidth="1"/>
    <col min="8706" max="8706" width="11.5703125" style="2105" customWidth="1"/>
    <col min="8707" max="8707" width="11.7109375" style="2105" customWidth="1"/>
    <col min="8708" max="8708" width="13" style="2105" customWidth="1"/>
    <col min="8709" max="8710" width="12.28515625" style="2105" customWidth="1"/>
    <col min="8711" max="8711" width="0" style="2105" hidden="1" customWidth="1"/>
    <col min="8712" max="8712" width="13.5703125" style="2105" customWidth="1"/>
    <col min="8713" max="8713" width="11" style="2105" customWidth="1"/>
    <col min="8714" max="8714" width="10" style="2105" bestFit="1" customWidth="1"/>
    <col min="8715" max="8958" width="9.140625" style="2105"/>
    <col min="8959" max="8959" width="11.5703125" style="2105" customWidth="1"/>
    <col min="8960" max="8960" width="12.140625" style="2105" customWidth="1"/>
    <col min="8961" max="8961" width="0" style="2105" hidden="1" customWidth="1"/>
    <col min="8962" max="8962" width="11.5703125" style="2105" customWidth="1"/>
    <col min="8963" max="8963" width="11.7109375" style="2105" customWidth="1"/>
    <col min="8964" max="8964" width="13" style="2105" customWidth="1"/>
    <col min="8965" max="8966" width="12.28515625" style="2105" customWidth="1"/>
    <col min="8967" max="8967" width="0" style="2105" hidden="1" customWidth="1"/>
    <col min="8968" max="8968" width="13.5703125" style="2105" customWidth="1"/>
    <col min="8969" max="8969" width="11" style="2105" customWidth="1"/>
    <col min="8970" max="8970" width="10" style="2105" bestFit="1" customWidth="1"/>
    <col min="8971" max="9214" width="9.140625" style="2105"/>
    <col min="9215" max="9215" width="11.5703125" style="2105" customWidth="1"/>
    <col min="9216" max="9216" width="12.140625" style="2105" customWidth="1"/>
    <col min="9217" max="9217" width="0" style="2105" hidden="1" customWidth="1"/>
    <col min="9218" max="9218" width="11.5703125" style="2105" customWidth="1"/>
    <col min="9219" max="9219" width="11.7109375" style="2105" customWidth="1"/>
    <col min="9220" max="9220" width="13" style="2105" customWidth="1"/>
    <col min="9221" max="9222" width="12.28515625" style="2105" customWidth="1"/>
    <col min="9223" max="9223" width="0" style="2105" hidden="1" customWidth="1"/>
    <col min="9224" max="9224" width="13.5703125" style="2105" customWidth="1"/>
    <col min="9225" max="9225" width="11" style="2105" customWidth="1"/>
    <col min="9226" max="9226" width="10" style="2105" bestFit="1" customWidth="1"/>
    <col min="9227" max="9470" width="9.140625" style="2105"/>
    <col min="9471" max="9471" width="11.5703125" style="2105" customWidth="1"/>
    <col min="9472" max="9472" width="12.140625" style="2105" customWidth="1"/>
    <col min="9473" max="9473" width="0" style="2105" hidden="1" customWidth="1"/>
    <col min="9474" max="9474" width="11.5703125" style="2105" customWidth="1"/>
    <col min="9475" max="9475" width="11.7109375" style="2105" customWidth="1"/>
    <col min="9476" max="9476" width="13" style="2105" customWidth="1"/>
    <col min="9477" max="9478" width="12.28515625" style="2105" customWidth="1"/>
    <col min="9479" max="9479" width="0" style="2105" hidden="1" customWidth="1"/>
    <col min="9480" max="9480" width="13.5703125" style="2105" customWidth="1"/>
    <col min="9481" max="9481" width="11" style="2105" customWidth="1"/>
    <col min="9482" max="9482" width="10" style="2105" bestFit="1" customWidth="1"/>
    <col min="9483" max="9726" width="9.140625" style="2105"/>
    <col min="9727" max="9727" width="11.5703125" style="2105" customWidth="1"/>
    <col min="9728" max="9728" width="12.140625" style="2105" customWidth="1"/>
    <col min="9729" max="9729" width="0" style="2105" hidden="1" customWidth="1"/>
    <col min="9730" max="9730" width="11.5703125" style="2105" customWidth="1"/>
    <col min="9731" max="9731" width="11.7109375" style="2105" customWidth="1"/>
    <col min="9732" max="9732" width="13" style="2105" customWidth="1"/>
    <col min="9733" max="9734" width="12.28515625" style="2105" customWidth="1"/>
    <col min="9735" max="9735" width="0" style="2105" hidden="1" customWidth="1"/>
    <col min="9736" max="9736" width="13.5703125" style="2105" customWidth="1"/>
    <col min="9737" max="9737" width="11" style="2105" customWidth="1"/>
    <col min="9738" max="9738" width="10" style="2105" bestFit="1" customWidth="1"/>
    <col min="9739" max="9982" width="9.140625" style="2105"/>
    <col min="9983" max="9983" width="11.5703125" style="2105" customWidth="1"/>
    <col min="9984" max="9984" width="12.140625" style="2105" customWidth="1"/>
    <col min="9985" max="9985" width="0" style="2105" hidden="1" customWidth="1"/>
    <col min="9986" max="9986" width="11.5703125" style="2105" customWidth="1"/>
    <col min="9987" max="9987" width="11.7109375" style="2105" customWidth="1"/>
    <col min="9988" max="9988" width="13" style="2105" customWidth="1"/>
    <col min="9989" max="9990" width="12.28515625" style="2105" customWidth="1"/>
    <col min="9991" max="9991" width="0" style="2105" hidden="1" customWidth="1"/>
    <col min="9992" max="9992" width="13.5703125" style="2105" customWidth="1"/>
    <col min="9993" max="9993" width="11" style="2105" customWidth="1"/>
    <col min="9994" max="9994" width="10" style="2105" bestFit="1" customWidth="1"/>
    <col min="9995" max="10238" width="9.140625" style="2105"/>
    <col min="10239" max="10239" width="11.5703125" style="2105" customWidth="1"/>
    <col min="10240" max="10240" width="12.140625" style="2105" customWidth="1"/>
    <col min="10241" max="10241" width="0" style="2105" hidden="1" customWidth="1"/>
    <col min="10242" max="10242" width="11.5703125" style="2105" customWidth="1"/>
    <col min="10243" max="10243" width="11.7109375" style="2105" customWidth="1"/>
    <col min="10244" max="10244" width="13" style="2105" customWidth="1"/>
    <col min="10245" max="10246" width="12.28515625" style="2105" customWidth="1"/>
    <col min="10247" max="10247" width="0" style="2105" hidden="1" customWidth="1"/>
    <col min="10248" max="10248" width="13.5703125" style="2105" customWidth="1"/>
    <col min="10249" max="10249" width="11" style="2105" customWidth="1"/>
    <col min="10250" max="10250" width="10" style="2105" bestFit="1" customWidth="1"/>
    <col min="10251" max="10494" width="9.140625" style="2105"/>
    <col min="10495" max="10495" width="11.5703125" style="2105" customWidth="1"/>
    <col min="10496" max="10496" width="12.140625" style="2105" customWidth="1"/>
    <col min="10497" max="10497" width="0" style="2105" hidden="1" customWidth="1"/>
    <col min="10498" max="10498" width="11.5703125" style="2105" customWidth="1"/>
    <col min="10499" max="10499" width="11.7109375" style="2105" customWidth="1"/>
    <col min="10500" max="10500" width="13" style="2105" customWidth="1"/>
    <col min="10501" max="10502" width="12.28515625" style="2105" customWidth="1"/>
    <col min="10503" max="10503" width="0" style="2105" hidden="1" customWidth="1"/>
    <col min="10504" max="10504" width="13.5703125" style="2105" customWidth="1"/>
    <col min="10505" max="10505" width="11" style="2105" customWidth="1"/>
    <col min="10506" max="10506" width="10" style="2105" bestFit="1" customWidth="1"/>
    <col min="10507" max="10750" width="9.140625" style="2105"/>
    <col min="10751" max="10751" width="11.5703125" style="2105" customWidth="1"/>
    <col min="10752" max="10752" width="12.140625" style="2105" customWidth="1"/>
    <col min="10753" max="10753" width="0" style="2105" hidden="1" customWidth="1"/>
    <col min="10754" max="10754" width="11.5703125" style="2105" customWidth="1"/>
    <col min="10755" max="10755" width="11.7109375" style="2105" customWidth="1"/>
    <col min="10756" max="10756" width="13" style="2105" customWidth="1"/>
    <col min="10757" max="10758" width="12.28515625" style="2105" customWidth="1"/>
    <col min="10759" max="10759" width="0" style="2105" hidden="1" customWidth="1"/>
    <col min="10760" max="10760" width="13.5703125" style="2105" customWidth="1"/>
    <col min="10761" max="10761" width="11" style="2105" customWidth="1"/>
    <col min="10762" max="10762" width="10" style="2105" bestFit="1" customWidth="1"/>
    <col min="10763" max="11006" width="9.140625" style="2105"/>
    <col min="11007" max="11007" width="11.5703125" style="2105" customWidth="1"/>
    <col min="11008" max="11008" width="12.140625" style="2105" customWidth="1"/>
    <col min="11009" max="11009" width="0" style="2105" hidden="1" customWidth="1"/>
    <col min="11010" max="11010" width="11.5703125" style="2105" customWidth="1"/>
    <col min="11011" max="11011" width="11.7109375" style="2105" customWidth="1"/>
    <col min="11012" max="11012" width="13" style="2105" customWidth="1"/>
    <col min="11013" max="11014" width="12.28515625" style="2105" customWidth="1"/>
    <col min="11015" max="11015" width="0" style="2105" hidden="1" customWidth="1"/>
    <col min="11016" max="11016" width="13.5703125" style="2105" customWidth="1"/>
    <col min="11017" max="11017" width="11" style="2105" customWidth="1"/>
    <col min="11018" max="11018" width="10" style="2105" bestFit="1" customWidth="1"/>
    <col min="11019" max="11262" width="9.140625" style="2105"/>
    <col min="11263" max="11263" width="11.5703125" style="2105" customWidth="1"/>
    <col min="11264" max="11264" width="12.140625" style="2105" customWidth="1"/>
    <col min="11265" max="11265" width="0" style="2105" hidden="1" customWidth="1"/>
    <col min="11266" max="11266" width="11.5703125" style="2105" customWidth="1"/>
    <col min="11267" max="11267" width="11.7109375" style="2105" customWidth="1"/>
    <col min="11268" max="11268" width="13" style="2105" customWidth="1"/>
    <col min="11269" max="11270" width="12.28515625" style="2105" customWidth="1"/>
    <col min="11271" max="11271" width="0" style="2105" hidden="1" customWidth="1"/>
    <col min="11272" max="11272" width="13.5703125" style="2105" customWidth="1"/>
    <col min="11273" max="11273" width="11" style="2105" customWidth="1"/>
    <col min="11274" max="11274" width="10" style="2105" bestFit="1" customWidth="1"/>
    <col min="11275" max="11518" width="9.140625" style="2105"/>
    <col min="11519" max="11519" width="11.5703125" style="2105" customWidth="1"/>
    <col min="11520" max="11520" width="12.140625" style="2105" customWidth="1"/>
    <col min="11521" max="11521" width="0" style="2105" hidden="1" customWidth="1"/>
    <col min="11522" max="11522" width="11.5703125" style="2105" customWidth="1"/>
    <col min="11523" max="11523" width="11.7109375" style="2105" customWidth="1"/>
    <col min="11524" max="11524" width="13" style="2105" customWidth="1"/>
    <col min="11525" max="11526" width="12.28515625" style="2105" customWidth="1"/>
    <col min="11527" max="11527" width="0" style="2105" hidden="1" customWidth="1"/>
    <col min="11528" max="11528" width="13.5703125" style="2105" customWidth="1"/>
    <col min="11529" max="11529" width="11" style="2105" customWidth="1"/>
    <col min="11530" max="11530" width="10" style="2105" bestFit="1" customWidth="1"/>
    <col min="11531" max="11774" width="9.140625" style="2105"/>
    <col min="11775" max="11775" width="11.5703125" style="2105" customWidth="1"/>
    <col min="11776" max="11776" width="12.140625" style="2105" customWidth="1"/>
    <col min="11777" max="11777" width="0" style="2105" hidden="1" customWidth="1"/>
    <col min="11778" max="11778" width="11.5703125" style="2105" customWidth="1"/>
    <col min="11779" max="11779" width="11.7109375" style="2105" customWidth="1"/>
    <col min="11780" max="11780" width="13" style="2105" customWidth="1"/>
    <col min="11781" max="11782" width="12.28515625" style="2105" customWidth="1"/>
    <col min="11783" max="11783" width="0" style="2105" hidden="1" customWidth="1"/>
    <col min="11784" max="11784" width="13.5703125" style="2105" customWidth="1"/>
    <col min="11785" max="11785" width="11" style="2105" customWidth="1"/>
    <col min="11786" max="11786" width="10" style="2105" bestFit="1" customWidth="1"/>
    <col min="11787" max="12030" width="9.140625" style="2105"/>
    <col min="12031" max="12031" width="11.5703125" style="2105" customWidth="1"/>
    <col min="12032" max="12032" width="12.140625" style="2105" customWidth="1"/>
    <col min="12033" max="12033" width="0" style="2105" hidden="1" customWidth="1"/>
    <col min="12034" max="12034" width="11.5703125" style="2105" customWidth="1"/>
    <col min="12035" max="12035" width="11.7109375" style="2105" customWidth="1"/>
    <col min="12036" max="12036" width="13" style="2105" customWidth="1"/>
    <col min="12037" max="12038" width="12.28515625" style="2105" customWidth="1"/>
    <col min="12039" max="12039" width="0" style="2105" hidden="1" customWidth="1"/>
    <col min="12040" max="12040" width="13.5703125" style="2105" customWidth="1"/>
    <col min="12041" max="12041" width="11" style="2105" customWidth="1"/>
    <col min="12042" max="12042" width="10" style="2105" bestFit="1" customWidth="1"/>
    <col min="12043" max="12286" width="9.140625" style="2105"/>
    <col min="12287" max="12287" width="11.5703125" style="2105" customWidth="1"/>
    <col min="12288" max="12288" width="12.140625" style="2105" customWidth="1"/>
    <col min="12289" max="12289" width="0" style="2105" hidden="1" customWidth="1"/>
    <col min="12290" max="12290" width="11.5703125" style="2105" customWidth="1"/>
    <col min="12291" max="12291" width="11.7109375" style="2105" customWidth="1"/>
    <col min="12292" max="12292" width="13" style="2105" customWidth="1"/>
    <col min="12293" max="12294" width="12.28515625" style="2105" customWidth="1"/>
    <col min="12295" max="12295" width="0" style="2105" hidden="1" customWidth="1"/>
    <col min="12296" max="12296" width="13.5703125" style="2105" customWidth="1"/>
    <col min="12297" max="12297" width="11" style="2105" customWidth="1"/>
    <col min="12298" max="12298" width="10" style="2105" bestFit="1" customWidth="1"/>
    <col min="12299" max="12542" width="9.140625" style="2105"/>
    <col min="12543" max="12543" width="11.5703125" style="2105" customWidth="1"/>
    <col min="12544" max="12544" width="12.140625" style="2105" customWidth="1"/>
    <col min="12545" max="12545" width="0" style="2105" hidden="1" customWidth="1"/>
    <col min="12546" max="12546" width="11.5703125" style="2105" customWidth="1"/>
    <col min="12547" max="12547" width="11.7109375" style="2105" customWidth="1"/>
    <col min="12548" max="12548" width="13" style="2105" customWidth="1"/>
    <col min="12549" max="12550" width="12.28515625" style="2105" customWidth="1"/>
    <col min="12551" max="12551" width="0" style="2105" hidden="1" customWidth="1"/>
    <col min="12552" max="12552" width="13.5703125" style="2105" customWidth="1"/>
    <col min="12553" max="12553" width="11" style="2105" customWidth="1"/>
    <col min="12554" max="12554" width="10" style="2105" bestFit="1" customWidth="1"/>
    <col min="12555" max="12798" width="9.140625" style="2105"/>
    <col min="12799" max="12799" width="11.5703125" style="2105" customWidth="1"/>
    <col min="12800" max="12800" width="12.140625" style="2105" customWidth="1"/>
    <col min="12801" max="12801" width="0" style="2105" hidden="1" customWidth="1"/>
    <col min="12802" max="12802" width="11.5703125" style="2105" customWidth="1"/>
    <col min="12803" max="12803" width="11.7109375" style="2105" customWidth="1"/>
    <col min="12804" max="12804" width="13" style="2105" customWidth="1"/>
    <col min="12805" max="12806" width="12.28515625" style="2105" customWidth="1"/>
    <col min="12807" max="12807" width="0" style="2105" hidden="1" customWidth="1"/>
    <col min="12808" max="12808" width="13.5703125" style="2105" customWidth="1"/>
    <col min="12809" max="12809" width="11" style="2105" customWidth="1"/>
    <col min="12810" max="12810" width="10" style="2105" bestFit="1" customWidth="1"/>
    <col min="12811" max="13054" width="9.140625" style="2105"/>
    <col min="13055" max="13055" width="11.5703125" style="2105" customWidth="1"/>
    <col min="13056" max="13056" width="12.140625" style="2105" customWidth="1"/>
    <col min="13057" max="13057" width="0" style="2105" hidden="1" customWidth="1"/>
    <col min="13058" max="13058" width="11.5703125" style="2105" customWidth="1"/>
    <col min="13059" max="13059" width="11.7109375" style="2105" customWidth="1"/>
    <col min="13060" max="13060" width="13" style="2105" customWidth="1"/>
    <col min="13061" max="13062" width="12.28515625" style="2105" customWidth="1"/>
    <col min="13063" max="13063" width="0" style="2105" hidden="1" customWidth="1"/>
    <col min="13064" max="13064" width="13.5703125" style="2105" customWidth="1"/>
    <col min="13065" max="13065" width="11" style="2105" customWidth="1"/>
    <col min="13066" max="13066" width="10" style="2105" bestFit="1" customWidth="1"/>
    <col min="13067" max="13310" width="9.140625" style="2105"/>
    <col min="13311" max="13311" width="11.5703125" style="2105" customWidth="1"/>
    <col min="13312" max="13312" width="12.140625" style="2105" customWidth="1"/>
    <col min="13313" max="13313" width="0" style="2105" hidden="1" customWidth="1"/>
    <col min="13314" max="13314" width="11.5703125" style="2105" customWidth="1"/>
    <col min="13315" max="13315" width="11.7109375" style="2105" customWidth="1"/>
    <col min="13316" max="13316" width="13" style="2105" customWidth="1"/>
    <col min="13317" max="13318" width="12.28515625" style="2105" customWidth="1"/>
    <col min="13319" max="13319" width="0" style="2105" hidden="1" customWidth="1"/>
    <col min="13320" max="13320" width="13.5703125" style="2105" customWidth="1"/>
    <col min="13321" max="13321" width="11" style="2105" customWidth="1"/>
    <col min="13322" max="13322" width="10" style="2105" bestFit="1" customWidth="1"/>
    <col min="13323" max="13566" width="9.140625" style="2105"/>
    <col min="13567" max="13567" width="11.5703125" style="2105" customWidth="1"/>
    <col min="13568" max="13568" width="12.140625" style="2105" customWidth="1"/>
    <col min="13569" max="13569" width="0" style="2105" hidden="1" customWidth="1"/>
    <col min="13570" max="13570" width="11.5703125" style="2105" customWidth="1"/>
    <col min="13571" max="13571" width="11.7109375" style="2105" customWidth="1"/>
    <col min="13572" max="13572" width="13" style="2105" customWidth="1"/>
    <col min="13573" max="13574" width="12.28515625" style="2105" customWidth="1"/>
    <col min="13575" max="13575" width="0" style="2105" hidden="1" customWidth="1"/>
    <col min="13576" max="13576" width="13.5703125" style="2105" customWidth="1"/>
    <col min="13577" max="13577" width="11" style="2105" customWidth="1"/>
    <col min="13578" max="13578" width="10" style="2105" bestFit="1" customWidth="1"/>
    <col min="13579" max="13822" width="9.140625" style="2105"/>
    <col min="13823" max="13823" width="11.5703125" style="2105" customWidth="1"/>
    <col min="13824" max="13824" width="12.140625" style="2105" customWidth="1"/>
    <col min="13825" max="13825" width="0" style="2105" hidden="1" customWidth="1"/>
    <col min="13826" max="13826" width="11.5703125" style="2105" customWidth="1"/>
    <col min="13827" max="13827" width="11.7109375" style="2105" customWidth="1"/>
    <col min="13828" max="13828" width="13" style="2105" customWidth="1"/>
    <col min="13829" max="13830" width="12.28515625" style="2105" customWidth="1"/>
    <col min="13831" max="13831" width="0" style="2105" hidden="1" customWidth="1"/>
    <col min="13832" max="13832" width="13.5703125" style="2105" customWidth="1"/>
    <col min="13833" max="13833" width="11" style="2105" customWidth="1"/>
    <col min="13834" max="13834" width="10" style="2105" bestFit="1" customWidth="1"/>
    <col min="13835" max="14078" width="9.140625" style="2105"/>
    <col min="14079" max="14079" width="11.5703125" style="2105" customWidth="1"/>
    <col min="14080" max="14080" width="12.140625" style="2105" customWidth="1"/>
    <col min="14081" max="14081" width="0" style="2105" hidden="1" customWidth="1"/>
    <col min="14082" max="14082" width="11.5703125" style="2105" customWidth="1"/>
    <col min="14083" max="14083" width="11.7109375" style="2105" customWidth="1"/>
    <col min="14084" max="14084" width="13" style="2105" customWidth="1"/>
    <col min="14085" max="14086" width="12.28515625" style="2105" customWidth="1"/>
    <col min="14087" max="14087" width="0" style="2105" hidden="1" customWidth="1"/>
    <col min="14088" max="14088" width="13.5703125" style="2105" customWidth="1"/>
    <col min="14089" max="14089" width="11" style="2105" customWidth="1"/>
    <col min="14090" max="14090" width="10" style="2105" bestFit="1" customWidth="1"/>
    <col min="14091" max="14334" width="9.140625" style="2105"/>
    <col min="14335" max="14335" width="11.5703125" style="2105" customWidth="1"/>
    <col min="14336" max="14336" width="12.140625" style="2105" customWidth="1"/>
    <col min="14337" max="14337" width="0" style="2105" hidden="1" customWidth="1"/>
    <col min="14338" max="14338" width="11.5703125" style="2105" customWidth="1"/>
    <col min="14339" max="14339" width="11.7109375" style="2105" customWidth="1"/>
    <col min="14340" max="14340" width="13" style="2105" customWidth="1"/>
    <col min="14341" max="14342" width="12.28515625" style="2105" customWidth="1"/>
    <col min="14343" max="14343" width="0" style="2105" hidden="1" customWidth="1"/>
    <col min="14344" max="14344" width="13.5703125" style="2105" customWidth="1"/>
    <col min="14345" max="14345" width="11" style="2105" customWidth="1"/>
    <col min="14346" max="14346" width="10" style="2105" bestFit="1" customWidth="1"/>
    <col min="14347" max="14590" width="9.140625" style="2105"/>
    <col min="14591" max="14591" width="11.5703125" style="2105" customWidth="1"/>
    <col min="14592" max="14592" width="12.140625" style="2105" customWidth="1"/>
    <col min="14593" max="14593" width="0" style="2105" hidden="1" customWidth="1"/>
    <col min="14594" max="14594" width="11.5703125" style="2105" customWidth="1"/>
    <col min="14595" max="14595" width="11.7109375" style="2105" customWidth="1"/>
    <col min="14596" max="14596" width="13" style="2105" customWidth="1"/>
    <col min="14597" max="14598" width="12.28515625" style="2105" customWidth="1"/>
    <col min="14599" max="14599" width="0" style="2105" hidden="1" customWidth="1"/>
    <col min="14600" max="14600" width="13.5703125" style="2105" customWidth="1"/>
    <col min="14601" max="14601" width="11" style="2105" customWidth="1"/>
    <col min="14602" max="14602" width="10" style="2105" bestFit="1" customWidth="1"/>
    <col min="14603" max="14846" width="9.140625" style="2105"/>
    <col min="14847" max="14847" width="11.5703125" style="2105" customWidth="1"/>
    <col min="14848" max="14848" width="12.140625" style="2105" customWidth="1"/>
    <col min="14849" max="14849" width="0" style="2105" hidden="1" customWidth="1"/>
    <col min="14850" max="14850" width="11.5703125" style="2105" customWidth="1"/>
    <col min="14851" max="14851" width="11.7109375" style="2105" customWidth="1"/>
    <col min="14852" max="14852" width="13" style="2105" customWidth="1"/>
    <col min="14853" max="14854" width="12.28515625" style="2105" customWidth="1"/>
    <col min="14855" max="14855" width="0" style="2105" hidden="1" customWidth="1"/>
    <col min="14856" max="14856" width="13.5703125" style="2105" customWidth="1"/>
    <col min="14857" max="14857" width="11" style="2105" customWidth="1"/>
    <col min="14858" max="14858" width="10" style="2105" bestFit="1" customWidth="1"/>
    <col min="14859" max="15102" width="9.140625" style="2105"/>
    <col min="15103" max="15103" width="11.5703125" style="2105" customWidth="1"/>
    <col min="15104" max="15104" width="12.140625" style="2105" customWidth="1"/>
    <col min="15105" max="15105" width="0" style="2105" hidden="1" customWidth="1"/>
    <col min="15106" max="15106" width="11.5703125" style="2105" customWidth="1"/>
    <col min="15107" max="15107" width="11.7109375" style="2105" customWidth="1"/>
    <col min="15108" max="15108" width="13" style="2105" customWidth="1"/>
    <col min="15109" max="15110" width="12.28515625" style="2105" customWidth="1"/>
    <col min="15111" max="15111" width="0" style="2105" hidden="1" customWidth="1"/>
    <col min="15112" max="15112" width="13.5703125" style="2105" customWidth="1"/>
    <col min="15113" max="15113" width="11" style="2105" customWidth="1"/>
    <col min="15114" max="15114" width="10" style="2105" bestFit="1" customWidth="1"/>
    <col min="15115" max="15358" width="9.140625" style="2105"/>
    <col min="15359" max="15359" width="11.5703125" style="2105" customWidth="1"/>
    <col min="15360" max="15360" width="12.140625" style="2105" customWidth="1"/>
    <col min="15361" max="15361" width="0" style="2105" hidden="1" customWidth="1"/>
    <col min="15362" max="15362" width="11.5703125" style="2105" customWidth="1"/>
    <col min="15363" max="15363" width="11.7109375" style="2105" customWidth="1"/>
    <col min="15364" max="15364" width="13" style="2105" customWidth="1"/>
    <col min="15365" max="15366" width="12.28515625" style="2105" customWidth="1"/>
    <col min="15367" max="15367" width="0" style="2105" hidden="1" customWidth="1"/>
    <col min="15368" max="15368" width="13.5703125" style="2105" customWidth="1"/>
    <col min="15369" max="15369" width="11" style="2105" customWidth="1"/>
    <col min="15370" max="15370" width="10" style="2105" bestFit="1" customWidth="1"/>
    <col min="15371" max="15614" width="9.140625" style="2105"/>
    <col min="15615" max="15615" width="11.5703125" style="2105" customWidth="1"/>
    <col min="15616" max="15616" width="12.140625" style="2105" customWidth="1"/>
    <col min="15617" max="15617" width="0" style="2105" hidden="1" customWidth="1"/>
    <col min="15618" max="15618" width="11.5703125" style="2105" customWidth="1"/>
    <col min="15619" max="15619" width="11.7109375" style="2105" customWidth="1"/>
    <col min="15620" max="15620" width="13" style="2105" customWidth="1"/>
    <col min="15621" max="15622" width="12.28515625" style="2105" customWidth="1"/>
    <col min="15623" max="15623" width="0" style="2105" hidden="1" customWidth="1"/>
    <col min="15624" max="15624" width="13.5703125" style="2105" customWidth="1"/>
    <col min="15625" max="15625" width="11" style="2105" customWidth="1"/>
    <col min="15626" max="15626" width="10" style="2105" bestFit="1" customWidth="1"/>
    <col min="15627" max="15870" width="9.140625" style="2105"/>
    <col min="15871" max="15871" width="11.5703125" style="2105" customWidth="1"/>
    <col min="15872" max="15872" width="12.140625" style="2105" customWidth="1"/>
    <col min="15873" max="15873" width="0" style="2105" hidden="1" customWidth="1"/>
    <col min="15874" max="15874" width="11.5703125" style="2105" customWidth="1"/>
    <col min="15875" max="15875" width="11.7109375" style="2105" customWidth="1"/>
    <col min="15876" max="15876" width="13" style="2105" customWidth="1"/>
    <col min="15877" max="15878" width="12.28515625" style="2105" customWidth="1"/>
    <col min="15879" max="15879" width="0" style="2105" hidden="1" customWidth="1"/>
    <col min="15880" max="15880" width="13.5703125" style="2105" customWidth="1"/>
    <col min="15881" max="15881" width="11" style="2105" customWidth="1"/>
    <col min="15882" max="15882" width="10" style="2105" bestFit="1" customWidth="1"/>
    <col min="15883" max="16126" width="9.140625" style="2105"/>
    <col min="16127" max="16127" width="11.5703125" style="2105" customWidth="1"/>
    <col min="16128" max="16128" width="12.140625" style="2105" customWidth="1"/>
    <col min="16129" max="16129" width="0" style="2105" hidden="1" customWidth="1"/>
    <col min="16130" max="16130" width="11.5703125" style="2105" customWidth="1"/>
    <col min="16131" max="16131" width="11.7109375" style="2105" customWidth="1"/>
    <col min="16132" max="16132" width="13" style="2105" customWidth="1"/>
    <col min="16133" max="16134" width="12.28515625" style="2105" customWidth="1"/>
    <col min="16135" max="16135" width="0" style="2105" hidden="1" customWidth="1"/>
    <col min="16136" max="16136" width="13.5703125" style="2105" customWidth="1"/>
    <col min="16137" max="16137" width="11" style="2105" customWidth="1"/>
    <col min="16138" max="16138" width="10" style="2105" bestFit="1" customWidth="1"/>
    <col min="16139" max="16384" width="9.140625" style="2105"/>
  </cols>
  <sheetData>
    <row r="1" spans="2:11" ht="18" customHeight="1">
      <c r="B1" s="4670" t="s">
        <v>2080</v>
      </c>
      <c r="C1" s="4670"/>
      <c r="D1" s="4670"/>
      <c r="E1" s="4670"/>
      <c r="F1" s="4670"/>
      <c r="G1" s="4670"/>
      <c r="H1" s="4670"/>
      <c r="I1" s="4670"/>
      <c r="J1" s="4670"/>
      <c r="K1" s="2108"/>
    </row>
    <row r="2" spans="2:11" ht="18" customHeight="1">
      <c r="B2" s="3150" t="s">
        <v>1757</v>
      </c>
      <c r="C2" s="2207"/>
      <c r="D2" s="2204"/>
      <c r="E2" s="2204"/>
      <c r="F2" s="2204"/>
      <c r="G2" s="2204"/>
      <c r="H2" s="2204"/>
      <c r="I2" s="2204"/>
      <c r="J2" s="2204"/>
      <c r="K2" s="2101"/>
    </row>
    <row r="3" spans="2:11">
      <c r="B3" s="2382"/>
      <c r="C3" s="3498"/>
      <c r="D3" s="2383"/>
      <c r="E3" s="2383"/>
      <c r="F3" s="2383"/>
      <c r="G3" s="2383"/>
      <c r="H3" s="2383"/>
      <c r="I3" s="2383"/>
      <c r="J3" s="2384"/>
      <c r="K3" s="2101"/>
    </row>
    <row r="4" spans="2:11">
      <c r="B4" s="2380"/>
      <c r="C4" s="2381" t="s">
        <v>188</v>
      </c>
      <c r="D4" s="2385"/>
      <c r="E4" s="2385"/>
      <c r="F4" s="2385"/>
      <c r="G4" s="2385"/>
      <c r="H4" s="2385"/>
      <c r="I4" s="2385"/>
      <c r="J4" s="2386"/>
      <c r="K4" s="2101"/>
    </row>
    <row r="5" spans="2:11" ht="18" customHeight="1">
      <c r="B5" s="2111"/>
      <c r="C5" s="2129"/>
      <c r="D5" s="2130"/>
      <c r="E5" s="2130" t="s">
        <v>142</v>
      </c>
      <c r="F5" s="2130" t="s">
        <v>1576</v>
      </c>
      <c r="G5" s="2130" t="s">
        <v>142</v>
      </c>
      <c r="H5" s="2130"/>
      <c r="I5" s="2131" t="s">
        <v>142</v>
      </c>
      <c r="J5" s="2111" t="s">
        <v>142</v>
      </c>
      <c r="K5" s="2101"/>
    </row>
    <row r="6" spans="2:11" ht="18" customHeight="1">
      <c r="B6" s="2111" t="s">
        <v>1569</v>
      </c>
      <c r="C6" s="2111"/>
      <c r="D6" s="2111"/>
      <c r="E6" s="2111" t="s">
        <v>142</v>
      </c>
      <c r="F6" s="2111" t="s">
        <v>1577</v>
      </c>
      <c r="G6" s="2111" t="s">
        <v>433</v>
      </c>
      <c r="H6" s="2111" t="s">
        <v>433</v>
      </c>
      <c r="I6" s="4665" t="s">
        <v>1578</v>
      </c>
      <c r="J6" s="2111" t="s">
        <v>189</v>
      </c>
      <c r="K6" s="2101"/>
    </row>
    <row r="7" spans="2:11" ht="18" customHeight="1">
      <c r="B7" s="2111" t="s">
        <v>1570</v>
      </c>
      <c r="C7" s="2111"/>
      <c r="D7" s="2111" t="s">
        <v>1579</v>
      </c>
      <c r="E7" s="2111" t="s">
        <v>1580</v>
      </c>
      <c r="F7" s="2111" t="s">
        <v>1581</v>
      </c>
      <c r="G7" s="2111" t="s">
        <v>1582</v>
      </c>
      <c r="H7" s="2111" t="s">
        <v>1582</v>
      </c>
      <c r="I7" s="4666"/>
      <c r="J7" s="2111" t="s">
        <v>191</v>
      </c>
      <c r="K7" s="2101"/>
    </row>
    <row r="8" spans="2:11" ht="18" customHeight="1">
      <c r="B8" s="2160" t="s">
        <v>140</v>
      </c>
      <c r="C8" s="2160" t="s">
        <v>152</v>
      </c>
      <c r="D8" s="2160" t="s">
        <v>1584</v>
      </c>
      <c r="E8" s="2160" t="s">
        <v>1584</v>
      </c>
      <c r="F8" s="2160" t="s">
        <v>1584</v>
      </c>
      <c r="G8" s="2160" t="s">
        <v>1573</v>
      </c>
      <c r="H8" s="2160" t="s">
        <v>935</v>
      </c>
      <c r="I8" s="4667"/>
      <c r="J8" s="2160" t="s">
        <v>180</v>
      </c>
      <c r="K8" s="2101"/>
    </row>
    <row r="9" spans="2:11" hidden="1">
      <c r="B9" s="3031">
        <v>2000</v>
      </c>
      <c r="C9" s="3049"/>
      <c r="D9" s="3050"/>
      <c r="E9" s="3050"/>
      <c r="F9" s="3050"/>
      <c r="G9" s="3050"/>
      <c r="H9" s="3050"/>
      <c r="I9" s="3051"/>
      <c r="J9" s="3032"/>
      <c r="K9" s="2101"/>
    </row>
    <row r="10" spans="2:11" hidden="1">
      <c r="B10" s="3032" t="s">
        <v>161</v>
      </c>
      <c r="C10" s="3049">
        <v>2030.5300000000002</v>
      </c>
      <c r="D10" s="3050">
        <v>34.43</v>
      </c>
      <c r="E10" s="3050">
        <v>1606.63</v>
      </c>
      <c r="F10" s="3050">
        <v>115.39</v>
      </c>
      <c r="G10" s="3050">
        <v>0</v>
      </c>
      <c r="H10" s="3050"/>
      <c r="I10" s="3051">
        <v>182.15</v>
      </c>
      <c r="J10" s="3032">
        <v>70.010000000000005</v>
      </c>
      <c r="K10" s="2101"/>
    </row>
    <row r="11" spans="2:11" hidden="1">
      <c r="B11" s="3032" t="s">
        <v>162</v>
      </c>
      <c r="C11" s="3049">
        <v>2039.7899999999997</v>
      </c>
      <c r="D11" s="3050">
        <v>34.43</v>
      </c>
      <c r="E11" s="3050">
        <v>1632.5</v>
      </c>
      <c r="F11" s="3050">
        <v>115.59</v>
      </c>
      <c r="G11" s="3050">
        <v>0</v>
      </c>
      <c r="H11" s="3050"/>
      <c r="I11" s="3051">
        <v>163.80000000000001</v>
      </c>
      <c r="J11" s="3032">
        <v>71.55</v>
      </c>
      <c r="K11" s="2101"/>
    </row>
    <row r="12" spans="2:11" hidden="1">
      <c r="B12" s="3032" t="s">
        <v>163</v>
      </c>
      <c r="C12" s="3049">
        <v>2058.46</v>
      </c>
      <c r="D12" s="3050">
        <v>34.96</v>
      </c>
      <c r="E12" s="3050">
        <v>1636.94</v>
      </c>
      <c r="F12" s="3050">
        <v>121.88</v>
      </c>
      <c r="G12" s="3050">
        <v>0</v>
      </c>
      <c r="H12" s="3050"/>
      <c r="I12" s="3051">
        <v>178.08</v>
      </c>
      <c r="J12" s="3032">
        <v>64.680000000000007</v>
      </c>
      <c r="K12" s="2101"/>
    </row>
    <row r="13" spans="2:11" hidden="1">
      <c r="B13" s="3032" t="s">
        <v>164</v>
      </c>
      <c r="C13" s="3049">
        <v>2094.27</v>
      </c>
      <c r="D13" s="3050">
        <v>34.43</v>
      </c>
      <c r="E13" s="3050">
        <v>1636.57</v>
      </c>
      <c r="F13" s="3050">
        <v>121.78</v>
      </c>
      <c r="G13" s="3050">
        <v>0</v>
      </c>
      <c r="H13" s="3050"/>
      <c r="I13" s="3051">
        <v>185.92</v>
      </c>
      <c r="J13" s="3032">
        <v>93.65</v>
      </c>
      <c r="K13" s="2101"/>
    </row>
    <row r="14" spans="2:11" hidden="1">
      <c r="B14" s="3032" t="s">
        <v>165</v>
      </c>
      <c r="C14" s="3049">
        <v>2146.23</v>
      </c>
      <c r="D14" s="3050">
        <v>34.43</v>
      </c>
      <c r="E14" s="3050">
        <v>1708.95</v>
      </c>
      <c r="F14" s="3050">
        <v>121.63</v>
      </c>
      <c r="G14" s="3050">
        <v>0</v>
      </c>
      <c r="H14" s="3050"/>
      <c r="I14" s="3051">
        <v>180.86</v>
      </c>
      <c r="J14" s="3032">
        <v>78.44</v>
      </c>
      <c r="K14" s="2101"/>
    </row>
    <row r="15" spans="2:11" hidden="1">
      <c r="B15" s="3032" t="s">
        <v>166</v>
      </c>
      <c r="C15" s="3049">
        <v>2224.0100000000002</v>
      </c>
      <c r="D15" s="3050">
        <v>45.3</v>
      </c>
      <c r="E15" s="3050">
        <v>1866.94</v>
      </c>
      <c r="F15" s="3050">
        <v>116.82</v>
      </c>
      <c r="G15" s="3050">
        <v>0</v>
      </c>
      <c r="H15" s="3050"/>
      <c r="I15" s="3051">
        <v>111.64</v>
      </c>
      <c r="J15" s="3032">
        <v>-173.19</v>
      </c>
      <c r="K15" s="2101"/>
    </row>
    <row r="16" spans="2:11" hidden="1">
      <c r="B16" s="3032" t="s">
        <v>1173</v>
      </c>
      <c r="C16" s="3049">
        <v>911.31</v>
      </c>
      <c r="D16" s="3050">
        <v>44.88</v>
      </c>
      <c r="E16" s="3050">
        <v>516.94000000000005</v>
      </c>
      <c r="F16" s="3050">
        <v>117.65</v>
      </c>
      <c r="G16" s="3050">
        <v>0</v>
      </c>
      <c r="H16" s="3050"/>
      <c r="I16" s="3051">
        <v>115.8</v>
      </c>
      <c r="J16" s="3032">
        <v>-140.46</v>
      </c>
      <c r="K16" s="2101"/>
    </row>
    <row r="17" spans="1:11" hidden="1">
      <c r="B17" s="3032" t="s">
        <v>168</v>
      </c>
      <c r="C17" s="3049">
        <v>888.06000000000006</v>
      </c>
      <c r="D17" s="3050">
        <v>34.43</v>
      </c>
      <c r="E17" s="3050">
        <v>516.94000000000005</v>
      </c>
      <c r="F17" s="3050">
        <v>118.29</v>
      </c>
      <c r="G17" s="3050">
        <v>0</v>
      </c>
      <c r="H17" s="3050"/>
      <c r="I17" s="3051">
        <v>116.52</v>
      </c>
      <c r="J17" s="3032">
        <v>-154.62</v>
      </c>
      <c r="K17" s="2101"/>
    </row>
    <row r="18" spans="1:11" hidden="1">
      <c r="B18" s="3032" t="s">
        <v>183</v>
      </c>
      <c r="C18" s="3049">
        <v>932.21000000000015</v>
      </c>
      <c r="D18" s="3050">
        <v>44.55</v>
      </c>
      <c r="E18" s="3050">
        <v>536.57000000000005</v>
      </c>
      <c r="F18" s="3050">
        <v>118.65</v>
      </c>
      <c r="G18" s="3050">
        <v>0</v>
      </c>
      <c r="H18" s="3050"/>
      <c r="I18" s="3051">
        <v>111.64</v>
      </c>
      <c r="J18" s="3032">
        <v>-120.42</v>
      </c>
      <c r="K18" s="2101"/>
    </row>
    <row r="19" spans="1:11" hidden="1">
      <c r="B19" s="3032" t="s">
        <v>170</v>
      </c>
      <c r="C19" s="3049">
        <v>956.69999999999993</v>
      </c>
      <c r="D19" s="3050">
        <v>44.46</v>
      </c>
      <c r="E19" s="3050">
        <v>540.64</v>
      </c>
      <c r="F19" s="3050">
        <v>118.56</v>
      </c>
      <c r="G19" s="3050">
        <v>0</v>
      </c>
      <c r="H19" s="3050"/>
      <c r="I19" s="3051">
        <v>123.85</v>
      </c>
      <c r="J19" s="3032">
        <v>-132.15</v>
      </c>
      <c r="K19" s="2101"/>
    </row>
    <row r="20" spans="1:11" hidden="1">
      <c r="B20" s="3032" t="s">
        <v>171</v>
      </c>
      <c r="C20" s="3049">
        <v>876.37</v>
      </c>
      <c r="D20" s="3050">
        <v>44.47</v>
      </c>
      <c r="E20" s="3050">
        <v>542.75</v>
      </c>
      <c r="F20" s="3050">
        <v>119.06</v>
      </c>
      <c r="G20" s="3050">
        <v>0</v>
      </c>
      <c r="H20" s="3050"/>
      <c r="I20" s="3051">
        <v>124.28</v>
      </c>
      <c r="J20" s="3032">
        <v>-130.1</v>
      </c>
      <c r="K20" s="2101"/>
    </row>
    <row r="21" spans="1:11" s="2109" customFormat="1" hidden="1">
      <c r="A21" s="2108"/>
      <c r="B21" s="3031">
        <v>2000</v>
      </c>
      <c r="C21" s="3049">
        <v>956.92000000000007</v>
      </c>
      <c r="D21" s="3050">
        <v>44.95</v>
      </c>
      <c r="E21" s="3050">
        <v>509.44</v>
      </c>
      <c r="F21" s="3050">
        <v>119.99</v>
      </c>
      <c r="G21" s="3050">
        <v>90</v>
      </c>
      <c r="H21" s="3050"/>
      <c r="I21" s="3051">
        <v>408.6</v>
      </c>
      <c r="J21" s="3032">
        <v>-216.06</v>
      </c>
      <c r="K21" s="2108"/>
    </row>
    <row r="22" spans="1:11" hidden="1">
      <c r="B22" s="3033">
        <v>2001</v>
      </c>
      <c r="C22" s="3049"/>
      <c r="D22" s="3050"/>
      <c r="E22" s="3050"/>
      <c r="F22" s="3050"/>
      <c r="G22" s="3050"/>
      <c r="H22" s="3050"/>
      <c r="I22" s="3051"/>
      <c r="J22" s="3052"/>
      <c r="K22" s="2101"/>
    </row>
    <row r="23" spans="1:11" hidden="1">
      <c r="B23" s="3032" t="s">
        <v>161</v>
      </c>
      <c r="C23" s="3049">
        <v>954.31000000000006</v>
      </c>
      <c r="D23" s="3053">
        <v>49.67</v>
      </c>
      <c r="E23" s="3053">
        <v>461.21</v>
      </c>
      <c r="F23" s="3053">
        <v>131.06</v>
      </c>
      <c r="G23" s="3053">
        <v>240</v>
      </c>
      <c r="H23" s="3053"/>
      <c r="I23" s="3054">
        <v>126.25</v>
      </c>
      <c r="J23" s="3052">
        <v>-53.88</v>
      </c>
      <c r="K23" s="2101"/>
    </row>
    <row r="24" spans="1:11" hidden="1">
      <c r="B24" s="3032" t="s">
        <v>162</v>
      </c>
      <c r="C24" s="3049">
        <v>958.92</v>
      </c>
      <c r="D24" s="3053">
        <v>49.6</v>
      </c>
      <c r="E24" s="3053">
        <v>465.91</v>
      </c>
      <c r="F24" s="3053">
        <v>130.66999999999999</v>
      </c>
      <c r="G24" s="3053">
        <v>240</v>
      </c>
      <c r="H24" s="3053"/>
      <c r="I24" s="3054">
        <v>119.76</v>
      </c>
      <c r="J24" s="3052">
        <v>-47.02</v>
      </c>
      <c r="K24" s="2101"/>
    </row>
    <row r="25" spans="1:11" hidden="1">
      <c r="B25" s="3032" t="s">
        <v>163</v>
      </c>
      <c r="C25" s="3049">
        <v>992.88000000000011</v>
      </c>
      <c r="D25" s="3053">
        <v>49.67</v>
      </c>
      <c r="E25" s="3053">
        <v>476.09</v>
      </c>
      <c r="F25" s="3053">
        <v>131.68</v>
      </c>
      <c r="G25" s="3053">
        <v>240</v>
      </c>
      <c r="H25" s="3053"/>
      <c r="I25" s="3054">
        <v>124.99</v>
      </c>
      <c r="J25" s="3052">
        <v>-29.55</v>
      </c>
      <c r="K25" s="2101"/>
    </row>
    <row r="26" spans="1:11" hidden="1">
      <c r="B26" s="2486" t="s">
        <v>164</v>
      </c>
      <c r="C26" s="3049">
        <v>1003.4800000000001</v>
      </c>
      <c r="D26" s="3053">
        <v>49.6</v>
      </c>
      <c r="E26" s="3053">
        <v>475.35</v>
      </c>
      <c r="F26" s="3053">
        <v>132.36000000000001</v>
      </c>
      <c r="G26" s="3053">
        <v>240</v>
      </c>
      <c r="H26" s="3053"/>
      <c r="I26" s="3054">
        <v>107.6</v>
      </c>
      <c r="J26" s="3052">
        <v>-1.43</v>
      </c>
      <c r="K26" s="2101"/>
    </row>
    <row r="27" spans="1:11" hidden="1">
      <c r="B27" s="2486" t="s">
        <v>165</v>
      </c>
      <c r="C27" s="3049">
        <v>1005.42</v>
      </c>
      <c r="D27" s="3053">
        <v>49.12</v>
      </c>
      <c r="E27" s="3053">
        <v>448.78</v>
      </c>
      <c r="F27" s="3053">
        <v>132.24</v>
      </c>
      <c r="G27" s="3053">
        <v>260</v>
      </c>
      <c r="H27" s="3053"/>
      <c r="I27" s="3054">
        <v>151.69</v>
      </c>
      <c r="J27" s="3052">
        <v>-36.409999999999997</v>
      </c>
      <c r="K27" s="2101"/>
    </row>
    <row r="28" spans="1:11" hidden="1">
      <c r="B28" s="2486" t="s">
        <v>166</v>
      </c>
      <c r="C28" s="3049">
        <v>1027.3000000000002</v>
      </c>
      <c r="D28" s="3053">
        <v>50.11</v>
      </c>
      <c r="E28" s="3053">
        <v>682.22</v>
      </c>
      <c r="F28" s="3053">
        <v>133.56</v>
      </c>
      <c r="G28" s="3053">
        <v>260</v>
      </c>
      <c r="H28" s="3053"/>
      <c r="I28" s="3054">
        <v>155.47</v>
      </c>
      <c r="J28" s="3052">
        <v>-254.06</v>
      </c>
      <c r="K28" s="2101"/>
    </row>
    <row r="29" spans="1:11" hidden="1">
      <c r="B29" s="2486" t="s">
        <v>167</v>
      </c>
      <c r="C29" s="3049">
        <v>1032.5999999999999</v>
      </c>
      <c r="D29" s="3053">
        <v>49.86</v>
      </c>
      <c r="E29" s="3053">
        <v>554.27</v>
      </c>
      <c r="F29" s="3053">
        <v>133.51</v>
      </c>
      <c r="G29" s="3053">
        <v>250</v>
      </c>
      <c r="H29" s="3053"/>
      <c r="I29" s="3054">
        <v>172.37</v>
      </c>
      <c r="J29" s="3052">
        <v>-127.41</v>
      </c>
      <c r="K29" s="2101"/>
    </row>
    <row r="30" spans="1:11" hidden="1">
      <c r="B30" s="2486" t="s">
        <v>168</v>
      </c>
      <c r="C30" s="3049">
        <v>1032.26</v>
      </c>
      <c r="D30" s="3053">
        <v>50.13</v>
      </c>
      <c r="E30" s="3053">
        <v>338.93</v>
      </c>
      <c r="F30" s="3053">
        <v>133.21</v>
      </c>
      <c r="G30" s="3053">
        <v>600</v>
      </c>
      <c r="H30" s="3053"/>
      <c r="I30" s="3054">
        <v>139.19999999999999</v>
      </c>
      <c r="J30" s="3052">
        <v>-229.21</v>
      </c>
      <c r="K30" s="2101"/>
    </row>
    <row r="31" spans="1:11" s="2109" customFormat="1" hidden="1">
      <c r="A31" s="2108"/>
      <c r="B31" s="2486" t="s">
        <v>169</v>
      </c>
      <c r="C31" s="3049">
        <v>1028.6399999999999</v>
      </c>
      <c r="D31" s="3053">
        <v>50.06</v>
      </c>
      <c r="E31" s="3053">
        <v>335.93</v>
      </c>
      <c r="F31" s="3053">
        <v>133.44</v>
      </c>
      <c r="G31" s="3053">
        <v>600</v>
      </c>
      <c r="H31" s="3053"/>
      <c r="I31" s="3054">
        <v>137.08000000000001</v>
      </c>
      <c r="J31" s="3052">
        <v>-227.87</v>
      </c>
      <c r="K31" s="2108"/>
    </row>
    <row r="32" spans="1:11" hidden="1">
      <c r="B32" s="2486" t="s">
        <v>170</v>
      </c>
      <c r="C32" s="3049">
        <v>1042.51</v>
      </c>
      <c r="D32" s="3053">
        <v>50.13</v>
      </c>
      <c r="E32" s="3053">
        <v>338</v>
      </c>
      <c r="F32" s="3053">
        <v>133.52000000000001</v>
      </c>
      <c r="G32" s="3053">
        <v>600</v>
      </c>
      <c r="H32" s="3053"/>
      <c r="I32" s="3054">
        <v>166.85</v>
      </c>
      <c r="J32" s="3052">
        <v>-245.99</v>
      </c>
      <c r="K32" s="2101"/>
    </row>
    <row r="33" spans="2:14" hidden="1">
      <c r="B33" s="2486" t="s">
        <v>171</v>
      </c>
      <c r="C33" s="3049">
        <v>1056.5</v>
      </c>
      <c r="D33" s="3053">
        <v>50.3</v>
      </c>
      <c r="E33" s="3053">
        <v>321.17</v>
      </c>
      <c r="F33" s="3053">
        <v>133.53</v>
      </c>
      <c r="G33" s="3053">
        <v>615</v>
      </c>
      <c r="H33" s="3053"/>
      <c r="I33" s="3054">
        <v>166.84</v>
      </c>
      <c r="J33" s="3052">
        <v>-230.34</v>
      </c>
      <c r="K33" s="2101"/>
    </row>
    <row r="34" spans="2:14" hidden="1">
      <c r="B34" s="2485">
        <v>2001</v>
      </c>
      <c r="C34" s="3049">
        <v>1077.3500000000001</v>
      </c>
      <c r="D34" s="3053">
        <v>44.11</v>
      </c>
      <c r="E34" s="3053">
        <v>360.21</v>
      </c>
      <c r="F34" s="3053">
        <v>153.29</v>
      </c>
      <c r="G34" s="3053">
        <v>595</v>
      </c>
      <c r="H34" s="3053">
        <v>0</v>
      </c>
      <c r="I34" s="3054">
        <v>156.76</v>
      </c>
      <c r="J34" s="3052">
        <v>-232.02</v>
      </c>
      <c r="K34" s="2101"/>
    </row>
    <row r="35" spans="2:14" hidden="1">
      <c r="B35" s="3031">
        <v>2002</v>
      </c>
      <c r="C35" s="3049">
        <v>1259.1099999999999</v>
      </c>
      <c r="D35" s="3053">
        <v>55.83</v>
      </c>
      <c r="E35" s="3053">
        <v>47.79</v>
      </c>
      <c r="F35" s="3053">
        <v>168.03</v>
      </c>
      <c r="G35" s="3053">
        <v>673.55</v>
      </c>
      <c r="H35" s="3053">
        <v>0</v>
      </c>
      <c r="I35" s="3054">
        <v>193.61</v>
      </c>
      <c r="J35" s="3052">
        <v>120.3</v>
      </c>
      <c r="K35" s="2101"/>
    </row>
    <row r="36" spans="2:14" hidden="1">
      <c r="B36" s="3032" t="s">
        <v>161</v>
      </c>
      <c r="C36" s="3049">
        <v>1105.17</v>
      </c>
      <c r="D36" s="3053">
        <v>44.11</v>
      </c>
      <c r="E36" s="3053">
        <v>440.8</v>
      </c>
      <c r="F36" s="3053">
        <v>153.11000000000001</v>
      </c>
      <c r="G36" s="3053">
        <v>600</v>
      </c>
      <c r="H36" s="3053"/>
      <c r="I36" s="3054">
        <v>155.13</v>
      </c>
      <c r="J36" s="3052">
        <v>-287.98</v>
      </c>
      <c r="K36" s="2101"/>
    </row>
    <row r="37" spans="2:14" hidden="1">
      <c r="B37" s="3032" t="s">
        <v>162</v>
      </c>
      <c r="C37" s="3049">
        <v>1115.8899999999999</v>
      </c>
      <c r="D37" s="3053">
        <v>44.11</v>
      </c>
      <c r="E37" s="3053">
        <v>448.12</v>
      </c>
      <c r="F37" s="3053">
        <v>152.94999999999999</v>
      </c>
      <c r="G37" s="3053">
        <v>600</v>
      </c>
      <c r="H37" s="3053"/>
      <c r="I37" s="3054">
        <v>160.58000000000001</v>
      </c>
      <c r="J37" s="3052">
        <v>-289.87</v>
      </c>
      <c r="K37" s="2101"/>
    </row>
    <row r="38" spans="2:14" hidden="1">
      <c r="B38" s="3032" t="s">
        <v>163</v>
      </c>
      <c r="C38" s="3049">
        <v>1127.5800000000002</v>
      </c>
      <c r="D38" s="3053">
        <v>44.11</v>
      </c>
      <c r="E38" s="3053">
        <v>410.92</v>
      </c>
      <c r="F38" s="3053">
        <v>152.83000000000001</v>
      </c>
      <c r="G38" s="3053">
        <v>650</v>
      </c>
      <c r="H38" s="3053"/>
      <c r="I38" s="3054">
        <v>159.13</v>
      </c>
      <c r="J38" s="3052">
        <v>-289.41000000000003</v>
      </c>
      <c r="K38" s="2101"/>
    </row>
    <row r="39" spans="2:14" hidden="1">
      <c r="B39" s="3032" t="s">
        <v>164</v>
      </c>
      <c r="C39" s="3049">
        <v>1142.96</v>
      </c>
      <c r="D39" s="3053">
        <v>45.62</v>
      </c>
      <c r="E39" s="3053">
        <v>418.77</v>
      </c>
      <c r="F39" s="3053">
        <v>152.07</v>
      </c>
      <c r="G39" s="3053">
        <v>650</v>
      </c>
      <c r="H39" s="3053"/>
      <c r="I39" s="3054">
        <v>167.67</v>
      </c>
      <c r="J39" s="3052">
        <v>-291.17</v>
      </c>
      <c r="K39" s="2101"/>
    </row>
    <row r="40" spans="2:14" hidden="1">
      <c r="B40" s="3032" t="s">
        <v>165</v>
      </c>
      <c r="C40" s="3049">
        <v>1153.06</v>
      </c>
      <c r="D40" s="3053">
        <v>44.11</v>
      </c>
      <c r="E40" s="3053">
        <v>411.25</v>
      </c>
      <c r="F40" s="3053">
        <v>152.47</v>
      </c>
      <c r="G40" s="3053">
        <v>655</v>
      </c>
      <c r="H40" s="3053"/>
      <c r="I40" s="3054">
        <v>182.17</v>
      </c>
      <c r="J40" s="3052">
        <v>-291.94</v>
      </c>
      <c r="K40" s="2101"/>
    </row>
    <row r="41" spans="2:14" hidden="1">
      <c r="B41" s="3032" t="s">
        <v>166</v>
      </c>
      <c r="C41" s="3049">
        <v>1187.6500000000001</v>
      </c>
      <c r="D41" s="3053">
        <v>44.11</v>
      </c>
      <c r="E41" s="3053">
        <v>418.6</v>
      </c>
      <c r="F41" s="3053">
        <v>155.53</v>
      </c>
      <c r="G41" s="3053">
        <v>674.99</v>
      </c>
      <c r="H41" s="3053"/>
      <c r="I41" s="3054">
        <v>187.42</v>
      </c>
      <c r="J41" s="3052">
        <v>-293</v>
      </c>
      <c r="K41" s="2101"/>
    </row>
    <row r="42" spans="2:14" hidden="1">
      <c r="B42" s="3032" t="s">
        <v>167</v>
      </c>
      <c r="C42" s="3049">
        <v>1200.7699999999998</v>
      </c>
      <c r="D42" s="3053">
        <v>44.5</v>
      </c>
      <c r="E42" s="3053">
        <v>180.07</v>
      </c>
      <c r="F42" s="3053">
        <v>151.79</v>
      </c>
      <c r="G42" s="3053">
        <v>674.99</v>
      </c>
      <c r="H42" s="3053"/>
      <c r="I42" s="3054">
        <v>205.35</v>
      </c>
      <c r="J42" s="3052">
        <v>-55.93</v>
      </c>
      <c r="K42" s="2101"/>
    </row>
    <row r="43" spans="2:14" hidden="1">
      <c r="B43" s="3032" t="s">
        <v>168</v>
      </c>
      <c r="C43" s="3049">
        <v>1195.81</v>
      </c>
      <c r="D43" s="3053">
        <v>45.12</v>
      </c>
      <c r="E43" s="3053">
        <v>0</v>
      </c>
      <c r="F43" s="3053">
        <v>151.53</v>
      </c>
      <c r="G43" s="3053">
        <v>674.99</v>
      </c>
      <c r="H43" s="3053"/>
      <c r="I43" s="3054">
        <v>212.68</v>
      </c>
      <c r="J43" s="3052">
        <v>111.49</v>
      </c>
      <c r="K43" s="2101"/>
    </row>
    <row r="44" spans="2:14" hidden="1">
      <c r="B44" s="3032" t="s">
        <v>169</v>
      </c>
      <c r="C44" s="3049">
        <v>1199.94</v>
      </c>
      <c r="D44" s="3053">
        <v>45.54</v>
      </c>
      <c r="E44" s="3053">
        <v>0</v>
      </c>
      <c r="F44" s="3053">
        <v>151.35</v>
      </c>
      <c r="G44" s="3053">
        <v>674.99</v>
      </c>
      <c r="H44" s="3053"/>
      <c r="I44" s="3054">
        <v>191.64</v>
      </c>
      <c r="J44" s="3052">
        <v>136.41999999999999</v>
      </c>
      <c r="K44" s="2101"/>
    </row>
    <row r="45" spans="2:14" hidden="1">
      <c r="B45" s="3032" t="s">
        <v>170</v>
      </c>
      <c r="C45" s="3049">
        <v>1235.23</v>
      </c>
      <c r="D45" s="3053">
        <v>45.46</v>
      </c>
      <c r="E45" s="3053">
        <v>0</v>
      </c>
      <c r="F45" s="3053">
        <v>151.26</v>
      </c>
      <c r="G45" s="3053">
        <v>684.99</v>
      </c>
      <c r="H45" s="3053"/>
      <c r="I45" s="3054">
        <v>197.71</v>
      </c>
      <c r="J45" s="3052">
        <v>155.81</v>
      </c>
      <c r="K45" s="2101"/>
    </row>
    <row r="46" spans="2:14" hidden="1">
      <c r="B46" s="2486" t="s">
        <v>171</v>
      </c>
      <c r="C46" s="3049">
        <v>1249.76</v>
      </c>
      <c r="D46" s="3053">
        <v>45.72</v>
      </c>
      <c r="E46" s="3053">
        <v>0</v>
      </c>
      <c r="F46" s="3053">
        <v>151.19</v>
      </c>
      <c r="G46" s="3053">
        <v>684.99</v>
      </c>
      <c r="H46" s="3053"/>
      <c r="I46" s="3054">
        <v>214.28</v>
      </c>
      <c r="J46" s="3052">
        <v>153.58000000000001</v>
      </c>
      <c r="K46" s="2101"/>
    </row>
    <row r="47" spans="2:14" hidden="1">
      <c r="B47" s="2485">
        <v>2002</v>
      </c>
      <c r="C47" s="3049">
        <v>1259.1099999999999</v>
      </c>
      <c r="D47" s="3053">
        <v>55.83</v>
      </c>
      <c r="E47" s="3053">
        <v>47.79</v>
      </c>
      <c r="F47" s="3053">
        <v>168.03</v>
      </c>
      <c r="G47" s="3053">
        <v>673.55</v>
      </c>
      <c r="H47" s="3053"/>
      <c r="I47" s="3054">
        <v>193.61</v>
      </c>
      <c r="J47" s="3052">
        <v>120.3</v>
      </c>
      <c r="K47" s="2101"/>
    </row>
    <row r="48" spans="2:14" hidden="1">
      <c r="B48" s="2485">
        <v>2003</v>
      </c>
      <c r="C48" s="3049"/>
      <c r="D48" s="3050"/>
      <c r="E48" s="3050"/>
      <c r="F48" s="3050"/>
      <c r="G48" s="3050"/>
      <c r="H48" s="3050"/>
      <c r="I48" s="3051"/>
      <c r="J48" s="3032"/>
      <c r="K48" s="2101"/>
      <c r="N48" s="2109"/>
    </row>
    <row r="49" spans="2:14" hidden="1">
      <c r="B49" s="3032" t="s">
        <v>161</v>
      </c>
      <c r="C49" s="3049">
        <v>1272.9121781700001</v>
      </c>
      <c r="D49" s="3053">
        <v>57.853240159999999</v>
      </c>
      <c r="E49" s="3053">
        <v>51.816097649999996</v>
      </c>
      <c r="F49" s="3053">
        <v>168.0336733</v>
      </c>
      <c r="G49" s="3053">
        <v>223.54942</v>
      </c>
      <c r="H49" s="3053">
        <v>450</v>
      </c>
      <c r="I49" s="3054">
        <v>204.54127309999998</v>
      </c>
      <c r="J49" s="3052">
        <v>117.11847396000007</v>
      </c>
      <c r="K49" s="2101"/>
      <c r="N49" s="2109"/>
    </row>
    <row r="50" spans="2:14" hidden="1">
      <c r="B50" s="3032" t="s">
        <v>162</v>
      </c>
      <c r="C50" s="3049">
        <v>1296.1405614600001</v>
      </c>
      <c r="D50" s="3053">
        <v>58.182529409999994</v>
      </c>
      <c r="E50" s="3053">
        <v>52.934025649999995</v>
      </c>
      <c r="F50" s="3053">
        <v>168.0336733</v>
      </c>
      <c r="G50" s="3053">
        <v>223.54942</v>
      </c>
      <c r="H50" s="3053">
        <v>450</v>
      </c>
      <c r="I50" s="3054">
        <v>218.14401540999998</v>
      </c>
      <c r="J50" s="3052">
        <v>125.29689768999992</v>
      </c>
      <c r="K50" s="2101"/>
    </row>
    <row r="51" spans="2:14" hidden="1">
      <c r="B51" s="3032" t="s">
        <v>163</v>
      </c>
      <c r="C51" s="3049">
        <v>1285.05242585</v>
      </c>
      <c r="D51" s="3053">
        <v>58.264829450000001</v>
      </c>
      <c r="E51" s="3053">
        <v>54.596928240000004</v>
      </c>
      <c r="F51" s="3053">
        <v>168.0336733</v>
      </c>
      <c r="G51" s="3053">
        <v>223.54942</v>
      </c>
      <c r="H51" s="3053">
        <v>450</v>
      </c>
      <c r="I51" s="3054">
        <v>247.35307247999998</v>
      </c>
      <c r="J51" s="3052">
        <v>83.254502379999849</v>
      </c>
      <c r="K51" s="2101"/>
    </row>
    <row r="52" spans="2:14" hidden="1">
      <c r="B52" s="2486" t="s">
        <v>164</v>
      </c>
      <c r="C52" s="3049">
        <v>1301.2885883699998</v>
      </c>
      <c r="D52" s="3053">
        <v>57.744147679999998</v>
      </c>
      <c r="E52" s="3053">
        <v>55.204278240000001</v>
      </c>
      <c r="F52" s="3053">
        <v>168.0336733</v>
      </c>
      <c r="G52" s="3053">
        <v>223.54942</v>
      </c>
      <c r="H52" s="3053">
        <v>450</v>
      </c>
      <c r="I52" s="3054">
        <v>253.06739635999998</v>
      </c>
      <c r="J52" s="3052">
        <v>93.689672789999804</v>
      </c>
      <c r="K52" s="2101"/>
    </row>
    <row r="53" spans="2:14" hidden="1">
      <c r="B53" s="2486" t="s">
        <v>165</v>
      </c>
      <c r="C53" s="3049">
        <v>1321.99963564</v>
      </c>
      <c r="D53" s="3053">
        <v>58.134237240000004</v>
      </c>
      <c r="E53" s="3053">
        <v>0</v>
      </c>
      <c r="F53" s="3053">
        <v>168.0336733</v>
      </c>
      <c r="G53" s="3053">
        <v>223.54942</v>
      </c>
      <c r="H53" s="3053">
        <v>450</v>
      </c>
      <c r="I53" s="3054">
        <v>266.52366323000001</v>
      </c>
      <c r="J53" s="3052">
        <v>155.75864187000002</v>
      </c>
      <c r="K53" s="2101"/>
    </row>
    <row r="54" spans="2:14" hidden="1">
      <c r="B54" s="2486" t="s">
        <v>166</v>
      </c>
      <c r="C54" s="3049">
        <v>1358.5212166900001</v>
      </c>
      <c r="D54" s="3053">
        <v>56.877995060000003</v>
      </c>
      <c r="E54" s="3053">
        <v>56.041617950000003</v>
      </c>
      <c r="F54" s="3053">
        <v>185.60870540000002</v>
      </c>
      <c r="G54" s="3053">
        <v>223.54942</v>
      </c>
      <c r="H54" s="3053">
        <v>450</v>
      </c>
      <c r="I54" s="3054">
        <v>247.29616858000003</v>
      </c>
      <c r="J54" s="3052">
        <v>139.14730970000005</v>
      </c>
      <c r="K54" s="2101"/>
    </row>
    <row r="55" spans="2:14" hidden="1">
      <c r="B55" s="2486" t="s">
        <v>167</v>
      </c>
      <c r="C55" s="3049">
        <v>1306.0848072599999</v>
      </c>
      <c r="D55" s="3053">
        <v>58.97245478</v>
      </c>
      <c r="E55" s="3053">
        <v>56.159167950000004</v>
      </c>
      <c r="F55" s="3053">
        <v>191.06761755000002</v>
      </c>
      <c r="G55" s="3053">
        <v>186.29118299999999</v>
      </c>
      <c r="H55" s="3053">
        <v>450</v>
      </c>
      <c r="I55" s="3054">
        <v>249.45709716000002</v>
      </c>
      <c r="J55" s="3052">
        <v>114.13728681999987</v>
      </c>
      <c r="K55" s="2101"/>
    </row>
    <row r="56" spans="2:14" hidden="1">
      <c r="B56" s="2486" t="s">
        <v>168</v>
      </c>
      <c r="C56" s="3049">
        <v>1312.28181146</v>
      </c>
      <c r="D56" s="3053">
        <v>60.937741179999996</v>
      </c>
      <c r="E56" s="3053">
        <v>57.057587950000006</v>
      </c>
      <c r="F56" s="3053">
        <v>185.51539560000001</v>
      </c>
      <c r="G56" s="3053">
        <v>186.29118299999999</v>
      </c>
      <c r="H56" s="3053">
        <v>450</v>
      </c>
      <c r="I56" s="3054">
        <v>259.15487032999999</v>
      </c>
      <c r="J56" s="3052">
        <v>113.32503339999994</v>
      </c>
      <c r="K56" s="2101"/>
    </row>
    <row r="57" spans="2:14" hidden="1">
      <c r="B57" s="2486" t="s">
        <v>169</v>
      </c>
      <c r="C57" s="3049">
        <v>1306.9799616600001</v>
      </c>
      <c r="D57" s="3053">
        <v>61.429414469999998</v>
      </c>
      <c r="E57" s="3053">
        <v>57.971547950000001</v>
      </c>
      <c r="F57" s="3053">
        <v>193.22000256999999</v>
      </c>
      <c r="G57" s="3053">
        <v>186.29118299999999</v>
      </c>
      <c r="H57" s="3053">
        <v>450</v>
      </c>
      <c r="I57" s="3054">
        <v>260.09475609000003</v>
      </c>
      <c r="J57" s="3052">
        <v>97.973057580000159</v>
      </c>
      <c r="K57" s="2101"/>
    </row>
    <row r="58" spans="2:14" hidden="1">
      <c r="B58" s="2486" t="s">
        <v>170</v>
      </c>
      <c r="C58" s="3049">
        <v>1339.1784725699999</v>
      </c>
      <c r="D58" s="3053">
        <v>62.635846819999998</v>
      </c>
      <c r="E58" s="3053">
        <v>58.898544950000002</v>
      </c>
      <c r="F58" s="3053">
        <v>184.40236066999998</v>
      </c>
      <c r="G58" s="3053">
        <v>186.29118299999999</v>
      </c>
      <c r="H58" s="3053">
        <v>450</v>
      </c>
      <c r="I58" s="3054">
        <v>269.60826341000001</v>
      </c>
      <c r="J58" s="3052">
        <v>127.34227371999987</v>
      </c>
      <c r="K58" s="2101"/>
    </row>
    <row r="59" spans="2:14" hidden="1">
      <c r="B59" s="2486" t="s">
        <v>171</v>
      </c>
      <c r="C59" s="3049">
        <v>1420.65769615</v>
      </c>
      <c r="D59" s="3053">
        <v>55.692281999999999</v>
      </c>
      <c r="E59" s="3053">
        <v>59.984328950000005</v>
      </c>
      <c r="F59" s="3053">
        <v>196.22275955000001</v>
      </c>
      <c r="G59" s="3053">
        <v>186.29118299999999</v>
      </c>
      <c r="H59" s="3053">
        <v>450</v>
      </c>
      <c r="I59" s="3054">
        <v>263.7910607</v>
      </c>
      <c r="J59" s="3052">
        <v>208.67608195000003</v>
      </c>
      <c r="K59" s="2101"/>
    </row>
    <row r="60" spans="2:14">
      <c r="B60" s="3031">
        <v>2003</v>
      </c>
      <c r="C60" s="3049">
        <v>1468.6892924699998</v>
      </c>
      <c r="D60" s="3053">
        <v>71.589592999999994</v>
      </c>
      <c r="E60" s="3053">
        <v>65.868522249999998</v>
      </c>
      <c r="F60" s="3053">
        <v>188.62095228999999</v>
      </c>
      <c r="G60" s="3053">
        <v>186.29118299999999</v>
      </c>
      <c r="H60" s="3053">
        <v>450</v>
      </c>
      <c r="I60" s="3054">
        <v>269.42581292</v>
      </c>
      <c r="J60" s="3052">
        <v>236.89322900999991</v>
      </c>
      <c r="K60" s="2132"/>
    </row>
    <row r="61" spans="2:14" hidden="1">
      <c r="B61" s="2485">
        <v>2004</v>
      </c>
      <c r="C61" s="4025"/>
      <c r="D61" s="4026"/>
      <c r="E61" s="4026"/>
      <c r="F61" s="4026"/>
      <c r="G61" s="4026"/>
      <c r="H61" s="4026"/>
      <c r="I61" s="4026"/>
      <c r="J61" s="4026"/>
      <c r="K61" s="2132"/>
    </row>
    <row r="62" spans="2:14" hidden="1">
      <c r="B62" s="2486" t="s">
        <v>161</v>
      </c>
      <c r="C62" s="3049">
        <v>1401.3880573999998</v>
      </c>
      <c r="D62" s="3053">
        <v>77.173690650000012</v>
      </c>
      <c r="E62" s="3053">
        <v>69.770038549999995</v>
      </c>
      <c r="F62" s="3053">
        <v>190.02954771</v>
      </c>
      <c r="G62" s="3053">
        <v>149.03294600000001</v>
      </c>
      <c r="H62" s="3053">
        <v>400</v>
      </c>
      <c r="I62" s="3054">
        <v>255.75948538</v>
      </c>
      <c r="J62" s="3052">
        <v>259.62234910999973</v>
      </c>
      <c r="K62" s="2132"/>
    </row>
    <row r="63" spans="2:14" hidden="1">
      <c r="B63" s="2486" t="s">
        <v>162</v>
      </c>
      <c r="C63" s="3049">
        <v>1415.16836205</v>
      </c>
      <c r="D63" s="3053">
        <v>77.046343500000006</v>
      </c>
      <c r="E63" s="3053">
        <v>70.389460549999995</v>
      </c>
      <c r="F63" s="3053">
        <v>191.49480661000001</v>
      </c>
      <c r="G63" s="3053">
        <v>149.03294600000001</v>
      </c>
      <c r="H63" s="3053">
        <v>400</v>
      </c>
      <c r="I63" s="3054">
        <v>261.90813609999998</v>
      </c>
      <c r="J63" s="3052">
        <v>265.29666929000018</v>
      </c>
      <c r="K63" s="2132"/>
    </row>
    <row r="64" spans="2:14" hidden="1">
      <c r="B64" s="2486" t="s">
        <v>163</v>
      </c>
      <c r="C64" s="3049">
        <v>1391.68482255</v>
      </c>
      <c r="D64" s="3053">
        <v>77.374353510000006</v>
      </c>
      <c r="E64" s="3053">
        <v>70.424126549999997</v>
      </c>
      <c r="F64" s="3053">
        <v>192.85157853000001</v>
      </c>
      <c r="G64" s="3053">
        <v>149.03294600000001</v>
      </c>
      <c r="H64" s="3053">
        <v>400</v>
      </c>
      <c r="I64" s="3054">
        <v>262.32518749000002</v>
      </c>
      <c r="J64" s="3052">
        <v>239.67663046999996</v>
      </c>
      <c r="K64" s="2132"/>
    </row>
    <row r="65" spans="2:11" hidden="1">
      <c r="B65" s="2486" t="s">
        <v>164</v>
      </c>
      <c r="C65" s="3049">
        <v>1410.6663497099998</v>
      </c>
      <c r="D65" s="3053">
        <v>78.29119820999999</v>
      </c>
      <c r="E65" s="3053">
        <v>71.420768549999991</v>
      </c>
      <c r="F65" s="3053">
        <v>203.88641041999998</v>
      </c>
      <c r="G65" s="3053">
        <v>149.03294600000001</v>
      </c>
      <c r="H65" s="3053">
        <v>400</v>
      </c>
      <c r="I65" s="3054">
        <v>258.67468833999999</v>
      </c>
      <c r="J65" s="3052">
        <v>249.36033818999977</v>
      </c>
      <c r="K65" s="2132"/>
    </row>
    <row r="66" spans="2:11" hidden="1">
      <c r="B66" s="2486" t="s">
        <v>165</v>
      </c>
      <c r="C66" s="3049">
        <v>1431.6098121399998</v>
      </c>
      <c r="D66" s="3053">
        <v>76.980828599999995</v>
      </c>
      <c r="E66" s="3053">
        <v>68.808693550000001</v>
      </c>
      <c r="F66" s="3053">
        <v>203.54140065999999</v>
      </c>
      <c r="G66" s="3053">
        <v>149.03294600000001</v>
      </c>
      <c r="H66" s="3053">
        <v>400</v>
      </c>
      <c r="I66" s="3054">
        <v>266.81062976999999</v>
      </c>
      <c r="J66" s="3052">
        <v>266.43531355999971</v>
      </c>
      <c r="K66" s="2132"/>
    </row>
    <row r="67" spans="2:11" hidden="1">
      <c r="B67" s="2486" t="s">
        <v>166</v>
      </c>
      <c r="C67" s="3049">
        <v>1459.179865353</v>
      </c>
      <c r="D67" s="3053">
        <v>79.064096620000001</v>
      </c>
      <c r="E67" s="3053">
        <v>70.12046140999999</v>
      </c>
      <c r="F67" s="3053">
        <v>199.57103805</v>
      </c>
      <c r="G67" s="3053">
        <v>149.03294600000001</v>
      </c>
      <c r="H67" s="3053">
        <v>400</v>
      </c>
      <c r="I67" s="3054">
        <v>276.33096578999999</v>
      </c>
      <c r="J67" s="3052">
        <v>285.06035748299996</v>
      </c>
      <c r="K67" s="2132"/>
    </row>
    <row r="68" spans="2:11" hidden="1">
      <c r="B68" s="2486" t="s">
        <v>167</v>
      </c>
      <c r="C68" s="3049">
        <v>1427.3321526499999</v>
      </c>
      <c r="D68" s="3053">
        <v>82.845226790000012</v>
      </c>
      <c r="E68" s="3053">
        <v>69.55438740999999</v>
      </c>
      <c r="F68" s="3053">
        <v>201.64676746999999</v>
      </c>
      <c r="G68" s="3053">
        <v>111.774709</v>
      </c>
      <c r="H68" s="3053">
        <v>400</v>
      </c>
      <c r="I68" s="3054">
        <v>294.85069368000001</v>
      </c>
      <c r="J68" s="3052">
        <v>266.66036829999985</v>
      </c>
      <c r="K68" s="2132"/>
    </row>
    <row r="69" spans="2:11" hidden="1">
      <c r="B69" s="2486" t="s">
        <v>168</v>
      </c>
      <c r="C69" s="3049">
        <v>1438.2282580199999</v>
      </c>
      <c r="D69" s="3053">
        <v>83.308835819999999</v>
      </c>
      <c r="E69" s="3053">
        <v>70.661137409999995</v>
      </c>
      <c r="F69" s="3053">
        <v>203.86411283999999</v>
      </c>
      <c r="G69" s="3053">
        <v>111.774709</v>
      </c>
      <c r="H69" s="3053">
        <v>400</v>
      </c>
      <c r="I69" s="3054">
        <v>302.74849031999997</v>
      </c>
      <c r="J69" s="3052">
        <v>265.87097262999987</v>
      </c>
      <c r="K69" s="2132"/>
    </row>
    <row r="70" spans="2:11" hidden="1">
      <c r="B70" s="2486" t="s">
        <v>169</v>
      </c>
      <c r="C70" s="3049">
        <v>1447.2461888900002</v>
      </c>
      <c r="D70" s="3053">
        <v>82.761925769999991</v>
      </c>
      <c r="E70" s="3053">
        <v>70.884345409999995</v>
      </c>
      <c r="F70" s="3053">
        <v>205.74141725999999</v>
      </c>
      <c r="G70" s="3053">
        <v>111.774709</v>
      </c>
      <c r="H70" s="3053">
        <v>400</v>
      </c>
      <c r="I70" s="3054">
        <v>298.55709071000001</v>
      </c>
      <c r="J70" s="3052">
        <v>277.52670074000025</v>
      </c>
      <c r="K70" s="2132"/>
    </row>
    <row r="71" spans="2:11" hidden="1">
      <c r="B71" s="2486" t="s">
        <v>170</v>
      </c>
      <c r="C71" s="3049">
        <v>1452.79938528</v>
      </c>
      <c r="D71" s="3053">
        <v>86.087801430000013</v>
      </c>
      <c r="E71" s="3053">
        <v>71.749707409999999</v>
      </c>
      <c r="F71" s="3053">
        <v>206.35816718999999</v>
      </c>
      <c r="G71" s="3053">
        <v>111.774709</v>
      </c>
      <c r="H71" s="3053">
        <v>450</v>
      </c>
      <c r="I71" s="3054">
        <v>319.36961701999996</v>
      </c>
      <c r="J71" s="3052">
        <v>207.45938323000018</v>
      </c>
      <c r="K71" s="2132"/>
    </row>
    <row r="72" spans="2:11" hidden="1">
      <c r="B72" s="2486" t="s">
        <v>171</v>
      </c>
      <c r="C72" s="3049">
        <v>1480.95941438</v>
      </c>
      <c r="D72" s="3053">
        <v>87.306570930000007</v>
      </c>
      <c r="E72" s="3053">
        <v>73.384123410000001</v>
      </c>
      <c r="F72" s="3053">
        <v>207.16019481999999</v>
      </c>
      <c r="G72" s="3053">
        <v>111.774709</v>
      </c>
      <c r="H72" s="3053">
        <v>400</v>
      </c>
      <c r="I72" s="3054">
        <v>331.45887239000001</v>
      </c>
      <c r="J72" s="3052">
        <v>269.87494383000012</v>
      </c>
      <c r="K72" s="2132"/>
    </row>
    <row r="73" spans="2:11">
      <c r="B73" s="2485">
        <v>2004</v>
      </c>
      <c r="C73" s="3049">
        <v>1428.4218306400001</v>
      </c>
      <c r="D73" s="3053">
        <v>87.241440949999998</v>
      </c>
      <c r="E73" s="3053">
        <v>73.82003515000001</v>
      </c>
      <c r="F73" s="3053">
        <v>210.74259499999999</v>
      </c>
      <c r="G73" s="3053">
        <v>94.516472500000006</v>
      </c>
      <c r="H73" s="3053">
        <v>400</v>
      </c>
      <c r="I73" s="3054">
        <v>306.44779059999996</v>
      </c>
      <c r="J73" s="3052">
        <v>255.65349644000003</v>
      </c>
      <c r="K73" s="2132"/>
    </row>
    <row r="74" spans="2:11" hidden="1">
      <c r="B74" s="2485">
        <v>2005</v>
      </c>
      <c r="C74" s="2485"/>
      <c r="D74" s="2486"/>
      <c r="E74" s="2486"/>
      <c r="F74" s="2486"/>
      <c r="G74" s="2486"/>
      <c r="H74" s="2486"/>
      <c r="I74" s="2486"/>
      <c r="J74" s="2486"/>
      <c r="K74" s="2132"/>
    </row>
    <row r="75" spans="2:11" hidden="1">
      <c r="B75" s="2486" t="s">
        <v>161</v>
      </c>
      <c r="C75" s="3049">
        <v>1442.19001306</v>
      </c>
      <c r="D75" s="3053">
        <v>92.26809209999999</v>
      </c>
      <c r="E75" s="3053">
        <v>78.129742500000006</v>
      </c>
      <c r="F75" s="3053">
        <v>210.16858640000001</v>
      </c>
      <c r="G75" s="3053">
        <v>94.516472759999999</v>
      </c>
      <c r="H75" s="3053">
        <v>400</v>
      </c>
      <c r="I75" s="3054">
        <v>319.79263853800001</v>
      </c>
      <c r="J75" s="3052">
        <v>247.3144807619999</v>
      </c>
      <c r="K75" s="2132"/>
    </row>
    <row r="76" spans="2:11" hidden="1">
      <c r="B76" s="2486" t="s">
        <v>162</v>
      </c>
      <c r="C76" s="3049">
        <v>1441.19369381</v>
      </c>
      <c r="D76" s="3053">
        <v>86.166814169999995</v>
      </c>
      <c r="E76" s="3053">
        <v>79.899716749999996</v>
      </c>
      <c r="F76" s="3053">
        <v>209.3189021</v>
      </c>
      <c r="G76" s="3053">
        <v>94.516472500000006</v>
      </c>
      <c r="H76" s="3053">
        <v>400</v>
      </c>
      <c r="I76" s="3054">
        <v>330.55440018000002</v>
      </c>
      <c r="J76" s="3052">
        <v>240.73738810999998</v>
      </c>
      <c r="K76" s="2132"/>
    </row>
    <row r="77" spans="2:11" hidden="1">
      <c r="B77" s="2486" t="s">
        <v>163</v>
      </c>
      <c r="C77" s="3049">
        <v>1483.5020131299998</v>
      </c>
      <c r="D77" s="3053">
        <v>99.167857930000011</v>
      </c>
      <c r="E77" s="3053">
        <v>82.195718760000005</v>
      </c>
      <c r="F77" s="3053">
        <v>213.40609601</v>
      </c>
      <c r="G77" s="3053">
        <v>119.51647250000001</v>
      </c>
      <c r="H77" s="3053">
        <v>400</v>
      </c>
      <c r="I77" s="3054">
        <v>321.15404234299996</v>
      </c>
      <c r="J77" s="3052">
        <v>248.06182558699993</v>
      </c>
      <c r="K77" s="2132"/>
    </row>
    <row r="78" spans="2:11" hidden="1">
      <c r="B78" s="2486" t="s">
        <v>164</v>
      </c>
      <c r="C78" s="3049">
        <v>1515.1785278399998</v>
      </c>
      <c r="D78" s="3053">
        <v>98.795483019999992</v>
      </c>
      <c r="E78" s="3053">
        <v>83.05119676000001</v>
      </c>
      <c r="F78" s="3053">
        <v>216.60178725</v>
      </c>
      <c r="G78" s="3053">
        <v>119.51647250000001</v>
      </c>
      <c r="H78" s="3053">
        <v>400</v>
      </c>
      <c r="I78" s="3054">
        <v>316.01401381999995</v>
      </c>
      <c r="J78" s="3052">
        <v>281.19957449000003</v>
      </c>
      <c r="K78" s="2132"/>
    </row>
    <row r="79" spans="2:11" hidden="1">
      <c r="B79" s="2486" t="s">
        <v>165</v>
      </c>
      <c r="C79" s="3049">
        <v>1525.3177854899998</v>
      </c>
      <c r="D79" s="3053">
        <v>100.61304501000001</v>
      </c>
      <c r="E79" s="3053">
        <v>84.092144760000011</v>
      </c>
      <c r="F79" s="3053">
        <v>220.29435053</v>
      </c>
      <c r="G79" s="3053">
        <v>139.51647249999999</v>
      </c>
      <c r="H79" s="3053">
        <v>400</v>
      </c>
      <c r="I79" s="3054">
        <v>329.88610113999999</v>
      </c>
      <c r="J79" s="3052">
        <v>250.91567154999984</v>
      </c>
      <c r="K79" s="2132"/>
    </row>
    <row r="80" spans="2:11" ht="14.25" hidden="1" customHeight="1">
      <c r="B80" s="2486" t="s">
        <v>166</v>
      </c>
      <c r="C80" s="3049">
        <v>1565.2832726900001</v>
      </c>
      <c r="D80" s="3053">
        <v>102.1077325</v>
      </c>
      <c r="E80" s="3053">
        <v>84.598778190000004</v>
      </c>
      <c r="F80" s="3053">
        <v>221.17745618999999</v>
      </c>
      <c r="G80" s="3053">
        <v>160.05647250000001</v>
      </c>
      <c r="H80" s="3053">
        <v>400</v>
      </c>
      <c r="I80" s="3054">
        <v>350.46727235999998</v>
      </c>
      <c r="J80" s="3052">
        <v>246.87556095000014</v>
      </c>
      <c r="K80" s="2132"/>
    </row>
    <row r="81" spans="2:17" hidden="1">
      <c r="B81" s="2486" t="s">
        <v>167</v>
      </c>
      <c r="C81" s="3049">
        <v>1581.2097022599999</v>
      </c>
      <c r="D81" s="3053">
        <v>107.52580657999999</v>
      </c>
      <c r="E81" s="3053">
        <v>86.647765190000001</v>
      </c>
      <c r="F81" s="3053">
        <v>224.02770896000001</v>
      </c>
      <c r="G81" s="3053">
        <v>175.05647250000001</v>
      </c>
      <c r="H81" s="3053">
        <v>400</v>
      </c>
      <c r="I81" s="3054">
        <v>342.00612556000004</v>
      </c>
      <c r="J81" s="3052">
        <v>245.94582346999982</v>
      </c>
      <c r="K81" s="2132"/>
    </row>
    <row r="82" spans="2:17" hidden="1">
      <c r="B82" s="2486" t="s">
        <v>168</v>
      </c>
      <c r="C82" s="3049">
        <v>1613.14794364</v>
      </c>
      <c r="D82" s="3053">
        <v>109.68421959999999</v>
      </c>
      <c r="E82" s="3053">
        <v>89.299015189999992</v>
      </c>
      <c r="F82" s="3053">
        <v>225.33739631999998</v>
      </c>
      <c r="G82" s="3053">
        <v>185.05647250000001</v>
      </c>
      <c r="H82" s="3053">
        <v>400</v>
      </c>
      <c r="I82" s="3054">
        <v>373.67148774000003</v>
      </c>
      <c r="J82" s="3052">
        <v>230.09935229000007</v>
      </c>
      <c r="K82" s="2132"/>
    </row>
    <row r="83" spans="2:17" hidden="1">
      <c r="B83" s="2486" t="s">
        <v>169</v>
      </c>
      <c r="C83" s="3049">
        <v>2212.4404896400001</v>
      </c>
      <c r="D83" s="3053">
        <v>237.10439571000001</v>
      </c>
      <c r="E83" s="3053">
        <v>84.20795579</v>
      </c>
      <c r="F83" s="3053">
        <v>472.21752800000002</v>
      </c>
      <c r="G83" s="3053">
        <v>185.05647250000001</v>
      </c>
      <c r="H83" s="3053">
        <v>400</v>
      </c>
      <c r="I83" s="3054">
        <v>348.17850062999997</v>
      </c>
      <c r="J83" s="3052">
        <v>485.67563701000017</v>
      </c>
      <c r="K83" s="2132"/>
    </row>
    <row r="84" spans="2:17" hidden="1">
      <c r="B84" s="2486" t="s">
        <v>170</v>
      </c>
      <c r="C84" s="3049">
        <v>1628.5314505499998</v>
      </c>
      <c r="D84" s="3053">
        <v>118.34723384999999</v>
      </c>
      <c r="E84" s="3053">
        <v>84.369672190000003</v>
      </c>
      <c r="F84" s="3053">
        <v>227.22859862000001</v>
      </c>
      <c r="G84" s="3053">
        <v>192.05647250000001</v>
      </c>
      <c r="H84" s="3053">
        <v>400</v>
      </c>
      <c r="I84" s="3054">
        <v>375.98471818999997</v>
      </c>
      <c r="J84" s="3052">
        <v>230.54475519999983</v>
      </c>
      <c r="K84" s="2132"/>
    </row>
    <row r="85" spans="2:17" hidden="1">
      <c r="B85" s="2486" t="s">
        <v>171</v>
      </c>
      <c r="C85" s="3049">
        <v>1645.09482366</v>
      </c>
      <c r="D85" s="3053">
        <v>108.94846758</v>
      </c>
      <c r="E85" s="3053">
        <v>85.893836190000002</v>
      </c>
      <c r="F85" s="3053">
        <v>228.97580694999999</v>
      </c>
      <c r="G85" s="3053">
        <v>192.05647250000001</v>
      </c>
      <c r="H85" s="3053">
        <v>400</v>
      </c>
      <c r="I85" s="3054">
        <v>361.78247394000005</v>
      </c>
      <c r="J85" s="3052">
        <v>267.43776649999995</v>
      </c>
      <c r="K85" s="2132"/>
    </row>
    <row r="86" spans="2:17" ht="15.75" customHeight="1">
      <c r="B86" s="2485">
        <v>2005</v>
      </c>
      <c r="C86" s="3049">
        <v>1657.5908196199998</v>
      </c>
      <c r="D86" s="3053">
        <v>116.92612699999999</v>
      </c>
      <c r="E86" s="3053">
        <v>93.79008051000001</v>
      </c>
      <c r="F86" s="3053">
        <v>233.22703759000001</v>
      </c>
      <c r="G86" s="3053">
        <v>170.49794549999999</v>
      </c>
      <c r="H86" s="3053">
        <v>350</v>
      </c>
      <c r="I86" s="3054">
        <v>372.95688094000002</v>
      </c>
      <c r="J86" s="3052">
        <v>320.19274807999977</v>
      </c>
      <c r="K86" s="2132"/>
    </row>
    <row r="87" spans="2:17" hidden="1">
      <c r="B87" s="2485">
        <v>2006</v>
      </c>
      <c r="C87" s="4025"/>
      <c r="D87" s="4026"/>
      <c r="E87" s="4026"/>
      <c r="F87" s="4026"/>
      <c r="G87" s="4026"/>
      <c r="H87" s="4026"/>
      <c r="I87" s="4026"/>
      <c r="J87" s="4026"/>
      <c r="K87" s="2132"/>
      <c r="Q87" s="2109"/>
    </row>
    <row r="88" spans="2:17" hidden="1">
      <c r="B88" s="2486" t="s">
        <v>161</v>
      </c>
      <c r="C88" s="3049">
        <v>1686.3981863400002</v>
      </c>
      <c r="D88" s="3053">
        <v>120.29658209999999</v>
      </c>
      <c r="E88" s="3053">
        <v>99.804369829999999</v>
      </c>
      <c r="F88" s="3053">
        <v>233.39710962000001</v>
      </c>
      <c r="G88" s="3053">
        <v>215.49794549999999</v>
      </c>
      <c r="H88" s="3053">
        <v>350</v>
      </c>
      <c r="I88" s="3054">
        <v>379.70391672</v>
      </c>
      <c r="J88" s="3052">
        <v>287.69826257000022</v>
      </c>
      <c r="K88" s="2132"/>
    </row>
    <row r="89" spans="2:17" hidden="1">
      <c r="B89" s="2486" t="s">
        <v>162</v>
      </c>
      <c r="C89" s="3049">
        <v>1699.54870747</v>
      </c>
      <c r="D89" s="3053">
        <v>121.10988201000001</v>
      </c>
      <c r="E89" s="3053">
        <v>101.38987183</v>
      </c>
      <c r="F89" s="3053">
        <v>234.46510999</v>
      </c>
      <c r="G89" s="3053">
        <v>215.49794549999999</v>
      </c>
      <c r="H89" s="3053">
        <v>350</v>
      </c>
      <c r="I89" s="3054">
        <v>386.01392972999997</v>
      </c>
      <c r="J89" s="3052">
        <v>291.07196840999995</v>
      </c>
      <c r="K89" s="2132"/>
    </row>
    <row r="90" spans="2:17" hidden="1">
      <c r="B90" s="2486" t="s">
        <v>163</v>
      </c>
      <c r="C90" s="3049">
        <v>1699.3147706</v>
      </c>
      <c r="D90" s="3053">
        <v>124.45768606</v>
      </c>
      <c r="E90" s="3053">
        <v>102.76842983</v>
      </c>
      <c r="F90" s="3053">
        <v>240.20846731999998</v>
      </c>
      <c r="G90" s="3053">
        <v>215.49794549999999</v>
      </c>
      <c r="H90" s="3053">
        <v>350</v>
      </c>
      <c r="I90" s="3054">
        <v>367.67115389999998</v>
      </c>
      <c r="J90" s="3052">
        <v>298.7110879899999</v>
      </c>
      <c r="K90" s="2132"/>
    </row>
    <row r="91" spans="2:17" hidden="1">
      <c r="B91" s="2486" t="s">
        <v>164</v>
      </c>
      <c r="C91" s="3049">
        <v>1724.0381731499999</v>
      </c>
      <c r="D91" s="3053">
        <v>127.68186145999999</v>
      </c>
      <c r="E91" s="3053">
        <v>105.78565767000001</v>
      </c>
      <c r="F91" s="3053">
        <v>251.32328837</v>
      </c>
      <c r="G91" s="3053">
        <v>215.49794549999999</v>
      </c>
      <c r="H91" s="3053">
        <v>350</v>
      </c>
      <c r="I91" s="3054">
        <v>357.39578228000005</v>
      </c>
      <c r="J91" s="3052">
        <v>316.35363786999983</v>
      </c>
      <c r="K91" s="2132"/>
    </row>
    <row r="92" spans="2:17" hidden="1">
      <c r="B92" s="2486" t="s">
        <v>165</v>
      </c>
      <c r="C92" s="3049">
        <v>1753.6665893099998</v>
      </c>
      <c r="D92" s="3053">
        <v>134.52601518</v>
      </c>
      <c r="E92" s="3053">
        <v>106.35477766</v>
      </c>
      <c r="F92" s="3053">
        <v>239.44401458999999</v>
      </c>
      <c r="G92" s="3053">
        <v>215.49794549999999</v>
      </c>
      <c r="H92" s="3053">
        <v>350</v>
      </c>
      <c r="I92" s="3054">
        <v>372.84963171999999</v>
      </c>
      <c r="J92" s="3052">
        <v>334.99420465999992</v>
      </c>
      <c r="K92" s="2132"/>
    </row>
    <row r="93" spans="2:17" hidden="1">
      <c r="B93" s="2486" t="s">
        <v>166</v>
      </c>
      <c r="C93" s="3049">
        <v>1734.8213042700002</v>
      </c>
      <c r="D93" s="3053">
        <v>138.96483230000001</v>
      </c>
      <c r="E93" s="3053">
        <v>106.75299966</v>
      </c>
      <c r="F93" s="3053">
        <v>234.62320252000001</v>
      </c>
      <c r="G93" s="3053">
        <v>193.9479455</v>
      </c>
      <c r="H93" s="3053">
        <v>350</v>
      </c>
      <c r="I93" s="3054">
        <v>417.44540487999996</v>
      </c>
      <c r="J93" s="3052">
        <v>293.08691941000029</v>
      </c>
      <c r="K93" s="2132"/>
    </row>
    <row r="94" spans="2:17" hidden="1">
      <c r="B94" s="2486" t="s">
        <v>167</v>
      </c>
      <c r="C94" s="3049">
        <v>1760.9541967200003</v>
      </c>
      <c r="D94" s="3053">
        <v>142.81375782000001</v>
      </c>
      <c r="E94" s="3053">
        <v>107.67584366</v>
      </c>
      <c r="F94" s="3053">
        <v>234.62320252000001</v>
      </c>
      <c r="G94" s="3053">
        <v>193.9479455</v>
      </c>
      <c r="H94" s="3053">
        <v>350</v>
      </c>
      <c r="I94" s="3054">
        <v>400.71622873000001</v>
      </c>
      <c r="J94" s="3052">
        <v>331.17721849000031</v>
      </c>
      <c r="K94" s="2132"/>
      <c r="O94" s="2109"/>
    </row>
    <row r="95" spans="2:17" hidden="1">
      <c r="B95" s="2486" t="s">
        <v>168</v>
      </c>
      <c r="C95" s="3049">
        <v>1758.3231301600001</v>
      </c>
      <c r="D95" s="3053">
        <v>148.49404771000002</v>
      </c>
      <c r="E95" s="3053">
        <v>108.05585666</v>
      </c>
      <c r="F95" s="3053">
        <v>236.89413397000001</v>
      </c>
      <c r="G95" s="3053">
        <v>193.9479455</v>
      </c>
      <c r="H95" s="3053">
        <v>350</v>
      </c>
      <c r="I95" s="3054">
        <v>415.29897739</v>
      </c>
      <c r="J95" s="3052">
        <v>305.63216893000003</v>
      </c>
      <c r="K95" s="2132"/>
    </row>
    <row r="96" spans="2:17" hidden="1">
      <c r="B96" s="2486" t="s">
        <v>169</v>
      </c>
      <c r="C96" s="3049">
        <v>1772.67296554</v>
      </c>
      <c r="D96" s="3053">
        <v>146.74674127</v>
      </c>
      <c r="E96" s="3053">
        <v>110.31901266</v>
      </c>
      <c r="F96" s="3053">
        <v>231.69476047999999</v>
      </c>
      <c r="G96" s="3053">
        <v>193.9479455</v>
      </c>
      <c r="H96" s="3053">
        <v>350</v>
      </c>
      <c r="I96" s="3054">
        <v>413.16997657000002</v>
      </c>
      <c r="J96" s="3052">
        <v>326.79452905999983</v>
      </c>
      <c r="K96" s="2132"/>
    </row>
    <row r="97" spans="2:17" hidden="1">
      <c r="B97" s="2486" t="s">
        <v>170</v>
      </c>
      <c r="C97" s="3049">
        <v>1789.97436851</v>
      </c>
      <c r="D97" s="3053">
        <v>154.64808485</v>
      </c>
      <c r="E97" s="3053">
        <v>111.54470065999999</v>
      </c>
      <c r="F97" s="3053">
        <v>248.89429593</v>
      </c>
      <c r="G97" s="3053">
        <v>193.9479455</v>
      </c>
      <c r="H97" s="3053">
        <v>350</v>
      </c>
      <c r="I97" s="3054">
        <v>426.99436489000004</v>
      </c>
      <c r="J97" s="3052">
        <v>303.94497667999985</v>
      </c>
      <c r="K97" s="2132"/>
    </row>
    <row r="98" spans="2:17" hidden="1">
      <c r="B98" s="2486" t="s">
        <v>171</v>
      </c>
      <c r="C98" s="3049">
        <v>1802.5246369399999</v>
      </c>
      <c r="D98" s="3053">
        <v>156.94990547</v>
      </c>
      <c r="E98" s="3053">
        <v>110.93709265999999</v>
      </c>
      <c r="F98" s="3053">
        <v>255.51378503999999</v>
      </c>
      <c r="G98" s="3053">
        <v>193.9479455</v>
      </c>
      <c r="H98" s="3053">
        <v>350</v>
      </c>
      <c r="I98" s="3054">
        <v>427.54820852</v>
      </c>
      <c r="J98" s="3052">
        <v>307.62769975000015</v>
      </c>
      <c r="K98" s="2132"/>
    </row>
    <row r="99" spans="2:17">
      <c r="B99" s="2485">
        <v>2006</v>
      </c>
      <c r="C99" s="3049">
        <v>1772.9817346100001</v>
      </c>
      <c r="D99" s="3053">
        <v>153.639039</v>
      </c>
      <c r="E99" s="3053">
        <v>117.65655599999999</v>
      </c>
      <c r="F99" s="3053">
        <v>253.93525299999999</v>
      </c>
      <c r="G99" s="3053">
        <v>172.383039</v>
      </c>
      <c r="H99" s="3053">
        <v>300</v>
      </c>
      <c r="I99" s="3054">
        <v>445.05756300000002</v>
      </c>
      <c r="J99" s="3052">
        <v>330.31028461000005</v>
      </c>
      <c r="K99" s="2132"/>
    </row>
    <row r="100" spans="2:17" hidden="1">
      <c r="B100" s="2485">
        <v>2007</v>
      </c>
      <c r="C100" s="4025"/>
      <c r="D100" s="4026"/>
      <c r="E100" s="4026"/>
      <c r="F100" s="4026"/>
      <c r="G100" s="4026"/>
      <c r="H100" s="4026"/>
      <c r="I100" s="4026"/>
      <c r="J100" s="4026"/>
      <c r="K100" s="2132"/>
    </row>
    <row r="101" spans="2:17" hidden="1">
      <c r="B101" s="2486" t="s">
        <v>161</v>
      </c>
      <c r="C101" s="3049">
        <v>1787.6070850400001</v>
      </c>
      <c r="D101" s="3053">
        <v>158.70583754</v>
      </c>
      <c r="E101" s="3053">
        <v>124.6609218</v>
      </c>
      <c r="F101" s="3053">
        <v>121.48531813</v>
      </c>
      <c r="G101" s="3053">
        <v>172.3830385</v>
      </c>
      <c r="H101" s="3053">
        <v>300</v>
      </c>
      <c r="I101" s="3054">
        <v>426.35665198999999</v>
      </c>
      <c r="J101" s="3052">
        <v>484.01531708000016</v>
      </c>
      <c r="K101" s="2132"/>
    </row>
    <row r="102" spans="2:17" hidden="1">
      <c r="B102" s="2486" t="s">
        <v>162</v>
      </c>
      <c r="C102" s="3049">
        <v>1809.5851453999999</v>
      </c>
      <c r="D102" s="3053">
        <v>161.59940509999998</v>
      </c>
      <c r="E102" s="3053">
        <v>126.0669278</v>
      </c>
      <c r="F102" s="3053">
        <v>118.84999609</v>
      </c>
      <c r="G102" s="3053">
        <v>172.3830385</v>
      </c>
      <c r="H102" s="3053">
        <v>300</v>
      </c>
      <c r="I102" s="3054">
        <v>433.62215065000004</v>
      </c>
      <c r="J102" s="3052">
        <v>497.06362725999975</v>
      </c>
      <c r="K102" s="2132"/>
    </row>
    <row r="103" spans="2:17" hidden="1">
      <c r="B103" s="2486" t="s">
        <v>163</v>
      </c>
      <c r="C103" s="3049">
        <v>1817.17896638</v>
      </c>
      <c r="D103" s="3053">
        <v>167.53180174000002</v>
      </c>
      <c r="E103" s="3053">
        <v>127.4830278</v>
      </c>
      <c r="F103" s="3053">
        <v>120.96148856000001</v>
      </c>
      <c r="G103" s="3053">
        <v>172.3830385</v>
      </c>
      <c r="H103" s="3053">
        <v>300</v>
      </c>
      <c r="I103" s="3054">
        <v>423.16140608000001</v>
      </c>
      <c r="J103" s="3052">
        <v>505.65820369999983</v>
      </c>
      <c r="K103" s="2132"/>
      <c r="O103" s="2133"/>
    </row>
    <row r="104" spans="2:17" hidden="1">
      <c r="B104" s="2486" t="s">
        <v>164</v>
      </c>
      <c r="C104" s="3049">
        <v>1869.01036505</v>
      </c>
      <c r="D104" s="3053">
        <v>170.62920863999997</v>
      </c>
      <c r="E104" s="3053">
        <v>128.69302149999999</v>
      </c>
      <c r="F104" s="3053">
        <v>124.72500907999999</v>
      </c>
      <c r="G104" s="3053">
        <v>172.3830385</v>
      </c>
      <c r="H104" s="3053">
        <v>300</v>
      </c>
      <c r="I104" s="3054">
        <v>445.41279653999999</v>
      </c>
      <c r="J104" s="3052">
        <v>527.16729078999992</v>
      </c>
      <c r="K104" s="2132"/>
    </row>
    <row r="105" spans="2:17" hidden="1">
      <c r="B105" s="2486" t="s">
        <v>165</v>
      </c>
      <c r="C105" s="3049">
        <v>1880.6483818499999</v>
      </c>
      <c r="D105" s="3053">
        <v>177.81136222999999</v>
      </c>
      <c r="E105" s="3053">
        <v>130.87925379999999</v>
      </c>
      <c r="F105" s="3053">
        <v>130.60698361999999</v>
      </c>
      <c r="G105" s="3053">
        <v>172.3830385</v>
      </c>
      <c r="H105" s="3053">
        <v>300</v>
      </c>
      <c r="I105" s="3054">
        <v>460.26015086999996</v>
      </c>
      <c r="J105" s="3052">
        <v>508.70759282999984</v>
      </c>
      <c r="K105" s="2132"/>
    </row>
    <row r="106" spans="2:17" hidden="1">
      <c r="B106" s="2486" t="s">
        <v>166</v>
      </c>
      <c r="C106" s="3049">
        <v>1887.8954105700002</v>
      </c>
      <c r="D106" s="3053">
        <v>178.29037774</v>
      </c>
      <c r="E106" s="3053">
        <v>132.3221188</v>
      </c>
      <c r="F106" s="3053">
        <v>132.31784721</v>
      </c>
      <c r="G106" s="3053">
        <v>150.83303849999999</v>
      </c>
      <c r="H106" s="3053">
        <v>300</v>
      </c>
      <c r="I106" s="3054">
        <v>483.62359433</v>
      </c>
      <c r="J106" s="3052">
        <v>510.50843399000019</v>
      </c>
      <c r="K106" s="2132"/>
    </row>
    <row r="107" spans="2:17" hidden="1">
      <c r="B107" s="2486" t="s">
        <v>167</v>
      </c>
      <c r="C107" s="3049">
        <v>1909.386458212</v>
      </c>
      <c r="D107" s="3053">
        <v>185.09505399</v>
      </c>
      <c r="E107" s="3053">
        <v>130.83279680000001</v>
      </c>
      <c r="F107" s="3053">
        <v>137.14236894999999</v>
      </c>
      <c r="G107" s="3053">
        <v>150.83303849999999</v>
      </c>
      <c r="H107" s="3053">
        <v>300</v>
      </c>
      <c r="I107" s="3054">
        <v>502.99024102999999</v>
      </c>
      <c r="J107" s="3052">
        <v>502.49295894199986</v>
      </c>
      <c r="K107" s="2132"/>
    </row>
    <row r="108" spans="2:17" hidden="1">
      <c r="B108" s="2486" t="s">
        <v>168</v>
      </c>
      <c r="C108" s="3049">
        <v>1913.96847723</v>
      </c>
      <c r="D108" s="3053">
        <v>196.30360374</v>
      </c>
      <c r="E108" s="3053">
        <v>131.45591880000001</v>
      </c>
      <c r="F108" s="3053">
        <v>139.76065359999998</v>
      </c>
      <c r="G108" s="3053">
        <v>150.83303849999999</v>
      </c>
      <c r="H108" s="3053">
        <v>300</v>
      </c>
      <c r="I108" s="3054">
        <v>508.17061590999998</v>
      </c>
      <c r="J108" s="3052">
        <v>487.44464668000001</v>
      </c>
      <c r="K108" s="2132"/>
    </row>
    <row r="109" spans="2:17" hidden="1">
      <c r="B109" s="2486" t="s">
        <v>169</v>
      </c>
      <c r="C109" s="3049">
        <v>1957.8482330200002</v>
      </c>
      <c r="D109" s="3053">
        <v>196.42459790999999</v>
      </c>
      <c r="E109" s="3053">
        <v>133.69380432</v>
      </c>
      <c r="F109" s="3053">
        <v>143.70791961</v>
      </c>
      <c r="G109" s="3053">
        <v>0</v>
      </c>
      <c r="H109" s="3053">
        <v>490</v>
      </c>
      <c r="I109" s="3054">
        <v>490.57180649999998</v>
      </c>
      <c r="J109" s="3052">
        <v>503.45010468000032</v>
      </c>
      <c r="K109" s="2132"/>
    </row>
    <row r="110" spans="2:17" hidden="1">
      <c r="B110" s="2486" t="s">
        <v>170</v>
      </c>
      <c r="C110" s="3049">
        <v>2013.2970175</v>
      </c>
      <c r="D110" s="3053">
        <v>206.25981206999998</v>
      </c>
      <c r="E110" s="3053">
        <v>134.31514184</v>
      </c>
      <c r="F110" s="3053">
        <v>149.78527368000002</v>
      </c>
      <c r="G110" s="3053">
        <v>530</v>
      </c>
      <c r="H110" s="3053">
        <v>0</v>
      </c>
      <c r="I110" s="3054">
        <v>499.51285426000004</v>
      </c>
      <c r="J110" s="3052">
        <v>493.42393564999998</v>
      </c>
      <c r="K110" s="2132"/>
    </row>
    <row r="111" spans="2:17" hidden="1">
      <c r="B111" s="2486" t="s">
        <v>171</v>
      </c>
      <c r="C111" s="3049">
        <v>2048.4584003100003</v>
      </c>
      <c r="D111" s="3053">
        <v>222.39379894999999</v>
      </c>
      <c r="E111" s="3053">
        <v>136.05660587</v>
      </c>
      <c r="F111" s="3053">
        <v>154.69074309000001</v>
      </c>
      <c r="G111" s="3053">
        <v>0</v>
      </c>
      <c r="H111" s="3053">
        <v>530</v>
      </c>
      <c r="I111" s="3054">
        <v>512.69786571999998</v>
      </c>
      <c r="J111" s="3052">
        <v>492.61938668000039</v>
      </c>
      <c r="K111" s="2132"/>
    </row>
    <row r="112" spans="2:17">
      <c r="B112" s="2485">
        <v>2007</v>
      </c>
      <c r="C112" s="3492">
        <v>2030.7459090500004</v>
      </c>
      <c r="D112" s="3052">
        <v>198.97004200000001</v>
      </c>
      <c r="E112" s="3052">
        <v>141.40238400000001</v>
      </c>
      <c r="F112" s="3052">
        <v>303.76266399999997</v>
      </c>
      <c r="G112" s="3052">
        <v>0</v>
      </c>
      <c r="H112" s="3052">
        <v>480</v>
      </c>
      <c r="I112" s="3052">
        <v>531.53701999999998</v>
      </c>
      <c r="J112" s="3052">
        <v>375.07379905000039</v>
      </c>
      <c r="K112" s="2132"/>
      <c r="L112" s="2109"/>
      <c r="P112" s="2109"/>
      <c r="Q112" s="2109"/>
    </row>
    <row r="113" spans="2:17" hidden="1">
      <c r="B113" s="2485">
        <v>2008</v>
      </c>
      <c r="C113" s="2485"/>
      <c r="D113" s="2486"/>
      <c r="E113" s="2486"/>
      <c r="F113" s="2486"/>
      <c r="G113" s="2486"/>
      <c r="H113" s="2486"/>
      <c r="I113" s="2486"/>
      <c r="J113" s="2486"/>
      <c r="K113" s="2132"/>
      <c r="Q113" s="2109"/>
    </row>
    <row r="114" spans="2:17" hidden="1">
      <c r="B114" s="2486" t="s">
        <v>161</v>
      </c>
      <c r="C114" s="3049">
        <v>2062.5893459700001</v>
      </c>
      <c r="D114" s="3053">
        <v>207.08026031999998</v>
      </c>
      <c r="E114" s="3053">
        <v>150.75633073</v>
      </c>
      <c r="F114" s="3053">
        <v>160.01668587999998</v>
      </c>
      <c r="G114" s="3053">
        <v>0</v>
      </c>
      <c r="H114" s="3053">
        <v>480</v>
      </c>
      <c r="I114" s="3054">
        <v>560.12153392999994</v>
      </c>
      <c r="J114" s="3052">
        <v>504.61453511000013</v>
      </c>
      <c r="K114" s="2132"/>
    </row>
    <row r="115" spans="2:17" hidden="1">
      <c r="B115" s="2486" t="s">
        <v>162</v>
      </c>
      <c r="C115" s="3049">
        <v>2097.0746175499999</v>
      </c>
      <c r="D115" s="3053">
        <v>207.24890640000001</v>
      </c>
      <c r="E115" s="3053">
        <v>151.92598672999998</v>
      </c>
      <c r="F115" s="3053">
        <v>220.42527422999999</v>
      </c>
      <c r="G115" s="3053">
        <v>0</v>
      </c>
      <c r="H115" s="3053">
        <v>480</v>
      </c>
      <c r="I115" s="3054">
        <v>569.04826145000004</v>
      </c>
      <c r="J115" s="3052">
        <v>468.42618873999982</v>
      </c>
      <c r="K115" s="2132"/>
    </row>
    <row r="116" spans="2:17" hidden="1">
      <c r="B116" s="2486" t="s">
        <v>163</v>
      </c>
      <c r="C116" s="3049">
        <v>2404.1804417200001</v>
      </c>
      <c r="D116" s="3053">
        <v>216.74517865999999</v>
      </c>
      <c r="E116" s="3053">
        <v>154.12476918999999</v>
      </c>
      <c r="F116" s="3053">
        <v>168.20286175999999</v>
      </c>
      <c r="G116" s="3053">
        <v>0</v>
      </c>
      <c r="H116" s="3053">
        <v>780</v>
      </c>
      <c r="I116" s="3054">
        <v>553.11823759000004</v>
      </c>
      <c r="J116" s="3052">
        <v>531.98939451999991</v>
      </c>
      <c r="K116" s="2132"/>
    </row>
    <row r="117" spans="2:17" hidden="1">
      <c r="B117" s="2486" t="s">
        <v>164</v>
      </c>
      <c r="C117" s="3049">
        <v>2427.2286640600005</v>
      </c>
      <c r="D117" s="3053">
        <v>223.82656378999999</v>
      </c>
      <c r="E117" s="3053">
        <v>157.62868040999999</v>
      </c>
      <c r="F117" s="3053">
        <v>174.94125815000001</v>
      </c>
      <c r="G117" s="3053">
        <v>0</v>
      </c>
      <c r="H117" s="3053">
        <v>780</v>
      </c>
      <c r="I117" s="3054">
        <v>533.78376312</v>
      </c>
      <c r="J117" s="3052">
        <v>557.04839859000049</v>
      </c>
      <c r="K117" s="2132"/>
    </row>
    <row r="118" spans="2:17" hidden="1">
      <c r="B118" s="2486" t="s">
        <v>165</v>
      </c>
      <c r="C118" s="3049">
        <v>2451.7988047600006</v>
      </c>
      <c r="D118" s="3053">
        <v>234.08575829</v>
      </c>
      <c r="E118" s="3053">
        <v>158.56393940999999</v>
      </c>
      <c r="F118" s="3053">
        <v>179.28215371000002</v>
      </c>
      <c r="G118" s="3053">
        <v>0</v>
      </c>
      <c r="H118" s="3053">
        <v>780</v>
      </c>
      <c r="I118" s="3054">
        <v>561.59047584000007</v>
      </c>
      <c r="J118" s="3052">
        <v>538.2764775100004</v>
      </c>
      <c r="K118" s="2132"/>
    </row>
    <row r="119" spans="2:17" hidden="1">
      <c r="B119" s="2486" t="s">
        <v>166</v>
      </c>
      <c r="C119" s="3049">
        <v>2323.5115627700002</v>
      </c>
      <c r="D119" s="3053">
        <v>230.45123037000002</v>
      </c>
      <c r="E119" s="3053">
        <v>164.09515340999999</v>
      </c>
      <c r="F119" s="3053">
        <v>176.56992419999997</v>
      </c>
      <c r="G119" s="3053">
        <v>0</v>
      </c>
      <c r="H119" s="3053">
        <v>780</v>
      </c>
      <c r="I119" s="3054">
        <v>569.13668802999996</v>
      </c>
      <c r="J119" s="3052">
        <v>403.25856676000035</v>
      </c>
      <c r="K119" s="2132"/>
      <c r="M119" s="2109"/>
      <c r="N119" s="2109"/>
    </row>
    <row r="120" spans="2:17" hidden="1">
      <c r="B120" s="2486" t="s">
        <v>167</v>
      </c>
      <c r="C120" s="3049">
        <v>2311.6674841599997</v>
      </c>
      <c r="D120" s="3053">
        <v>237.51119338000001</v>
      </c>
      <c r="E120" s="3053">
        <v>167.57720040999999</v>
      </c>
      <c r="F120" s="3053">
        <v>179.57388947000001</v>
      </c>
      <c r="G120" s="3053">
        <v>0</v>
      </c>
      <c r="H120" s="3053">
        <v>780</v>
      </c>
      <c r="I120" s="3054">
        <v>471.24706255999996</v>
      </c>
      <c r="J120" s="3052">
        <v>475.75813833999973</v>
      </c>
      <c r="K120" s="2132"/>
      <c r="M120" s="2109"/>
    </row>
    <row r="121" spans="2:17" hidden="1">
      <c r="B121" s="2486" t="s">
        <v>168</v>
      </c>
      <c r="C121" s="3049">
        <v>2326.5236151000004</v>
      </c>
      <c r="D121" s="3053">
        <v>243.23111971</v>
      </c>
      <c r="E121" s="3053">
        <v>169.63961040999999</v>
      </c>
      <c r="F121" s="3053">
        <v>203.13251868</v>
      </c>
      <c r="G121" s="3053">
        <v>0</v>
      </c>
      <c r="H121" s="3053">
        <v>780</v>
      </c>
      <c r="I121" s="3054">
        <v>579.17344087000004</v>
      </c>
      <c r="J121" s="3052">
        <v>351.34692543000028</v>
      </c>
      <c r="K121" s="2132"/>
    </row>
    <row r="122" spans="2:17" hidden="1">
      <c r="B122" s="2486" t="s">
        <v>169</v>
      </c>
      <c r="C122" s="3049">
        <v>2308.7128404300001</v>
      </c>
      <c r="D122" s="3053">
        <v>249.60803565000001</v>
      </c>
      <c r="E122" s="3053">
        <v>172.12347640999999</v>
      </c>
      <c r="F122" s="3053">
        <v>190.79007031</v>
      </c>
      <c r="G122" s="3053">
        <v>0</v>
      </c>
      <c r="H122" s="3053">
        <v>780</v>
      </c>
      <c r="I122" s="3054">
        <v>590.71942617000002</v>
      </c>
      <c r="J122" s="3052">
        <v>325.47183188999998</v>
      </c>
      <c r="K122" s="2132"/>
    </row>
    <row r="123" spans="2:17" hidden="1">
      <c r="B123" s="2486" t="s">
        <v>170</v>
      </c>
      <c r="C123" s="3049">
        <v>2399.1078449900001</v>
      </c>
      <c r="D123" s="3053">
        <v>261.76249418999998</v>
      </c>
      <c r="E123" s="3053">
        <v>177.07870041000001</v>
      </c>
      <c r="F123" s="3053">
        <v>197.56585061000001</v>
      </c>
      <c r="G123" s="3053">
        <v>0</v>
      </c>
      <c r="H123" s="3053">
        <v>780</v>
      </c>
      <c r="I123" s="3054">
        <v>609.89210888000002</v>
      </c>
      <c r="J123" s="3052">
        <v>372.8086909000001</v>
      </c>
      <c r="K123" s="2132"/>
    </row>
    <row r="124" spans="2:17" hidden="1">
      <c r="B124" s="2486" t="s">
        <v>171</v>
      </c>
      <c r="C124" s="3049">
        <v>2413.9184717000003</v>
      </c>
      <c r="D124" s="3053">
        <v>534.90962039999999</v>
      </c>
      <c r="E124" s="3053">
        <v>179.22536241</v>
      </c>
      <c r="F124" s="3053">
        <v>524.36429619</v>
      </c>
      <c r="G124" s="3053">
        <v>0</v>
      </c>
      <c r="H124" s="3053">
        <v>780</v>
      </c>
      <c r="I124" s="3054">
        <v>626.98709108000003</v>
      </c>
      <c r="J124" s="3052">
        <v>-231.56789837999986</v>
      </c>
      <c r="K124" s="2132"/>
    </row>
    <row r="125" spans="2:17">
      <c r="B125" s="2485">
        <v>2008</v>
      </c>
      <c r="C125" s="3049">
        <v>2600.7298603300001</v>
      </c>
      <c r="D125" s="3053">
        <v>261.40388231000003</v>
      </c>
      <c r="E125" s="3053">
        <v>183.41783741</v>
      </c>
      <c r="F125" s="3053">
        <v>206.07628269</v>
      </c>
      <c r="G125" s="3053">
        <v>0</v>
      </c>
      <c r="H125" s="3053">
        <v>780</v>
      </c>
      <c r="I125" s="3054">
        <v>644.14652897000008</v>
      </c>
      <c r="J125" s="3052">
        <v>525.68532894999998</v>
      </c>
      <c r="K125" s="2132"/>
    </row>
    <row r="126" spans="2:17" hidden="1">
      <c r="B126" s="2485">
        <v>2009</v>
      </c>
      <c r="C126" s="2485"/>
      <c r="D126" s="2486"/>
      <c r="E126" s="2486"/>
      <c r="F126" s="2486"/>
      <c r="G126" s="2486"/>
      <c r="H126" s="2486"/>
      <c r="I126" s="2486"/>
      <c r="J126" s="2486"/>
      <c r="K126" s="2132"/>
      <c r="M126" s="2109"/>
    </row>
    <row r="127" spans="2:17" hidden="1">
      <c r="B127" s="2486" t="s">
        <v>161</v>
      </c>
      <c r="C127" s="3049">
        <v>2497.8637322700001</v>
      </c>
      <c r="D127" s="3053">
        <v>561.1513044400001</v>
      </c>
      <c r="E127" s="3053">
        <v>196.25073387</v>
      </c>
      <c r="F127" s="3053">
        <v>288.25076877999999</v>
      </c>
      <c r="G127" s="3053">
        <v>0</v>
      </c>
      <c r="H127" s="3053">
        <v>757</v>
      </c>
      <c r="I127" s="3054">
        <v>693.18840285999988</v>
      </c>
      <c r="J127" s="3052">
        <v>2.0225223200000073</v>
      </c>
      <c r="K127" s="2132"/>
    </row>
    <row r="128" spans="2:17" hidden="1">
      <c r="B128" s="2486" t="s">
        <v>162</v>
      </c>
      <c r="C128" s="3049">
        <v>2560.6791509200002</v>
      </c>
      <c r="D128" s="3053">
        <v>271.28949272000006</v>
      </c>
      <c r="E128" s="3053">
        <v>200.17286887</v>
      </c>
      <c r="F128" s="3053">
        <v>233.12607947999999</v>
      </c>
      <c r="G128" s="3053">
        <v>0</v>
      </c>
      <c r="H128" s="3053">
        <v>757</v>
      </c>
      <c r="I128" s="3054">
        <v>679.13253641000006</v>
      </c>
      <c r="J128" s="3052">
        <v>419.95817343999988</v>
      </c>
      <c r="K128" s="2132"/>
    </row>
    <row r="129" spans="1:12" hidden="1">
      <c r="B129" s="2486" t="s">
        <v>163</v>
      </c>
      <c r="C129" s="3049">
        <v>2547.5935975300004</v>
      </c>
      <c r="D129" s="3053">
        <v>275.68843558999998</v>
      </c>
      <c r="E129" s="3053">
        <v>197.13821827000001</v>
      </c>
      <c r="F129" s="3053">
        <v>212.65432915</v>
      </c>
      <c r="G129" s="3053">
        <v>0</v>
      </c>
      <c r="H129" s="3053">
        <v>757</v>
      </c>
      <c r="I129" s="3054">
        <v>686.98636248000003</v>
      </c>
      <c r="J129" s="3052">
        <v>418.12625204000051</v>
      </c>
      <c r="K129" s="2132"/>
    </row>
    <row r="130" spans="1:12" hidden="1">
      <c r="B130" s="2486" t="s">
        <v>164</v>
      </c>
      <c r="C130" s="3049">
        <v>2713.6835558100001</v>
      </c>
      <c r="D130" s="3053">
        <v>578.37998698000001</v>
      </c>
      <c r="E130" s="3053">
        <v>207.42232872999998</v>
      </c>
      <c r="F130" s="3053">
        <v>590.10843072</v>
      </c>
      <c r="G130" s="3053">
        <v>0</v>
      </c>
      <c r="H130" s="3053">
        <v>757</v>
      </c>
      <c r="I130" s="3054">
        <v>658.38650633999998</v>
      </c>
      <c r="J130" s="3052">
        <v>-77.613696959999743</v>
      </c>
      <c r="K130" s="2132"/>
      <c r="L130" s="2109"/>
    </row>
    <row r="131" spans="1:12" hidden="1">
      <c r="B131" s="2486" t="s">
        <v>165</v>
      </c>
      <c r="C131" s="3049">
        <v>2725.7564944800001</v>
      </c>
      <c r="D131" s="3053">
        <v>290.16890766</v>
      </c>
      <c r="E131" s="3053">
        <v>209.42905255000002</v>
      </c>
      <c r="F131" s="3053">
        <v>216.13452006</v>
      </c>
      <c r="G131" s="3053">
        <v>0</v>
      </c>
      <c r="H131" s="3053">
        <v>757</v>
      </c>
      <c r="I131" s="3054">
        <v>661.90444350000007</v>
      </c>
      <c r="J131" s="3052">
        <v>591.11957071000006</v>
      </c>
      <c r="K131" s="2132"/>
    </row>
    <row r="132" spans="1:12" hidden="1">
      <c r="B132" s="2486" t="s">
        <v>166</v>
      </c>
      <c r="C132" s="3049">
        <v>2754.0139368600003</v>
      </c>
      <c r="D132" s="3053">
        <v>299.51240267999998</v>
      </c>
      <c r="E132" s="3053">
        <v>211.28725255000001</v>
      </c>
      <c r="F132" s="3053">
        <v>223.42914228999999</v>
      </c>
      <c r="G132" s="3053">
        <v>0</v>
      </c>
      <c r="H132" s="3053">
        <v>757</v>
      </c>
      <c r="I132" s="3054">
        <v>719.07986386999994</v>
      </c>
      <c r="J132" s="3052">
        <v>543.70527547000029</v>
      </c>
      <c r="K132" s="2132"/>
    </row>
    <row r="133" spans="1:12" hidden="1">
      <c r="B133" s="2486" t="s">
        <v>167</v>
      </c>
      <c r="C133" s="3049">
        <v>2815.6559257599997</v>
      </c>
      <c r="D133" s="3053">
        <v>307.81942750000002</v>
      </c>
      <c r="E133" s="3053">
        <v>212.95146455000003</v>
      </c>
      <c r="F133" s="3053">
        <v>227.65557024</v>
      </c>
      <c r="G133" s="3053">
        <v>757</v>
      </c>
      <c r="H133" s="3053">
        <v>0</v>
      </c>
      <c r="I133" s="3054">
        <v>627.63591767000003</v>
      </c>
      <c r="J133" s="3052">
        <v>682.5935457999999</v>
      </c>
      <c r="K133" s="2132"/>
    </row>
    <row r="134" spans="1:12" hidden="1">
      <c r="B134" s="2486" t="s">
        <v>168</v>
      </c>
      <c r="C134" s="3049">
        <v>3302.38323709</v>
      </c>
      <c r="D134" s="3053">
        <v>315.49248648000003</v>
      </c>
      <c r="E134" s="3053">
        <v>214.36465155000002</v>
      </c>
      <c r="F134" s="3053">
        <v>229.69136883000002</v>
      </c>
      <c r="G134" s="3053">
        <v>0</v>
      </c>
      <c r="H134" s="3053">
        <v>0</v>
      </c>
      <c r="I134" s="3054">
        <v>681.29570882999997</v>
      </c>
      <c r="J134" s="3052">
        <v>1861.5390213999999</v>
      </c>
      <c r="K134" s="2132"/>
    </row>
    <row r="135" spans="1:12" hidden="1">
      <c r="B135" s="2486" t="s">
        <v>169</v>
      </c>
      <c r="C135" s="3049">
        <v>3282.2094700400003</v>
      </c>
      <c r="D135" s="3053">
        <v>320.21414399000003</v>
      </c>
      <c r="E135" s="3053">
        <v>214.54806755000001</v>
      </c>
      <c r="F135" s="3053">
        <v>235.50560338999998</v>
      </c>
      <c r="G135" s="3053">
        <v>0</v>
      </c>
      <c r="H135" s="3053">
        <v>1257</v>
      </c>
      <c r="I135" s="3054">
        <v>714.30411501200001</v>
      </c>
      <c r="J135" s="3052">
        <v>540.6375400980005</v>
      </c>
      <c r="K135" s="2132"/>
    </row>
    <row r="136" spans="1:12" hidden="1">
      <c r="B136" s="2486" t="s">
        <v>170</v>
      </c>
      <c r="C136" s="3049">
        <v>3247.3656167499994</v>
      </c>
      <c r="D136" s="3053">
        <v>334.44838746000005</v>
      </c>
      <c r="E136" s="3053">
        <v>214.82253355</v>
      </c>
      <c r="F136" s="3053">
        <v>241.40549158999997</v>
      </c>
      <c r="G136" s="3053">
        <v>0</v>
      </c>
      <c r="H136" s="3053">
        <v>1207</v>
      </c>
      <c r="I136" s="3054">
        <v>704.38617664866661</v>
      </c>
      <c r="J136" s="3052">
        <v>545.30302750133251</v>
      </c>
      <c r="K136" s="2132"/>
    </row>
    <row r="137" spans="1:12" hidden="1">
      <c r="B137" s="2486" t="s">
        <v>171</v>
      </c>
      <c r="C137" s="3049">
        <v>3244.8723669999999</v>
      </c>
      <c r="D137" s="3053">
        <v>339.19137187000001</v>
      </c>
      <c r="E137" s="3053">
        <v>234.84065855</v>
      </c>
      <c r="F137" s="3053">
        <v>242.87772269999999</v>
      </c>
      <c r="G137" s="3053">
        <v>0</v>
      </c>
      <c r="H137" s="3053">
        <v>1207</v>
      </c>
      <c r="I137" s="3054">
        <v>726.46593606199997</v>
      </c>
      <c r="J137" s="3052">
        <v>494.49667781800008</v>
      </c>
      <c r="K137" s="2132"/>
    </row>
    <row r="138" spans="1:12" s="2139" customFormat="1">
      <c r="A138" s="2101"/>
      <c r="B138" s="2485">
        <v>2009</v>
      </c>
      <c r="C138" s="3049">
        <v>3328.8768078200005</v>
      </c>
      <c r="D138" s="3053">
        <v>342.29424</v>
      </c>
      <c r="E138" s="3053">
        <v>233.06748899999999</v>
      </c>
      <c r="F138" s="3053">
        <v>433.73102599999999</v>
      </c>
      <c r="G138" s="3053">
        <v>0</v>
      </c>
      <c r="H138" s="3053">
        <v>1184</v>
      </c>
      <c r="I138" s="3054">
        <v>799.83289100000002</v>
      </c>
      <c r="J138" s="3052">
        <v>335.95116182000083</v>
      </c>
      <c r="K138" s="2132"/>
    </row>
    <row r="139" spans="1:12" s="2139" customFormat="1" hidden="1">
      <c r="A139" s="2101"/>
      <c r="B139" s="2485">
        <v>2010</v>
      </c>
      <c r="C139" s="2485"/>
      <c r="D139" s="2486"/>
      <c r="E139" s="2486"/>
      <c r="F139" s="2486"/>
      <c r="G139" s="2486"/>
      <c r="H139" s="2486"/>
      <c r="I139" s="2486"/>
      <c r="J139" s="2486"/>
      <c r="K139" s="2132"/>
    </row>
    <row r="140" spans="1:12" s="2139" customFormat="1" hidden="1">
      <c r="A140" s="2101"/>
      <c r="B140" s="2486" t="s">
        <v>161</v>
      </c>
      <c r="C140" s="2692">
        <v>3377.8870709900002</v>
      </c>
      <c r="D140" s="2693">
        <v>658.28706398999998</v>
      </c>
      <c r="E140" s="2693">
        <v>250.45008691000004</v>
      </c>
      <c r="F140" s="2693">
        <v>239.68116396999997</v>
      </c>
      <c r="G140" s="2693">
        <v>0</v>
      </c>
      <c r="H140" s="2693">
        <v>1184</v>
      </c>
      <c r="I140" s="2694">
        <v>774.75222622760032</v>
      </c>
      <c r="J140" s="2695">
        <v>270.7165298924001</v>
      </c>
      <c r="K140" s="2132"/>
    </row>
    <row r="141" spans="1:12" s="2139" customFormat="1" hidden="1">
      <c r="A141" s="2101"/>
      <c r="B141" s="2486" t="s">
        <v>162</v>
      </c>
      <c r="C141" s="2692">
        <v>3426.1320771699989</v>
      </c>
      <c r="D141" s="2693">
        <v>334.29286846000002</v>
      </c>
      <c r="E141" s="2693">
        <v>251.00876309000003</v>
      </c>
      <c r="F141" s="2693">
        <v>221.03357675000001</v>
      </c>
      <c r="G141" s="2693">
        <v>0</v>
      </c>
      <c r="H141" s="2693">
        <v>1184</v>
      </c>
      <c r="I141" s="2694">
        <v>720.66770332299996</v>
      </c>
      <c r="J141" s="2695">
        <v>715.12916554699905</v>
      </c>
      <c r="K141" s="2132"/>
    </row>
    <row r="142" spans="1:12" s="2139" customFormat="1" hidden="1">
      <c r="A142" s="2101"/>
      <c r="B142" s="2486" t="s">
        <v>163</v>
      </c>
      <c r="C142" s="2692">
        <v>3529.1485406599954</v>
      </c>
      <c r="D142" s="2693">
        <v>360.89037962999998</v>
      </c>
      <c r="E142" s="2693">
        <v>272.8965973</v>
      </c>
      <c r="F142" s="2693">
        <v>654.02947959000005</v>
      </c>
      <c r="G142" s="2693">
        <v>1284</v>
      </c>
      <c r="H142" s="2693">
        <v>0</v>
      </c>
      <c r="I142" s="2694">
        <v>685.74023171099998</v>
      </c>
      <c r="J142" s="2695">
        <v>271.59185242899548</v>
      </c>
      <c r="K142" s="2132"/>
    </row>
    <row r="143" spans="1:12" s="2139" customFormat="1" hidden="1">
      <c r="A143" s="2101"/>
      <c r="B143" s="2486" t="s">
        <v>164</v>
      </c>
      <c r="C143" s="2692">
        <v>3713.50474184</v>
      </c>
      <c r="D143" s="2693">
        <v>376.55484290000004</v>
      </c>
      <c r="E143" s="2693">
        <v>270.74466050000007</v>
      </c>
      <c r="F143" s="2693">
        <v>262.15111958</v>
      </c>
      <c r="G143" s="2693">
        <v>0</v>
      </c>
      <c r="H143" s="2693">
        <v>1384</v>
      </c>
      <c r="I143" s="2694">
        <v>694.22214762999999</v>
      </c>
      <c r="J143" s="2695">
        <v>725.83197122999991</v>
      </c>
      <c r="K143" s="2132"/>
    </row>
    <row r="144" spans="1:12" s="2139" customFormat="1" hidden="1">
      <c r="A144" s="2101"/>
      <c r="B144" s="2486" t="s">
        <v>165</v>
      </c>
      <c r="C144" s="2692">
        <v>4245.9558882299971</v>
      </c>
      <c r="D144" s="2693">
        <v>386.60134775</v>
      </c>
      <c r="E144" s="2693">
        <v>274.29358684000005</v>
      </c>
      <c r="F144" s="2693">
        <v>262.58623432000002</v>
      </c>
      <c r="G144" s="2693">
        <v>0</v>
      </c>
      <c r="H144" s="2693">
        <v>1484.1</v>
      </c>
      <c r="I144" s="2694">
        <v>741.8324825960002</v>
      </c>
      <c r="J144" s="2695">
        <v>1096.5422367239967</v>
      </c>
      <c r="K144" s="2132"/>
      <c r="L144" s="2138"/>
    </row>
    <row r="145" spans="1:16" s="2139" customFormat="1" hidden="1">
      <c r="A145" s="2101"/>
      <c r="B145" s="2486" t="s">
        <v>166</v>
      </c>
      <c r="C145" s="2692">
        <v>4899.1770409999981</v>
      </c>
      <c r="D145" s="2693">
        <v>400.13336863000001</v>
      </c>
      <c r="E145" s="2693">
        <v>281.05256132</v>
      </c>
      <c r="F145" s="2693">
        <v>271.45325345999998</v>
      </c>
      <c r="G145" s="2693">
        <v>400</v>
      </c>
      <c r="H145" s="2693">
        <v>1707.7629999999999</v>
      </c>
      <c r="I145" s="2694">
        <v>824.95573193799999</v>
      </c>
      <c r="J145" s="2695">
        <v>1013.8191256519981</v>
      </c>
      <c r="K145" s="2132"/>
    </row>
    <row r="146" spans="1:16" s="2139" customFormat="1" hidden="1">
      <c r="A146" s="2101"/>
      <c r="B146" s="2486" t="s">
        <v>167</v>
      </c>
      <c r="C146" s="2692">
        <v>5585.2565042299993</v>
      </c>
      <c r="D146" s="2693">
        <v>403.42467281</v>
      </c>
      <c r="E146" s="2693">
        <v>284.52907802000004</v>
      </c>
      <c r="F146" s="2693">
        <v>273.12296254999995</v>
      </c>
      <c r="G146" s="2693">
        <v>400</v>
      </c>
      <c r="H146" s="2693">
        <v>2425.98</v>
      </c>
      <c r="I146" s="2694">
        <v>860.8474784440001</v>
      </c>
      <c r="J146" s="2695">
        <v>937.35231240599933</v>
      </c>
      <c r="K146" s="2132"/>
    </row>
    <row r="147" spans="1:16" s="2139" customFormat="1" hidden="1">
      <c r="A147" s="2101"/>
      <c r="B147" s="2486" t="s">
        <v>168</v>
      </c>
      <c r="C147" s="2692">
        <v>5596.8028887299943</v>
      </c>
      <c r="D147" s="2693">
        <v>426.09893808999999</v>
      </c>
      <c r="E147" s="2693">
        <v>290.13694192000003</v>
      </c>
      <c r="F147" s="2693">
        <v>278.22371820000001</v>
      </c>
      <c r="G147" s="2693">
        <v>2983.98</v>
      </c>
      <c r="H147" s="2693">
        <v>0</v>
      </c>
      <c r="I147" s="2694">
        <v>834.87744678800004</v>
      </c>
      <c r="J147" s="2695">
        <v>783.48584373199446</v>
      </c>
      <c r="K147" s="2132"/>
    </row>
    <row r="148" spans="1:16" s="2139" customFormat="1" hidden="1">
      <c r="A148" s="2101"/>
      <c r="B148" s="2486" t="s">
        <v>169</v>
      </c>
      <c r="C148" s="2692">
        <v>5651.1777056499996</v>
      </c>
      <c r="D148" s="2693">
        <v>431.05435065</v>
      </c>
      <c r="E148" s="2693">
        <v>297.48422592000003</v>
      </c>
      <c r="F148" s="2693">
        <v>280.48171970999999</v>
      </c>
      <c r="G148" s="2693">
        <v>2983.98</v>
      </c>
      <c r="H148" s="2693">
        <v>0</v>
      </c>
      <c r="I148" s="2694">
        <v>868.49222378699983</v>
      </c>
      <c r="J148" s="2695">
        <v>789.68518558300002</v>
      </c>
      <c r="K148" s="2132"/>
    </row>
    <row r="149" spans="1:16" s="2139" customFormat="1" hidden="1">
      <c r="A149" s="2101"/>
      <c r="B149" s="2486" t="s">
        <v>170</v>
      </c>
      <c r="C149" s="2692">
        <v>5695.8508915800003</v>
      </c>
      <c r="D149" s="2693">
        <v>442.15780532999997</v>
      </c>
      <c r="E149" s="2693">
        <v>300.55994392000002</v>
      </c>
      <c r="F149" s="2693">
        <v>281.67644024000003</v>
      </c>
      <c r="G149" s="2693">
        <v>0</v>
      </c>
      <c r="H149" s="2693">
        <v>2983.98</v>
      </c>
      <c r="I149" s="2694">
        <v>883.67761698300023</v>
      </c>
      <c r="J149" s="2695">
        <v>803.79908510699988</v>
      </c>
      <c r="K149" s="2132"/>
      <c r="O149" s="2138"/>
      <c r="P149" s="2138"/>
    </row>
    <row r="150" spans="1:16" s="2139" customFormat="1" hidden="1">
      <c r="A150" s="2101"/>
      <c r="B150" s="2486" t="s">
        <v>171</v>
      </c>
      <c r="C150" s="2692">
        <v>5710.4956262600017</v>
      </c>
      <c r="D150" s="2693">
        <v>456.36300677999998</v>
      </c>
      <c r="E150" s="2693">
        <v>310.55980562000002</v>
      </c>
      <c r="F150" s="2693">
        <v>286.14052542999997</v>
      </c>
      <c r="G150" s="2693">
        <v>0</v>
      </c>
      <c r="H150" s="2693">
        <v>2983.98</v>
      </c>
      <c r="I150" s="2694">
        <v>917.02784983400022</v>
      </c>
      <c r="J150" s="2695">
        <v>756.42443859600189</v>
      </c>
      <c r="K150" s="2132"/>
    </row>
    <row r="151" spans="1:16" s="2139" customFormat="1">
      <c r="A151" s="2108"/>
      <c r="B151" s="2485">
        <v>2010</v>
      </c>
      <c r="C151" s="2692">
        <v>5584.0849618000002</v>
      </c>
      <c r="D151" s="2693">
        <v>472.44553999999999</v>
      </c>
      <c r="E151" s="2693">
        <v>308.26154922000001</v>
      </c>
      <c r="F151" s="2693">
        <v>498.435292</v>
      </c>
      <c r="G151" s="2693">
        <v>300</v>
      </c>
      <c r="H151" s="2693">
        <v>2660.98</v>
      </c>
      <c r="I151" s="2694">
        <v>974.41981099999998</v>
      </c>
      <c r="J151" s="2695">
        <v>369.54276957999991</v>
      </c>
      <c r="K151" s="2132"/>
    </row>
    <row r="152" spans="1:16" s="2139" customFormat="1" hidden="1">
      <c r="A152" s="2108"/>
      <c r="B152" s="2485">
        <v>2011</v>
      </c>
      <c r="C152" s="2696"/>
      <c r="D152" s="2695"/>
      <c r="E152" s="2695"/>
      <c r="F152" s="2695"/>
      <c r="G152" s="2695"/>
      <c r="H152" s="2695"/>
      <c r="I152" s="2695"/>
      <c r="J152" s="2695"/>
      <c r="K152" s="2132"/>
    </row>
    <row r="153" spans="1:16" s="2139" customFormat="1" hidden="1">
      <c r="A153" s="2108"/>
      <c r="B153" s="2486" t="s">
        <v>161</v>
      </c>
      <c r="C153" s="2692">
        <v>5584.5567680500008</v>
      </c>
      <c r="D153" s="2693">
        <v>0</v>
      </c>
      <c r="E153" s="2693">
        <v>0</v>
      </c>
      <c r="F153" s="2693">
        <v>0</v>
      </c>
      <c r="G153" s="2693">
        <v>300</v>
      </c>
      <c r="H153" s="2693">
        <v>2660.98</v>
      </c>
      <c r="I153" s="2694">
        <v>976.3638655609999</v>
      </c>
      <c r="J153" s="2695">
        <v>1647.212902489001</v>
      </c>
      <c r="K153" s="2132"/>
    </row>
    <row r="154" spans="1:16" s="2139" customFormat="1" hidden="1">
      <c r="A154" s="2108"/>
      <c r="B154" s="2486" t="s">
        <v>162</v>
      </c>
      <c r="C154" s="2692">
        <v>5856.9122788599989</v>
      </c>
      <c r="D154" s="2693">
        <v>0</v>
      </c>
      <c r="E154" s="2693">
        <v>0</v>
      </c>
      <c r="F154" s="2693">
        <v>0</v>
      </c>
      <c r="G154" s="2693">
        <v>500</v>
      </c>
      <c r="H154" s="2693">
        <v>2660.97</v>
      </c>
      <c r="I154" s="2694">
        <v>812.60463782999989</v>
      </c>
      <c r="J154" s="2695">
        <v>1883.3376410299993</v>
      </c>
      <c r="K154" s="2132"/>
    </row>
    <row r="155" spans="1:16" s="2139" customFormat="1" hidden="1">
      <c r="A155" s="2108"/>
      <c r="B155" s="2486" t="s">
        <v>163</v>
      </c>
      <c r="C155" s="2692">
        <v>5942.326017639999</v>
      </c>
      <c r="D155" s="2693">
        <v>0</v>
      </c>
      <c r="E155" s="2693">
        <v>0</v>
      </c>
      <c r="F155" s="2693">
        <v>0</v>
      </c>
      <c r="G155" s="2693">
        <v>500</v>
      </c>
      <c r="H155" s="2693">
        <v>2660.97</v>
      </c>
      <c r="I155" s="2694">
        <v>714.37060093999992</v>
      </c>
      <c r="J155" s="2695">
        <v>2066.9854166999994</v>
      </c>
      <c r="K155" s="2132"/>
    </row>
    <row r="156" spans="1:16" s="2139" customFormat="1" hidden="1">
      <c r="A156" s="2108"/>
      <c r="B156" s="2486" t="s">
        <v>164</v>
      </c>
      <c r="C156" s="2692">
        <v>5961.4271311900002</v>
      </c>
      <c r="D156" s="2693">
        <v>0</v>
      </c>
      <c r="E156" s="2693">
        <v>0</v>
      </c>
      <c r="F156" s="2693">
        <v>0</v>
      </c>
      <c r="G156" s="2693">
        <v>1161</v>
      </c>
      <c r="H156" s="2693">
        <v>1999.97</v>
      </c>
      <c r="I156" s="2694">
        <v>814.71864547000007</v>
      </c>
      <c r="J156" s="2695">
        <v>1985.73848572</v>
      </c>
      <c r="K156" s="2132"/>
    </row>
    <row r="157" spans="1:16" s="2139" customFormat="1" hidden="1">
      <c r="A157" s="2108"/>
      <c r="B157" s="2486" t="s">
        <v>165</v>
      </c>
      <c r="C157" s="2692">
        <v>6017.4912897499953</v>
      </c>
      <c r="D157" s="2693">
        <v>0</v>
      </c>
      <c r="E157" s="2693">
        <v>0</v>
      </c>
      <c r="F157" s="2693">
        <v>0</v>
      </c>
      <c r="G157" s="2693">
        <v>500</v>
      </c>
      <c r="H157" s="2693">
        <v>2660.97</v>
      </c>
      <c r="I157" s="2694">
        <v>852.08139198000003</v>
      </c>
      <c r="J157" s="2695">
        <v>2004.4398977699957</v>
      </c>
      <c r="K157" s="2132"/>
      <c r="M157" s="2139" t="s">
        <v>1465</v>
      </c>
    </row>
    <row r="158" spans="1:16" s="2139" customFormat="1" hidden="1">
      <c r="A158" s="2108"/>
      <c r="B158" s="2486" t="s">
        <v>166</v>
      </c>
      <c r="C158" s="2692">
        <v>6095.3870445799994</v>
      </c>
      <c r="D158" s="2693">
        <v>0</v>
      </c>
      <c r="E158" s="2693">
        <v>0</v>
      </c>
      <c r="F158" s="2693">
        <v>0</v>
      </c>
      <c r="G158" s="2693">
        <v>500</v>
      </c>
      <c r="H158" s="2693">
        <v>2660.97</v>
      </c>
      <c r="I158" s="2694">
        <v>1037.18046854</v>
      </c>
      <c r="J158" s="2695">
        <v>1897.2365760399998</v>
      </c>
      <c r="K158" s="2132"/>
    </row>
    <row r="159" spans="1:16" s="2139" customFormat="1" ht="18" hidden="1" customHeight="1">
      <c r="A159" s="2108"/>
      <c r="B159" s="2486" t="s">
        <v>167</v>
      </c>
      <c r="C159" s="2692">
        <v>6192.2153206899993</v>
      </c>
      <c r="D159" s="2693">
        <v>0</v>
      </c>
      <c r="E159" s="2693">
        <v>0</v>
      </c>
      <c r="F159" s="2693">
        <v>0</v>
      </c>
      <c r="G159" s="2693">
        <v>500</v>
      </c>
      <c r="H159" s="2693">
        <v>2660.97</v>
      </c>
      <c r="I159" s="2694">
        <v>1016.76639196</v>
      </c>
      <c r="J159" s="2695">
        <v>2014.47892873</v>
      </c>
      <c r="K159" s="2132"/>
    </row>
    <row r="160" spans="1:16" s="2139" customFormat="1" ht="18" hidden="1" customHeight="1">
      <c r="A160" s="2108"/>
      <c r="B160" s="2486" t="s">
        <v>168</v>
      </c>
      <c r="C160" s="2692">
        <v>6102.8271497599944</v>
      </c>
      <c r="D160" s="2693">
        <v>0</v>
      </c>
      <c r="E160" s="2693">
        <v>0</v>
      </c>
      <c r="F160" s="2693">
        <v>0</v>
      </c>
      <c r="G160" s="2693">
        <v>500</v>
      </c>
      <c r="H160" s="2693">
        <v>2660.97</v>
      </c>
      <c r="I160" s="2694">
        <v>803.08444764000001</v>
      </c>
      <c r="J160" s="2695">
        <v>2138.7727021199944</v>
      </c>
      <c r="K160" s="2132"/>
    </row>
    <row r="161" spans="1:11" s="2139" customFormat="1" ht="18" hidden="1" customHeight="1">
      <c r="A161" s="2108"/>
      <c r="B161" s="2486" t="s">
        <v>169</v>
      </c>
      <c r="C161" s="2692">
        <v>6221.5317573700131</v>
      </c>
      <c r="D161" s="2693">
        <v>0</v>
      </c>
      <c r="E161" s="2693">
        <v>0</v>
      </c>
      <c r="F161" s="2693">
        <v>0</v>
      </c>
      <c r="G161" s="2693">
        <v>500</v>
      </c>
      <c r="H161" s="2693">
        <v>2660.97</v>
      </c>
      <c r="I161" s="2694">
        <v>1031.2209081999999</v>
      </c>
      <c r="J161" s="2695">
        <v>2029.3408491700129</v>
      </c>
      <c r="K161" s="2132"/>
    </row>
    <row r="162" spans="1:11" s="2139" customFormat="1" ht="18" hidden="1" customHeight="1">
      <c r="A162" s="2108"/>
      <c r="B162" s="2486" t="s">
        <v>170</v>
      </c>
      <c r="C162" s="2692">
        <v>6357.5520876399905</v>
      </c>
      <c r="D162" s="2693">
        <v>0</v>
      </c>
      <c r="E162" s="2693">
        <v>0</v>
      </c>
      <c r="F162" s="2693">
        <v>0</v>
      </c>
      <c r="G162" s="2693">
        <v>500</v>
      </c>
      <c r="H162" s="2693">
        <v>2660.97</v>
      </c>
      <c r="I162" s="2694">
        <v>889.84606234</v>
      </c>
      <c r="J162" s="2695">
        <v>2306.7360252999906</v>
      </c>
      <c r="K162" s="2132"/>
    </row>
    <row r="163" spans="1:11" s="2139" customFormat="1" ht="18" hidden="1" customHeight="1">
      <c r="A163" s="2108"/>
      <c r="B163" s="2486" t="s">
        <v>171</v>
      </c>
      <c r="C163" s="2692">
        <v>6401.4549635600033</v>
      </c>
      <c r="D163" s="2693">
        <v>0</v>
      </c>
      <c r="E163" s="2693">
        <v>0</v>
      </c>
      <c r="F163" s="2693">
        <v>0</v>
      </c>
      <c r="G163" s="2693">
        <v>500</v>
      </c>
      <c r="H163" s="2693">
        <v>2660.97</v>
      </c>
      <c r="I163" s="2694">
        <v>862.80754933000003</v>
      </c>
      <c r="J163" s="2695">
        <v>2377.6774142300037</v>
      </c>
      <c r="K163" s="2132"/>
    </row>
    <row r="164" spans="1:11" s="2139" customFormat="1" ht="18" customHeight="1">
      <c r="A164" s="2108"/>
      <c r="B164" s="2485">
        <v>2011</v>
      </c>
      <c r="C164" s="2692">
        <v>6446.5488294399956</v>
      </c>
      <c r="D164" s="2693">
        <v>0</v>
      </c>
      <c r="E164" s="2693">
        <v>0</v>
      </c>
      <c r="F164" s="2693">
        <v>0</v>
      </c>
      <c r="G164" s="2693">
        <v>500</v>
      </c>
      <c r="H164" s="2693">
        <v>2637.97</v>
      </c>
      <c r="I164" s="2694">
        <v>1210.5154750000002</v>
      </c>
      <c r="J164" s="2695">
        <v>2098.0633544399961</v>
      </c>
      <c r="K164" s="2132"/>
    </row>
    <row r="165" spans="1:11" s="2139" customFormat="1" ht="18" hidden="1" customHeight="1">
      <c r="A165" s="2108"/>
      <c r="B165" s="2487">
        <v>2012</v>
      </c>
      <c r="C165" s="2697"/>
      <c r="D165" s="2690"/>
      <c r="E165" s="2690"/>
      <c r="F165" s="2690"/>
      <c r="G165" s="2690"/>
      <c r="H165" s="2690"/>
      <c r="I165" s="2690"/>
      <c r="J165" s="2690"/>
      <c r="K165" s="2132"/>
    </row>
    <row r="166" spans="1:11" s="2139" customFormat="1" ht="18" hidden="1" customHeight="1">
      <c r="A166" s="2108"/>
      <c r="B166" s="2488" t="s">
        <v>161</v>
      </c>
      <c r="C166" s="2692">
        <v>6458.8756576400074</v>
      </c>
      <c r="D166" s="2693">
        <v>0</v>
      </c>
      <c r="E166" s="2693">
        <v>0</v>
      </c>
      <c r="F166" s="2693">
        <v>0</v>
      </c>
      <c r="G166" s="2693">
        <v>500</v>
      </c>
      <c r="H166" s="2693">
        <v>2437.9699999999998</v>
      </c>
      <c r="I166" s="2694">
        <v>1135.95909562</v>
      </c>
      <c r="J166" s="2695">
        <v>2384.9465620200076</v>
      </c>
      <c r="K166" s="2132"/>
    </row>
    <row r="167" spans="1:11" s="2139" customFormat="1" ht="18" hidden="1" customHeight="1">
      <c r="A167" s="2108"/>
      <c r="B167" s="2488" t="s">
        <v>162</v>
      </c>
      <c r="C167" s="2692">
        <v>6522.581811040006</v>
      </c>
      <c r="D167" s="2693">
        <v>0</v>
      </c>
      <c r="E167" s="2693">
        <v>0</v>
      </c>
      <c r="F167" s="2693">
        <v>0</v>
      </c>
      <c r="G167" s="2693">
        <v>500</v>
      </c>
      <c r="H167" s="2693">
        <v>2437.9699999999998</v>
      </c>
      <c r="I167" s="2694">
        <v>1067.78843876</v>
      </c>
      <c r="J167" s="2695">
        <v>2516.823372280006</v>
      </c>
      <c r="K167" s="2132"/>
    </row>
    <row r="168" spans="1:11" s="2139" customFormat="1" ht="18" hidden="1" customHeight="1">
      <c r="A168" s="2108"/>
      <c r="B168" s="2488" t="s">
        <v>163</v>
      </c>
      <c r="C168" s="2692">
        <v>6661.6498986200013</v>
      </c>
      <c r="D168" s="2693">
        <v>0</v>
      </c>
      <c r="E168" s="2693">
        <v>0</v>
      </c>
      <c r="F168" s="2693">
        <v>0</v>
      </c>
      <c r="G168" s="2693">
        <v>500</v>
      </c>
      <c r="H168" s="2693">
        <v>2437.9699999999998</v>
      </c>
      <c r="I168" s="2694">
        <v>968.46344319999992</v>
      </c>
      <c r="J168" s="2695">
        <v>2755.2164554200017</v>
      </c>
      <c r="K168" s="2132"/>
    </row>
    <row r="169" spans="1:11" s="2139" customFormat="1" ht="18" hidden="1" customHeight="1">
      <c r="A169" s="2108"/>
      <c r="B169" s="2488" t="s">
        <v>164</v>
      </c>
      <c r="C169" s="2692">
        <v>6710.0602634400002</v>
      </c>
      <c r="D169" s="2693">
        <v>0</v>
      </c>
      <c r="E169" s="2693">
        <v>0</v>
      </c>
      <c r="F169" s="2693">
        <v>0</v>
      </c>
      <c r="G169" s="2693">
        <v>500</v>
      </c>
      <c r="H169" s="2693">
        <v>2437.9699999999998</v>
      </c>
      <c r="I169" s="2694">
        <v>930.12432433999993</v>
      </c>
      <c r="J169" s="2695">
        <v>2841.9659391000005</v>
      </c>
      <c r="K169" s="2132"/>
    </row>
    <row r="170" spans="1:11" s="2139" customFormat="1" ht="18" hidden="1" customHeight="1">
      <c r="A170" s="2108"/>
      <c r="B170" s="2488" t="s">
        <v>165</v>
      </c>
      <c r="C170" s="2692">
        <v>6662.2013057100075</v>
      </c>
      <c r="D170" s="2693">
        <v>0</v>
      </c>
      <c r="E170" s="2693">
        <v>0</v>
      </c>
      <c r="F170" s="2693">
        <v>0</v>
      </c>
      <c r="G170" s="2693">
        <v>650</v>
      </c>
      <c r="H170" s="2693">
        <v>2437.9699999999998</v>
      </c>
      <c r="I170" s="2694">
        <v>938.65587159000006</v>
      </c>
      <c r="J170" s="2695">
        <v>2635.5754341200077</v>
      </c>
      <c r="K170" s="2132"/>
    </row>
    <row r="171" spans="1:11" s="2139" customFormat="1" ht="18" hidden="1" customHeight="1">
      <c r="A171" s="2108"/>
      <c r="B171" s="2488" t="s">
        <v>166</v>
      </c>
      <c r="C171" s="2692">
        <v>6783.3267420900102</v>
      </c>
      <c r="D171" s="2693">
        <v>0</v>
      </c>
      <c r="E171" s="2693">
        <v>0</v>
      </c>
      <c r="F171" s="2693">
        <v>0</v>
      </c>
      <c r="G171" s="2693">
        <v>650</v>
      </c>
      <c r="H171" s="2693">
        <v>2437.9699999999998</v>
      </c>
      <c r="I171" s="2694">
        <v>1312.0086617700001</v>
      </c>
      <c r="J171" s="2695">
        <v>2383.34808032001</v>
      </c>
      <c r="K171" s="2132"/>
    </row>
    <row r="172" spans="1:11" s="2139" customFormat="1" ht="18" hidden="1" customHeight="1">
      <c r="A172" s="2108"/>
      <c r="B172" s="2488" t="s">
        <v>167</v>
      </c>
      <c r="C172" s="2692">
        <v>6748.9258664500094</v>
      </c>
      <c r="D172" s="2693">
        <v>0</v>
      </c>
      <c r="E172" s="2693">
        <v>0</v>
      </c>
      <c r="F172" s="2693">
        <v>0</v>
      </c>
      <c r="G172" s="2693">
        <v>650</v>
      </c>
      <c r="H172" s="2693">
        <v>2437.9699999999998</v>
      </c>
      <c r="I172" s="2694">
        <v>1216.1510270200001</v>
      </c>
      <c r="J172" s="2695">
        <v>2444.8048394300095</v>
      </c>
      <c r="K172" s="2132"/>
    </row>
    <row r="173" spans="1:11" s="2139" customFormat="1" ht="18" hidden="1" customHeight="1">
      <c r="A173" s="2108"/>
      <c r="B173" s="2488" t="s">
        <v>168</v>
      </c>
      <c r="C173" s="2692">
        <v>6845.5285550799917</v>
      </c>
      <c r="D173" s="2693">
        <v>0</v>
      </c>
      <c r="E173" s="2693">
        <v>0</v>
      </c>
      <c r="F173" s="2693">
        <v>0</v>
      </c>
      <c r="G173" s="2693">
        <v>650</v>
      </c>
      <c r="H173" s="2693">
        <v>2437.9699999999998</v>
      </c>
      <c r="I173" s="2694">
        <v>1152.4314326799997</v>
      </c>
      <c r="J173" s="2695">
        <v>2605.127122399992</v>
      </c>
      <c r="K173" s="2132"/>
    </row>
    <row r="174" spans="1:11" s="2139" customFormat="1" ht="18" hidden="1" customHeight="1">
      <c r="A174" s="2108"/>
      <c r="B174" s="2488" t="s">
        <v>169</v>
      </c>
      <c r="C174" s="2692">
        <v>6756.4648121200134</v>
      </c>
      <c r="D174" s="2693">
        <v>0</v>
      </c>
      <c r="E174" s="2693">
        <v>0</v>
      </c>
      <c r="F174" s="2693">
        <v>0</v>
      </c>
      <c r="G174" s="2693">
        <v>650</v>
      </c>
      <c r="H174" s="2693">
        <v>2437.9699999999998</v>
      </c>
      <c r="I174" s="2694">
        <v>1353.9386273299999</v>
      </c>
      <c r="J174" s="2695">
        <v>2314.5561847900135</v>
      </c>
      <c r="K174" s="2132"/>
    </row>
    <row r="175" spans="1:11" s="2139" customFormat="1" ht="18" hidden="1" customHeight="1">
      <c r="A175" s="2108"/>
      <c r="B175" s="2488" t="s">
        <v>170</v>
      </c>
      <c r="C175" s="2692">
        <v>7047.9624551299994</v>
      </c>
      <c r="D175" s="2693">
        <v>0</v>
      </c>
      <c r="E175" s="2693">
        <v>0</v>
      </c>
      <c r="F175" s="2693">
        <v>0</v>
      </c>
      <c r="G175" s="2693">
        <v>850</v>
      </c>
      <c r="H175" s="2693">
        <v>2437.9699999999998</v>
      </c>
      <c r="I175" s="2694">
        <v>1321.8755457099999</v>
      </c>
      <c r="J175" s="2695">
        <v>2438.1169094199995</v>
      </c>
      <c r="K175" s="2132"/>
    </row>
    <row r="176" spans="1:11" s="2139" customFormat="1" ht="18" hidden="1" customHeight="1">
      <c r="A176" s="2108"/>
      <c r="B176" s="2488" t="s">
        <v>171</v>
      </c>
      <c r="C176" s="2692">
        <v>7119.2099168799996</v>
      </c>
      <c r="D176" s="2693">
        <v>0</v>
      </c>
      <c r="E176" s="2693">
        <v>0</v>
      </c>
      <c r="F176" s="2693">
        <v>0</v>
      </c>
      <c r="G176" s="2693">
        <v>850</v>
      </c>
      <c r="H176" s="2693">
        <v>2437.9699999999998</v>
      </c>
      <c r="I176" s="2694">
        <v>1441.9252678600005</v>
      </c>
      <c r="J176" s="2695">
        <v>2389.3146490199997</v>
      </c>
      <c r="K176" s="2132"/>
    </row>
    <row r="177" spans="1:11" s="2139" customFormat="1" ht="18" customHeight="1">
      <c r="A177" s="2108"/>
      <c r="B177" s="2487">
        <v>2012</v>
      </c>
      <c r="C177" s="2698">
        <v>7222.9907320000002</v>
      </c>
      <c r="D177" s="2693">
        <v>0</v>
      </c>
      <c r="E177" s="2693">
        <v>0</v>
      </c>
      <c r="F177" s="2693">
        <v>0</v>
      </c>
      <c r="G177" s="2693">
        <v>650</v>
      </c>
      <c r="H177" s="2693">
        <v>2614.9699999999998</v>
      </c>
      <c r="I177" s="2699">
        <v>1507.061156</v>
      </c>
      <c r="J177" s="2695">
        <v>2450.9595760000002</v>
      </c>
      <c r="K177" s="2132"/>
    </row>
    <row r="178" spans="1:11" s="2139" customFormat="1" ht="18" customHeight="1">
      <c r="A178" s="2108"/>
      <c r="B178" s="2487">
        <v>2013</v>
      </c>
      <c r="C178" s="2689"/>
      <c r="D178" s="2690"/>
      <c r="E178" s="2690"/>
      <c r="F178" s="2690"/>
      <c r="G178" s="2690"/>
      <c r="H178" s="2690"/>
      <c r="I178" s="2690"/>
      <c r="J178" s="2690"/>
      <c r="K178" s="2132"/>
    </row>
    <row r="179" spans="1:11" s="2139" customFormat="1" ht="18" customHeight="1">
      <c r="A179" s="2108"/>
      <c r="B179" s="2488" t="s">
        <v>161</v>
      </c>
      <c r="C179" s="2689">
        <v>7274.9665498499999</v>
      </c>
      <c r="D179" s="2690">
        <v>0</v>
      </c>
      <c r="E179" s="2690">
        <v>0</v>
      </c>
      <c r="F179" s="2690">
        <v>0</v>
      </c>
      <c r="G179" s="2690">
        <v>650</v>
      </c>
      <c r="H179" s="2690">
        <v>2614.9699999999998</v>
      </c>
      <c r="I179" s="2690">
        <v>1485.9473067399999</v>
      </c>
      <c r="J179" s="2690">
        <v>2524.0492431100001</v>
      </c>
      <c r="K179" s="2379"/>
    </row>
    <row r="180" spans="1:11" s="2139" customFormat="1" ht="18" customHeight="1">
      <c r="A180" s="2108"/>
      <c r="B180" s="2488" t="s">
        <v>162</v>
      </c>
      <c r="C180" s="2689">
        <v>7403.7357202499998</v>
      </c>
      <c r="D180" s="2690">
        <v>0</v>
      </c>
      <c r="E180" s="2690">
        <v>0</v>
      </c>
      <c r="F180" s="2690">
        <v>0</v>
      </c>
      <c r="G180" s="2690">
        <v>687.87337785</v>
      </c>
      <c r="H180" s="2690">
        <v>2722.97</v>
      </c>
      <c r="I180" s="2690">
        <v>1443.4123622099999</v>
      </c>
      <c r="J180" s="2690">
        <v>2549.4799801899999</v>
      </c>
      <c r="K180" s="2132"/>
    </row>
    <row r="181" spans="1:11" s="2139" customFormat="1" ht="18" customHeight="1">
      <c r="A181" s="2108"/>
      <c r="B181" s="2407" t="s">
        <v>163</v>
      </c>
      <c r="C181" s="2700">
        <v>7571.4105848300014</v>
      </c>
      <c r="D181" s="2701">
        <v>0</v>
      </c>
      <c r="E181" s="2701">
        <v>0</v>
      </c>
      <c r="F181" s="2701">
        <v>0</v>
      </c>
      <c r="G181" s="2701">
        <v>675.31719833999989</v>
      </c>
      <c r="H181" s="2701">
        <v>2722.97</v>
      </c>
      <c r="I181" s="2701">
        <v>1416.4944335399998</v>
      </c>
      <c r="J181" s="2701">
        <v>2756.6289529500018</v>
      </c>
      <c r="K181" s="2132"/>
    </row>
    <row r="182" spans="1:11" s="2139" customFormat="1" ht="18" customHeight="1">
      <c r="A182" s="2108"/>
      <c r="B182" s="2407" t="s">
        <v>164</v>
      </c>
      <c r="C182" s="2700">
        <v>7549.8374537100008</v>
      </c>
      <c r="D182" s="2701">
        <v>0</v>
      </c>
      <c r="E182" s="2701">
        <v>0</v>
      </c>
      <c r="F182" s="2701">
        <v>0</v>
      </c>
      <c r="G182" s="2701">
        <v>663.02233673000001</v>
      </c>
      <c r="H182" s="2701">
        <v>2774.2795649999998</v>
      </c>
      <c r="I182" s="2701">
        <v>1462.9908175200001</v>
      </c>
      <c r="J182" s="2701">
        <v>2649.5447344600007</v>
      </c>
      <c r="K182" s="2132"/>
    </row>
    <row r="183" spans="1:11" s="2139" customFormat="1" ht="18" customHeight="1">
      <c r="A183" s="2108"/>
      <c r="B183" s="2407" t="s">
        <v>165</v>
      </c>
      <c r="C183" s="2700">
        <v>7682.1494549599993</v>
      </c>
      <c r="D183" s="2701">
        <v>0</v>
      </c>
      <c r="E183" s="2701">
        <v>0</v>
      </c>
      <c r="F183" s="2701">
        <v>0</v>
      </c>
      <c r="G183" s="2701">
        <v>650.50992843000006</v>
      </c>
      <c r="H183" s="2701">
        <v>2774.2795649999998</v>
      </c>
      <c r="I183" s="2701">
        <v>1441.4915193599995</v>
      </c>
      <c r="J183" s="2701">
        <v>2815.8684421700004</v>
      </c>
      <c r="K183" s="2132"/>
    </row>
    <row r="184" spans="1:11" s="2139" customFormat="1" ht="18" customHeight="1">
      <c r="A184" s="2108"/>
      <c r="B184" s="2784" t="s">
        <v>166</v>
      </c>
      <c r="C184" s="2785">
        <v>7873.1553100500005</v>
      </c>
      <c r="D184" s="2786">
        <v>0</v>
      </c>
      <c r="E184" s="2786">
        <v>0</v>
      </c>
      <c r="F184" s="2786">
        <v>0</v>
      </c>
      <c r="G184" s="2786">
        <v>608.64897314999996</v>
      </c>
      <c r="H184" s="2786">
        <v>2739.299857</v>
      </c>
      <c r="I184" s="2786">
        <v>1624.4057324899998</v>
      </c>
      <c r="J184" s="2786">
        <v>2900.80074741</v>
      </c>
      <c r="K184" s="2132"/>
    </row>
    <row r="185" spans="1:11" s="2139" customFormat="1" ht="18" customHeight="1">
      <c r="A185" s="2108"/>
      <c r="B185" s="2784" t="s">
        <v>167</v>
      </c>
      <c r="C185" s="2785">
        <v>8310.163993250002</v>
      </c>
      <c r="D185" s="2786">
        <v>0</v>
      </c>
      <c r="E185" s="2786">
        <v>0</v>
      </c>
      <c r="F185" s="2786">
        <v>0</v>
      </c>
      <c r="G185" s="2786">
        <v>595.96353617000011</v>
      </c>
      <c r="H185" s="2786">
        <v>2739.299857</v>
      </c>
      <c r="I185" s="2786">
        <v>1318.3065882000001</v>
      </c>
      <c r="J185" s="2786">
        <v>3656.5940118800013</v>
      </c>
      <c r="K185" s="2132"/>
    </row>
    <row r="186" spans="1:11" s="2139" customFormat="1" ht="18" customHeight="1">
      <c r="A186" s="2108"/>
      <c r="B186" s="2784" t="s">
        <v>168</v>
      </c>
      <c r="C186" s="2785">
        <v>8237.5990027099979</v>
      </c>
      <c r="D186" s="2786">
        <v>0</v>
      </c>
      <c r="E186" s="2786">
        <v>0</v>
      </c>
      <c r="F186" s="2786">
        <v>0</v>
      </c>
      <c r="G186" s="2786">
        <v>583.18382727999995</v>
      </c>
      <c r="H186" s="2786">
        <v>2739.299857</v>
      </c>
      <c r="I186" s="2786">
        <v>1342.2843772899996</v>
      </c>
      <c r="J186" s="2786">
        <v>3572.8309411399996</v>
      </c>
      <c r="K186" s="2132"/>
    </row>
    <row r="187" spans="1:11" s="2139" customFormat="1" ht="18" customHeight="1">
      <c r="A187" s="2108"/>
      <c r="B187" s="2784" t="s">
        <v>169</v>
      </c>
      <c r="C187" s="2785">
        <v>8201.1246706900001</v>
      </c>
      <c r="D187" s="2786">
        <v>0</v>
      </c>
      <c r="E187" s="2786">
        <v>0</v>
      </c>
      <c r="F187" s="2786">
        <v>0</v>
      </c>
      <c r="G187" s="2786">
        <v>648.89857949999998</v>
      </c>
      <c r="H187" s="2786">
        <v>3127.9915452700002</v>
      </c>
      <c r="I187" s="2786">
        <v>1727.6551966999998</v>
      </c>
      <c r="J187" s="2786">
        <v>2696.57934922</v>
      </c>
      <c r="K187" s="2132"/>
    </row>
    <row r="188" spans="1:11" s="2139" customFormat="1" ht="18" customHeight="1">
      <c r="A188" s="2108"/>
      <c r="B188" s="2784" t="s">
        <v>170</v>
      </c>
      <c r="C188" s="2785">
        <v>8244.8352265229987</v>
      </c>
      <c r="D188" s="2786">
        <v>0</v>
      </c>
      <c r="E188" s="2786">
        <v>0</v>
      </c>
      <c r="F188" s="2786">
        <v>0</v>
      </c>
      <c r="G188" s="2786">
        <v>615.61069687999998</v>
      </c>
      <c r="H188" s="2786">
        <v>3099.46556448</v>
      </c>
      <c r="I188" s="2786">
        <v>1636.7082314199997</v>
      </c>
      <c r="J188" s="2786">
        <v>2893.0507337429999</v>
      </c>
      <c r="K188" s="2132"/>
    </row>
    <row r="189" spans="1:11" s="2139" customFormat="1" ht="18" customHeight="1">
      <c r="A189" s="2108"/>
      <c r="B189" s="2784" t="s">
        <v>171</v>
      </c>
      <c r="C189" s="2785">
        <v>8301.5333557129998</v>
      </c>
      <c r="D189" s="2786">
        <v>0</v>
      </c>
      <c r="E189" s="2786">
        <v>0</v>
      </c>
      <c r="F189" s="2786">
        <v>0</v>
      </c>
      <c r="G189" s="2786">
        <v>611.87879241000007</v>
      </c>
      <c r="H189" s="2786">
        <v>3095.6517013499997</v>
      </c>
      <c r="I189" s="2786">
        <v>1631.3104833599998</v>
      </c>
      <c r="J189" s="2786">
        <v>2962.6923785929994</v>
      </c>
      <c r="K189" s="2132"/>
    </row>
    <row r="190" spans="1:11" s="2139" customFormat="1" ht="18" customHeight="1">
      <c r="A190" s="2108"/>
      <c r="B190" s="2784" t="s">
        <v>148</v>
      </c>
      <c r="C190" s="2785">
        <v>8283.4322270960001</v>
      </c>
      <c r="D190" s="2786">
        <v>0</v>
      </c>
      <c r="E190" s="2786">
        <v>0</v>
      </c>
      <c r="F190" s="2786">
        <v>0</v>
      </c>
      <c r="G190" s="2786">
        <v>740.6799567999999</v>
      </c>
      <c r="H190" s="2786">
        <v>2898.3691029460001</v>
      </c>
      <c r="I190" s="2786">
        <v>1764.5606660000001</v>
      </c>
      <c r="J190" s="2786">
        <v>2879.8225013500005</v>
      </c>
      <c r="K190" s="2134"/>
    </row>
    <row r="191" spans="1:11" s="2139" customFormat="1" ht="18" customHeight="1">
      <c r="A191" s="2108"/>
      <c r="B191" s="2938">
        <v>2014</v>
      </c>
      <c r="C191" s="2785"/>
      <c r="D191" s="2786"/>
      <c r="E191" s="2786"/>
      <c r="F191" s="2786"/>
      <c r="G191" s="2786"/>
      <c r="H191" s="2786"/>
      <c r="I191" s="2786"/>
      <c r="J191" s="2786"/>
      <c r="K191" s="2134"/>
    </row>
    <row r="192" spans="1:11" s="2139" customFormat="1" ht="18" customHeight="1">
      <c r="A192" s="2108"/>
      <c r="B192" s="2784" t="s">
        <v>161</v>
      </c>
      <c r="C192" s="2785">
        <v>9316.521727358333</v>
      </c>
      <c r="D192" s="2786">
        <v>0</v>
      </c>
      <c r="E192" s="2786">
        <v>0</v>
      </c>
      <c r="F192" s="2786">
        <v>0</v>
      </c>
      <c r="G192" s="2786">
        <v>719.22675526</v>
      </c>
      <c r="H192" s="2786">
        <v>3894.48284638</v>
      </c>
      <c r="I192" s="2786">
        <v>1727.9250069493332</v>
      </c>
      <c r="J192" s="2786">
        <v>2974.8871187690006</v>
      </c>
      <c r="K192" s="2134"/>
    </row>
    <row r="193" spans="1:11" s="2139" customFormat="1" ht="18" customHeight="1">
      <c r="A193" s="2108"/>
      <c r="B193" s="2784" t="s">
        <v>162</v>
      </c>
      <c r="C193" s="2785">
        <v>9273.6024053208657</v>
      </c>
      <c r="D193" s="2786">
        <v>0</v>
      </c>
      <c r="E193" s="2786">
        <v>0</v>
      </c>
      <c r="F193" s="2786">
        <v>0</v>
      </c>
      <c r="G193" s="2786">
        <v>696.21742584000003</v>
      </c>
      <c r="H193" s="2786">
        <v>3887.9628439700004</v>
      </c>
      <c r="I193" s="2786">
        <v>1781.1990075308663</v>
      </c>
      <c r="J193" s="2786">
        <v>2908.2231279799998</v>
      </c>
      <c r="K193" s="2134"/>
    </row>
    <row r="194" spans="1:11" s="2139" customFormat="1" ht="18" customHeight="1">
      <c r="A194" s="2108"/>
      <c r="B194" s="2784" t="s">
        <v>163</v>
      </c>
      <c r="C194" s="2785">
        <v>9111.7270780418658</v>
      </c>
      <c r="D194" s="2786">
        <v>0</v>
      </c>
      <c r="E194" s="2786">
        <v>0</v>
      </c>
      <c r="F194" s="2786">
        <v>0</v>
      </c>
      <c r="G194" s="2786">
        <v>654.02916033999986</v>
      </c>
      <c r="H194" s="2786">
        <v>3857.9597311500002</v>
      </c>
      <c r="I194" s="2786">
        <v>1818.1828827800064</v>
      </c>
      <c r="J194" s="2786">
        <v>2781.5553037718596</v>
      </c>
      <c r="K194" s="2134"/>
    </row>
    <row r="195" spans="1:11" s="2139" customFormat="1" ht="18" customHeight="1">
      <c r="A195" s="2108"/>
      <c r="B195" s="2784" t="s">
        <v>164</v>
      </c>
      <c r="C195" s="2785">
        <v>9567.1445850700002</v>
      </c>
      <c r="D195" s="2786">
        <v>0</v>
      </c>
      <c r="E195" s="2786">
        <v>0</v>
      </c>
      <c r="F195" s="2786">
        <v>0</v>
      </c>
      <c r="G195" s="2786">
        <v>627.18991016000007</v>
      </c>
      <c r="H195" s="2786">
        <v>4103.9612350100006</v>
      </c>
      <c r="I195" s="2786">
        <v>1796.1675964315998</v>
      </c>
      <c r="J195" s="2786">
        <v>3039.8258434683994</v>
      </c>
      <c r="K195" s="2134"/>
    </row>
    <row r="196" spans="1:11" s="2139" customFormat="1" ht="18" customHeight="1">
      <c r="A196" s="2108"/>
      <c r="B196" s="2784" t="s">
        <v>165</v>
      </c>
      <c r="C196" s="2785">
        <v>9751.8941473142004</v>
      </c>
      <c r="D196" s="2786">
        <v>0</v>
      </c>
      <c r="E196" s="2786">
        <v>0</v>
      </c>
      <c r="F196" s="2786">
        <v>0</v>
      </c>
      <c r="G196" s="2786">
        <v>627.18991016000007</v>
      </c>
      <c r="H196" s="2786">
        <v>4098.5282137799995</v>
      </c>
      <c r="I196" s="2786">
        <v>1696.1379163281999</v>
      </c>
      <c r="J196" s="2786">
        <v>3330.0381070460003</v>
      </c>
      <c r="K196" s="2134"/>
    </row>
    <row r="197" spans="1:11" s="2139" customFormat="1" ht="18" customHeight="1">
      <c r="A197" s="2108"/>
      <c r="B197" s="2784" t="s">
        <v>166</v>
      </c>
      <c r="C197" s="2785">
        <v>10367.198240514199</v>
      </c>
      <c r="D197" s="2786">
        <v>0</v>
      </c>
      <c r="E197" s="2786">
        <v>0</v>
      </c>
      <c r="F197" s="2786">
        <v>0</v>
      </c>
      <c r="G197" s="2786">
        <v>867.94882642000005</v>
      </c>
      <c r="H197" s="2786">
        <v>3817.7858570799999</v>
      </c>
      <c r="I197" s="2786">
        <v>2133.9290904273398</v>
      </c>
      <c r="J197" s="2786">
        <v>3547.5344665868602</v>
      </c>
      <c r="K197" s="2134"/>
    </row>
    <row r="198" spans="1:11" s="2139" customFormat="1" ht="18" customHeight="1">
      <c r="A198" s="2108"/>
      <c r="B198" s="2784" t="s">
        <v>167</v>
      </c>
      <c r="C198" s="2785">
        <v>10404.4621474102</v>
      </c>
      <c r="D198" s="2786">
        <v>0</v>
      </c>
      <c r="E198" s="2786">
        <v>0</v>
      </c>
      <c r="F198" s="2786">
        <v>0</v>
      </c>
      <c r="G198" s="2786">
        <v>851.28179542000009</v>
      </c>
      <c r="H198" s="2786">
        <v>4063.5964731700001</v>
      </c>
      <c r="I198" s="2786">
        <v>1643.4274859781997</v>
      </c>
      <c r="J198" s="2786">
        <v>3846.1563928419996</v>
      </c>
      <c r="K198" s="2134"/>
    </row>
    <row r="199" spans="1:11" s="2139" customFormat="1" ht="18" customHeight="1">
      <c r="A199" s="2108"/>
      <c r="B199" s="2784" t="s">
        <v>168</v>
      </c>
      <c r="C199" s="2785">
        <v>10045.973809439993</v>
      </c>
      <c r="D199" s="2786">
        <v>0</v>
      </c>
      <c r="E199" s="2786">
        <v>0</v>
      </c>
      <c r="F199" s="2786">
        <v>0</v>
      </c>
      <c r="G199" s="2786">
        <v>819.93641001999993</v>
      </c>
      <c r="H199" s="2786">
        <v>3647.2048810400001</v>
      </c>
      <c r="I199" s="2786">
        <v>1763.1375490585399</v>
      </c>
      <c r="J199" s="2786">
        <v>3815.6949693214533</v>
      </c>
      <c r="K199" s="2134"/>
    </row>
    <row r="200" spans="1:11" s="2139" customFormat="1" ht="18" customHeight="1">
      <c r="A200" s="2108"/>
      <c r="B200" s="2784" t="s">
        <v>169</v>
      </c>
      <c r="C200" s="2785">
        <v>10526.554364693196</v>
      </c>
      <c r="D200" s="2786">
        <v>0</v>
      </c>
      <c r="E200" s="2786">
        <v>0</v>
      </c>
      <c r="F200" s="2786">
        <v>0</v>
      </c>
      <c r="G200" s="2786">
        <v>756.40686056999994</v>
      </c>
      <c r="H200" s="2786">
        <v>3307.05536519</v>
      </c>
      <c r="I200" s="2786">
        <v>2192.5027434887402</v>
      </c>
      <c r="J200" s="2786">
        <v>4270.5893954444564</v>
      </c>
      <c r="K200" s="2134"/>
    </row>
    <row r="201" spans="1:11" s="2139" customFormat="1" ht="18" customHeight="1">
      <c r="A201" s="2108"/>
      <c r="B201" s="2784" t="s">
        <v>170</v>
      </c>
      <c r="C201" s="2785">
        <v>10755.429485069199</v>
      </c>
      <c r="D201" s="2786">
        <v>0</v>
      </c>
      <c r="E201" s="2786">
        <v>0</v>
      </c>
      <c r="F201" s="2786">
        <v>0</v>
      </c>
      <c r="G201" s="2786">
        <v>739.74016056999994</v>
      </c>
      <c r="H201" s="2786">
        <v>3301.37705577</v>
      </c>
      <c r="I201" s="2786">
        <v>2149.1149988701995</v>
      </c>
      <c r="J201" s="2786">
        <v>4565.1972698590007</v>
      </c>
      <c r="K201" s="2134"/>
    </row>
    <row r="202" spans="1:11" s="2139" customFormat="1" ht="18" customHeight="1">
      <c r="A202" s="2108"/>
      <c r="B202" s="2784" t="s">
        <v>171</v>
      </c>
      <c r="C202" s="2785">
        <v>10882.663163242018</v>
      </c>
      <c r="D202" s="2786">
        <v>0</v>
      </c>
      <c r="E202" s="2786">
        <v>0</v>
      </c>
      <c r="F202" s="2786">
        <v>0</v>
      </c>
      <c r="G202" s="2786">
        <v>675.28445883999996</v>
      </c>
      <c r="H202" s="2786">
        <v>3295.2827862099998</v>
      </c>
      <c r="I202" s="2786">
        <v>2144.9667336963512</v>
      </c>
      <c r="J202" s="2786">
        <v>4767.1291844956668</v>
      </c>
      <c r="K202" s="2134"/>
    </row>
    <row r="203" spans="1:11" s="2139" customFormat="1" ht="18" customHeight="1">
      <c r="A203" s="2108"/>
      <c r="B203" s="2784" t="s">
        <v>148</v>
      </c>
      <c r="C203" s="2785">
        <v>10885.420286314202</v>
      </c>
      <c r="D203" s="2786">
        <v>0</v>
      </c>
      <c r="E203" s="2786">
        <v>0</v>
      </c>
      <c r="F203" s="2786">
        <v>0</v>
      </c>
      <c r="G203" s="2786">
        <v>642.77386727999999</v>
      </c>
      <c r="H203" s="2786">
        <v>3461.3068018099998</v>
      </c>
      <c r="I203" s="2786">
        <v>1991.0089048237403</v>
      </c>
      <c r="J203" s="2786">
        <v>4790.3307124004605</v>
      </c>
      <c r="K203" s="2134"/>
    </row>
    <row r="204" spans="1:11" s="2139" customFormat="1" ht="18" customHeight="1">
      <c r="A204" s="2108"/>
      <c r="B204" s="2938">
        <v>2015</v>
      </c>
      <c r="C204" s="3499"/>
      <c r="D204" s="3173"/>
      <c r="E204" s="3173"/>
      <c r="F204" s="3173"/>
      <c r="G204" s="3173"/>
      <c r="H204" s="3173"/>
      <c r="I204" s="3173"/>
      <c r="J204" s="3173"/>
      <c r="K204" s="2134"/>
    </row>
    <row r="205" spans="1:11" s="2139" customFormat="1" ht="18" customHeight="1">
      <c r="A205" s="2108"/>
      <c r="B205" s="2784" t="s">
        <v>161</v>
      </c>
      <c r="C205" s="2785">
        <v>10964.555785174998</v>
      </c>
      <c r="D205" s="2786">
        <v>0</v>
      </c>
      <c r="E205" s="2786">
        <v>0</v>
      </c>
      <c r="F205" s="2786">
        <v>0</v>
      </c>
      <c r="G205" s="2786">
        <v>626.10716728</v>
      </c>
      <c r="H205" s="2786">
        <v>3205.5336530500003</v>
      </c>
      <c r="I205" s="2786">
        <v>2058.9530701399999</v>
      </c>
      <c r="J205" s="2786">
        <v>5073.9618947049976</v>
      </c>
      <c r="K205" s="2134"/>
    </row>
    <row r="206" spans="1:11" s="2139" customFormat="1" ht="18" customHeight="1">
      <c r="A206" s="2108"/>
      <c r="B206" s="2784" t="s">
        <v>162</v>
      </c>
      <c r="C206" s="2785">
        <v>11204.508867648001</v>
      </c>
      <c r="D206" s="2786">
        <v>0</v>
      </c>
      <c r="E206" s="2786">
        <v>0</v>
      </c>
      <c r="F206" s="2786">
        <v>0</v>
      </c>
      <c r="G206" s="2786">
        <v>626.10716728</v>
      </c>
      <c r="H206" s="2786">
        <v>3198.8650468299998</v>
      </c>
      <c r="I206" s="2786">
        <v>2183.3004499699996</v>
      </c>
      <c r="J206" s="2786">
        <v>5196.2362035680026</v>
      </c>
      <c r="K206" s="2134"/>
    </row>
    <row r="207" spans="1:11" s="2139" customFormat="1" ht="18" customHeight="1">
      <c r="A207" s="2108"/>
      <c r="B207" s="2784" t="s">
        <v>163</v>
      </c>
      <c r="C207" s="2785">
        <v>11331.514177325998</v>
      </c>
      <c r="D207" s="2786">
        <v>0</v>
      </c>
      <c r="E207" s="2786">
        <v>0</v>
      </c>
      <c r="F207" s="2786">
        <v>0</v>
      </c>
      <c r="G207" s="2786">
        <v>526.80565856999999</v>
      </c>
      <c r="H207" s="2786">
        <v>3416.8789187500001</v>
      </c>
      <c r="I207" s="2786">
        <v>2131.4323690000006</v>
      </c>
      <c r="J207" s="2786">
        <v>5256.397231005998</v>
      </c>
      <c r="K207" s="2134"/>
    </row>
    <row r="208" spans="1:11" s="2139" customFormat="1" ht="18" customHeight="1">
      <c r="A208" s="2108"/>
      <c r="B208" s="2784" t="s">
        <v>164</v>
      </c>
      <c r="C208" s="2785">
        <v>11345.236137013751</v>
      </c>
      <c r="D208" s="2786">
        <v>0</v>
      </c>
      <c r="E208" s="2786">
        <v>0</v>
      </c>
      <c r="F208" s="2786">
        <v>0</v>
      </c>
      <c r="G208" s="2786">
        <v>476.56884276000005</v>
      </c>
      <c r="H208" s="2786">
        <v>3410.9055701699999</v>
      </c>
      <c r="I208" s="2786">
        <v>2291.8864001042448</v>
      </c>
      <c r="J208" s="2786">
        <v>5165.875323979506</v>
      </c>
      <c r="K208" s="2134"/>
    </row>
    <row r="209" spans="1:11" s="2139" customFormat="1" ht="18" customHeight="1">
      <c r="A209" s="2108"/>
      <c r="B209" s="2784" t="s">
        <v>165</v>
      </c>
      <c r="C209" s="2785">
        <v>11800.605131954746</v>
      </c>
      <c r="D209" s="2786">
        <v>0</v>
      </c>
      <c r="E209" s="2786">
        <v>0</v>
      </c>
      <c r="F209" s="2786">
        <v>0</v>
      </c>
      <c r="G209" s="2786">
        <v>447.07862070000004</v>
      </c>
      <c r="H209" s="2786">
        <v>3704.8356534999998</v>
      </c>
      <c r="I209" s="2786">
        <v>2264.5429889312486</v>
      </c>
      <c r="J209" s="2786">
        <v>5384.1478688234984</v>
      </c>
      <c r="K209" s="2134"/>
    </row>
    <row r="210" spans="1:11" s="2139" customFormat="1" ht="18" customHeight="1">
      <c r="A210" s="2108"/>
      <c r="B210" s="2784" t="s">
        <v>166</v>
      </c>
      <c r="C210" s="2785">
        <v>12185.363396270097</v>
      </c>
      <c r="D210" s="2786">
        <v>0</v>
      </c>
      <c r="E210" s="2786">
        <v>0</v>
      </c>
      <c r="F210" s="2786">
        <v>0</v>
      </c>
      <c r="G210" s="2786">
        <v>413.53883920000004</v>
      </c>
      <c r="H210" s="2786">
        <v>4029.18500967</v>
      </c>
      <c r="I210" s="2786">
        <v>2461.0043772567001</v>
      </c>
      <c r="J210" s="2786">
        <v>5281.635170143396</v>
      </c>
      <c r="K210" s="2134"/>
    </row>
    <row r="211" spans="1:11" s="2139" customFormat="1" ht="18" customHeight="1">
      <c r="A211" s="2108"/>
      <c r="B211" s="2784" t="s">
        <v>167</v>
      </c>
      <c r="C211" s="2785">
        <v>12015.785409443397</v>
      </c>
      <c r="D211" s="2786">
        <v>0</v>
      </c>
      <c r="E211" s="2786">
        <v>0</v>
      </c>
      <c r="F211" s="2786">
        <v>0</v>
      </c>
      <c r="G211" s="2786">
        <v>386.52690898000003</v>
      </c>
      <c r="H211" s="2786">
        <v>3648.39119931</v>
      </c>
      <c r="I211" s="2786">
        <v>2415.3843339174991</v>
      </c>
      <c r="J211" s="2786">
        <v>5565.4829672358983</v>
      </c>
      <c r="K211" s="2134"/>
    </row>
    <row r="212" spans="1:11" s="2139" customFormat="1" ht="18" customHeight="1">
      <c r="A212" s="2108"/>
      <c r="B212" s="2784" t="s">
        <v>168</v>
      </c>
      <c r="C212" s="2785">
        <v>11908.159163100119</v>
      </c>
      <c r="D212" s="2786">
        <v>0</v>
      </c>
      <c r="E212" s="2786">
        <v>0</v>
      </c>
      <c r="F212" s="2786">
        <v>0</v>
      </c>
      <c r="G212" s="2786">
        <v>347.29193564999997</v>
      </c>
      <c r="H212" s="2786">
        <v>3646.2920380400001</v>
      </c>
      <c r="I212" s="2786">
        <v>2522.2228342798194</v>
      </c>
      <c r="J212" s="2786">
        <v>5392.3523551302997</v>
      </c>
      <c r="K212" s="2134"/>
    </row>
    <row r="213" spans="1:11" s="2139" customFormat="1" ht="18" customHeight="1">
      <c r="A213" s="2108"/>
      <c r="B213" s="3217" t="s">
        <v>169</v>
      </c>
      <c r="C213" s="3218">
        <v>12319.103756669998</v>
      </c>
      <c r="D213" s="3219">
        <v>0</v>
      </c>
      <c r="E213" s="3219">
        <v>0</v>
      </c>
      <c r="F213" s="3219">
        <v>0</v>
      </c>
      <c r="G213" s="3219">
        <v>327.37941119999999</v>
      </c>
      <c r="H213" s="3219">
        <v>3458.7224962499999</v>
      </c>
      <c r="I213" s="3219">
        <v>2567.5106714356602</v>
      </c>
      <c r="J213" s="3219">
        <v>5965.4911777843372</v>
      </c>
      <c r="K213" s="2134"/>
    </row>
    <row r="214" spans="1:11" s="2139" customFormat="1" ht="18" customHeight="1">
      <c r="A214" s="2108"/>
      <c r="B214" s="3217" t="s">
        <v>170</v>
      </c>
      <c r="C214" s="3218">
        <v>12950.93685973533</v>
      </c>
      <c r="D214" s="3219">
        <v>0</v>
      </c>
      <c r="E214" s="3219">
        <v>0</v>
      </c>
      <c r="F214" s="3219">
        <v>0</v>
      </c>
      <c r="G214" s="3219">
        <v>464.70757306999997</v>
      </c>
      <c r="H214" s="3219">
        <v>3502.6988294000002</v>
      </c>
      <c r="I214" s="3219">
        <v>2702.5916761821486</v>
      </c>
      <c r="J214" s="3219">
        <v>6280.9387810831813</v>
      </c>
      <c r="K214" s="2134"/>
    </row>
    <row r="215" spans="1:11" s="2139" customFormat="1" ht="18" customHeight="1">
      <c r="A215" s="2108"/>
      <c r="B215" s="4202" t="s">
        <v>171</v>
      </c>
      <c r="C215" s="4203">
        <v>13274.870055840012</v>
      </c>
      <c r="D215" s="4204">
        <v>0</v>
      </c>
      <c r="E215" s="4204">
        <v>0</v>
      </c>
      <c r="F215" s="4204">
        <v>0</v>
      </c>
      <c r="G215" s="4204">
        <v>738.40580050000005</v>
      </c>
      <c r="H215" s="4204">
        <v>3528.6206486999999</v>
      </c>
      <c r="I215" s="4204">
        <v>2708.6396016175604</v>
      </c>
      <c r="J215" s="4204">
        <v>6299.2040050224514</v>
      </c>
      <c r="K215" s="2134"/>
    </row>
    <row r="216" spans="1:11" s="2139" customFormat="1" ht="18" customHeight="1">
      <c r="A216" s="2108"/>
      <c r="B216" s="4374" t="s">
        <v>148</v>
      </c>
      <c r="C216" s="4375">
        <v>13805.948805369</v>
      </c>
      <c r="D216" s="4376">
        <v>0</v>
      </c>
      <c r="E216" s="4376">
        <v>0</v>
      </c>
      <c r="F216" s="4376">
        <v>0</v>
      </c>
      <c r="G216" s="4376">
        <v>812.29506157000003</v>
      </c>
      <c r="H216" s="4376">
        <v>3595.6651654499997</v>
      </c>
      <c r="I216" s="4376">
        <v>2479.2488308294005</v>
      </c>
      <c r="J216" s="4376">
        <v>6918.7397475195994</v>
      </c>
      <c r="K216" s="2134"/>
    </row>
    <row r="217" spans="1:11" s="2139" customFormat="1" ht="18" hidden="1" customHeight="1">
      <c r="A217" s="2108"/>
      <c r="B217" s="2406"/>
      <c r="C217" s="4330"/>
      <c r="D217" s="2702"/>
      <c r="E217" s="2702"/>
      <c r="F217" s="2702"/>
      <c r="G217" s="2702"/>
      <c r="H217" s="2702"/>
      <c r="I217" s="2702"/>
      <c r="J217" s="2702"/>
      <c r="K217" s="2134"/>
    </row>
    <row r="218" spans="1:11" s="2139" customFormat="1" ht="51.75" customHeight="1">
      <c r="A218" s="2108"/>
      <c r="B218" s="4669" t="s">
        <v>1634</v>
      </c>
      <c r="C218" s="4669"/>
      <c r="D218" s="4669"/>
      <c r="E218" s="4669"/>
      <c r="F218" s="4669"/>
      <c r="G218" s="4669"/>
      <c r="H218" s="4669"/>
      <c r="I218" s="4669"/>
      <c r="J218" s="4669"/>
      <c r="K218" s="2134"/>
    </row>
    <row r="219" spans="1:11" s="2139" customFormat="1">
      <c r="A219" s="2108"/>
      <c r="B219" s="2101"/>
      <c r="C219" s="4027"/>
      <c r="D219" s="2101"/>
      <c r="E219" s="2101"/>
      <c r="F219" s="2101"/>
      <c r="G219" s="2101"/>
      <c r="H219" s="2101"/>
      <c r="I219" s="2101"/>
      <c r="J219" s="2101"/>
      <c r="K219" s="2134"/>
    </row>
    <row r="220" spans="1:11" s="2139" customFormat="1" ht="51.75" hidden="1" customHeight="1">
      <c r="A220" s="2138"/>
      <c r="B220" s="4668" t="s">
        <v>1585</v>
      </c>
      <c r="C220" s="4668"/>
      <c r="D220" s="4668"/>
      <c r="E220" s="4668"/>
      <c r="F220" s="4668"/>
      <c r="G220" s="4668"/>
      <c r="H220" s="4668"/>
      <c r="I220" s="4668"/>
      <c r="J220" s="4668"/>
      <c r="K220" s="3493"/>
    </row>
    <row r="221" spans="1:11" s="2139" customFormat="1">
      <c r="A221" s="2138"/>
      <c r="B221" s="3494"/>
      <c r="C221" s="3500"/>
      <c r="D221" s="3495"/>
      <c r="E221" s="3496"/>
      <c r="F221" s="3496"/>
      <c r="G221" s="3495"/>
      <c r="H221" s="3495"/>
      <c r="I221" s="3495"/>
      <c r="J221" s="3496"/>
      <c r="K221" s="3493"/>
    </row>
    <row r="222" spans="1:11" s="2139" customFormat="1">
      <c r="A222" s="2138"/>
      <c r="B222" s="3494"/>
      <c r="C222" s="3500"/>
      <c r="D222" s="3495"/>
      <c r="E222" s="3496"/>
      <c r="F222" s="3496"/>
      <c r="G222" s="3495"/>
      <c r="H222" s="3495"/>
      <c r="I222" s="3495"/>
      <c r="J222" s="3496"/>
      <c r="K222" s="3493"/>
    </row>
    <row r="223" spans="1:11" s="2139" customFormat="1">
      <c r="A223" s="2138"/>
      <c r="B223" s="3494"/>
      <c r="C223" s="3500"/>
      <c r="D223" s="3495"/>
      <c r="E223" s="3496"/>
      <c r="F223" s="3496"/>
      <c r="G223" s="3495"/>
      <c r="H223" s="3495"/>
      <c r="I223" s="3495"/>
      <c r="J223" s="3496"/>
      <c r="K223" s="3493"/>
    </row>
    <row r="224" spans="1:11" s="2139" customFormat="1">
      <c r="A224" s="2138"/>
      <c r="B224" s="3494"/>
      <c r="C224" s="3500"/>
      <c r="D224" s="3495"/>
      <c r="E224" s="3496"/>
      <c r="F224" s="3496"/>
      <c r="G224" s="3495"/>
      <c r="H224" s="3495"/>
      <c r="I224" s="3495"/>
      <c r="J224" s="3496"/>
      <c r="K224" s="3493"/>
    </row>
    <row r="225" spans="2:13" s="2139" customFormat="1">
      <c r="B225" s="3343"/>
      <c r="C225" s="3501"/>
      <c r="D225" s="3497"/>
      <c r="E225" s="3497"/>
      <c r="F225" s="3497"/>
      <c r="G225" s="3497"/>
      <c r="H225" s="3497"/>
      <c r="I225" s="3497"/>
      <c r="J225" s="3497"/>
    </row>
    <row r="226" spans="2:13" s="2139" customFormat="1">
      <c r="B226" s="3343"/>
      <c r="C226" s="3502"/>
      <c r="D226" s="3343"/>
      <c r="E226" s="3343"/>
      <c r="F226" s="3343"/>
      <c r="G226" s="3343"/>
      <c r="H226" s="3343"/>
      <c r="I226" s="3343"/>
      <c r="J226" s="3343"/>
      <c r="M226" s="2138"/>
    </row>
  </sheetData>
  <mergeCells count="4">
    <mergeCell ref="I6:I8"/>
    <mergeCell ref="B220:J220"/>
    <mergeCell ref="B218:J218"/>
    <mergeCell ref="B1:J1"/>
  </mergeCells>
  <pageMargins left="0.98" right="0.43" top="0.72" bottom="0.17" header="0.511811023622047" footer="0.26"/>
  <pageSetup paperSize="9" scale="75"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dimension ref="A1:CE103"/>
  <sheetViews>
    <sheetView zoomScale="70" zoomScaleNormal="70" zoomScaleSheetLayoutView="85" workbookViewId="0">
      <pane ySplit="9" topLeftCell="A10" activePane="bottomLeft" state="frozen"/>
      <selection activeCell="O92" sqref="O92"/>
      <selection pane="bottomLeft" activeCell="O92" sqref="O92"/>
    </sheetView>
  </sheetViews>
  <sheetFormatPr defaultRowHeight="16.5"/>
  <cols>
    <col min="1" max="1" width="9.140625" style="2105"/>
    <col min="2" max="2" width="9.5703125" style="2112" customWidth="1"/>
    <col min="3" max="3" width="11.42578125" style="3503" customWidth="1"/>
    <col min="4" max="4" width="12.85546875" style="2112" customWidth="1"/>
    <col min="5" max="5" width="8.42578125" style="2112" customWidth="1"/>
    <col min="6" max="6" width="9.42578125" style="2112" customWidth="1"/>
    <col min="7" max="7" width="9.28515625" style="2112" customWidth="1"/>
    <col min="8" max="8" width="10.42578125" style="2112" customWidth="1"/>
    <col min="9" max="9" width="10.28515625" style="2112" customWidth="1"/>
    <col min="10" max="10" width="11.5703125" style="2112" customWidth="1"/>
    <col min="11" max="11" width="10.85546875" style="2112" customWidth="1"/>
    <col min="12" max="12" width="9.42578125" style="2112" customWidth="1"/>
    <col min="13" max="13" width="10.28515625" style="2112" customWidth="1"/>
    <col min="14" max="255" width="9.140625" style="2105"/>
    <col min="256" max="256" width="9.5703125" style="2105" customWidth="1"/>
    <col min="257" max="257" width="11.42578125" style="2105" customWidth="1"/>
    <col min="258" max="258" width="11.5703125" style="2105" customWidth="1"/>
    <col min="259" max="259" width="8.42578125" style="2105" customWidth="1"/>
    <col min="260" max="260" width="9.42578125" style="2105" customWidth="1"/>
    <col min="261" max="261" width="9.28515625" style="2105" customWidth="1"/>
    <col min="262" max="262" width="10.42578125" style="2105" customWidth="1"/>
    <col min="263" max="263" width="10.28515625" style="2105" customWidth="1"/>
    <col min="264" max="264" width="9.42578125" style="2105" customWidth="1"/>
    <col min="265" max="265" width="10.7109375" style="2105" customWidth="1"/>
    <col min="266" max="266" width="9.42578125" style="2105" customWidth="1"/>
    <col min="267" max="267" width="10.28515625" style="2105" customWidth="1"/>
    <col min="268" max="511" width="9.140625" style="2105"/>
    <col min="512" max="512" width="9.5703125" style="2105" customWidth="1"/>
    <col min="513" max="513" width="11.42578125" style="2105" customWidth="1"/>
    <col min="514" max="514" width="11.5703125" style="2105" customWidth="1"/>
    <col min="515" max="515" width="8.42578125" style="2105" customWidth="1"/>
    <col min="516" max="516" width="9.42578125" style="2105" customWidth="1"/>
    <col min="517" max="517" width="9.28515625" style="2105" customWidth="1"/>
    <col min="518" max="518" width="10.42578125" style="2105" customWidth="1"/>
    <col min="519" max="519" width="10.28515625" style="2105" customWidth="1"/>
    <col min="520" max="520" width="9.42578125" style="2105" customWidth="1"/>
    <col min="521" max="521" width="10.7109375" style="2105" customWidth="1"/>
    <col min="522" max="522" width="9.42578125" style="2105" customWidth="1"/>
    <col min="523" max="523" width="10.28515625" style="2105" customWidth="1"/>
    <col min="524" max="767" width="9.140625" style="2105"/>
    <col min="768" max="768" width="9.5703125" style="2105" customWidth="1"/>
    <col min="769" max="769" width="11.42578125" style="2105" customWidth="1"/>
    <col min="770" max="770" width="11.5703125" style="2105" customWidth="1"/>
    <col min="771" max="771" width="8.42578125" style="2105" customWidth="1"/>
    <col min="772" max="772" width="9.42578125" style="2105" customWidth="1"/>
    <col min="773" max="773" width="9.28515625" style="2105" customWidth="1"/>
    <col min="774" max="774" width="10.42578125" style="2105" customWidth="1"/>
    <col min="775" max="775" width="10.28515625" style="2105" customWidth="1"/>
    <col min="776" max="776" width="9.42578125" style="2105" customWidth="1"/>
    <col min="777" max="777" width="10.7109375" style="2105" customWidth="1"/>
    <col min="778" max="778" width="9.42578125" style="2105" customWidth="1"/>
    <col min="779" max="779" width="10.28515625" style="2105" customWidth="1"/>
    <col min="780" max="1023" width="9.140625" style="2105"/>
    <col min="1024" max="1024" width="9.5703125" style="2105" customWidth="1"/>
    <col min="1025" max="1025" width="11.42578125" style="2105" customWidth="1"/>
    <col min="1026" max="1026" width="11.5703125" style="2105" customWidth="1"/>
    <col min="1027" max="1027" width="8.42578125" style="2105" customWidth="1"/>
    <col min="1028" max="1028" width="9.42578125" style="2105" customWidth="1"/>
    <col min="1029" max="1029" width="9.28515625" style="2105" customWidth="1"/>
    <col min="1030" max="1030" width="10.42578125" style="2105" customWidth="1"/>
    <col min="1031" max="1031" width="10.28515625" style="2105" customWidth="1"/>
    <col min="1032" max="1032" width="9.42578125" style="2105" customWidth="1"/>
    <col min="1033" max="1033" width="10.7109375" style="2105" customWidth="1"/>
    <col min="1034" max="1034" width="9.42578125" style="2105" customWidth="1"/>
    <col min="1035" max="1035" width="10.28515625" style="2105" customWidth="1"/>
    <col min="1036" max="1279" width="9.140625" style="2105"/>
    <col min="1280" max="1280" width="9.5703125" style="2105" customWidth="1"/>
    <col min="1281" max="1281" width="11.42578125" style="2105" customWidth="1"/>
    <col min="1282" max="1282" width="11.5703125" style="2105" customWidth="1"/>
    <col min="1283" max="1283" width="8.42578125" style="2105" customWidth="1"/>
    <col min="1284" max="1284" width="9.42578125" style="2105" customWidth="1"/>
    <col min="1285" max="1285" width="9.28515625" style="2105" customWidth="1"/>
    <col min="1286" max="1286" width="10.42578125" style="2105" customWidth="1"/>
    <col min="1287" max="1287" width="10.28515625" style="2105" customWidth="1"/>
    <col min="1288" max="1288" width="9.42578125" style="2105" customWidth="1"/>
    <col min="1289" max="1289" width="10.7109375" style="2105" customWidth="1"/>
    <col min="1290" max="1290" width="9.42578125" style="2105" customWidth="1"/>
    <col min="1291" max="1291" width="10.28515625" style="2105" customWidth="1"/>
    <col min="1292" max="1535" width="9.140625" style="2105"/>
    <col min="1536" max="1536" width="9.5703125" style="2105" customWidth="1"/>
    <col min="1537" max="1537" width="11.42578125" style="2105" customWidth="1"/>
    <col min="1538" max="1538" width="11.5703125" style="2105" customWidth="1"/>
    <col min="1539" max="1539" width="8.42578125" style="2105" customWidth="1"/>
    <col min="1540" max="1540" width="9.42578125" style="2105" customWidth="1"/>
    <col min="1541" max="1541" width="9.28515625" style="2105" customWidth="1"/>
    <col min="1542" max="1542" width="10.42578125" style="2105" customWidth="1"/>
    <col min="1543" max="1543" width="10.28515625" style="2105" customWidth="1"/>
    <col min="1544" max="1544" width="9.42578125" style="2105" customWidth="1"/>
    <col min="1545" max="1545" width="10.7109375" style="2105" customWidth="1"/>
    <col min="1546" max="1546" width="9.42578125" style="2105" customWidth="1"/>
    <col min="1547" max="1547" width="10.28515625" style="2105" customWidth="1"/>
    <col min="1548" max="1791" width="9.140625" style="2105"/>
    <col min="1792" max="1792" width="9.5703125" style="2105" customWidth="1"/>
    <col min="1793" max="1793" width="11.42578125" style="2105" customWidth="1"/>
    <col min="1794" max="1794" width="11.5703125" style="2105" customWidth="1"/>
    <col min="1795" max="1795" width="8.42578125" style="2105" customWidth="1"/>
    <col min="1796" max="1796" width="9.42578125" style="2105" customWidth="1"/>
    <col min="1797" max="1797" width="9.28515625" style="2105" customWidth="1"/>
    <col min="1798" max="1798" width="10.42578125" style="2105" customWidth="1"/>
    <col min="1799" max="1799" width="10.28515625" style="2105" customWidth="1"/>
    <col min="1800" max="1800" width="9.42578125" style="2105" customWidth="1"/>
    <col min="1801" max="1801" width="10.7109375" style="2105" customWidth="1"/>
    <col min="1802" max="1802" width="9.42578125" style="2105" customWidth="1"/>
    <col min="1803" max="1803" width="10.28515625" style="2105" customWidth="1"/>
    <col min="1804" max="2047" width="9.140625" style="2105"/>
    <col min="2048" max="2048" width="9.5703125" style="2105" customWidth="1"/>
    <col min="2049" max="2049" width="11.42578125" style="2105" customWidth="1"/>
    <col min="2050" max="2050" width="11.5703125" style="2105" customWidth="1"/>
    <col min="2051" max="2051" width="8.42578125" style="2105" customWidth="1"/>
    <col min="2052" max="2052" width="9.42578125" style="2105" customWidth="1"/>
    <col min="2053" max="2053" width="9.28515625" style="2105" customWidth="1"/>
    <col min="2054" max="2054" width="10.42578125" style="2105" customWidth="1"/>
    <col min="2055" max="2055" width="10.28515625" style="2105" customWidth="1"/>
    <col min="2056" max="2056" width="9.42578125" style="2105" customWidth="1"/>
    <col min="2057" max="2057" width="10.7109375" style="2105" customWidth="1"/>
    <col min="2058" max="2058" width="9.42578125" style="2105" customWidth="1"/>
    <col min="2059" max="2059" width="10.28515625" style="2105" customWidth="1"/>
    <col min="2060" max="2303" width="9.140625" style="2105"/>
    <col min="2304" max="2304" width="9.5703125" style="2105" customWidth="1"/>
    <col min="2305" max="2305" width="11.42578125" style="2105" customWidth="1"/>
    <col min="2306" max="2306" width="11.5703125" style="2105" customWidth="1"/>
    <col min="2307" max="2307" width="8.42578125" style="2105" customWidth="1"/>
    <col min="2308" max="2308" width="9.42578125" style="2105" customWidth="1"/>
    <col min="2309" max="2309" width="9.28515625" style="2105" customWidth="1"/>
    <col min="2310" max="2310" width="10.42578125" style="2105" customWidth="1"/>
    <col min="2311" max="2311" width="10.28515625" style="2105" customWidth="1"/>
    <col min="2312" max="2312" width="9.42578125" style="2105" customWidth="1"/>
    <col min="2313" max="2313" width="10.7109375" style="2105" customWidth="1"/>
    <col min="2314" max="2314" width="9.42578125" style="2105" customWidth="1"/>
    <col min="2315" max="2315" width="10.28515625" style="2105" customWidth="1"/>
    <col min="2316" max="2559" width="9.140625" style="2105"/>
    <col min="2560" max="2560" width="9.5703125" style="2105" customWidth="1"/>
    <col min="2561" max="2561" width="11.42578125" style="2105" customWidth="1"/>
    <col min="2562" max="2562" width="11.5703125" style="2105" customWidth="1"/>
    <col min="2563" max="2563" width="8.42578125" style="2105" customWidth="1"/>
    <col min="2564" max="2564" width="9.42578125" style="2105" customWidth="1"/>
    <col min="2565" max="2565" width="9.28515625" style="2105" customWidth="1"/>
    <col min="2566" max="2566" width="10.42578125" style="2105" customWidth="1"/>
    <col min="2567" max="2567" width="10.28515625" style="2105" customWidth="1"/>
    <col min="2568" max="2568" width="9.42578125" style="2105" customWidth="1"/>
    <col min="2569" max="2569" width="10.7109375" style="2105" customWidth="1"/>
    <col min="2570" max="2570" width="9.42578125" style="2105" customWidth="1"/>
    <col min="2571" max="2571" width="10.28515625" style="2105" customWidth="1"/>
    <col min="2572" max="2815" width="9.140625" style="2105"/>
    <col min="2816" max="2816" width="9.5703125" style="2105" customWidth="1"/>
    <col min="2817" max="2817" width="11.42578125" style="2105" customWidth="1"/>
    <col min="2818" max="2818" width="11.5703125" style="2105" customWidth="1"/>
    <col min="2819" max="2819" width="8.42578125" style="2105" customWidth="1"/>
    <col min="2820" max="2820" width="9.42578125" style="2105" customWidth="1"/>
    <col min="2821" max="2821" width="9.28515625" style="2105" customWidth="1"/>
    <col min="2822" max="2822" width="10.42578125" style="2105" customWidth="1"/>
    <col min="2823" max="2823" width="10.28515625" style="2105" customWidth="1"/>
    <col min="2824" max="2824" width="9.42578125" style="2105" customWidth="1"/>
    <col min="2825" max="2825" width="10.7109375" style="2105" customWidth="1"/>
    <col min="2826" max="2826" width="9.42578125" style="2105" customWidth="1"/>
    <col min="2827" max="2827" width="10.28515625" style="2105" customWidth="1"/>
    <col min="2828" max="3071" width="9.140625" style="2105"/>
    <col min="3072" max="3072" width="9.5703125" style="2105" customWidth="1"/>
    <col min="3073" max="3073" width="11.42578125" style="2105" customWidth="1"/>
    <col min="3074" max="3074" width="11.5703125" style="2105" customWidth="1"/>
    <col min="3075" max="3075" width="8.42578125" style="2105" customWidth="1"/>
    <col min="3076" max="3076" width="9.42578125" style="2105" customWidth="1"/>
    <col min="3077" max="3077" width="9.28515625" style="2105" customWidth="1"/>
    <col min="3078" max="3078" width="10.42578125" style="2105" customWidth="1"/>
    <col min="3079" max="3079" width="10.28515625" style="2105" customWidth="1"/>
    <col min="3080" max="3080" width="9.42578125" style="2105" customWidth="1"/>
    <col min="3081" max="3081" width="10.7109375" style="2105" customWidth="1"/>
    <col min="3082" max="3082" width="9.42578125" style="2105" customWidth="1"/>
    <col min="3083" max="3083" width="10.28515625" style="2105" customWidth="1"/>
    <col min="3084" max="3327" width="9.140625" style="2105"/>
    <col min="3328" max="3328" width="9.5703125" style="2105" customWidth="1"/>
    <col min="3329" max="3329" width="11.42578125" style="2105" customWidth="1"/>
    <col min="3330" max="3330" width="11.5703125" style="2105" customWidth="1"/>
    <col min="3331" max="3331" width="8.42578125" style="2105" customWidth="1"/>
    <col min="3332" max="3332" width="9.42578125" style="2105" customWidth="1"/>
    <col min="3333" max="3333" width="9.28515625" style="2105" customWidth="1"/>
    <col min="3334" max="3334" width="10.42578125" style="2105" customWidth="1"/>
    <col min="3335" max="3335" width="10.28515625" style="2105" customWidth="1"/>
    <col min="3336" max="3336" width="9.42578125" style="2105" customWidth="1"/>
    <col min="3337" max="3337" width="10.7109375" style="2105" customWidth="1"/>
    <col min="3338" max="3338" width="9.42578125" style="2105" customWidth="1"/>
    <col min="3339" max="3339" width="10.28515625" style="2105" customWidth="1"/>
    <col min="3340" max="3583" width="9.140625" style="2105"/>
    <col min="3584" max="3584" width="9.5703125" style="2105" customWidth="1"/>
    <col min="3585" max="3585" width="11.42578125" style="2105" customWidth="1"/>
    <col min="3586" max="3586" width="11.5703125" style="2105" customWidth="1"/>
    <col min="3587" max="3587" width="8.42578125" style="2105" customWidth="1"/>
    <col min="3588" max="3588" width="9.42578125" style="2105" customWidth="1"/>
    <col min="3589" max="3589" width="9.28515625" style="2105" customWidth="1"/>
    <col min="3590" max="3590" width="10.42578125" style="2105" customWidth="1"/>
    <col min="3591" max="3591" width="10.28515625" style="2105" customWidth="1"/>
    <col min="3592" max="3592" width="9.42578125" style="2105" customWidth="1"/>
    <col min="3593" max="3593" width="10.7109375" style="2105" customWidth="1"/>
    <col min="3594" max="3594" width="9.42578125" style="2105" customWidth="1"/>
    <col min="3595" max="3595" width="10.28515625" style="2105" customWidth="1"/>
    <col min="3596" max="3839" width="9.140625" style="2105"/>
    <col min="3840" max="3840" width="9.5703125" style="2105" customWidth="1"/>
    <col min="3841" max="3841" width="11.42578125" style="2105" customWidth="1"/>
    <col min="3842" max="3842" width="11.5703125" style="2105" customWidth="1"/>
    <col min="3843" max="3843" width="8.42578125" style="2105" customWidth="1"/>
    <col min="3844" max="3844" width="9.42578125" style="2105" customWidth="1"/>
    <col min="3845" max="3845" width="9.28515625" style="2105" customWidth="1"/>
    <col min="3846" max="3846" width="10.42578125" style="2105" customWidth="1"/>
    <col min="3847" max="3847" width="10.28515625" style="2105" customWidth="1"/>
    <col min="3848" max="3848" width="9.42578125" style="2105" customWidth="1"/>
    <col min="3849" max="3849" width="10.7109375" style="2105" customWidth="1"/>
    <col min="3850" max="3850" width="9.42578125" style="2105" customWidth="1"/>
    <col min="3851" max="3851" width="10.28515625" style="2105" customWidth="1"/>
    <col min="3852" max="4095" width="9.140625" style="2105"/>
    <col min="4096" max="4096" width="9.5703125" style="2105" customWidth="1"/>
    <col min="4097" max="4097" width="11.42578125" style="2105" customWidth="1"/>
    <col min="4098" max="4098" width="11.5703125" style="2105" customWidth="1"/>
    <col min="4099" max="4099" width="8.42578125" style="2105" customWidth="1"/>
    <col min="4100" max="4100" width="9.42578125" style="2105" customWidth="1"/>
    <col min="4101" max="4101" width="9.28515625" style="2105" customWidth="1"/>
    <col min="4102" max="4102" width="10.42578125" style="2105" customWidth="1"/>
    <col min="4103" max="4103" width="10.28515625" style="2105" customWidth="1"/>
    <col min="4104" max="4104" width="9.42578125" style="2105" customWidth="1"/>
    <col min="4105" max="4105" width="10.7109375" style="2105" customWidth="1"/>
    <col min="4106" max="4106" width="9.42578125" style="2105" customWidth="1"/>
    <col min="4107" max="4107" width="10.28515625" style="2105" customWidth="1"/>
    <col min="4108" max="4351" width="9.140625" style="2105"/>
    <col min="4352" max="4352" width="9.5703125" style="2105" customWidth="1"/>
    <col min="4353" max="4353" width="11.42578125" style="2105" customWidth="1"/>
    <col min="4354" max="4354" width="11.5703125" style="2105" customWidth="1"/>
    <col min="4355" max="4355" width="8.42578125" style="2105" customWidth="1"/>
    <col min="4356" max="4356" width="9.42578125" style="2105" customWidth="1"/>
    <col min="4357" max="4357" width="9.28515625" style="2105" customWidth="1"/>
    <col min="4358" max="4358" width="10.42578125" style="2105" customWidth="1"/>
    <col min="4359" max="4359" width="10.28515625" style="2105" customWidth="1"/>
    <col min="4360" max="4360" width="9.42578125" style="2105" customWidth="1"/>
    <col min="4361" max="4361" width="10.7109375" style="2105" customWidth="1"/>
    <col min="4362" max="4362" width="9.42578125" style="2105" customWidth="1"/>
    <col min="4363" max="4363" width="10.28515625" style="2105" customWidth="1"/>
    <col min="4364" max="4607" width="9.140625" style="2105"/>
    <col min="4608" max="4608" width="9.5703125" style="2105" customWidth="1"/>
    <col min="4609" max="4609" width="11.42578125" style="2105" customWidth="1"/>
    <col min="4610" max="4610" width="11.5703125" style="2105" customWidth="1"/>
    <col min="4611" max="4611" width="8.42578125" style="2105" customWidth="1"/>
    <col min="4612" max="4612" width="9.42578125" style="2105" customWidth="1"/>
    <col min="4613" max="4613" width="9.28515625" style="2105" customWidth="1"/>
    <col min="4614" max="4614" width="10.42578125" style="2105" customWidth="1"/>
    <col min="4615" max="4615" width="10.28515625" style="2105" customWidth="1"/>
    <col min="4616" max="4616" width="9.42578125" style="2105" customWidth="1"/>
    <col min="4617" max="4617" width="10.7109375" style="2105" customWidth="1"/>
    <col min="4618" max="4618" width="9.42578125" style="2105" customWidth="1"/>
    <col min="4619" max="4619" width="10.28515625" style="2105" customWidth="1"/>
    <col min="4620" max="4863" width="9.140625" style="2105"/>
    <col min="4864" max="4864" width="9.5703125" style="2105" customWidth="1"/>
    <col min="4865" max="4865" width="11.42578125" style="2105" customWidth="1"/>
    <col min="4866" max="4866" width="11.5703125" style="2105" customWidth="1"/>
    <col min="4867" max="4867" width="8.42578125" style="2105" customWidth="1"/>
    <col min="4868" max="4868" width="9.42578125" style="2105" customWidth="1"/>
    <col min="4869" max="4869" width="9.28515625" style="2105" customWidth="1"/>
    <col min="4870" max="4870" width="10.42578125" style="2105" customWidth="1"/>
    <col min="4871" max="4871" width="10.28515625" style="2105" customWidth="1"/>
    <col min="4872" max="4872" width="9.42578125" style="2105" customWidth="1"/>
    <col min="4873" max="4873" width="10.7109375" style="2105" customWidth="1"/>
    <col min="4874" max="4874" width="9.42578125" style="2105" customWidth="1"/>
    <col min="4875" max="4875" width="10.28515625" style="2105" customWidth="1"/>
    <col min="4876" max="5119" width="9.140625" style="2105"/>
    <col min="5120" max="5120" width="9.5703125" style="2105" customWidth="1"/>
    <col min="5121" max="5121" width="11.42578125" style="2105" customWidth="1"/>
    <col min="5122" max="5122" width="11.5703125" style="2105" customWidth="1"/>
    <col min="5123" max="5123" width="8.42578125" style="2105" customWidth="1"/>
    <col min="5124" max="5124" width="9.42578125" style="2105" customWidth="1"/>
    <col min="5125" max="5125" width="9.28515625" style="2105" customWidth="1"/>
    <col min="5126" max="5126" width="10.42578125" style="2105" customWidth="1"/>
    <col min="5127" max="5127" width="10.28515625" style="2105" customWidth="1"/>
    <col min="5128" max="5128" width="9.42578125" style="2105" customWidth="1"/>
    <col min="5129" max="5129" width="10.7109375" style="2105" customWidth="1"/>
    <col min="5130" max="5130" width="9.42578125" style="2105" customWidth="1"/>
    <col min="5131" max="5131" width="10.28515625" style="2105" customWidth="1"/>
    <col min="5132" max="5375" width="9.140625" style="2105"/>
    <col min="5376" max="5376" width="9.5703125" style="2105" customWidth="1"/>
    <col min="5377" max="5377" width="11.42578125" style="2105" customWidth="1"/>
    <col min="5378" max="5378" width="11.5703125" style="2105" customWidth="1"/>
    <col min="5379" max="5379" width="8.42578125" style="2105" customWidth="1"/>
    <col min="5380" max="5380" width="9.42578125" style="2105" customWidth="1"/>
    <col min="5381" max="5381" width="9.28515625" style="2105" customWidth="1"/>
    <col min="5382" max="5382" width="10.42578125" style="2105" customWidth="1"/>
    <col min="5383" max="5383" width="10.28515625" style="2105" customWidth="1"/>
    <col min="5384" max="5384" width="9.42578125" style="2105" customWidth="1"/>
    <col min="5385" max="5385" width="10.7109375" style="2105" customWidth="1"/>
    <col min="5386" max="5386" width="9.42578125" style="2105" customWidth="1"/>
    <col min="5387" max="5387" width="10.28515625" style="2105" customWidth="1"/>
    <col min="5388" max="5631" width="9.140625" style="2105"/>
    <col min="5632" max="5632" width="9.5703125" style="2105" customWidth="1"/>
    <col min="5633" max="5633" width="11.42578125" style="2105" customWidth="1"/>
    <col min="5634" max="5634" width="11.5703125" style="2105" customWidth="1"/>
    <col min="5635" max="5635" width="8.42578125" style="2105" customWidth="1"/>
    <col min="5636" max="5636" width="9.42578125" style="2105" customWidth="1"/>
    <col min="5637" max="5637" width="9.28515625" style="2105" customWidth="1"/>
    <col min="5638" max="5638" width="10.42578125" style="2105" customWidth="1"/>
    <col min="5639" max="5639" width="10.28515625" style="2105" customWidth="1"/>
    <col min="5640" max="5640" width="9.42578125" style="2105" customWidth="1"/>
    <col min="5641" max="5641" width="10.7109375" style="2105" customWidth="1"/>
    <col min="5642" max="5642" width="9.42578125" style="2105" customWidth="1"/>
    <col min="5643" max="5643" width="10.28515625" style="2105" customWidth="1"/>
    <col min="5644" max="5887" width="9.140625" style="2105"/>
    <col min="5888" max="5888" width="9.5703125" style="2105" customWidth="1"/>
    <col min="5889" max="5889" width="11.42578125" style="2105" customWidth="1"/>
    <col min="5890" max="5890" width="11.5703125" style="2105" customWidth="1"/>
    <col min="5891" max="5891" width="8.42578125" style="2105" customWidth="1"/>
    <col min="5892" max="5892" width="9.42578125" style="2105" customWidth="1"/>
    <col min="5893" max="5893" width="9.28515625" style="2105" customWidth="1"/>
    <col min="5894" max="5894" width="10.42578125" style="2105" customWidth="1"/>
    <col min="5895" max="5895" width="10.28515625" style="2105" customWidth="1"/>
    <col min="5896" max="5896" width="9.42578125" style="2105" customWidth="1"/>
    <col min="5897" max="5897" width="10.7109375" style="2105" customWidth="1"/>
    <col min="5898" max="5898" width="9.42578125" style="2105" customWidth="1"/>
    <col min="5899" max="5899" width="10.28515625" style="2105" customWidth="1"/>
    <col min="5900" max="6143" width="9.140625" style="2105"/>
    <col min="6144" max="6144" width="9.5703125" style="2105" customWidth="1"/>
    <col min="6145" max="6145" width="11.42578125" style="2105" customWidth="1"/>
    <col min="6146" max="6146" width="11.5703125" style="2105" customWidth="1"/>
    <col min="6147" max="6147" width="8.42578125" style="2105" customWidth="1"/>
    <col min="6148" max="6148" width="9.42578125" style="2105" customWidth="1"/>
    <col min="6149" max="6149" width="9.28515625" style="2105" customWidth="1"/>
    <col min="6150" max="6150" width="10.42578125" style="2105" customWidth="1"/>
    <col min="6151" max="6151" width="10.28515625" style="2105" customWidth="1"/>
    <col min="6152" max="6152" width="9.42578125" style="2105" customWidth="1"/>
    <col min="6153" max="6153" width="10.7109375" style="2105" customWidth="1"/>
    <col min="6154" max="6154" width="9.42578125" style="2105" customWidth="1"/>
    <col min="6155" max="6155" width="10.28515625" style="2105" customWidth="1"/>
    <col min="6156" max="6399" width="9.140625" style="2105"/>
    <col min="6400" max="6400" width="9.5703125" style="2105" customWidth="1"/>
    <col min="6401" max="6401" width="11.42578125" style="2105" customWidth="1"/>
    <col min="6402" max="6402" width="11.5703125" style="2105" customWidth="1"/>
    <col min="6403" max="6403" width="8.42578125" style="2105" customWidth="1"/>
    <col min="6404" max="6404" width="9.42578125" style="2105" customWidth="1"/>
    <col min="6405" max="6405" width="9.28515625" style="2105" customWidth="1"/>
    <col min="6406" max="6406" width="10.42578125" style="2105" customWidth="1"/>
    <col min="6407" max="6407" width="10.28515625" style="2105" customWidth="1"/>
    <col min="6408" max="6408" width="9.42578125" style="2105" customWidth="1"/>
    <col min="6409" max="6409" width="10.7109375" style="2105" customWidth="1"/>
    <col min="6410" max="6410" width="9.42578125" style="2105" customWidth="1"/>
    <col min="6411" max="6411" width="10.28515625" style="2105" customWidth="1"/>
    <col min="6412" max="6655" width="9.140625" style="2105"/>
    <col min="6656" max="6656" width="9.5703125" style="2105" customWidth="1"/>
    <col min="6657" max="6657" width="11.42578125" style="2105" customWidth="1"/>
    <col min="6658" max="6658" width="11.5703125" style="2105" customWidth="1"/>
    <col min="6659" max="6659" width="8.42578125" style="2105" customWidth="1"/>
    <col min="6660" max="6660" width="9.42578125" style="2105" customWidth="1"/>
    <col min="6661" max="6661" width="9.28515625" style="2105" customWidth="1"/>
    <col min="6662" max="6662" width="10.42578125" style="2105" customWidth="1"/>
    <col min="6663" max="6663" width="10.28515625" style="2105" customWidth="1"/>
    <col min="6664" max="6664" width="9.42578125" style="2105" customWidth="1"/>
    <col min="6665" max="6665" width="10.7109375" style="2105" customWidth="1"/>
    <col min="6666" max="6666" width="9.42578125" style="2105" customWidth="1"/>
    <col min="6667" max="6667" width="10.28515625" style="2105" customWidth="1"/>
    <col min="6668" max="6911" width="9.140625" style="2105"/>
    <col min="6912" max="6912" width="9.5703125" style="2105" customWidth="1"/>
    <col min="6913" max="6913" width="11.42578125" style="2105" customWidth="1"/>
    <col min="6914" max="6914" width="11.5703125" style="2105" customWidth="1"/>
    <col min="6915" max="6915" width="8.42578125" style="2105" customWidth="1"/>
    <col min="6916" max="6916" width="9.42578125" style="2105" customWidth="1"/>
    <col min="6917" max="6917" width="9.28515625" style="2105" customWidth="1"/>
    <col min="6918" max="6918" width="10.42578125" style="2105" customWidth="1"/>
    <col min="6919" max="6919" width="10.28515625" style="2105" customWidth="1"/>
    <col min="6920" max="6920" width="9.42578125" style="2105" customWidth="1"/>
    <col min="6921" max="6921" width="10.7109375" style="2105" customWidth="1"/>
    <col min="6922" max="6922" width="9.42578125" style="2105" customWidth="1"/>
    <col min="6923" max="6923" width="10.28515625" style="2105" customWidth="1"/>
    <col min="6924" max="7167" width="9.140625" style="2105"/>
    <col min="7168" max="7168" width="9.5703125" style="2105" customWidth="1"/>
    <col min="7169" max="7169" width="11.42578125" style="2105" customWidth="1"/>
    <col min="7170" max="7170" width="11.5703125" style="2105" customWidth="1"/>
    <col min="7171" max="7171" width="8.42578125" style="2105" customWidth="1"/>
    <col min="7172" max="7172" width="9.42578125" style="2105" customWidth="1"/>
    <col min="7173" max="7173" width="9.28515625" style="2105" customWidth="1"/>
    <col min="7174" max="7174" width="10.42578125" style="2105" customWidth="1"/>
    <col min="7175" max="7175" width="10.28515625" style="2105" customWidth="1"/>
    <col min="7176" max="7176" width="9.42578125" style="2105" customWidth="1"/>
    <col min="7177" max="7177" width="10.7109375" style="2105" customWidth="1"/>
    <col min="7178" max="7178" width="9.42578125" style="2105" customWidth="1"/>
    <col min="7179" max="7179" width="10.28515625" style="2105" customWidth="1"/>
    <col min="7180" max="7423" width="9.140625" style="2105"/>
    <col min="7424" max="7424" width="9.5703125" style="2105" customWidth="1"/>
    <col min="7425" max="7425" width="11.42578125" style="2105" customWidth="1"/>
    <col min="7426" max="7426" width="11.5703125" style="2105" customWidth="1"/>
    <col min="7427" max="7427" width="8.42578125" style="2105" customWidth="1"/>
    <col min="7428" max="7428" width="9.42578125" style="2105" customWidth="1"/>
    <col min="7429" max="7429" width="9.28515625" style="2105" customWidth="1"/>
    <col min="7430" max="7430" width="10.42578125" style="2105" customWidth="1"/>
    <col min="7431" max="7431" width="10.28515625" style="2105" customWidth="1"/>
    <col min="7432" max="7432" width="9.42578125" style="2105" customWidth="1"/>
    <col min="7433" max="7433" width="10.7109375" style="2105" customWidth="1"/>
    <col min="7434" max="7434" width="9.42578125" style="2105" customWidth="1"/>
    <col min="7435" max="7435" width="10.28515625" style="2105" customWidth="1"/>
    <col min="7436" max="7679" width="9.140625" style="2105"/>
    <col min="7680" max="7680" width="9.5703125" style="2105" customWidth="1"/>
    <col min="7681" max="7681" width="11.42578125" style="2105" customWidth="1"/>
    <col min="7682" max="7682" width="11.5703125" style="2105" customWidth="1"/>
    <col min="7683" max="7683" width="8.42578125" style="2105" customWidth="1"/>
    <col min="7684" max="7684" width="9.42578125" style="2105" customWidth="1"/>
    <col min="7685" max="7685" width="9.28515625" style="2105" customWidth="1"/>
    <col min="7686" max="7686" width="10.42578125" style="2105" customWidth="1"/>
    <col min="7687" max="7687" width="10.28515625" style="2105" customWidth="1"/>
    <col min="7688" max="7688" width="9.42578125" style="2105" customWidth="1"/>
    <col min="7689" max="7689" width="10.7109375" style="2105" customWidth="1"/>
    <col min="7690" max="7690" width="9.42578125" style="2105" customWidth="1"/>
    <col min="7691" max="7691" width="10.28515625" style="2105" customWidth="1"/>
    <col min="7692" max="7935" width="9.140625" style="2105"/>
    <col min="7936" max="7936" width="9.5703125" style="2105" customWidth="1"/>
    <col min="7937" max="7937" width="11.42578125" style="2105" customWidth="1"/>
    <col min="7938" max="7938" width="11.5703125" style="2105" customWidth="1"/>
    <col min="7939" max="7939" width="8.42578125" style="2105" customWidth="1"/>
    <col min="7940" max="7940" width="9.42578125" style="2105" customWidth="1"/>
    <col min="7941" max="7941" width="9.28515625" style="2105" customWidth="1"/>
    <col min="7942" max="7942" width="10.42578125" style="2105" customWidth="1"/>
    <col min="7943" max="7943" width="10.28515625" style="2105" customWidth="1"/>
    <col min="7944" max="7944" width="9.42578125" style="2105" customWidth="1"/>
    <col min="7945" max="7945" width="10.7109375" style="2105" customWidth="1"/>
    <col min="7946" max="7946" width="9.42578125" style="2105" customWidth="1"/>
    <col min="7947" max="7947" width="10.28515625" style="2105" customWidth="1"/>
    <col min="7948" max="8191" width="9.140625" style="2105"/>
    <col min="8192" max="8192" width="9.5703125" style="2105" customWidth="1"/>
    <col min="8193" max="8193" width="11.42578125" style="2105" customWidth="1"/>
    <col min="8194" max="8194" width="11.5703125" style="2105" customWidth="1"/>
    <col min="8195" max="8195" width="8.42578125" style="2105" customWidth="1"/>
    <col min="8196" max="8196" width="9.42578125" style="2105" customWidth="1"/>
    <col min="8197" max="8197" width="9.28515625" style="2105" customWidth="1"/>
    <col min="8198" max="8198" width="10.42578125" style="2105" customWidth="1"/>
    <col min="8199" max="8199" width="10.28515625" style="2105" customWidth="1"/>
    <col min="8200" max="8200" width="9.42578125" style="2105" customWidth="1"/>
    <col min="8201" max="8201" width="10.7109375" style="2105" customWidth="1"/>
    <col min="8202" max="8202" width="9.42578125" style="2105" customWidth="1"/>
    <col min="8203" max="8203" width="10.28515625" style="2105" customWidth="1"/>
    <col min="8204" max="8447" width="9.140625" style="2105"/>
    <col min="8448" max="8448" width="9.5703125" style="2105" customWidth="1"/>
    <col min="8449" max="8449" width="11.42578125" style="2105" customWidth="1"/>
    <col min="8450" max="8450" width="11.5703125" style="2105" customWidth="1"/>
    <col min="8451" max="8451" width="8.42578125" style="2105" customWidth="1"/>
    <col min="8452" max="8452" width="9.42578125" style="2105" customWidth="1"/>
    <col min="8453" max="8453" width="9.28515625" style="2105" customWidth="1"/>
    <col min="8454" max="8454" width="10.42578125" style="2105" customWidth="1"/>
    <col min="8455" max="8455" width="10.28515625" style="2105" customWidth="1"/>
    <col min="8456" max="8456" width="9.42578125" style="2105" customWidth="1"/>
    <col min="8457" max="8457" width="10.7109375" style="2105" customWidth="1"/>
    <col min="8458" max="8458" width="9.42578125" style="2105" customWidth="1"/>
    <col min="8459" max="8459" width="10.28515625" style="2105" customWidth="1"/>
    <col min="8460" max="8703" width="9.140625" style="2105"/>
    <col min="8704" max="8704" width="9.5703125" style="2105" customWidth="1"/>
    <col min="8705" max="8705" width="11.42578125" style="2105" customWidth="1"/>
    <col min="8706" max="8706" width="11.5703125" style="2105" customWidth="1"/>
    <col min="8707" max="8707" width="8.42578125" style="2105" customWidth="1"/>
    <col min="8708" max="8708" width="9.42578125" style="2105" customWidth="1"/>
    <col min="8709" max="8709" width="9.28515625" style="2105" customWidth="1"/>
    <col min="8710" max="8710" width="10.42578125" style="2105" customWidth="1"/>
    <col min="8711" max="8711" width="10.28515625" style="2105" customWidth="1"/>
    <col min="8712" max="8712" width="9.42578125" style="2105" customWidth="1"/>
    <col min="8713" max="8713" width="10.7109375" style="2105" customWidth="1"/>
    <col min="8714" max="8714" width="9.42578125" style="2105" customWidth="1"/>
    <col min="8715" max="8715" width="10.28515625" style="2105" customWidth="1"/>
    <col min="8716" max="8959" width="9.140625" style="2105"/>
    <col min="8960" max="8960" width="9.5703125" style="2105" customWidth="1"/>
    <col min="8961" max="8961" width="11.42578125" style="2105" customWidth="1"/>
    <col min="8962" max="8962" width="11.5703125" style="2105" customWidth="1"/>
    <col min="8963" max="8963" width="8.42578125" style="2105" customWidth="1"/>
    <col min="8964" max="8964" width="9.42578125" style="2105" customWidth="1"/>
    <col min="8965" max="8965" width="9.28515625" style="2105" customWidth="1"/>
    <col min="8966" max="8966" width="10.42578125" style="2105" customWidth="1"/>
    <col min="8967" max="8967" width="10.28515625" style="2105" customWidth="1"/>
    <col min="8968" max="8968" width="9.42578125" style="2105" customWidth="1"/>
    <col min="8969" max="8969" width="10.7109375" style="2105" customWidth="1"/>
    <col min="8970" max="8970" width="9.42578125" style="2105" customWidth="1"/>
    <col min="8971" max="8971" width="10.28515625" style="2105" customWidth="1"/>
    <col min="8972" max="9215" width="9.140625" style="2105"/>
    <col min="9216" max="9216" width="9.5703125" style="2105" customWidth="1"/>
    <col min="9217" max="9217" width="11.42578125" style="2105" customWidth="1"/>
    <col min="9218" max="9218" width="11.5703125" style="2105" customWidth="1"/>
    <col min="9219" max="9219" width="8.42578125" style="2105" customWidth="1"/>
    <col min="9220" max="9220" width="9.42578125" style="2105" customWidth="1"/>
    <col min="9221" max="9221" width="9.28515625" style="2105" customWidth="1"/>
    <col min="9222" max="9222" width="10.42578125" style="2105" customWidth="1"/>
    <col min="9223" max="9223" width="10.28515625" style="2105" customWidth="1"/>
    <col min="9224" max="9224" width="9.42578125" style="2105" customWidth="1"/>
    <col min="9225" max="9225" width="10.7109375" style="2105" customWidth="1"/>
    <col min="9226" max="9226" width="9.42578125" style="2105" customWidth="1"/>
    <col min="9227" max="9227" width="10.28515625" style="2105" customWidth="1"/>
    <col min="9228" max="9471" width="9.140625" style="2105"/>
    <col min="9472" max="9472" width="9.5703125" style="2105" customWidth="1"/>
    <col min="9473" max="9473" width="11.42578125" style="2105" customWidth="1"/>
    <col min="9474" max="9474" width="11.5703125" style="2105" customWidth="1"/>
    <col min="9475" max="9475" width="8.42578125" style="2105" customWidth="1"/>
    <col min="9476" max="9476" width="9.42578125" style="2105" customWidth="1"/>
    <col min="9477" max="9477" width="9.28515625" style="2105" customWidth="1"/>
    <col min="9478" max="9478" width="10.42578125" style="2105" customWidth="1"/>
    <col min="9479" max="9479" width="10.28515625" style="2105" customWidth="1"/>
    <col min="9480" max="9480" width="9.42578125" style="2105" customWidth="1"/>
    <col min="9481" max="9481" width="10.7109375" style="2105" customWidth="1"/>
    <col min="9482" max="9482" width="9.42578125" style="2105" customWidth="1"/>
    <col min="9483" max="9483" width="10.28515625" style="2105" customWidth="1"/>
    <col min="9484" max="9727" width="9.140625" style="2105"/>
    <col min="9728" max="9728" width="9.5703125" style="2105" customWidth="1"/>
    <col min="9729" max="9729" width="11.42578125" style="2105" customWidth="1"/>
    <col min="9730" max="9730" width="11.5703125" style="2105" customWidth="1"/>
    <col min="9731" max="9731" width="8.42578125" style="2105" customWidth="1"/>
    <col min="9732" max="9732" width="9.42578125" style="2105" customWidth="1"/>
    <col min="9733" max="9733" width="9.28515625" style="2105" customWidth="1"/>
    <col min="9734" max="9734" width="10.42578125" style="2105" customWidth="1"/>
    <col min="9735" max="9735" width="10.28515625" style="2105" customWidth="1"/>
    <col min="9736" max="9736" width="9.42578125" style="2105" customWidth="1"/>
    <col min="9737" max="9737" width="10.7109375" style="2105" customWidth="1"/>
    <col min="9738" max="9738" width="9.42578125" style="2105" customWidth="1"/>
    <col min="9739" max="9739" width="10.28515625" style="2105" customWidth="1"/>
    <col min="9740" max="9983" width="9.140625" style="2105"/>
    <col min="9984" max="9984" width="9.5703125" style="2105" customWidth="1"/>
    <col min="9985" max="9985" width="11.42578125" style="2105" customWidth="1"/>
    <col min="9986" max="9986" width="11.5703125" style="2105" customWidth="1"/>
    <col min="9987" max="9987" width="8.42578125" style="2105" customWidth="1"/>
    <col min="9988" max="9988" width="9.42578125" style="2105" customWidth="1"/>
    <col min="9989" max="9989" width="9.28515625" style="2105" customWidth="1"/>
    <col min="9990" max="9990" width="10.42578125" style="2105" customWidth="1"/>
    <col min="9991" max="9991" width="10.28515625" style="2105" customWidth="1"/>
    <col min="9992" max="9992" width="9.42578125" style="2105" customWidth="1"/>
    <col min="9993" max="9993" width="10.7109375" style="2105" customWidth="1"/>
    <col min="9994" max="9994" width="9.42578125" style="2105" customWidth="1"/>
    <col min="9995" max="9995" width="10.28515625" style="2105" customWidth="1"/>
    <col min="9996" max="10239" width="9.140625" style="2105"/>
    <col min="10240" max="10240" width="9.5703125" style="2105" customWidth="1"/>
    <col min="10241" max="10241" width="11.42578125" style="2105" customWidth="1"/>
    <col min="10242" max="10242" width="11.5703125" style="2105" customWidth="1"/>
    <col min="10243" max="10243" width="8.42578125" style="2105" customWidth="1"/>
    <col min="10244" max="10244" width="9.42578125" style="2105" customWidth="1"/>
    <col min="10245" max="10245" width="9.28515625" style="2105" customWidth="1"/>
    <col min="10246" max="10246" width="10.42578125" style="2105" customWidth="1"/>
    <col min="10247" max="10247" width="10.28515625" style="2105" customWidth="1"/>
    <col min="10248" max="10248" width="9.42578125" style="2105" customWidth="1"/>
    <col min="10249" max="10249" width="10.7109375" style="2105" customWidth="1"/>
    <col min="10250" max="10250" width="9.42578125" style="2105" customWidth="1"/>
    <col min="10251" max="10251" width="10.28515625" style="2105" customWidth="1"/>
    <col min="10252" max="10495" width="9.140625" style="2105"/>
    <col min="10496" max="10496" width="9.5703125" style="2105" customWidth="1"/>
    <col min="10497" max="10497" width="11.42578125" style="2105" customWidth="1"/>
    <col min="10498" max="10498" width="11.5703125" style="2105" customWidth="1"/>
    <col min="10499" max="10499" width="8.42578125" style="2105" customWidth="1"/>
    <col min="10500" max="10500" width="9.42578125" style="2105" customWidth="1"/>
    <col min="10501" max="10501" width="9.28515625" style="2105" customWidth="1"/>
    <col min="10502" max="10502" width="10.42578125" style="2105" customWidth="1"/>
    <col min="10503" max="10503" width="10.28515625" style="2105" customWidth="1"/>
    <col min="10504" max="10504" width="9.42578125" style="2105" customWidth="1"/>
    <col min="10505" max="10505" width="10.7109375" style="2105" customWidth="1"/>
    <col min="10506" max="10506" width="9.42578125" style="2105" customWidth="1"/>
    <col min="10507" max="10507" width="10.28515625" style="2105" customWidth="1"/>
    <col min="10508" max="10751" width="9.140625" style="2105"/>
    <col min="10752" max="10752" width="9.5703125" style="2105" customWidth="1"/>
    <col min="10753" max="10753" width="11.42578125" style="2105" customWidth="1"/>
    <col min="10754" max="10754" width="11.5703125" style="2105" customWidth="1"/>
    <col min="10755" max="10755" width="8.42578125" style="2105" customWidth="1"/>
    <col min="10756" max="10756" width="9.42578125" style="2105" customWidth="1"/>
    <col min="10757" max="10757" width="9.28515625" style="2105" customWidth="1"/>
    <col min="10758" max="10758" width="10.42578125" style="2105" customWidth="1"/>
    <col min="10759" max="10759" width="10.28515625" style="2105" customWidth="1"/>
    <col min="10760" max="10760" width="9.42578125" style="2105" customWidth="1"/>
    <col min="10761" max="10761" width="10.7109375" style="2105" customWidth="1"/>
    <col min="10762" max="10762" width="9.42578125" style="2105" customWidth="1"/>
    <col min="10763" max="10763" width="10.28515625" style="2105" customWidth="1"/>
    <col min="10764" max="11007" width="9.140625" style="2105"/>
    <col min="11008" max="11008" width="9.5703125" style="2105" customWidth="1"/>
    <col min="11009" max="11009" width="11.42578125" style="2105" customWidth="1"/>
    <col min="11010" max="11010" width="11.5703125" style="2105" customWidth="1"/>
    <col min="11011" max="11011" width="8.42578125" style="2105" customWidth="1"/>
    <col min="11012" max="11012" width="9.42578125" style="2105" customWidth="1"/>
    <col min="11013" max="11013" width="9.28515625" style="2105" customWidth="1"/>
    <col min="11014" max="11014" width="10.42578125" style="2105" customWidth="1"/>
    <col min="11015" max="11015" width="10.28515625" style="2105" customWidth="1"/>
    <col min="11016" max="11016" width="9.42578125" style="2105" customWidth="1"/>
    <col min="11017" max="11017" width="10.7109375" style="2105" customWidth="1"/>
    <col min="11018" max="11018" width="9.42578125" style="2105" customWidth="1"/>
    <col min="11019" max="11019" width="10.28515625" style="2105" customWidth="1"/>
    <col min="11020" max="11263" width="9.140625" style="2105"/>
    <col min="11264" max="11264" width="9.5703125" style="2105" customWidth="1"/>
    <col min="11265" max="11265" width="11.42578125" style="2105" customWidth="1"/>
    <col min="11266" max="11266" width="11.5703125" style="2105" customWidth="1"/>
    <col min="11267" max="11267" width="8.42578125" style="2105" customWidth="1"/>
    <col min="11268" max="11268" width="9.42578125" style="2105" customWidth="1"/>
    <col min="11269" max="11269" width="9.28515625" style="2105" customWidth="1"/>
    <col min="11270" max="11270" width="10.42578125" style="2105" customWidth="1"/>
    <col min="11271" max="11271" width="10.28515625" style="2105" customWidth="1"/>
    <col min="11272" max="11272" width="9.42578125" style="2105" customWidth="1"/>
    <col min="11273" max="11273" width="10.7109375" style="2105" customWidth="1"/>
    <col min="11274" max="11274" width="9.42578125" style="2105" customWidth="1"/>
    <col min="11275" max="11275" width="10.28515625" style="2105" customWidth="1"/>
    <col min="11276" max="11519" width="9.140625" style="2105"/>
    <col min="11520" max="11520" width="9.5703125" style="2105" customWidth="1"/>
    <col min="11521" max="11521" width="11.42578125" style="2105" customWidth="1"/>
    <col min="11522" max="11522" width="11.5703125" style="2105" customWidth="1"/>
    <col min="11523" max="11523" width="8.42578125" style="2105" customWidth="1"/>
    <col min="11524" max="11524" width="9.42578125" style="2105" customWidth="1"/>
    <col min="11525" max="11525" width="9.28515625" style="2105" customWidth="1"/>
    <col min="11526" max="11526" width="10.42578125" style="2105" customWidth="1"/>
    <col min="11527" max="11527" width="10.28515625" style="2105" customWidth="1"/>
    <col min="11528" max="11528" width="9.42578125" style="2105" customWidth="1"/>
    <col min="11529" max="11529" width="10.7109375" style="2105" customWidth="1"/>
    <col min="11530" max="11530" width="9.42578125" style="2105" customWidth="1"/>
    <col min="11531" max="11531" width="10.28515625" style="2105" customWidth="1"/>
    <col min="11532" max="11775" width="9.140625" style="2105"/>
    <col min="11776" max="11776" width="9.5703125" style="2105" customWidth="1"/>
    <col min="11777" max="11777" width="11.42578125" style="2105" customWidth="1"/>
    <col min="11778" max="11778" width="11.5703125" style="2105" customWidth="1"/>
    <col min="11779" max="11779" width="8.42578125" style="2105" customWidth="1"/>
    <col min="11780" max="11780" width="9.42578125" style="2105" customWidth="1"/>
    <col min="11781" max="11781" width="9.28515625" style="2105" customWidth="1"/>
    <col min="11782" max="11782" width="10.42578125" style="2105" customWidth="1"/>
    <col min="11783" max="11783" width="10.28515625" style="2105" customWidth="1"/>
    <col min="11784" max="11784" width="9.42578125" style="2105" customWidth="1"/>
    <col min="11785" max="11785" width="10.7109375" style="2105" customWidth="1"/>
    <col min="11786" max="11786" width="9.42578125" style="2105" customWidth="1"/>
    <col min="11787" max="11787" width="10.28515625" style="2105" customWidth="1"/>
    <col min="11788" max="12031" width="9.140625" style="2105"/>
    <col min="12032" max="12032" width="9.5703125" style="2105" customWidth="1"/>
    <col min="12033" max="12033" width="11.42578125" style="2105" customWidth="1"/>
    <col min="12034" max="12034" width="11.5703125" style="2105" customWidth="1"/>
    <col min="12035" max="12035" width="8.42578125" style="2105" customWidth="1"/>
    <col min="12036" max="12036" width="9.42578125" style="2105" customWidth="1"/>
    <col min="12037" max="12037" width="9.28515625" style="2105" customWidth="1"/>
    <col min="12038" max="12038" width="10.42578125" style="2105" customWidth="1"/>
    <col min="12039" max="12039" width="10.28515625" style="2105" customWidth="1"/>
    <col min="12040" max="12040" width="9.42578125" style="2105" customWidth="1"/>
    <col min="12041" max="12041" width="10.7109375" style="2105" customWidth="1"/>
    <col min="12042" max="12042" width="9.42578125" style="2105" customWidth="1"/>
    <col min="12043" max="12043" width="10.28515625" style="2105" customWidth="1"/>
    <col min="12044" max="12287" width="9.140625" style="2105"/>
    <col min="12288" max="12288" width="9.5703125" style="2105" customWidth="1"/>
    <col min="12289" max="12289" width="11.42578125" style="2105" customWidth="1"/>
    <col min="12290" max="12290" width="11.5703125" style="2105" customWidth="1"/>
    <col min="12291" max="12291" width="8.42578125" style="2105" customWidth="1"/>
    <col min="12292" max="12292" width="9.42578125" style="2105" customWidth="1"/>
    <col min="12293" max="12293" width="9.28515625" style="2105" customWidth="1"/>
    <col min="12294" max="12294" width="10.42578125" style="2105" customWidth="1"/>
    <col min="12295" max="12295" width="10.28515625" style="2105" customWidth="1"/>
    <col min="12296" max="12296" width="9.42578125" style="2105" customWidth="1"/>
    <col min="12297" max="12297" width="10.7109375" style="2105" customWidth="1"/>
    <col min="12298" max="12298" width="9.42578125" style="2105" customWidth="1"/>
    <col min="12299" max="12299" width="10.28515625" style="2105" customWidth="1"/>
    <col min="12300" max="12543" width="9.140625" style="2105"/>
    <col min="12544" max="12544" width="9.5703125" style="2105" customWidth="1"/>
    <col min="12545" max="12545" width="11.42578125" style="2105" customWidth="1"/>
    <col min="12546" max="12546" width="11.5703125" style="2105" customWidth="1"/>
    <col min="12547" max="12547" width="8.42578125" style="2105" customWidth="1"/>
    <col min="12548" max="12548" width="9.42578125" style="2105" customWidth="1"/>
    <col min="12549" max="12549" width="9.28515625" style="2105" customWidth="1"/>
    <col min="12550" max="12550" width="10.42578125" style="2105" customWidth="1"/>
    <col min="12551" max="12551" width="10.28515625" style="2105" customWidth="1"/>
    <col min="12552" max="12552" width="9.42578125" style="2105" customWidth="1"/>
    <col min="12553" max="12553" width="10.7109375" style="2105" customWidth="1"/>
    <col min="12554" max="12554" width="9.42578125" style="2105" customWidth="1"/>
    <col min="12555" max="12555" width="10.28515625" style="2105" customWidth="1"/>
    <col min="12556" max="12799" width="9.140625" style="2105"/>
    <col min="12800" max="12800" width="9.5703125" style="2105" customWidth="1"/>
    <col min="12801" max="12801" width="11.42578125" style="2105" customWidth="1"/>
    <col min="12802" max="12802" width="11.5703125" style="2105" customWidth="1"/>
    <col min="12803" max="12803" width="8.42578125" style="2105" customWidth="1"/>
    <col min="12804" max="12804" width="9.42578125" style="2105" customWidth="1"/>
    <col min="12805" max="12805" width="9.28515625" style="2105" customWidth="1"/>
    <col min="12806" max="12806" width="10.42578125" style="2105" customWidth="1"/>
    <col min="12807" max="12807" width="10.28515625" style="2105" customWidth="1"/>
    <col min="12808" max="12808" width="9.42578125" style="2105" customWidth="1"/>
    <col min="12809" max="12809" width="10.7109375" style="2105" customWidth="1"/>
    <col min="12810" max="12810" width="9.42578125" style="2105" customWidth="1"/>
    <col min="12811" max="12811" width="10.28515625" style="2105" customWidth="1"/>
    <col min="12812" max="13055" width="9.140625" style="2105"/>
    <col min="13056" max="13056" width="9.5703125" style="2105" customWidth="1"/>
    <col min="13057" max="13057" width="11.42578125" style="2105" customWidth="1"/>
    <col min="13058" max="13058" width="11.5703125" style="2105" customWidth="1"/>
    <col min="13059" max="13059" width="8.42578125" style="2105" customWidth="1"/>
    <col min="13060" max="13060" width="9.42578125" style="2105" customWidth="1"/>
    <col min="13061" max="13061" width="9.28515625" style="2105" customWidth="1"/>
    <col min="13062" max="13062" width="10.42578125" style="2105" customWidth="1"/>
    <col min="13063" max="13063" width="10.28515625" style="2105" customWidth="1"/>
    <col min="13064" max="13064" width="9.42578125" style="2105" customWidth="1"/>
    <col min="13065" max="13065" width="10.7109375" style="2105" customWidth="1"/>
    <col min="13066" max="13066" width="9.42578125" style="2105" customWidth="1"/>
    <col min="13067" max="13067" width="10.28515625" style="2105" customWidth="1"/>
    <col min="13068" max="13311" width="9.140625" style="2105"/>
    <col min="13312" max="13312" width="9.5703125" style="2105" customWidth="1"/>
    <col min="13313" max="13313" width="11.42578125" style="2105" customWidth="1"/>
    <col min="13314" max="13314" width="11.5703125" style="2105" customWidth="1"/>
    <col min="13315" max="13315" width="8.42578125" style="2105" customWidth="1"/>
    <col min="13316" max="13316" width="9.42578125" style="2105" customWidth="1"/>
    <col min="13317" max="13317" width="9.28515625" style="2105" customWidth="1"/>
    <col min="13318" max="13318" width="10.42578125" style="2105" customWidth="1"/>
    <col min="13319" max="13319" width="10.28515625" style="2105" customWidth="1"/>
    <col min="13320" max="13320" width="9.42578125" style="2105" customWidth="1"/>
    <col min="13321" max="13321" width="10.7109375" style="2105" customWidth="1"/>
    <col min="13322" max="13322" width="9.42578125" style="2105" customWidth="1"/>
    <col min="13323" max="13323" width="10.28515625" style="2105" customWidth="1"/>
    <col min="13324" max="13567" width="9.140625" style="2105"/>
    <col min="13568" max="13568" width="9.5703125" style="2105" customWidth="1"/>
    <col min="13569" max="13569" width="11.42578125" style="2105" customWidth="1"/>
    <col min="13570" max="13570" width="11.5703125" style="2105" customWidth="1"/>
    <col min="13571" max="13571" width="8.42578125" style="2105" customWidth="1"/>
    <col min="13572" max="13572" width="9.42578125" style="2105" customWidth="1"/>
    <col min="13573" max="13573" width="9.28515625" style="2105" customWidth="1"/>
    <col min="13574" max="13574" width="10.42578125" style="2105" customWidth="1"/>
    <col min="13575" max="13575" width="10.28515625" style="2105" customWidth="1"/>
    <col min="13576" max="13576" width="9.42578125" style="2105" customWidth="1"/>
    <col min="13577" max="13577" width="10.7109375" style="2105" customWidth="1"/>
    <col min="13578" max="13578" width="9.42578125" style="2105" customWidth="1"/>
    <col min="13579" max="13579" width="10.28515625" style="2105" customWidth="1"/>
    <col min="13580" max="13823" width="9.140625" style="2105"/>
    <col min="13824" max="13824" width="9.5703125" style="2105" customWidth="1"/>
    <col min="13825" max="13825" width="11.42578125" style="2105" customWidth="1"/>
    <col min="13826" max="13826" width="11.5703125" style="2105" customWidth="1"/>
    <col min="13827" max="13827" width="8.42578125" style="2105" customWidth="1"/>
    <col min="13828" max="13828" width="9.42578125" style="2105" customWidth="1"/>
    <col min="13829" max="13829" width="9.28515625" style="2105" customWidth="1"/>
    <col min="13830" max="13830" width="10.42578125" style="2105" customWidth="1"/>
    <col min="13831" max="13831" width="10.28515625" style="2105" customWidth="1"/>
    <col min="13832" max="13832" width="9.42578125" style="2105" customWidth="1"/>
    <col min="13833" max="13833" width="10.7109375" style="2105" customWidth="1"/>
    <col min="13834" max="13834" width="9.42578125" style="2105" customWidth="1"/>
    <col min="13835" max="13835" width="10.28515625" style="2105" customWidth="1"/>
    <col min="13836" max="14079" width="9.140625" style="2105"/>
    <col min="14080" max="14080" width="9.5703125" style="2105" customWidth="1"/>
    <col min="14081" max="14081" width="11.42578125" style="2105" customWidth="1"/>
    <col min="14082" max="14082" width="11.5703125" style="2105" customWidth="1"/>
    <col min="14083" max="14083" width="8.42578125" style="2105" customWidth="1"/>
    <col min="14084" max="14084" width="9.42578125" style="2105" customWidth="1"/>
    <col min="14085" max="14085" width="9.28515625" style="2105" customWidth="1"/>
    <col min="14086" max="14086" width="10.42578125" style="2105" customWidth="1"/>
    <col min="14087" max="14087" width="10.28515625" style="2105" customWidth="1"/>
    <col min="14088" max="14088" width="9.42578125" style="2105" customWidth="1"/>
    <col min="14089" max="14089" width="10.7109375" style="2105" customWidth="1"/>
    <col min="14090" max="14090" width="9.42578125" style="2105" customWidth="1"/>
    <col min="14091" max="14091" width="10.28515625" style="2105" customWidth="1"/>
    <col min="14092" max="14335" width="9.140625" style="2105"/>
    <col min="14336" max="14336" width="9.5703125" style="2105" customWidth="1"/>
    <col min="14337" max="14337" width="11.42578125" style="2105" customWidth="1"/>
    <col min="14338" max="14338" width="11.5703125" style="2105" customWidth="1"/>
    <col min="14339" max="14339" width="8.42578125" style="2105" customWidth="1"/>
    <col min="14340" max="14340" width="9.42578125" style="2105" customWidth="1"/>
    <col min="14341" max="14341" width="9.28515625" style="2105" customWidth="1"/>
    <col min="14342" max="14342" width="10.42578125" style="2105" customWidth="1"/>
    <col min="14343" max="14343" width="10.28515625" style="2105" customWidth="1"/>
    <col min="14344" max="14344" width="9.42578125" style="2105" customWidth="1"/>
    <col min="14345" max="14345" width="10.7109375" style="2105" customWidth="1"/>
    <col min="14346" max="14346" width="9.42578125" style="2105" customWidth="1"/>
    <col min="14347" max="14347" width="10.28515625" style="2105" customWidth="1"/>
    <col min="14348" max="14591" width="9.140625" style="2105"/>
    <col min="14592" max="14592" width="9.5703125" style="2105" customWidth="1"/>
    <col min="14593" max="14593" width="11.42578125" style="2105" customWidth="1"/>
    <col min="14594" max="14594" width="11.5703125" style="2105" customWidth="1"/>
    <col min="14595" max="14595" width="8.42578125" style="2105" customWidth="1"/>
    <col min="14596" max="14596" width="9.42578125" style="2105" customWidth="1"/>
    <col min="14597" max="14597" width="9.28515625" style="2105" customWidth="1"/>
    <col min="14598" max="14598" width="10.42578125" style="2105" customWidth="1"/>
    <col min="14599" max="14599" width="10.28515625" style="2105" customWidth="1"/>
    <col min="14600" max="14600" width="9.42578125" style="2105" customWidth="1"/>
    <col min="14601" max="14601" width="10.7109375" style="2105" customWidth="1"/>
    <col min="14602" max="14602" width="9.42578125" style="2105" customWidth="1"/>
    <col min="14603" max="14603" width="10.28515625" style="2105" customWidth="1"/>
    <col min="14604" max="14847" width="9.140625" style="2105"/>
    <col min="14848" max="14848" width="9.5703125" style="2105" customWidth="1"/>
    <col min="14849" max="14849" width="11.42578125" style="2105" customWidth="1"/>
    <col min="14850" max="14850" width="11.5703125" style="2105" customWidth="1"/>
    <col min="14851" max="14851" width="8.42578125" style="2105" customWidth="1"/>
    <col min="14852" max="14852" width="9.42578125" style="2105" customWidth="1"/>
    <col min="14853" max="14853" width="9.28515625" style="2105" customWidth="1"/>
    <col min="14854" max="14854" width="10.42578125" style="2105" customWidth="1"/>
    <col min="14855" max="14855" width="10.28515625" style="2105" customWidth="1"/>
    <col min="14856" max="14856" width="9.42578125" style="2105" customWidth="1"/>
    <col min="14857" max="14857" width="10.7109375" style="2105" customWidth="1"/>
    <col min="14858" max="14858" width="9.42578125" style="2105" customWidth="1"/>
    <col min="14859" max="14859" width="10.28515625" style="2105" customWidth="1"/>
    <col min="14860" max="15103" width="9.140625" style="2105"/>
    <col min="15104" max="15104" width="9.5703125" style="2105" customWidth="1"/>
    <col min="15105" max="15105" width="11.42578125" style="2105" customWidth="1"/>
    <col min="15106" max="15106" width="11.5703125" style="2105" customWidth="1"/>
    <col min="15107" max="15107" width="8.42578125" style="2105" customWidth="1"/>
    <col min="15108" max="15108" width="9.42578125" style="2105" customWidth="1"/>
    <col min="15109" max="15109" width="9.28515625" style="2105" customWidth="1"/>
    <col min="15110" max="15110" width="10.42578125" style="2105" customWidth="1"/>
    <col min="15111" max="15111" width="10.28515625" style="2105" customWidth="1"/>
    <col min="15112" max="15112" width="9.42578125" style="2105" customWidth="1"/>
    <col min="15113" max="15113" width="10.7109375" style="2105" customWidth="1"/>
    <col min="15114" max="15114" width="9.42578125" style="2105" customWidth="1"/>
    <col min="15115" max="15115" width="10.28515625" style="2105" customWidth="1"/>
    <col min="15116" max="15359" width="9.140625" style="2105"/>
    <col min="15360" max="15360" width="9.5703125" style="2105" customWidth="1"/>
    <col min="15361" max="15361" width="11.42578125" style="2105" customWidth="1"/>
    <col min="15362" max="15362" width="11.5703125" style="2105" customWidth="1"/>
    <col min="15363" max="15363" width="8.42578125" style="2105" customWidth="1"/>
    <col min="15364" max="15364" width="9.42578125" style="2105" customWidth="1"/>
    <col min="15365" max="15365" width="9.28515625" style="2105" customWidth="1"/>
    <col min="15366" max="15366" width="10.42578125" style="2105" customWidth="1"/>
    <col min="15367" max="15367" width="10.28515625" style="2105" customWidth="1"/>
    <col min="15368" max="15368" width="9.42578125" style="2105" customWidth="1"/>
    <col min="15369" max="15369" width="10.7109375" style="2105" customWidth="1"/>
    <col min="15370" max="15370" width="9.42578125" style="2105" customWidth="1"/>
    <col min="15371" max="15371" width="10.28515625" style="2105" customWidth="1"/>
    <col min="15372" max="15615" width="9.140625" style="2105"/>
    <col min="15616" max="15616" width="9.5703125" style="2105" customWidth="1"/>
    <col min="15617" max="15617" width="11.42578125" style="2105" customWidth="1"/>
    <col min="15618" max="15618" width="11.5703125" style="2105" customWidth="1"/>
    <col min="15619" max="15619" width="8.42578125" style="2105" customWidth="1"/>
    <col min="15620" max="15620" width="9.42578125" style="2105" customWidth="1"/>
    <col min="15621" max="15621" width="9.28515625" style="2105" customWidth="1"/>
    <col min="15622" max="15622" width="10.42578125" style="2105" customWidth="1"/>
    <col min="15623" max="15623" width="10.28515625" style="2105" customWidth="1"/>
    <col min="15624" max="15624" width="9.42578125" style="2105" customWidth="1"/>
    <col min="15625" max="15625" width="10.7109375" style="2105" customWidth="1"/>
    <col min="15626" max="15626" width="9.42578125" style="2105" customWidth="1"/>
    <col min="15627" max="15627" width="10.28515625" style="2105" customWidth="1"/>
    <col min="15628" max="15871" width="9.140625" style="2105"/>
    <col min="15872" max="15872" width="9.5703125" style="2105" customWidth="1"/>
    <col min="15873" max="15873" width="11.42578125" style="2105" customWidth="1"/>
    <col min="15874" max="15874" width="11.5703125" style="2105" customWidth="1"/>
    <col min="15875" max="15875" width="8.42578125" style="2105" customWidth="1"/>
    <col min="15876" max="15876" width="9.42578125" style="2105" customWidth="1"/>
    <col min="15877" max="15877" width="9.28515625" style="2105" customWidth="1"/>
    <col min="15878" max="15878" width="10.42578125" style="2105" customWidth="1"/>
    <col min="15879" max="15879" width="10.28515625" style="2105" customWidth="1"/>
    <col min="15880" max="15880" width="9.42578125" style="2105" customWidth="1"/>
    <col min="15881" max="15881" width="10.7109375" style="2105" customWidth="1"/>
    <col min="15882" max="15882" width="9.42578125" style="2105" customWidth="1"/>
    <col min="15883" max="15883" width="10.28515625" style="2105" customWidth="1"/>
    <col min="15884" max="16127" width="9.140625" style="2105"/>
    <col min="16128" max="16128" width="9.5703125" style="2105" customWidth="1"/>
    <col min="16129" max="16129" width="11.42578125" style="2105" customWidth="1"/>
    <col min="16130" max="16130" width="11.5703125" style="2105" customWidth="1"/>
    <col min="16131" max="16131" width="8.42578125" style="2105" customWidth="1"/>
    <col min="16132" max="16132" width="9.42578125" style="2105" customWidth="1"/>
    <col min="16133" max="16133" width="9.28515625" style="2105" customWidth="1"/>
    <col min="16134" max="16134" width="10.42578125" style="2105" customWidth="1"/>
    <col min="16135" max="16135" width="10.28515625" style="2105" customWidth="1"/>
    <col min="16136" max="16136" width="9.42578125" style="2105" customWidth="1"/>
    <col min="16137" max="16137" width="10.7109375" style="2105" customWidth="1"/>
    <col min="16138" max="16138" width="9.42578125" style="2105" customWidth="1"/>
    <col min="16139" max="16139" width="10.28515625" style="2105" customWidth="1"/>
    <col min="16140" max="16384" width="9.140625" style="2105"/>
  </cols>
  <sheetData>
    <row r="1" spans="1:83" s="2101" customFormat="1" ht="18" customHeight="1">
      <c r="B1" s="4671" t="s">
        <v>2025</v>
      </c>
      <c r="C1" s="4671"/>
      <c r="D1" s="4671"/>
      <c r="E1" s="4671"/>
      <c r="F1" s="4671"/>
      <c r="G1" s="4671"/>
      <c r="H1" s="4671"/>
      <c r="I1" s="4671"/>
      <c r="J1" s="4671"/>
      <c r="K1" s="4671"/>
      <c r="L1" s="4671"/>
      <c r="M1" s="4671"/>
    </row>
    <row r="2" spans="1:83" s="2101" customFormat="1" ht="18" customHeight="1">
      <c r="B2" s="3150" t="s">
        <v>1757</v>
      </c>
      <c r="C2" s="2320"/>
      <c r="D2" s="2320"/>
      <c r="E2" s="2320"/>
      <c r="F2" s="2320"/>
      <c r="G2" s="2320"/>
      <c r="H2" s="2320"/>
      <c r="I2" s="2320"/>
      <c r="J2" s="2320"/>
      <c r="K2" s="2320"/>
      <c r="L2" s="2320"/>
      <c r="M2" s="2320"/>
    </row>
    <row r="3" spans="1:83" ht="12" customHeight="1">
      <c r="A3" s="2101"/>
      <c r="B3" s="2136"/>
      <c r="C3" s="2321"/>
      <c r="D3" s="2322"/>
      <c r="E3" s="2322"/>
      <c r="F3" s="2322"/>
      <c r="G3" s="2322"/>
      <c r="H3" s="2322"/>
      <c r="I3" s="2322"/>
      <c r="J3" s="2322"/>
      <c r="K3" s="2322"/>
      <c r="L3" s="2322"/>
      <c r="M3" s="2323"/>
      <c r="N3" s="2101"/>
    </row>
    <row r="4" spans="1:83" ht="18" customHeight="1">
      <c r="A4" s="2101"/>
      <c r="B4" s="2120"/>
      <c r="C4" s="2324" t="s">
        <v>172</v>
      </c>
      <c r="D4" s="2325"/>
      <c r="E4" s="2325"/>
      <c r="F4" s="2325"/>
      <c r="G4" s="2325"/>
      <c r="H4" s="2325"/>
      <c r="I4" s="2325"/>
      <c r="J4" s="2325"/>
      <c r="K4" s="2325"/>
      <c r="L4" s="2325"/>
      <c r="M4" s="2326"/>
      <c r="N4" s="2101"/>
    </row>
    <row r="5" spans="1:83" ht="12" customHeight="1">
      <c r="A5" s="2101"/>
      <c r="B5" s="2120"/>
      <c r="C5" s="2120"/>
      <c r="D5" s="2120"/>
      <c r="E5" s="2137" t="s">
        <v>142</v>
      </c>
      <c r="F5" s="2322"/>
      <c r="G5" s="2327"/>
      <c r="H5" s="2120"/>
      <c r="I5" s="2120"/>
      <c r="J5" s="2120"/>
      <c r="K5" s="2120"/>
      <c r="L5" s="2120"/>
      <c r="M5" s="2136"/>
      <c r="N5" s="2101"/>
    </row>
    <row r="6" spans="1:83" ht="18" customHeight="1">
      <c r="A6" s="2101"/>
      <c r="B6" s="2120"/>
      <c r="C6" s="2120"/>
      <c r="D6" s="2120"/>
      <c r="E6" s="4672" t="s">
        <v>421</v>
      </c>
      <c r="F6" s="4673"/>
      <c r="G6" s="4674"/>
      <c r="H6" s="2120"/>
      <c r="I6" s="2120" t="s">
        <v>428</v>
      </c>
      <c r="J6" s="2120" t="s">
        <v>428</v>
      </c>
      <c r="K6" s="2120" t="s">
        <v>428</v>
      </c>
      <c r="L6" s="2120"/>
      <c r="M6" s="2120"/>
      <c r="N6" s="2101"/>
    </row>
    <row r="7" spans="1:83" ht="18" customHeight="1">
      <c r="A7" s="2101"/>
      <c r="B7" s="2120" t="s">
        <v>1569</v>
      </c>
      <c r="C7" s="2120"/>
      <c r="D7" s="2120"/>
      <c r="E7" s="2136"/>
      <c r="F7" s="2136"/>
      <c r="G7" s="2136"/>
      <c r="H7" s="2120" t="s">
        <v>428</v>
      </c>
      <c r="I7" s="2120" t="s">
        <v>174</v>
      </c>
      <c r="J7" s="2120" t="s">
        <v>174</v>
      </c>
      <c r="K7" s="2120" t="s">
        <v>174</v>
      </c>
      <c r="L7" s="2120" t="s">
        <v>428</v>
      </c>
      <c r="M7" s="2120" t="s">
        <v>428</v>
      </c>
      <c r="N7" s="2101"/>
    </row>
    <row r="8" spans="1:83" ht="18" customHeight="1">
      <c r="A8" s="2101"/>
      <c r="B8" s="2120" t="s">
        <v>1570</v>
      </c>
      <c r="C8" s="2120"/>
      <c r="D8" s="2120"/>
      <c r="E8" s="2120"/>
      <c r="F8" s="2120"/>
      <c r="G8" s="2120"/>
      <c r="H8" s="2120" t="s">
        <v>200</v>
      </c>
      <c r="I8" s="2120" t="s">
        <v>177</v>
      </c>
      <c r="J8" s="2120" t="s">
        <v>1532</v>
      </c>
      <c r="K8" s="2120" t="s">
        <v>1571</v>
      </c>
      <c r="L8" s="2120" t="s">
        <v>174</v>
      </c>
      <c r="M8" s="2120" t="s">
        <v>1572</v>
      </c>
      <c r="N8" s="2101"/>
    </row>
    <row r="9" spans="1:83" ht="18" customHeight="1">
      <c r="A9" s="2101"/>
      <c r="B9" s="2135" t="s">
        <v>140</v>
      </c>
      <c r="C9" s="2135" t="s">
        <v>152</v>
      </c>
      <c r="D9" s="2135" t="s">
        <v>429</v>
      </c>
      <c r="E9" s="2135" t="s">
        <v>152</v>
      </c>
      <c r="F9" s="2135" t="s">
        <v>141</v>
      </c>
      <c r="G9" s="2135" t="s">
        <v>431</v>
      </c>
      <c r="H9" s="2135" t="s">
        <v>177</v>
      </c>
      <c r="I9" s="2135" t="s">
        <v>181</v>
      </c>
      <c r="J9" s="2135" t="s">
        <v>1612</v>
      </c>
      <c r="K9" s="2135" t="s">
        <v>182</v>
      </c>
      <c r="L9" s="2135" t="s">
        <v>1573</v>
      </c>
      <c r="M9" s="2135" t="s">
        <v>1574</v>
      </c>
      <c r="N9" s="2101"/>
    </row>
    <row r="10" spans="1:83" ht="18" hidden="1" customHeight="1">
      <c r="A10" s="2101"/>
      <c r="B10" s="2489">
        <v>2010</v>
      </c>
      <c r="C10" s="2487"/>
      <c r="D10" s="2406"/>
      <c r="E10" s="2488"/>
      <c r="F10" s="2406"/>
      <c r="G10" s="2488"/>
      <c r="H10" s="2406"/>
      <c r="I10" s="2488"/>
      <c r="J10" s="2406"/>
      <c r="K10" s="2488"/>
      <c r="L10" s="2406"/>
      <c r="M10" s="2488"/>
      <c r="N10" s="2101"/>
    </row>
    <row r="11" spans="1:83" ht="18" hidden="1" customHeight="1">
      <c r="A11" s="2101"/>
      <c r="B11" s="2490" t="s">
        <v>164</v>
      </c>
      <c r="C11" s="2697">
        <v>139.31121077</v>
      </c>
      <c r="D11" s="2702">
        <v>46.311210770000002</v>
      </c>
      <c r="E11" s="2690">
        <v>0</v>
      </c>
      <c r="F11" s="2702">
        <v>0</v>
      </c>
      <c r="G11" s="2690">
        <v>0</v>
      </c>
      <c r="H11" s="2702">
        <v>0</v>
      </c>
      <c r="I11" s="2690">
        <v>0</v>
      </c>
      <c r="J11" s="2702">
        <v>0</v>
      </c>
      <c r="K11" s="2690">
        <v>0</v>
      </c>
      <c r="L11" s="2702">
        <v>93</v>
      </c>
      <c r="M11" s="2690">
        <v>0</v>
      </c>
      <c r="N11" s="2101"/>
    </row>
    <row r="12" spans="1:83" ht="18" hidden="1" customHeight="1">
      <c r="A12" s="2101"/>
      <c r="B12" s="2490" t="s">
        <v>165</v>
      </c>
      <c r="C12" s="2697">
        <v>144.60315878</v>
      </c>
      <c r="D12" s="2702">
        <v>51.603158780000001</v>
      </c>
      <c r="E12" s="2690">
        <v>0</v>
      </c>
      <c r="F12" s="2702">
        <v>0</v>
      </c>
      <c r="G12" s="2690">
        <v>0</v>
      </c>
      <c r="H12" s="2702">
        <v>0</v>
      </c>
      <c r="I12" s="2690">
        <v>0</v>
      </c>
      <c r="J12" s="2702">
        <v>0</v>
      </c>
      <c r="K12" s="2690">
        <v>0</v>
      </c>
      <c r="L12" s="2702">
        <v>93</v>
      </c>
      <c r="M12" s="2690">
        <v>0</v>
      </c>
      <c r="N12" s="2101"/>
    </row>
    <row r="13" spans="1:83" ht="18" hidden="1" customHeight="1">
      <c r="A13" s="2101"/>
      <c r="B13" s="2490" t="s">
        <v>166</v>
      </c>
      <c r="C13" s="2697">
        <v>164.35909722</v>
      </c>
      <c r="D13" s="2702">
        <v>71.359097219999995</v>
      </c>
      <c r="E13" s="2690">
        <v>0</v>
      </c>
      <c r="F13" s="2702">
        <v>0</v>
      </c>
      <c r="G13" s="2690">
        <v>0</v>
      </c>
      <c r="H13" s="2702">
        <v>0</v>
      </c>
      <c r="I13" s="2690">
        <v>0</v>
      </c>
      <c r="J13" s="2702">
        <v>0</v>
      </c>
      <c r="K13" s="2690">
        <v>0</v>
      </c>
      <c r="L13" s="2702">
        <v>93</v>
      </c>
      <c r="M13" s="2690">
        <v>0</v>
      </c>
      <c r="N13" s="2101"/>
    </row>
    <row r="14" spans="1:83" ht="18" hidden="1" customHeight="1">
      <c r="A14" s="2101"/>
      <c r="B14" s="2488" t="s">
        <v>167</v>
      </c>
      <c r="C14" s="2697">
        <v>157.12465723</v>
      </c>
      <c r="D14" s="2702">
        <v>18.168138829999997</v>
      </c>
      <c r="E14" s="2690">
        <v>0</v>
      </c>
      <c r="F14" s="2702">
        <v>0</v>
      </c>
      <c r="G14" s="2690">
        <v>0</v>
      </c>
      <c r="H14" s="2702">
        <v>0</v>
      </c>
      <c r="I14" s="2690">
        <v>0</v>
      </c>
      <c r="J14" s="2702">
        <v>0</v>
      </c>
      <c r="K14" s="2690">
        <v>28.9565184</v>
      </c>
      <c r="L14" s="2702">
        <v>110</v>
      </c>
      <c r="M14" s="2690">
        <v>0</v>
      </c>
      <c r="N14" s="2101"/>
    </row>
    <row r="15" spans="1:83" ht="18" hidden="1" customHeight="1">
      <c r="A15" s="2101"/>
      <c r="B15" s="2488" t="s">
        <v>168</v>
      </c>
      <c r="C15" s="2697">
        <v>159.67024774000001</v>
      </c>
      <c r="D15" s="2702">
        <v>43.64236884000001</v>
      </c>
      <c r="E15" s="2690">
        <v>0</v>
      </c>
      <c r="F15" s="2702">
        <v>0</v>
      </c>
      <c r="G15" s="2690">
        <v>0</v>
      </c>
      <c r="H15" s="2702">
        <v>0</v>
      </c>
      <c r="I15" s="2690">
        <v>0</v>
      </c>
      <c r="J15" s="2702">
        <v>0</v>
      </c>
      <c r="K15" s="2690">
        <v>36.027878900000005</v>
      </c>
      <c r="L15" s="2702">
        <v>80</v>
      </c>
      <c r="M15" s="2690">
        <v>0</v>
      </c>
      <c r="N15" s="2101"/>
    </row>
    <row r="16" spans="1:83" s="2101" customFormat="1" ht="18" hidden="1" customHeight="1">
      <c r="B16" s="2488" t="s">
        <v>169</v>
      </c>
      <c r="C16" s="2697">
        <v>161.18498457999999</v>
      </c>
      <c r="D16" s="2702">
        <v>32.273337980000001</v>
      </c>
      <c r="E16" s="2690">
        <v>0</v>
      </c>
      <c r="F16" s="2702">
        <v>0</v>
      </c>
      <c r="G16" s="2690">
        <v>0</v>
      </c>
      <c r="H16" s="2702">
        <v>0</v>
      </c>
      <c r="I16" s="2690">
        <v>0</v>
      </c>
      <c r="J16" s="2702">
        <v>0</v>
      </c>
      <c r="K16" s="2690">
        <v>48.911646599999997</v>
      </c>
      <c r="L16" s="2702">
        <v>80</v>
      </c>
      <c r="M16" s="2690">
        <v>0</v>
      </c>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c r="AT16" s="2138"/>
      <c r="AU16" s="2138"/>
      <c r="AV16" s="2138"/>
      <c r="AW16" s="2138"/>
      <c r="AX16" s="2138"/>
      <c r="AY16" s="2138"/>
      <c r="AZ16" s="2138"/>
      <c r="BA16" s="2138"/>
      <c r="BB16" s="2138"/>
      <c r="BC16" s="2138"/>
      <c r="BD16" s="2138"/>
      <c r="BE16" s="2138"/>
      <c r="BF16" s="2138"/>
      <c r="BG16" s="2138"/>
      <c r="BH16" s="2138"/>
      <c r="BI16" s="2138"/>
      <c r="BJ16" s="2138"/>
      <c r="BK16" s="2138"/>
      <c r="BL16" s="2138"/>
      <c r="BM16" s="2138"/>
      <c r="BN16" s="2138"/>
      <c r="BO16" s="2138"/>
      <c r="BP16" s="2138"/>
      <c r="BQ16" s="2138"/>
      <c r="BR16" s="2138"/>
      <c r="BS16" s="2138"/>
      <c r="BT16" s="2138"/>
      <c r="BU16" s="2138"/>
      <c r="BV16" s="2138"/>
      <c r="BW16" s="2138"/>
      <c r="BX16" s="2138"/>
      <c r="BY16" s="2138"/>
      <c r="BZ16" s="2138"/>
      <c r="CA16" s="2138"/>
      <c r="CB16" s="2138"/>
      <c r="CC16" s="2138"/>
      <c r="CD16" s="2138"/>
      <c r="CE16" s="2138"/>
    </row>
    <row r="17" spans="2:83" s="2101" customFormat="1" ht="18" hidden="1" customHeight="1">
      <c r="B17" s="2488" t="s">
        <v>170</v>
      </c>
      <c r="C17" s="2697">
        <v>161.08550923999999</v>
      </c>
      <c r="D17" s="2702">
        <v>33.075973689999998</v>
      </c>
      <c r="E17" s="2690">
        <v>0</v>
      </c>
      <c r="F17" s="2702">
        <v>0</v>
      </c>
      <c r="G17" s="2690">
        <v>0</v>
      </c>
      <c r="H17" s="2702">
        <v>0</v>
      </c>
      <c r="I17" s="2690">
        <v>0</v>
      </c>
      <c r="J17" s="2702">
        <v>0</v>
      </c>
      <c r="K17" s="2690">
        <v>68.009535549999995</v>
      </c>
      <c r="L17" s="2702">
        <v>60</v>
      </c>
      <c r="M17" s="2690">
        <v>0</v>
      </c>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c r="AS17" s="2138"/>
      <c r="AT17" s="2138"/>
      <c r="AU17" s="2138"/>
      <c r="AV17" s="2138"/>
      <c r="AW17" s="2138"/>
      <c r="AX17" s="2138"/>
      <c r="AY17" s="2138"/>
      <c r="AZ17" s="2138"/>
      <c r="BA17" s="2138"/>
      <c r="BB17" s="2138"/>
      <c r="BC17" s="2138"/>
      <c r="BD17" s="2138"/>
      <c r="BE17" s="2138"/>
      <c r="BF17" s="2138"/>
      <c r="BG17" s="2138"/>
      <c r="BH17" s="2138"/>
      <c r="BI17" s="2138"/>
      <c r="BJ17" s="2138"/>
      <c r="BK17" s="2138"/>
      <c r="BL17" s="2138"/>
      <c r="BM17" s="2138"/>
      <c r="BN17" s="2138"/>
      <c r="BO17" s="2138"/>
      <c r="BP17" s="2138"/>
      <c r="BQ17" s="2138"/>
      <c r="BR17" s="2138"/>
      <c r="BS17" s="2138"/>
      <c r="BT17" s="2138"/>
      <c r="BU17" s="2138"/>
      <c r="BV17" s="2138"/>
      <c r="BW17" s="2138"/>
      <c r="BX17" s="2138"/>
      <c r="BY17" s="2138"/>
      <c r="BZ17" s="2138"/>
      <c r="CA17" s="2138"/>
      <c r="CB17" s="2138"/>
      <c r="CC17" s="2138"/>
      <c r="CD17" s="2138"/>
      <c r="CE17" s="2138"/>
    </row>
    <row r="18" spans="2:83" s="2101" customFormat="1" ht="18" hidden="1" customHeight="1">
      <c r="B18" s="2488" t="s">
        <v>171</v>
      </c>
      <c r="C18" s="2697">
        <v>164.75937252</v>
      </c>
      <c r="D18" s="2702">
        <v>11.19432011</v>
      </c>
      <c r="E18" s="2690">
        <v>0</v>
      </c>
      <c r="F18" s="2702">
        <v>0</v>
      </c>
      <c r="G18" s="2690">
        <v>0</v>
      </c>
      <c r="H18" s="2702">
        <v>0</v>
      </c>
      <c r="I18" s="2690">
        <v>0</v>
      </c>
      <c r="J18" s="2702">
        <v>0</v>
      </c>
      <c r="K18" s="2690">
        <v>93.565052409999993</v>
      </c>
      <c r="L18" s="2702">
        <v>60</v>
      </c>
      <c r="M18" s="2690">
        <v>0</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c r="AS18" s="2138"/>
      <c r="AT18" s="2138"/>
      <c r="AU18" s="2138"/>
      <c r="AV18" s="2138"/>
      <c r="AW18" s="2138"/>
      <c r="AX18" s="2138"/>
      <c r="AY18" s="2138"/>
      <c r="AZ18" s="2138"/>
      <c r="BA18" s="2138"/>
      <c r="BB18" s="2138"/>
      <c r="BC18" s="2138"/>
      <c r="BD18" s="2138"/>
      <c r="BE18" s="2138"/>
      <c r="BF18" s="2138"/>
      <c r="BG18" s="2138"/>
      <c r="BH18" s="2138"/>
      <c r="BI18" s="2138"/>
      <c r="BJ18" s="2138"/>
      <c r="BK18" s="2138"/>
      <c r="BL18" s="2138"/>
      <c r="BM18" s="2138"/>
      <c r="BN18" s="2138"/>
      <c r="BO18" s="2138"/>
      <c r="BP18" s="2138"/>
      <c r="BQ18" s="2138"/>
      <c r="BR18" s="2138"/>
      <c r="BS18" s="2138"/>
      <c r="BT18" s="2138"/>
      <c r="BU18" s="2138"/>
      <c r="BV18" s="2138"/>
      <c r="BW18" s="2138"/>
      <c r="BX18" s="2138"/>
      <c r="BY18" s="2138"/>
      <c r="BZ18" s="2138"/>
      <c r="CA18" s="2138"/>
      <c r="CB18" s="2138"/>
      <c r="CC18" s="2138"/>
      <c r="CD18" s="2138"/>
      <c r="CE18" s="2138"/>
    </row>
    <row r="19" spans="2:83" s="2101" customFormat="1" ht="18" hidden="1" customHeight="1">
      <c r="B19" s="2487">
        <v>2010</v>
      </c>
      <c r="C19" s="2697">
        <v>230.33167900000001</v>
      </c>
      <c r="D19" s="2702">
        <v>61.020839000000002</v>
      </c>
      <c r="E19" s="2690">
        <v>0</v>
      </c>
      <c r="F19" s="2702">
        <v>0</v>
      </c>
      <c r="G19" s="2690">
        <v>0</v>
      </c>
      <c r="H19" s="2702">
        <v>0</v>
      </c>
      <c r="I19" s="2690">
        <v>0</v>
      </c>
      <c r="J19" s="2702">
        <v>0</v>
      </c>
      <c r="K19" s="2690">
        <v>123.31084</v>
      </c>
      <c r="L19" s="2702">
        <v>46</v>
      </c>
      <c r="M19" s="2690">
        <v>0</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c r="AS19" s="2138"/>
      <c r="AT19" s="2138"/>
      <c r="AU19" s="2138"/>
      <c r="AV19" s="2138"/>
      <c r="AW19" s="2138"/>
      <c r="AX19" s="2138"/>
      <c r="AY19" s="2138"/>
      <c r="AZ19" s="2138"/>
      <c r="BA19" s="2138"/>
      <c r="BB19" s="2138"/>
      <c r="BC19" s="2138"/>
      <c r="BD19" s="2138"/>
      <c r="BE19" s="2138"/>
      <c r="BF19" s="2138"/>
      <c r="BG19" s="2138"/>
      <c r="BH19" s="2138"/>
      <c r="BI19" s="2138"/>
      <c r="BJ19" s="2138"/>
      <c r="BK19" s="2138"/>
      <c r="BL19" s="2138"/>
      <c r="BM19" s="2138"/>
      <c r="BN19" s="2138"/>
      <c r="BO19" s="2138"/>
      <c r="BP19" s="2138"/>
      <c r="BQ19" s="2138"/>
      <c r="BR19" s="2138"/>
      <c r="BS19" s="2138"/>
      <c r="BT19" s="2138"/>
      <c r="BU19" s="2138"/>
      <c r="BV19" s="2138"/>
      <c r="BW19" s="2138"/>
      <c r="BX19" s="2138"/>
      <c r="BY19" s="2138"/>
      <c r="BZ19" s="2138"/>
      <c r="CA19" s="2138"/>
      <c r="CB19" s="2138"/>
      <c r="CC19" s="2138"/>
      <c r="CD19" s="2138"/>
      <c r="CE19" s="2138"/>
    </row>
    <row r="20" spans="2:83" s="2101" customFormat="1" ht="18" hidden="1" customHeight="1">
      <c r="B20" s="2487">
        <v>2011</v>
      </c>
      <c r="C20" s="2697"/>
      <c r="D20" s="2703"/>
      <c r="E20" s="2690"/>
      <c r="F20" s="2690"/>
      <c r="G20" s="2690"/>
      <c r="H20" s="2690"/>
      <c r="I20" s="2690"/>
      <c r="J20" s="2704"/>
      <c r="K20" s="2690"/>
      <c r="L20" s="2690"/>
      <c r="M20" s="2704"/>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c r="AS20" s="2138"/>
      <c r="AT20" s="2138"/>
      <c r="AU20" s="2138"/>
      <c r="AV20" s="2138"/>
      <c r="AW20" s="2138"/>
      <c r="AX20" s="2138"/>
      <c r="AY20" s="2138"/>
      <c r="AZ20" s="2138"/>
      <c r="BA20" s="2138"/>
      <c r="BB20" s="2138"/>
      <c r="BC20" s="2138"/>
      <c r="BD20" s="2138"/>
      <c r="BE20" s="2138"/>
      <c r="BF20" s="2138"/>
      <c r="BG20" s="2138"/>
      <c r="BH20" s="2138"/>
      <c r="BI20" s="2138"/>
      <c r="BJ20" s="2138"/>
      <c r="BK20" s="2138"/>
      <c r="BL20" s="2138"/>
      <c r="BM20" s="2138"/>
      <c r="BN20" s="2138"/>
      <c r="BO20" s="2138"/>
      <c r="BP20" s="2138"/>
      <c r="BQ20" s="2138"/>
      <c r="BR20" s="2138"/>
      <c r="BS20" s="2138"/>
      <c r="BT20" s="2138"/>
      <c r="BU20" s="2138"/>
      <c r="BV20" s="2138"/>
      <c r="BW20" s="2138"/>
      <c r="BX20" s="2138"/>
      <c r="BY20" s="2138"/>
      <c r="BZ20" s="2138"/>
      <c r="CA20" s="2138"/>
      <c r="CB20" s="2138"/>
      <c r="CC20" s="2138"/>
      <c r="CD20" s="2138"/>
      <c r="CE20" s="2138"/>
    </row>
    <row r="21" spans="2:83" s="2101" customFormat="1" ht="18" hidden="1" customHeight="1">
      <c r="B21" s="2488" t="s">
        <v>161</v>
      </c>
      <c r="C21" s="2697">
        <v>270.37425759999996</v>
      </c>
      <c r="D21" s="2690">
        <v>51.2257794</v>
      </c>
      <c r="E21" s="2690">
        <v>0</v>
      </c>
      <c r="F21" s="2690">
        <v>0</v>
      </c>
      <c r="G21" s="2690">
        <v>0</v>
      </c>
      <c r="H21" s="2690">
        <v>0</v>
      </c>
      <c r="I21" s="2704">
        <v>0</v>
      </c>
      <c r="J21" s="2704">
        <v>0</v>
      </c>
      <c r="K21" s="2704">
        <v>173.14847819999997</v>
      </c>
      <c r="L21" s="2704">
        <v>46</v>
      </c>
      <c r="M21" s="2704">
        <v>0</v>
      </c>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c r="AS21" s="2138"/>
      <c r="AT21" s="2138"/>
      <c r="AU21" s="2138"/>
      <c r="AV21" s="2138"/>
      <c r="AW21" s="2138"/>
      <c r="AX21" s="2138"/>
      <c r="AY21" s="2138"/>
      <c r="AZ21" s="2138"/>
      <c r="BA21" s="2138"/>
      <c r="BB21" s="2138"/>
      <c r="BC21" s="2138"/>
      <c r="BD21" s="2138"/>
      <c r="BE21" s="2138"/>
      <c r="BF21" s="2138"/>
      <c r="BG21" s="2138"/>
      <c r="BH21" s="2138"/>
      <c r="BI21" s="2138"/>
      <c r="BJ21" s="2138"/>
      <c r="BK21" s="2138"/>
      <c r="BL21" s="2138"/>
      <c r="BM21" s="2138"/>
      <c r="BN21" s="2138"/>
      <c r="BO21" s="2138"/>
      <c r="BP21" s="2138"/>
      <c r="BQ21" s="2138"/>
      <c r="BR21" s="2138"/>
      <c r="BS21" s="2138"/>
      <c r="BT21" s="2138"/>
      <c r="BU21" s="2138"/>
      <c r="BV21" s="2138"/>
      <c r="BW21" s="2138"/>
      <c r="BX21" s="2138"/>
      <c r="BY21" s="2138"/>
      <c r="BZ21" s="2138"/>
      <c r="CA21" s="2138"/>
      <c r="CB21" s="2138"/>
      <c r="CC21" s="2138"/>
      <c r="CD21" s="2138"/>
      <c r="CE21" s="2138"/>
    </row>
    <row r="22" spans="2:83" s="2101" customFormat="1" ht="18" hidden="1" customHeight="1">
      <c r="B22" s="2488" t="s">
        <v>162</v>
      </c>
      <c r="C22" s="2697">
        <v>276.52299006999999</v>
      </c>
      <c r="D22" s="2690">
        <v>35.966365939999996</v>
      </c>
      <c r="E22" s="2690">
        <v>0</v>
      </c>
      <c r="F22" s="2690">
        <v>0</v>
      </c>
      <c r="G22" s="2690">
        <v>0</v>
      </c>
      <c r="H22" s="2690">
        <v>0</v>
      </c>
      <c r="I22" s="2704">
        <v>0</v>
      </c>
      <c r="J22" s="2704">
        <v>0</v>
      </c>
      <c r="K22" s="2704">
        <v>194.55662413000002</v>
      </c>
      <c r="L22" s="2704">
        <v>46</v>
      </c>
      <c r="M22" s="2704">
        <v>0</v>
      </c>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c r="AS22" s="2138"/>
      <c r="AT22" s="2138"/>
      <c r="AU22" s="2138"/>
      <c r="AV22" s="2138"/>
      <c r="AW22" s="2138"/>
      <c r="AX22" s="2138"/>
      <c r="AY22" s="2138"/>
      <c r="AZ22" s="2138"/>
      <c r="BA22" s="2138"/>
      <c r="BB22" s="2138"/>
      <c r="BC22" s="2138"/>
      <c r="BD22" s="2138"/>
      <c r="BE22" s="2138"/>
      <c r="BF22" s="2138"/>
      <c r="BG22" s="2138"/>
      <c r="BH22" s="2138"/>
      <c r="BI22" s="2138"/>
      <c r="BJ22" s="2138"/>
      <c r="BK22" s="2138"/>
      <c r="BL22" s="2138"/>
      <c r="BM22" s="2138"/>
      <c r="BN22" s="2138"/>
      <c r="BO22" s="2138"/>
      <c r="BP22" s="2138"/>
      <c r="BQ22" s="2138"/>
      <c r="BR22" s="2138"/>
      <c r="BS22" s="2138"/>
      <c r="BT22" s="2138"/>
      <c r="BU22" s="2138"/>
      <c r="BV22" s="2138"/>
      <c r="BW22" s="2138"/>
      <c r="BX22" s="2138"/>
      <c r="BY22" s="2138"/>
      <c r="BZ22" s="2138"/>
      <c r="CA22" s="2138"/>
      <c r="CB22" s="2138"/>
      <c r="CC22" s="2138"/>
      <c r="CD22" s="2138"/>
      <c r="CE22" s="2138"/>
    </row>
    <row r="23" spans="2:83" s="2101" customFormat="1" ht="18" hidden="1" customHeight="1">
      <c r="B23" s="2488" t="s">
        <v>163</v>
      </c>
      <c r="C23" s="2697">
        <v>289.57611973000002</v>
      </c>
      <c r="D23" s="2690">
        <v>40.921802069999998</v>
      </c>
      <c r="E23" s="2690">
        <v>0</v>
      </c>
      <c r="F23" s="2690">
        <v>0</v>
      </c>
      <c r="G23" s="2690">
        <v>0</v>
      </c>
      <c r="H23" s="2690">
        <v>0</v>
      </c>
      <c r="I23" s="2704">
        <v>0</v>
      </c>
      <c r="J23" s="2704">
        <v>0</v>
      </c>
      <c r="K23" s="2704">
        <v>208.65431766</v>
      </c>
      <c r="L23" s="2704">
        <v>40</v>
      </c>
      <c r="M23" s="2704">
        <v>0</v>
      </c>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c r="AS23" s="2138"/>
      <c r="AT23" s="2138"/>
      <c r="AU23" s="2138"/>
      <c r="AV23" s="2138"/>
      <c r="AW23" s="2138"/>
      <c r="AX23" s="2138"/>
      <c r="AY23" s="2138"/>
      <c r="AZ23" s="2138"/>
      <c r="BA23" s="2138"/>
      <c r="BB23" s="2138"/>
      <c r="BC23" s="2138"/>
      <c r="BD23" s="2138"/>
      <c r="BE23" s="2138"/>
      <c r="BF23" s="2138"/>
      <c r="BG23" s="2138"/>
      <c r="BH23" s="2138"/>
      <c r="BI23" s="2138"/>
      <c r="BJ23" s="2138"/>
      <c r="BK23" s="2138"/>
      <c r="BL23" s="2138"/>
      <c r="BM23" s="2138"/>
      <c r="BN23" s="2138"/>
      <c r="BO23" s="2138"/>
      <c r="BP23" s="2138"/>
      <c r="BQ23" s="2138"/>
      <c r="BR23" s="2138"/>
      <c r="BS23" s="2138"/>
      <c r="BT23" s="2138"/>
      <c r="BU23" s="2138"/>
      <c r="BV23" s="2138"/>
      <c r="BW23" s="2138"/>
      <c r="BX23" s="2138"/>
      <c r="BY23" s="2138"/>
      <c r="BZ23" s="2138"/>
      <c r="CA23" s="2138"/>
      <c r="CB23" s="2138"/>
      <c r="CC23" s="2138"/>
      <c r="CD23" s="2138"/>
      <c r="CE23" s="2138"/>
    </row>
    <row r="24" spans="2:83" s="2101" customFormat="1" ht="18" hidden="1" customHeight="1">
      <c r="B24" s="2488" t="s">
        <v>164</v>
      </c>
      <c r="C24" s="2697">
        <v>284.40214000000003</v>
      </c>
      <c r="D24" s="2690">
        <v>32.371528750000003</v>
      </c>
      <c r="E24" s="2690">
        <v>0</v>
      </c>
      <c r="F24" s="2690">
        <v>0</v>
      </c>
      <c r="G24" s="2690">
        <v>0</v>
      </c>
      <c r="H24" s="2690">
        <v>0</v>
      </c>
      <c r="I24" s="2704">
        <v>0</v>
      </c>
      <c r="J24" s="2704">
        <v>0</v>
      </c>
      <c r="K24" s="2704">
        <v>212.03061124999999</v>
      </c>
      <c r="L24" s="2704">
        <v>40</v>
      </c>
      <c r="M24" s="2704">
        <v>0</v>
      </c>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c r="AS24" s="2138"/>
      <c r="AT24" s="2138"/>
      <c r="AU24" s="2138"/>
      <c r="AV24" s="2138"/>
      <c r="AW24" s="2138"/>
      <c r="AX24" s="2138"/>
      <c r="AY24" s="2138"/>
      <c r="AZ24" s="2138"/>
      <c r="BA24" s="2138"/>
      <c r="BB24" s="2138"/>
      <c r="BC24" s="2138"/>
      <c r="BD24" s="2138"/>
      <c r="BE24" s="2138"/>
      <c r="BF24" s="2138"/>
      <c r="BG24" s="2138"/>
      <c r="BH24" s="2138"/>
      <c r="BI24" s="2138"/>
      <c r="BJ24" s="2138"/>
      <c r="BK24" s="2138"/>
      <c r="BL24" s="2138"/>
      <c r="BM24" s="2138"/>
      <c r="BN24" s="2138"/>
      <c r="BO24" s="2138"/>
      <c r="BP24" s="2138"/>
      <c r="BQ24" s="2138"/>
      <c r="BR24" s="2138"/>
      <c r="BS24" s="2138"/>
      <c r="BT24" s="2138"/>
      <c r="BU24" s="2138"/>
      <c r="BV24" s="2138"/>
      <c r="BW24" s="2138"/>
      <c r="BX24" s="2138"/>
      <c r="BY24" s="2138"/>
      <c r="BZ24" s="2138"/>
      <c r="CA24" s="2138"/>
      <c r="CB24" s="2138"/>
      <c r="CC24" s="2138"/>
      <c r="CD24" s="2138"/>
      <c r="CE24" s="2138"/>
    </row>
    <row r="25" spans="2:83" s="2101" customFormat="1" ht="18" hidden="1" customHeight="1">
      <c r="B25" s="2488" t="s">
        <v>165</v>
      </c>
      <c r="C25" s="2697">
        <v>285.54734766999997</v>
      </c>
      <c r="D25" s="2690">
        <v>33.745235719999997</v>
      </c>
      <c r="E25" s="2690">
        <v>0</v>
      </c>
      <c r="F25" s="2690">
        <v>0</v>
      </c>
      <c r="G25" s="2690">
        <v>0</v>
      </c>
      <c r="H25" s="2690">
        <v>0</v>
      </c>
      <c r="I25" s="2704">
        <v>0</v>
      </c>
      <c r="J25" s="2704">
        <v>0</v>
      </c>
      <c r="K25" s="2704">
        <v>211.80211194999998</v>
      </c>
      <c r="L25" s="2704">
        <v>40</v>
      </c>
      <c r="M25" s="2704">
        <v>0</v>
      </c>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c r="AS25" s="2138"/>
      <c r="AT25" s="2138"/>
      <c r="AU25" s="2138"/>
      <c r="AV25" s="2138"/>
      <c r="AW25" s="2138"/>
      <c r="AX25" s="2138"/>
      <c r="AY25" s="2138"/>
      <c r="AZ25" s="2138"/>
      <c r="BA25" s="2138"/>
      <c r="BB25" s="2138"/>
      <c r="BC25" s="2138"/>
      <c r="BD25" s="2138"/>
      <c r="BE25" s="2138"/>
      <c r="BF25" s="2138"/>
      <c r="BG25" s="2138"/>
      <c r="BH25" s="2138"/>
      <c r="BI25" s="2138"/>
      <c r="BJ25" s="2138"/>
      <c r="BK25" s="2138"/>
      <c r="BL25" s="2138"/>
      <c r="BM25" s="2138"/>
      <c r="BN25" s="2138"/>
      <c r="BO25" s="2138"/>
      <c r="BP25" s="2138"/>
      <c r="BQ25" s="2138"/>
      <c r="BR25" s="2138"/>
      <c r="BS25" s="2138"/>
      <c r="BT25" s="2138"/>
      <c r="BU25" s="2138"/>
      <c r="BV25" s="2138"/>
      <c r="BW25" s="2138"/>
      <c r="BX25" s="2138"/>
      <c r="BY25" s="2138"/>
      <c r="BZ25" s="2138"/>
      <c r="CA25" s="2138"/>
      <c r="CB25" s="2138"/>
      <c r="CC25" s="2138"/>
      <c r="CD25" s="2138"/>
      <c r="CE25" s="2138"/>
    </row>
    <row r="26" spans="2:83" s="2101" customFormat="1" ht="18" hidden="1" customHeight="1">
      <c r="B26" s="2488" t="s">
        <v>166</v>
      </c>
      <c r="C26" s="2697">
        <v>306.34669611000004</v>
      </c>
      <c r="D26" s="2690">
        <v>54.706247939999997</v>
      </c>
      <c r="E26" s="2690">
        <v>0</v>
      </c>
      <c r="F26" s="2690">
        <v>0</v>
      </c>
      <c r="G26" s="2690">
        <v>0</v>
      </c>
      <c r="H26" s="2690">
        <v>0</v>
      </c>
      <c r="I26" s="2704">
        <v>0</v>
      </c>
      <c r="J26" s="2704">
        <v>0</v>
      </c>
      <c r="K26" s="2704">
        <v>211.64044817000001</v>
      </c>
      <c r="L26" s="2704">
        <v>40</v>
      </c>
      <c r="M26" s="2690">
        <v>0</v>
      </c>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c r="AS26" s="2138"/>
      <c r="AT26" s="2138"/>
      <c r="AU26" s="2138"/>
      <c r="AV26" s="2138"/>
      <c r="AW26" s="2138"/>
      <c r="AX26" s="2138"/>
      <c r="AY26" s="2138"/>
      <c r="AZ26" s="2138"/>
      <c r="BA26" s="2138"/>
      <c r="BB26" s="2138"/>
      <c r="BC26" s="2138"/>
      <c r="BD26" s="2138"/>
      <c r="BE26" s="2138"/>
      <c r="BF26" s="2138"/>
      <c r="BG26" s="2138"/>
      <c r="BH26" s="2138"/>
      <c r="BI26" s="2138"/>
      <c r="BJ26" s="2138"/>
      <c r="BK26" s="2138"/>
      <c r="BL26" s="2138"/>
      <c r="BM26" s="2138"/>
      <c r="BN26" s="2138"/>
      <c r="BO26" s="2138"/>
      <c r="BP26" s="2138"/>
      <c r="BQ26" s="2138"/>
      <c r="BR26" s="2138"/>
      <c r="BS26" s="2138"/>
      <c r="BT26" s="2138"/>
      <c r="BU26" s="2138"/>
      <c r="BV26" s="2138"/>
      <c r="BW26" s="2138"/>
      <c r="BX26" s="2138"/>
      <c r="BY26" s="2138"/>
      <c r="BZ26" s="2138"/>
      <c r="CA26" s="2138"/>
      <c r="CB26" s="2138"/>
      <c r="CC26" s="2138"/>
      <c r="CD26" s="2138"/>
      <c r="CE26" s="2138"/>
    </row>
    <row r="27" spans="2:83" s="2101" customFormat="1" ht="18" hidden="1" customHeight="1">
      <c r="B27" s="2488" t="s">
        <v>167</v>
      </c>
      <c r="C27" s="2697">
        <v>324.33933961000002</v>
      </c>
      <c r="D27" s="2690">
        <v>60.572645190000003</v>
      </c>
      <c r="E27" s="2690">
        <v>0</v>
      </c>
      <c r="F27" s="2690">
        <v>0</v>
      </c>
      <c r="G27" s="2690">
        <v>0</v>
      </c>
      <c r="H27" s="2690">
        <v>0</v>
      </c>
      <c r="I27" s="2690">
        <v>0</v>
      </c>
      <c r="J27" s="2690">
        <v>0</v>
      </c>
      <c r="K27" s="2690">
        <v>223.76669441999999</v>
      </c>
      <c r="L27" s="2690">
        <v>40</v>
      </c>
      <c r="M27" s="2704">
        <v>0</v>
      </c>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c r="AS27" s="2138"/>
      <c r="AT27" s="2138"/>
      <c r="AU27" s="2138"/>
      <c r="AV27" s="2138"/>
      <c r="AW27" s="2138"/>
      <c r="AX27" s="2138"/>
      <c r="AY27" s="2138"/>
      <c r="AZ27" s="2138"/>
      <c r="BA27" s="2138"/>
      <c r="BB27" s="2138"/>
      <c r="BC27" s="2138"/>
      <c r="BD27" s="2138"/>
      <c r="BE27" s="2138"/>
      <c r="BF27" s="2138"/>
      <c r="BG27" s="2138"/>
      <c r="BH27" s="2138"/>
      <c r="BI27" s="2138"/>
      <c r="BJ27" s="2138"/>
      <c r="BK27" s="2138"/>
      <c r="BL27" s="2138"/>
      <c r="BM27" s="2138"/>
      <c r="BN27" s="2138"/>
      <c r="BO27" s="2138"/>
      <c r="BP27" s="2138"/>
      <c r="BQ27" s="2138"/>
      <c r="BR27" s="2138"/>
      <c r="BS27" s="2138"/>
      <c r="BT27" s="2138"/>
      <c r="BU27" s="2138"/>
      <c r="BV27" s="2138"/>
      <c r="BW27" s="2138"/>
      <c r="BX27" s="2138"/>
      <c r="BY27" s="2138"/>
      <c r="BZ27" s="2138"/>
      <c r="CA27" s="2138"/>
      <c r="CB27" s="2138"/>
      <c r="CC27" s="2138"/>
      <c r="CD27" s="2138"/>
      <c r="CE27" s="2138"/>
    </row>
    <row r="28" spans="2:83" s="2101" customFormat="1" ht="18" hidden="1" customHeight="1">
      <c r="B28" s="2488" t="s">
        <v>168</v>
      </c>
      <c r="C28" s="2697">
        <v>327.87343090999997</v>
      </c>
      <c r="D28" s="2690">
        <v>56.325923589999995</v>
      </c>
      <c r="E28" s="2690">
        <v>0</v>
      </c>
      <c r="F28" s="2690">
        <v>0</v>
      </c>
      <c r="G28" s="2690">
        <v>0</v>
      </c>
      <c r="H28" s="2690">
        <v>0</v>
      </c>
      <c r="I28" s="2704">
        <v>0</v>
      </c>
      <c r="J28" s="2690">
        <v>0</v>
      </c>
      <c r="K28" s="2690">
        <v>231.54750731999999</v>
      </c>
      <c r="L28" s="2690">
        <v>40</v>
      </c>
      <c r="M28" s="2690">
        <v>0</v>
      </c>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2138"/>
      <c r="AT28" s="2138"/>
      <c r="AU28" s="2138"/>
      <c r="AV28" s="2138"/>
      <c r="AW28" s="2138"/>
      <c r="AX28" s="2138"/>
      <c r="AY28" s="2138"/>
      <c r="AZ28" s="2138"/>
      <c r="BA28" s="2138"/>
      <c r="BB28" s="2138"/>
      <c r="BC28" s="2138"/>
      <c r="BD28" s="2138"/>
      <c r="BE28" s="2138"/>
      <c r="BF28" s="2138"/>
      <c r="BG28" s="2138"/>
      <c r="BH28" s="2138"/>
      <c r="BI28" s="2138"/>
      <c r="BJ28" s="2138"/>
      <c r="BK28" s="2138"/>
      <c r="BL28" s="2138"/>
      <c r="BM28" s="2138"/>
      <c r="BN28" s="2138"/>
      <c r="BO28" s="2138"/>
      <c r="BP28" s="2138"/>
      <c r="BQ28" s="2138"/>
      <c r="BR28" s="2138"/>
      <c r="BS28" s="2138"/>
      <c r="BT28" s="2138"/>
      <c r="BU28" s="2138"/>
      <c r="BV28" s="2138"/>
      <c r="BW28" s="2138"/>
      <c r="BX28" s="2138"/>
      <c r="BY28" s="2138"/>
      <c r="BZ28" s="2138"/>
      <c r="CA28" s="2138"/>
      <c r="CB28" s="2138"/>
      <c r="CC28" s="2138"/>
      <c r="CD28" s="2138"/>
      <c r="CE28" s="2138"/>
    </row>
    <row r="29" spans="2:83" s="2101" customFormat="1" ht="18" hidden="1" customHeight="1">
      <c r="B29" s="2488" t="s">
        <v>169</v>
      </c>
      <c r="C29" s="2697">
        <v>315.78304456999996</v>
      </c>
      <c r="D29" s="2690">
        <v>8.2702323100000008</v>
      </c>
      <c r="E29" s="2690">
        <v>0</v>
      </c>
      <c r="F29" s="2690">
        <v>0</v>
      </c>
      <c r="G29" s="2690">
        <v>0</v>
      </c>
      <c r="H29" s="2690">
        <v>0</v>
      </c>
      <c r="I29" s="2704">
        <v>0</v>
      </c>
      <c r="J29" s="2690">
        <v>0</v>
      </c>
      <c r="K29" s="2690">
        <v>267.51281225999998</v>
      </c>
      <c r="L29" s="2690">
        <v>40</v>
      </c>
      <c r="M29" s="2690">
        <v>0</v>
      </c>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2138"/>
      <c r="BB29" s="2138"/>
      <c r="BC29" s="2138"/>
      <c r="BD29" s="2138"/>
      <c r="BE29" s="2138"/>
      <c r="BF29" s="2138"/>
      <c r="BG29" s="2138"/>
      <c r="BH29" s="2138"/>
      <c r="BI29" s="2138"/>
      <c r="BJ29" s="2138"/>
      <c r="BK29" s="2138"/>
      <c r="BL29" s="2138"/>
      <c r="BM29" s="2138"/>
      <c r="BN29" s="2138"/>
      <c r="BO29" s="2138"/>
      <c r="BP29" s="2138"/>
      <c r="BQ29" s="2138"/>
      <c r="BR29" s="2138"/>
      <c r="BS29" s="2138"/>
      <c r="BT29" s="2138"/>
      <c r="BU29" s="2138"/>
      <c r="BV29" s="2138"/>
      <c r="BW29" s="2138"/>
      <c r="BX29" s="2138"/>
      <c r="BY29" s="2138"/>
      <c r="BZ29" s="2138"/>
      <c r="CA29" s="2138"/>
      <c r="CB29" s="2138"/>
      <c r="CC29" s="2138"/>
      <c r="CD29" s="2138"/>
      <c r="CE29" s="2138"/>
    </row>
    <row r="30" spans="2:83" s="2101" customFormat="1" ht="18" hidden="1" customHeight="1">
      <c r="B30" s="2408" t="s">
        <v>170</v>
      </c>
      <c r="C30" s="2705">
        <v>365.44454647999999</v>
      </c>
      <c r="D30" s="2693">
        <v>49.280838189999997</v>
      </c>
      <c r="E30" s="2693">
        <v>0</v>
      </c>
      <c r="F30" s="2693">
        <v>0</v>
      </c>
      <c r="G30" s="2693">
        <v>0</v>
      </c>
      <c r="H30" s="2693">
        <v>0</v>
      </c>
      <c r="I30" s="2693">
        <v>0</v>
      </c>
      <c r="J30" s="2693">
        <v>0</v>
      </c>
      <c r="K30" s="2693">
        <v>276.16370828999999</v>
      </c>
      <c r="L30" s="2693">
        <v>40</v>
      </c>
      <c r="M30" s="2693">
        <v>0</v>
      </c>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c r="AS30" s="2138"/>
      <c r="AT30" s="2138"/>
      <c r="AU30" s="2138"/>
      <c r="AV30" s="2138"/>
      <c r="AW30" s="2138"/>
      <c r="AX30" s="2138"/>
      <c r="AY30" s="2138"/>
      <c r="AZ30" s="2138"/>
      <c r="BA30" s="2138"/>
      <c r="BB30" s="2138"/>
      <c r="BC30" s="2138"/>
      <c r="BD30" s="2138"/>
      <c r="BE30" s="2138"/>
      <c r="BF30" s="2138"/>
      <c r="BG30" s="2138"/>
      <c r="BH30" s="2138"/>
      <c r="BI30" s="2138"/>
      <c r="BJ30" s="2138"/>
      <c r="BK30" s="2138"/>
      <c r="BL30" s="2138"/>
      <c r="BM30" s="2138"/>
      <c r="BN30" s="2138"/>
      <c r="BO30" s="2138"/>
      <c r="BP30" s="2138"/>
      <c r="BQ30" s="2138"/>
      <c r="BR30" s="2138"/>
      <c r="BS30" s="2138"/>
      <c r="BT30" s="2138"/>
      <c r="BU30" s="2138"/>
      <c r="BV30" s="2138"/>
      <c r="BW30" s="2138"/>
      <c r="BX30" s="2138"/>
      <c r="BY30" s="2138"/>
      <c r="BZ30" s="2138"/>
      <c r="CA30" s="2138"/>
      <c r="CB30" s="2138"/>
      <c r="CC30" s="2138"/>
      <c r="CD30" s="2138"/>
      <c r="CE30" s="2138"/>
    </row>
    <row r="31" spans="2:83" s="2101" customFormat="1" ht="18" hidden="1" customHeight="1">
      <c r="B31" s="2408" t="s">
        <v>171</v>
      </c>
      <c r="C31" s="2705">
        <v>356.61289391000003</v>
      </c>
      <c r="D31" s="2693">
        <v>26.7172637</v>
      </c>
      <c r="E31" s="2693">
        <v>0</v>
      </c>
      <c r="F31" s="2693">
        <v>0</v>
      </c>
      <c r="G31" s="2693">
        <v>0</v>
      </c>
      <c r="H31" s="2693">
        <v>0</v>
      </c>
      <c r="I31" s="2693">
        <v>0</v>
      </c>
      <c r="J31" s="2693">
        <v>0</v>
      </c>
      <c r="K31" s="2693">
        <v>289.89563021000004</v>
      </c>
      <c r="L31" s="2693">
        <v>40</v>
      </c>
      <c r="M31" s="2693">
        <v>0</v>
      </c>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c r="AS31" s="2138"/>
      <c r="AT31" s="2138"/>
      <c r="AU31" s="2138"/>
      <c r="AV31" s="2138"/>
      <c r="AW31" s="2138"/>
      <c r="AX31" s="2138"/>
      <c r="AY31" s="2138"/>
      <c r="AZ31" s="2138"/>
      <c r="BA31" s="2138"/>
      <c r="BB31" s="2138"/>
      <c r="BC31" s="2138"/>
      <c r="BD31" s="2138"/>
      <c r="BE31" s="2138"/>
      <c r="BF31" s="2138"/>
      <c r="BG31" s="2138"/>
      <c r="BH31" s="2138"/>
      <c r="BI31" s="2138"/>
      <c r="BJ31" s="2138"/>
      <c r="BK31" s="2138"/>
      <c r="BL31" s="2138"/>
      <c r="BM31" s="2138"/>
      <c r="BN31" s="2138"/>
      <c r="BO31" s="2138"/>
      <c r="BP31" s="2138"/>
      <c r="BQ31" s="2138"/>
      <c r="BR31" s="2138"/>
      <c r="BS31" s="2138"/>
      <c r="BT31" s="2138"/>
      <c r="BU31" s="2138"/>
      <c r="BV31" s="2138"/>
      <c r="BW31" s="2138"/>
      <c r="BX31" s="2138"/>
      <c r="BY31" s="2138"/>
      <c r="BZ31" s="2138"/>
      <c r="CA31" s="2138"/>
      <c r="CB31" s="2138"/>
      <c r="CC31" s="2138"/>
      <c r="CD31" s="2138"/>
      <c r="CE31" s="2138"/>
    </row>
    <row r="32" spans="2:83" s="2101" customFormat="1" ht="18" hidden="1" customHeight="1">
      <c r="B32" s="2487">
        <v>2011</v>
      </c>
      <c r="C32" s="2705">
        <v>367.302526</v>
      </c>
      <c r="D32" s="2693">
        <v>23.735598</v>
      </c>
      <c r="E32" s="2693">
        <v>0</v>
      </c>
      <c r="F32" s="2693">
        <v>0</v>
      </c>
      <c r="G32" s="2693">
        <v>0</v>
      </c>
      <c r="H32" s="2693">
        <v>0</v>
      </c>
      <c r="I32" s="2693">
        <v>0</v>
      </c>
      <c r="J32" s="2693">
        <v>0</v>
      </c>
      <c r="K32" s="2693">
        <v>303.56692800000002</v>
      </c>
      <c r="L32" s="2693">
        <v>40</v>
      </c>
      <c r="M32" s="2693">
        <v>0</v>
      </c>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c r="AS32" s="2138"/>
      <c r="AT32" s="2138"/>
      <c r="AU32" s="2138"/>
      <c r="AV32" s="2138"/>
      <c r="AW32" s="2138"/>
      <c r="AX32" s="2138"/>
      <c r="AY32" s="2138"/>
      <c r="AZ32" s="2138"/>
      <c r="BA32" s="2138"/>
      <c r="BB32" s="2138"/>
      <c r="BC32" s="2138"/>
      <c r="BD32" s="2138"/>
      <c r="BE32" s="2138"/>
      <c r="BF32" s="2138"/>
      <c r="BG32" s="2138"/>
      <c r="BH32" s="2138"/>
      <c r="BI32" s="2138"/>
      <c r="BJ32" s="2138"/>
      <c r="BK32" s="2138"/>
      <c r="BL32" s="2138"/>
      <c r="BM32" s="2138"/>
      <c r="BN32" s="2138"/>
      <c r="BO32" s="2138"/>
      <c r="BP32" s="2138"/>
      <c r="BQ32" s="2138"/>
      <c r="BR32" s="2138"/>
      <c r="BS32" s="2138"/>
      <c r="BT32" s="2138"/>
      <c r="BU32" s="2138"/>
      <c r="BV32" s="2138"/>
      <c r="BW32" s="2138"/>
      <c r="BX32" s="2138"/>
      <c r="BY32" s="2138"/>
      <c r="BZ32" s="2138"/>
      <c r="CA32" s="2138"/>
      <c r="CB32" s="2138"/>
      <c r="CC32" s="2138"/>
      <c r="CD32" s="2138"/>
      <c r="CE32" s="2138"/>
    </row>
    <row r="33" spans="2:83" s="2101" customFormat="1" ht="18" hidden="1" customHeight="1">
      <c r="B33" s="2491">
        <v>2012</v>
      </c>
      <c r="C33" s="2705"/>
      <c r="D33" s="2693"/>
      <c r="E33" s="2693"/>
      <c r="F33" s="2693"/>
      <c r="G33" s="2693"/>
      <c r="H33" s="2693"/>
      <c r="I33" s="2693"/>
      <c r="J33" s="2693"/>
      <c r="K33" s="2693"/>
      <c r="L33" s="2693"/>
      <c r="M33" s="2693"/>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c r="AS33" s="2138"/>
      <c r="AT33" s="2138"/>
      <c r="AU33" s="2138"/>
      <c r="AV33" s="2138"/>
      <c r="AW33" s="2138"/>
      <c r="AX33" s="2138"/>
      <c r="AY33" s="2138"/>
      <c r="AZ33" s="2138"/>
      <c r="BA33" s="2138"/>
      <c r="BB33" s="2138"/>
      <c r="BC33" s="2138"/>
      <c r="BD33" s="2138"/>
      <c r="BE33" s="2138"/>
      <c r="BF33" s="2138"/>
      <c r="BG33" s="2138"/>
      <c r="BH33" s="2138"/>
      <c r="BI33" s="2138"/>
      <c r="BJ33" s="2138"/>
      <c r="BK33" s="2138"/>
      <c r="BL33" s="2138"/>
      <c r="BM33" s="2138"/>
      <c r="BN33" s="2138"/>
      <c r="BO33" s="2138"/>
      <c r="BP33" s="2138"/>
      <c r="BQ33" s="2138"/>
      <c r="BR33" s="2138"/>
      <c r="BS33" s="2138"/>
      <c r="BT33" s="2138"/>
      <c r="BU33" s="2138"/>
      <c r="BV33" s="2138"/>
      <c r="BW33" s="2138"/>
      <c r="BX33" s="2138"/>
      <c r="BY33" s="2138"/>
      <c r="BZ33" s="2138"/>
      <c r="CA33" s="2138"/>
      <c r="CB33" s="2138"/>
      <c r="CC33" s="2138"/>
      <c r="CD33" s="2138"/>
      <c r="CE33" s="2138"/>
    </row>
    <row r="34" spans="2:83" s="2101" customFormat="1" ht="18" hidden="1" customHeight="1">
      <c r="B34" s="2408" t="s">
        <v>161</v>
      </c>
      <c r="C34" s="2705">
        <v>362.16454795999999</v>
      </c>
      <c r="D34" s="2693">
        <v>11.402040400000001</v>
      </c>
      <c r="E34" s="2693">
        <v>0</v>
      </c>
      <c r="F34" s="2693">
        <v>0</v>
      </c>
      <c r="G34" s="2693">
        <v>0</v>
      </c>
      <c r="H34" s="2693">
        <v>0</v>
      </c>
      <c r="I34" s="2693">
        <v>0</v>
      </c>
      <c r="J34" s="2693">
        <v>0</v>
      </c>
      <c r="K34" s="2693">
        <v>310.76250756000002</v>
      </c>
      <c r="L34" s="2693">
        <v>40</v>
      </c>
      <c r="M34" s="2693">
        <v>0</v>
      </c>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c r="AS34" s="2138"/>
      <c r="AT34" s="2138"/>
      <c r="AU34" s="2138"/>
      <c r="AV34" s="2138"/>
      <c r="AW34" s="2138"/>
      <c r="AX34" s="2138"/>
      <c r="AY34" s="2138"/>
      <c r="AZ34" s="2138"/>
      <c r="BA34" s="2138"/>
      <c r="BB34" s="2138"/>
      <c r="BC34" s="2138"/>
      <c r="BD34" s="2138"/>
      <c r="BE34" s="2138"/>
      <c r="BF34" s="2138"/>
      <c r="BG34" s="2138"/>
      <c r="BH34" s="2138"/>
      <c r="BI34" s="2138"/>
      <c r="BJ34" s="2138"/>
      <c r="BK34" s="2138"/>
      <c r="BL34" s="2138"/>
      <c r="BM34" s="2138"/>
      <c r="BN34" s="2138"/>
      <c r="BO34" s="2138"/>
      <c r="BP34" s="2138"/>
      <c r="BQ34" s="2138"/>
      <c r="BR34" s="2138"/>
      <c r="BS34" s="2138"/>
      <c r="BT34" s="2138"/>
      <c r="BU34" s="2138"/>
      <c r="BV34" s="2138"/>
      <c r="BW34" s="2138"/>
      <c r="BX34" s="2138"/>
      <c r="BY34" s="2138"/>
      <c r="BZ34" s="2138"/>
      <c r="CA34" s="2138"/>
      <c r="CB34" s="2138"/>
      <c r="CC34" s="2138"/>
      <c r="CD34" s="2138"/>
      <c r="CE34" s="2138"/>
    </row>
    <row r="35" spans="2:83" s="2101" customFormat="1" ht="18" hidden="1" customHeight="1">
      <c r="B35" s="2408" t="s">
        <v>162</v>
      </c>
      <c r="C35" s="2705">
        <v>368.82046128000002</v>
      </c>
      <c r="D35" s="2693">
        <v>11.573776419999998</v>
      </c>
      <c r="E35" s="2693">
        <v>0</v>
      </c>
      <c r="F35" s="2693">
        <v>0</v>
      </c>
      <c r="G35" s="2693">
        <v>0</v>
      </c>
      <c r="H35" s="2693">
        <v>0</v>
      </c>
      <c r="I35" s="2693">
        <v>0</v>
      </c>
      <c r="J35" s="2693">
        <v>0</v>
      </c>
      <c r="K35" s="2693">
        <v>317.24668486000002</v>
      </c>
      <c r="L35" s="2693">
        <v>40</v>
      </c>
      <c r="M35" s="2693">
        <v>0</v>
      </c>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c r="AS35" s="2138"/>
      <c r="AT35" s="2138"/>
      <c r="AU35" s="2138"/>
      <c r="AV35" s="2138"/>
      <c r="AW35" s="2138"/>
      <c r="AX35" s="2138"/>
      <c r="AY35" s="2138"/>
      <c r="AZ35" s="2138"/>
      <c r="BA35" s="2138"/>
      <c r="BB35" s="2138"/>
      <c r="BC35" s="2138"/>
      <c r="BD35" s="2138"/>
      <c r="BE35" s="2138"/>
      <c r="BF35" s="2138"/>
      <c r="BG35" s="2138"/>
      <c r="BH35" s="2138"/>
      <c r="BI35" s="2138"/>
      <c r="BJ35" s="2138"/>
      <c r="BK35" s="2138"/>
      <c r="BL35" s="2138"/>
      <c r="BM35" s="2138"/>
      <c r="BN35" s="2138"/>
      <c r="BO35" s="2138"/>
      <c r="BP35" s="2138"/>
      <c r="BQ35" s="2138"/>
      <c r="BR35" s="2138"/>
      <c r="BS35" s="2138"/>
      <c r="BT35" s="2138"/>
      <c r="BU35" s="2138"/>
      <c r="BV35" s="2138"/>
      <c r="BW35" s="2138"/>
      <c r="BX35" s="2138"/>
      <c r="BY35" s="2138"/>
      <c r="BZ35" s="2138"/>
      <c r="CA35" s="2138"/>
      <c r="CB35" s="2138"/>
      <c r="CC35" s="2138"/>
      <c r="CD35" s="2138"/>
      <c r="CE35" s="2138"/>
    </row>
    <row r="36" spans="2:83" s="2101" customFormat="1" ht="18" hidden="1" customHeight="1">
      <c r="B36" s="2408" t="s">
        <v>163</v>
      </c>
      <c r="C36" s="2705">
        <v>380.35027614999996</v>
      </c>
      <c r="D36" s="2693">
        <v>25.156194099999997</v>
      </c>
      <c r="E36" s="2693">
        <v>0</v>
      </c>
      <c r="F36" s="2693">
        <v>0</v>
      </c>
      <c r="G36" s="2693">
        <v>0</v>
      </c>
      <c r="H36" s="2693">
        <v>0</v>
      </c>
      <c r="I36" s="2693">
        <v>0</v>
      </c>
      <c r="J36" s="2693">
        <v>0</v>
      </c>
      <c r="K36" s="2693">
        <v>315.19408204999996</v>
      </c>
      <c r="L36" s="2693">
        <v>40</v>
      </c>
      <c r="M36" s="2693">
        <v>0</v>
      </c>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c r="AS36" s="2138"/>
      <c r="AT36" s="2138"/>
      <c r="AU36" s="2138"/>
      <c r="AV36" s="2138"/>
      <c r="AW36" s="2138"/>
      <c r="AX36" s="2138"/>
      <c r="AY36" s="2138"/>
      <c r="AZ36" s="2138"/>
      <c r="BA36" s="2138"/>
      <c r="BB36" s="2138"/>
      <c r="BC36" s="2138"/>
      <c r="BD36" s="2138"/>
      <c r="BE36" s="2138"/>
      <c r="BF36" s="2138"/>
      <c r="BG36" s="2138"/>
      <c r="BH36" s="2138"/>
      <c r="BI36" s="2138"/>
      <c r="BJ36" s="2138"/>
      <c r="BK36" s="2138"/>
      <c r="BL36" s="2138"/>
      <c r="BM36" s="2138"/>
      <c r="BN36" s="2138"/>
      <c r="BO36" s="2138"/>
      <c r="BP36" s="2138"/>
      <c r="BQ36" s="2138"/>
      <c r="BR36" s="2138"/>
      <c r="BS36" s="2138"/>
      <c r="BT36" s="2138"/>
      <c r="BU36" s="2138"/>
      <c r="BV36" s="2138"/>
      <c r="BW36" s="2138"/>
      <c r="BX36" s="2138"/>
      <c r="BY36" s="2138"/>
      <c r="BZ36" s="2138"/>
      <c r="CA36" s="2138"/>
      <c r="CB36" s="2138"/>
      <c r="CC36" s="2138"/>
      <c r="CD36" s="2138"/>
      <c r="CE36" s="2138"/>
    </row>
    <row r="37" spans="2:83" s="2101" customFormat="1" ht="18" hidden="1" customHeight="1">
      <c r="B37" s="2408" t="s">
        <v>164</v>
      </c>
      <c r="C37" s="2705">
        <v>384.22225531999999</v>
      </c>
      <c r="D37" s="2693">
        <v>23.764165800000001</v>
      </c>
      <c r="E37" s="2693">
        <v>0</v>
      </c>
      <c r="F37" s="2693">
        <v>0</v>
      </c>
      <c r="G37" s="2693">
        <v>0</v>
      </c>
      <c r="H37" s="2693">
        <v>0</v>
      </c>
      <c r="I37" s="2693">
        <v>0</v>
      </c>
      <c r="J37" s="2693">
        <v>0</v>
      </c>
      <c r="K37" s="2693">
        <v>320.45808951999999</v>
      </c>
      <c r="L37" s="2693">
        <v>40</v>
      </c>
      <c r="M37" s="2693">
        <v>0</v>
      </c>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c r="AS37" s="2138"/>
      <c r="AT37" s="2138"/>
      <c r="AU37" s="2138"/>
      <c r="AV37" s="2138"/>
      <c r="AW37" s="2138"/>
      <c r="AX37" s="2138"/>
      <c r="AY37" s="2138"/>
      <c r="AZ37" s="2138"/>
      <c r="BA37" s="2138"/>
      <c r="BB37" s="2138"/>
      <c r="BC37" s="2138"/>
      <c r="BD37" s="2138"/>
      <c r="BE37" s="2138"/>
      <c r="BF37" s="2138"/>
      <c r="BG37" s="2138"/>
      <c r="BH37" s="2138"/>
      <c r="BI37" s="2138"/>
      <c r="BJ37" s="2138"/>
      <c r="BK37" s="2138"/>
      <c r="BL37" s="2138"/>
      <c r="BM37" s="2138"/>
      <c r="BN37" s="2138"/>
      <c r="BO37" s="2138"/>
      <c r="BP37" s="2138"/>
      <c r="BQ37" s="2138"/>
      <c r="BR37" s="2138"/>
      <c r="BS37" s="2138"/>
      <c r="BT37" s="2138"/>
      <c r="BU37" s="2138"/>
      <c r="BV37" s="2138"/>
      <c r="BW37" s="2138"/>
      <c r="BX37" s="2138"/>
      <c r="BY37" s="2138"/>
      <c r="BZ37" s="2138"/>
      <c r="CA37" s="2138"/>
      <c r="CB37" s="2138"/>
      <c r="CC37" s="2138"/>
      <c r="CD37" s="2138"/>
      <c r="CE37" s="2138"/>
    </row>
    <row r="38" spans="2:83" s="2101" customFormat="1" ht="18" hidden="1" customHeight="1">
      <c r="B38" s="2408" t="s">
        <v>165</v>
      </c>
      <c r="C38" s="2705">
        <v>397.51098645000002</v>
      </c>
      <c r="D38" s="2693">
        <v>18.992202069999998</v>
      </c>
      <c r="E38" s="2693">
        <v>0</v>
      </c>
      <c r="F38" s="2693">
        <v>0</v>
      </c>
      <c r="G38" s="2693">
        <v>0</v>
      </c>
      <c r="H38" s="2693">
        <v>0</v>
      </c>
      <c r="I38" s="2693">
        <v>0</v>
      </c>
      <c r="J38" s="2693">
        <v>0</v>
      </c>
      <c r="K38" s="2693">
        <v>338.51878438</v>
      </c>
      <c r="L38" s="2693">
        <v>40</v>
      </c>
      <c r="M38" s="2693">
        <v>0</v>
      </c>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c r="AS38" s="2138"/>
      <c r="AT38" s="2138"/>
      <c r="AU38" s="2138"/>
      <c r="AV38" s="2138"/>
      <c r="AW38" s="2138"/>
      <c r="AX38" s="2138"/>
      <c r="AY38" s="2138"/>
      <c r="AZ38" s="2138"/>
      <c r="BA38" s="2138"/>
      <c r="BB38" s="2138"/>
      <c r="BC38" s="2138"/>
      <c r="BD38" s="2138"/>
      <c r="BE38" s="2138"/>
      <c r="BF38" s="2138"/>
      <c r="BG38" s="2138"/>
      <c r="BH38" s="2138"/>
      <c r="BI38" s="2138"/>
      <c r="BJ38" s="2138"/>
      <c r="BK38" s="2138"/>
      <c r="BL38" s="2138"/>
      <c r="BM38" s="2138"/>
      <c r="BN38" s="2138"/>
      <c r="BO38" s="2138"/>
      <c r="BP38" s="2138"/>
      <c r="BQ38" s="2138"/>
      <c r="BR38" s="2138"/>
      <c r="BS38" s="2138"/>
      <c r="BT38" s="2138"/>
      <c r="BU38" s="2138"/>
      <c r="BV38" s="2138"/>
      <c r="BW38" s="2138"/>
      <c r="BX38" s="2138"/>
      <c r="BY38" s="2138"/>
      <c r="BZ38" s="2138"/>
      <c r="CA38" s="2138"/>
      <c r="CB38" s="2138"/>
      <c r="CC38" s="2138"/>
      <c r="CD38" s="2138"/>
      <c r="CE38" s="2138"/>
    </row>
    <row r="39" spans="2:83" s="2101" customFormat="1" ht="18" hidden="1" customHeight="1">
      <c r="B39" s="2408" t="s">
        <v>166</v>
      </c>
      <c r="C39" s="2705">
        <v>418.13622858999997</v>
      </c>
      <c r="D39" s="2693">
        <v>40.422180969999999</v>
      </c>
      <c r="E39" s="2693">
        <v>0</v>
      </c>
      <c r="F39" s="2693">
        <v>0</v>
      </c>
      <c r="G39" s="2693">
        <v>0</v>
      </c>
      <c r="H39" s="2693">
        <v>0</v>
      </c>
      <c r="I39" s="2693">
        <v>0</v>
      </c>
      <c r="J39" s="2693">
        <v>0</v>
      </c>
      <c r="K39" s="2693">
        <v>337.71404761999997</v>
      </c>
      <c r="L39" s="2693">
        <v>40</v>
      </c>
      <c r="M39" s="2693">
        <v>0</v>
      </c>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c r="AS39" s="2138"/>
      <c r="AT39" s="2138"/>
      <c r="AU39" s="2138"/>
      <c r="AV39" s="2138"/>
      <c r="AW39" s="2138"/>
      <c r="AX39" s="2138"/>
      <c r="AY39" s="2138"/>
      <c r="AZ39" s="2138"/>
      <c r="BA39" s="2138"/>
      <c r="BB39" s="2138"/>
      <c r="BC39" s="2138"/>
      <c r="BD39" s="2138"/>
      <c r="BE39" s="2138"/>
      <c r="BF39" s="2138"/>
      <c r="BG39" s="2138"/>
      <c r="BH39" s="2138"/>
      <c r="BI39" s="2138"/>
      <c r="BJ39" s="2138"/>
      <c r="BK39" s="2138"/>
      <c r="BL39" s="2138"/>
      <c r="BM39" s="2138"/>
      <c r="BN39" s="2138"/>
      <c r="BO39" s="2138"/>
      <c r="BP39" s="2138"/>
      <c r="BQ39" s="2138"/>
      <c r="BR39" s="2138"/>
      <c r="BS39" s="2138"/>
      <c r="BT39" s="2138"/>
      <c r="BU39" s="2138"/>
      <c r="BV39" s="2138"/>
      <c r="BW39" s="2138"/>
      <c r="BX39" s="2138"/>
      <c r="BY39" s="2138"/>
      <c r="BZ39" s="2138"/>
      <c r="CA39" s="2138"/>
      <c r="CB39" s="2138"/>
      <c r="CC39" s="2138"/>
      <c r="CD39" s="2138"/>
      <c r="CE39" s="2138"/>
    </row>
    <row r="40" spans="2:83" s="2101" customFormat="1" ht="18" hidden="1" customHeight="1">
      <c r="B40" s="2408" t="s">
        <v>167</v>
      </c>
      <c r="C40" s="2705">
        <v>453.74776328000002</v>
      </c>
      <c r="D40" s="2693">
        <v>64.911979180000003</v>
      </c>
      <c r="E40" s="2693">
        <v>0</v>
      </c>
      <c r="F40" s="2693">
        <v>0</v>
      </c>
      <c r="G40" s="2693">
        <v>0</v>
      </c>
      <c r="H40" s="2693">
        <v>0</v>
      </c>
      <c r="I40" s="2693">
        <v>0</v>
      </c>
      <c r="J40" s="2693">
        <v>0</v>
      </c>
      <c r="K40" s="2693">
        <v>348.83578410000001</v>
      </c>
      <c r="L40" s="2693">
        <v>40</v>
      </c>
      <c r="M40" s="2693">
        <v>0</v>
      </c>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c r="BD40" s="2138"/>
      <c r="BE40" s="2138"/>
      <c r="BF40" s="2138"/>
      <c r="BG40" s="2138"/>
      <c r="BH40" s="2138"/>
      <c r="BI40" s="2138"/>
      <c r="BJ40" s="2138"/>
      <c r="BK40" s="2138"/>
      <c r="BL40" s="2138"/>
      <c r="BM40" s="2138"/>
      <c r="BN40" s="2138"/>
      <c r="BO40" s="2138"/>
      <c r="BP40" s="2138"/>
      <c r="BQ40" s="2138"/>
      <c r="BR40" s="2138"/>
      <c r="BS40" s="2138"/>
      <c r="BT40" s="2138"/>
      <c r="BU40" s="2138"/>
      <c r="BV40" s="2138"/>
      <c r="BW40" s="2138"/>
      <c r="BX40" s="2138"/>
      <c r="BY40" s="2138"/>
      <c r="BZ40" s="2138"/>
      <c r="CA40" s="2138"/>
      <c r="CB40" s="2138"/>
      <c r="CC40" s="2138"/>
      <c r="CD40" s="2138"/>
      <c r="CE40" s="2138"/>
    </row>
    <row r="41" spans="2:83" s="2101" customFormat="1" ht="18" hidden="1" customHeight="1">
      <c r="B41" s="2408" t="s">
        <v>168</v>
      </c>
      <c r="C41" s="2705">
        <v>441.91460418999992</v>
      </c>
      <c r="D41" s="2693">
        <v>17.828448789999996</v>
      </c>
      <c r="E41" s="2693">
        <v>0</v>
      </c>
      <c r="F41" s="2693">
        <v>0</v>
      </c>
      <c r="G41" s="2693">
        <v>0</v>
      </c>
      <c r="H41" s="2693">
        <v>0</v>
      </c>
      <c r="I41" s="2693">
        <v>0</v>
      </c>
      <c r="J41" s="2693">
        <v>0</v>
      </c>
      <c r="K41" s="2693">
        <v>384.08615539999994</v>
      </c>
      <c r="L41" s="2693">
        <v>40</v>
      </c>
      <c r="M41" s="2693">
        <v>0</v>
      </c>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c r="AS41" s="2138"/>
      <c r="AT41" s="2138"/>
      <c r="AU41" s="2138"/>
      <c r="AV41" s="2138"/>
      <c r="AW41" s="2138"/>
      <c r="AX41" s="2138"/>
      <c r="AY41" s="2138"/>
      <c r="AZ41" s="2138"/>
      <c r="BA41" s="2138"/>
      <c r="BB41" s="2138"/>
      <c r="BC41" s="2138"/>
      <c r="BD41" s="2138"/>
      <c r="BE41" s="2138"/>
      <c r="BF41" s="2138"/>
      <c r="BG41" s="2138"/>
      <c r="BH41" s="2138"/>
      <c r="BI41" s="2138"/>
      <c r="BJ41" s="2138"/>
      <c r="BK41" s="2138"/>
      <c r="BL41" s="2138"/>
      <c r="BM41" s="2138"/>
      <c r="BN41" s="2138"/>
      <c r="BO41" s="2138"/>
      <c r="BP41" s="2138"/>
      <c r="BQ41" s="2138"/>
      <c r="BR41" s="2138"/>
      <c r="BS41" s="2138"/>
      <c r="BT41" s="2138"/>
      <c r="BU41" s="2138"/>
      <c r="BV41" s="2138"/>
      <c r="BW41" s="2138"/>
      <c r="BX41" s="2138"/>
      <c r="BY41" s="2138"/>
      <c r="BZ41" s="2138"/>
      <c r="CA41" s="2138"/>
      <c r="CB41" s="2138"/>
      <c r="CC41" s="2138"/>
      <c r="CD41" s="2138"/>
      <c r="CE41" s="2138"/>
    </row>
    <row r="42" spans="2:83" s="2101" customFormat="1" ht="18" hidden="1" customHeight="1">
      <c r="B42" s="2408" t="s">
        <v>169</v>
      </c>
      <c r="C42" s="2705">
        <v>443.95376892000002</v>
      </c>
      <c r="D42" s="2693">
        <v>25.08447074</v>
      </c>
      <c r="E42" s="2693">
        <v>0</v>
      </c>
      <c r="F42" s="2693">
        <v>0</v>
      </c>
      <c r="G42" s="2693">
        <v>0</v>
      </c>
      <c r="H42" s="2693">
        <v>0</v>
      </c>
      <c r="I42" s="2693">
        <v>0</v>
      </c>
      <c r="J42" s="2693">
        <v>0</v>
      </c>
      <c r="K42" s="2693">
        <v>378.86929818000004</v>
      </c>
      <c r="L42" s="2693">
        <v>40</v>
      </c>
      <c r="M42" s="2693">
        <v>0</v>
      </c>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c r="AS42" s="2138"/>
      <c r="AT42" s="2138"/>
      <c r="AU42" s="2138"/>
      <c r="AV42" s="2138"/>
      <c r="AW42" s="2138"/>
      <c r="AX42" s="2138"/>
      <c r="AY42" s="2138"/>
      <c r="AZ42" s="2138"/>
      <c r="BA42" s="2138"/>
      <c r="BB42" s="2138"/>
      <c r="BC42" s="2138"/>
      <c r="BD42" s="2138"/>
      <c r="BE42" s="2138"/>
      <c r="BF42" s="2138"/>
      <c r="BG42" s="2138"/>
      <c r="BH42" s="2138"/>
      <c r="BI42" s="2138"/>
      <c r="BJ42" s="2138"/>
      <c r="BK42" s="2138"/>
      <c r="BL42" s="2138"/>
      <c r="BM42" s="2138"/>
      <c r="BN42" s="2138"/>
      <c r="BO42" s="2138"/>
      <c r="BP42" s="2138"/>
      <c r="BQ42" s="2138"/>
      <c r="BR42" s="2138"/>
      <c r="BS42" s="2138"/>
      <c r="BT42" s="2138"/>
      <c r="BU42" s="2138"/>
      <c r="BV42" s="2138"/>
      <c r="BW42" s="2138"/>
      <c r="BX42" s="2138"/>
      <c r="BY42" s="2138"/>
      <c r="BZ42" s="2138"/>
      <c r="CA42" s="2138"/>
      <c r="CB42" s="2138"/>
      <c r="CC42" s="2138"/>
      <c r="CD42" s="2138"/>
      <c r="CE42" s="2138"/>
    </row>
    <row r="43" spans="2:83" s="2101" customFormat="1" ht="18" hidden="1" customHeight="1">
      <c r="B43" s="2408" t="s">
        <v>170</v>
      </c>
      <c r="C43" s="2705">
        <v>447.82971722000002</v>
      </c>
      <c r="D43" s="2693">
        <v>43.213328689999997</v>
      </c>
      <c r="E43" s="2693">
        <v>0</v>
      </c>
      <c r="F43" s="2693">
        <v>0</v>
      </c>
      <c r="G43" s="2693">
        <v>0</v>
      </c>
      <c r="H43" s="2693">
        <v>0</v>
      </c>
      <c r="I43" s="2693">
        <v>0</v>
      </c>
      <c r="J43" s="2693">
        <v>0</v>
      </c>
      <c r="K43" s="2693">
        <v>374.61638852999999</v>
      </c>
      <c r="L43" s="2693">
        <v>30</v>
      </c>
      <c r="M43" s="2693">
        <v>0</v>
      </c>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c r="AS43" s="2138"/>
      <c r="AT43" s="2138"/>
      <c r="AU43" s="2138"/>
      <c r="AV43" s="2138"/>
      <c r="AW43" s="2138"/>
      <c r="AX43" s="2138"/>
      <c r="AY43" s="2138"/>
      <c r="AZ43" s="2138"/>
      <c r="BA43" s="2138"/>
      <c r="BB43" s="2138"/>
      <c r="BC43" s="2138"/>
      <c r="BD43" s="2138"/>
      <c r="BE43" s="2138"/>
      <c r="BF43" s="2138"/>
      <c r="BG43" s="2138"/>
      <c r="BH43" s="2138"/>
      <c r="BI43" s="2138"/>
      <c r="BJ43" s="2138"/>
      <c r="BK43" s="2138"/>
      <c r="BL43" s="2138"/>
      <c r="BM43" s="2138"/>
      <c r="BN43" s="2138"/>
      <c r="BO43" s="2138"/>
      <c r="BP43" s="2138"/>
      <c r="BQ43" s="2138"/>
      <c r="BR43" s="2138"/>
      <c r="BS43" s="2138"/>
      <c r="BT43" s="2138"/>
      <c r="BU43" s="2138"/>
      <c r="BV43" s="2138"/>
      <c r="BW43" s="2138"/>
      <c r="BX43" s="2138"/>
      <c r="BY43" s="2138"/>
      <c r="BZ43" s="2138"/>
      <c r="CA43" s="2138"/>
      <c r="CB43" s="2138"/>
      <c r="CC43" s="2138"/>
      <c r="CD43" s="2138"/>
      <c r="CE43" s="2138"/>
    </row>
    <row r="44" spans="2:83" s="2101" customFormat="1" ht="18" hidden="1" customHeight="1">
      <c r="B44" s="2408" t="s">
        <v>171</v>
      </c>
      <c r="C44" s="2705">
        <v>449.36586005999999</v>
      </c>
      <c r="D44" s="2693">
        <v>47.344355289999996</v>
      </c>
      <c r="E44" s="2693">
        <v>0</v>
      </c>
      <c r="F44" s="2693">
        <v>0</v>
      </c>
      <c r="G44" s="2693">
        <v>0</v>
      </c>
      <c r="H44" s="2693">
        <v>0</v>
      </c>
      <c r="I44" s="2693">
        <v>0</v>
      </c>
      <c r="J44" s="2693">
        <v>0</v>
      </c>
      <c r="K44" s="2693">
        <v>372.02150476999998</v>
      </c>
      <c r="L44" s="2693">
        <v>30</v>
      </c>
      <c r="M44" s="2693">
        <v>0</v>
      </c>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c r="AS44" s="2138"/>
      <c r="AT44" s="2138"/>
      <c r="AU44" s="2138"/>
      <c r="AV44" s="2138"/>
      <c r="AW44" s="2138"/>
      <c r="AX44" s="2138"/>
      <c r="AY44" s="2138"/>
      <c r="AZ44" s="2138"/>
      <c r="BA44" s="2138"/>
      <c r="BB44" s="2138"/>
      <c r="BC44" s="2138"/>
      <c r="BD44" s="2138"/>
      <c r="BE44" s="2138"/>
      <c r="BF44" s="2138"/>
      <c r="BG44" s="2138"/>
      <c r="BH44" s="2138"/>
      <c r="BI44" s="2138"/>
      <c r="BJ44" s="2138"/>
      <c r="BK44" s="2138"/>
      <c r="BL44" s="2138"/>
      <c r="BM44" s="2138"/>
      <c r="BN44" s="2138"/>
      <c r="BO44" s="2138"/>
      <c r="BP44" s="2138"/>
      <c r="BQ44" s="2138"/>
      <c r="BR44" s="2138"/>
      <c r="BS44" s="2138"/>
      <c r="BT44" s="2138"/>
      <c r="BU44" s="2138"/>
      <c r="BV44" s="2138"/>
      <c r="BW44" s="2138"/>
      <c r="BX44" s="2138"/>
      <c r="BY44" s="2138"/>
      <c r="BZ44" s="2138"/>
      <c r="CA44" s="2138"/>
      <c r="CB44" s="2138"/>
      <c r="CC44" s="2138"/>
      <c r="CD44" s="2138"/>
      <c r="CE44" s="2138"/>
    </row>
    <row r="45" spans="2:83" s="2101" customFormat="1" ht="18" customHeight="1">
      <c r="B45" s="2491">
        <v>2012</v>
      </c>
      <c r="C45" s="2705">
        <v>437.75924900000001</v>
      </c>
      <c r="D45" s="2693">
        <v>32.824793</v>
      </c>
      <c r="E45" s="2693">
        <v>0</v>
      </c>
      <c r="F45" s="2693">
        <v>0</v>
      </c>
      <c r="G45" s="2693">
        <v>0</v>
      </c>
      <c r="H45" s="2693">
        <v>0</v>
      </c>
      <c r="I45" s="2693">
        <v>0</v>
      </c>
      <c r="J45" s="2693">
        <v>0</v>
      </c>
      <c r="K45" s="2693">
        <v>364.93445600000001</v>
      </c>
      <c r="L45" s="2693">
        <v>40</v>
      </c>
      <c r="M45" s="2693">
        <v>0</v>
      </c>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c r="AS45" s="2138"/>
      <c r="AT45" s="2138"/>
      <c r="AU45" s="2138"/>
      <c r="AV45" s="2138"/>
      <c r="AW45" s="2138"/>
      <c r="AX45" s="2138"/>
      <c r="AY45" s="2138"/>
      <c r="AZ45" s="2138"/>
      <c r="BA45" s="2138"/>
      <c r="BB45" s="2138"/>
      <c r="BC45" s="2138"/>
      <c r="BD45" s="2138"/>
      <c r="BE45" s="2138"/>
      <c r="BF45" s="2138"/>
      <c r="BG45" s="2138"/>
      <c r="BH45" s="2138"/>
      <c r="BI45" s="2138"/>
      <c r="BJ45" s="2138"/>
      <c r="BK45" s="2138"/>
      <c r="BL45" s="2138"/>
      <c r="BM45" s="2138"/>
      <c r="BN45" s="2138"/>
      <c r="BO45" s="2138"/>
      <c r="BP45" s="2138"/>
      <c r="BQ45" s="2138"/>
      <c r="BR45" s="2138"/>
      <c r="BS45" s="2138"/>
      <c r="BT45" s="2138"/>
      <c r="BU45" s="2138"/>
      <c r="BV45" s="2138"/>
      <c r="BW45" s="2138"/>
      <c r="BX45" s="2138"/>
      <c r="BY45" s="2138"/>
      <c r="BZ45" s="2138"/>
      <c r="CA45" s="2138"/>
      <c r="CB45" s="2138"/>
      <c r="CC45" s="2138"/>
      <c r="CD45" s="2138"/>
      <c r="CE45" s="2138"/>
    </row>
    <row r="46" spans="2:83" s="2101" customFormat="1" ht="18" customHeight="1">
      <c r="B46" s="2491">
        <v>2013</v>
      </c>
      <c r="C46" s="2705"/>
      <c r="D46" s="2693"/>
      <c r="E46" s="2693"/>
      <c r="F46" s="2693"/>
      <c r="G46" s="2693"/>
      <c r="H46" s="2693"/>
      <c r="I46" s="2693"/>
      <c r="J46" s="2693"/>
      <c r="K46" s="2693"/>
      <c r="L46" s="2693"/>
      <c r="M46" s="2693"/>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c r="AS46" s="2138"/>
      <c r="AT46" s="2138"/>
      <c r="AU46" s="2138"/>
      <c r="AV46" s="2138"/>
      <c r="AW46" s="2138"/>
      <c r="AX46" s="2138"/>
      <c r="AY46" s="2138"/>
      <c r="AZ46" s="2138"/>
      <c r="BA46" s="2138"/>
      <c r="BB46" s="2138"/>
      <c r="BC46" s="2138"/>
      <c r="BD46" s="2138"/>
      <c r="BE46" s="2138"/>
      <c r="BF46" s="2138"/>
      <c r="BG46" s="2138"/>
      <c r="BH46" s="2138"/>
      <c r="BI46" s="2138"/>
      <c r="BJ46" s="2138"/>
      <c r="BK46" s="2138"/>
      <c r="BL46" s="2138"/>
      <c r="BM46" s="2138"/>
      <c r="BN46" s="2138"/>
      <c r="BO46" s="2138"/>
      <c r="BP46" s="2138"/>
      <c r="BQ46" s="2138"/>
      <c r="BR46" s="2138"/>
      <c r="BS46" s="2138"/>
      <c r="BT46" s="2138"/>
      <c r="BU46" s="2138"/>
      <c r="BV46" s="2138"/>
      <c r="BW46" s="2138"/>
      <c r="BX46" s="2138"/>
      <c r="BY46" s="2138"/>
      <c r="BZ46" s="2138"/>
      <c r="CA46" s="2138"/>
      <c r="CB46" s="2138"/>
      <c r="CC46" s="2138"/>
      <c r="CD46" s="2138"/>
      <c r="CE46" s="2138"/>
    </row>
    <row r="47" spans="2:83" s="2101" customFormat="1" ht="18" customHeight="1">
      <c r="B47" s="2408" t="s">
        <v>161</v>
      </c>
      <c r="C47" s="2705">
        <v>441.95104287000004</v>
      </c>
      <c r="D47" s="2693">
        <v>34.675319890000004</v>
      </c>
      <c r="E47" s="2693">
        <v>0</v>
      </c>
      <c r="F47" s="2693">
        <v>0</v>
      </c>
      <c r="G47" s="2693">
        <v>0</v>
      </c>
      <c r="H47" s="2693">
        <v>0</v>
      </c>
      <c r="I47" s="2693">
        <v>0</v>
      </c>
      <c r="J47" s="2693">
        <v>0</v>
      </c>
      <c r="K47" s="2693">
        <v>367.27572298000001</v>
      </c>
      <c r="L47" s="2693">
        <v>40</v>
      </c>
      <c r="M47" s="2693">
        <v>0</v>
      </c>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c r="AS47" s="2138"/>
      <c r="AT47" s="2138"/>
      <c r="AU47" s="2138"/>
      <c r="AV47" s="2138"/>
      <c r="AW47" s="2138"/>
      <c r="AX47" s="2138"/>
      <c r="AY47" s="2138"/>
      <c r="AZ47" s="2138"/>
      <c r="BA47" s="2138"/>
      <c r="BB47" s="2138"/>
      <c r="BC47" s="2138"/>
      <c r="BD47" s="2138"/>
      <c r="BE47" s="2138"/>
      <c r="BF47" s="2138"/>
      <c r="BG47" s="2138"/>
      <c r="BH47" s="2138"/>
      <c r="BI47" s="2138"/>
      <c r="BJ47" s="2138"/>
      <c r="BK47" s="2138"/>
      <c r="BL47" s="2138"/>
      <c r="BM47" s="2138"/>
      <c r="BN47" s="2138"/>
      <c r="BO47" s="2138"/>
      <c r="BP47" s="2138"/>
      <c r="BQ47" s="2138"/>
      <c r="BR47" s="2138"/>
      <c r="BS47" s="2138"/>
      <c r="BT47" s="2138"/>
      <c r="BU47" s="2138"/>
      <c r="BV47" s="2138"/>
      <c r="BW47" s="2138"/>
      <c r="BX47" s="2138"/>
      <c r="BY47" s="2138"/>
      <c r="BZ47" s="2138"/>
      <c r="CA47" s="2138"/>
      <c r="CB47" s="2138"/>
      <c r="CC47" s="2138"/>
      <c r="CD47" s="2138"/>
      <c r="CE47" s="2138"/>
    </row>
    <row r="48" spans="2:83" s="2101" customFormat="1" ht="18" customHeight="1">
      <c r="B48" s="2408" t="s">
        <v>162</v>
      </c>
      <c r="C48" s="2705">
        <v>453.60400398000002</v>
      </c>
      <c r="D48" s="2693">
        <v>41.608903860000005</v>
      </c>
      <c r="E48" s="2693">
        <v>0</v>
      </c>
      <c r="F48" s="2693">
        <v>0</v>
      </c>
      <c r="G48" s="2693">
        <v>0</v>
      </c>
      <c r="H48" s="2693">
        <v>0</v>
      </c>
      <c r="I48" s="2693">
        <v>0</v>
      </c>
      <c r="J48" s="2693">
        <v>0</v>
      </c>
      <c r="K48" s="2693">
        <v>371.99510012000002</v>
      </c>
      <c r="L48" s="2693">
        <v>40</v>
      </c>
      <c r="M48" s="2693">
        <v>0</v>
      </c>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c r="AS48" s="2138"/>
      <c r="AT48" s="2138"/>
      <c r="AU48" s="2138"/>
      <c r="AV48" s="2138"/>
      <c r="AW48" s="2138"/>
      <c r="AX48" s="2138"/>
      <c r="AY48" s="2138"/>
      <c r="AZ48" s="2138"/>
      <c r="BA48" s="2138"/>
      <c r="BB48" s="2138"/>
      <c r="BC48" s="2138"/>
      <c r="BD48" s="2138"/>
      <c r="BE48" s="2138"/>
      <c r="BF48" s="2138"/>
      <c r="BG48" s="2138"/>
      <c r="BH48" s="2138"/>
      <c r="BI48" s="2138"/>
      <c r="BJ48" s="2138"/>
      <c r="BK48" s="2138"/>
      <c r="BL48" s="2138"/>
      <c r="BM48" s="2138"/>
      <c r="BN48" s="2138"/>
      <c r="BO48" s="2138"/>
      <c r="BP48" s="2138"/>
      <c r="BQ48" s="2138"/>
      <c r="BR48" s="2138"/>
      <c r="BS48" s="2138"/>
      <c r="BT48" s="2138"/>
      <c r="BU48" s="2138"/>
      <c r="BV48" s="2138"/>
      <c r="BW48" s="2138"/>
      <c r="BX48" s="2138"/>
      <c r="BY48" s="2138"/>
      <c r="BZ48" s="2138"/>
      <c r="CA48" s="2138"/>
      <c r="CB48" s="2138"/>
      <c r="CC48" s="2138"/>
      <c r="CD48" s="2138"/>
      <c r="CE48" s="2138"/>
    </row>
    <row r="49" spans="2:83" s="2101" customFormat="1" ht="18" customHeight="1">
      <c r="B49" s="2407" t="s">
        <v>163</v>
      </c>
      <c r="C49" s="2706">
        <v>441.34638324000002</v>
      </c>
      <c r="D49" s="2701">
        <v>32.039378220000003</v>
      </c>
      <c r="E49" s="2701">
        <v>0</v>
      </c>
      <c r="F49" s="2701">
        <v>0</v>
      </c>
      <c r="G49" s="2701">
        <v>0</v>
      </c>
      <c r="H49" s="2701">
        <v>0</v>
      </c>
      <c r="I49" s="2701">
        <v>0</v>
      </c>
      <c r="J49" s="2701">
        <v>0</v>
      </c>
      <c r="K49" s="2701">
        <v>369.30700502000002</v>
      </c>
      <c r="L49" s="2701">
        <v>40</v>
      </c>
      <c r="M49" s="2701">
        <v>0</v>
      </c>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c r="AS49" s="2138"/>
      <c r="AT49" s="2138"/>
      <c r="AU49" s="2138"/>
      <c r="AV49" s="2138"/>
      <c r="AW49" s="2138"/>
      <c r="AX49" s="2138"/>
      <c r="AY49" s="2138"/>
      <c r="AZ49" s="2138"/>
      <c r="BA49" s="2138"/>
      <c r="BB49" s="2138"/>
      <c r="BC49" s="2138"/>
      <c r="BD49" s="2138"/>
      <c r="BE49" s="2138"/>
      <c r="BF49" s="2138"/>
      <c r="BG49" s="2138"/>
      <c r="BH49" s="2138"/>
      <c r="BI49" s="2138"/>
      <c r="BJ49" s="2138"/>
      <c r="BK49" s="2138"/>
      <c r="BL49" s="2138"/>
      <c r="BM49" s="2138"/>
      <c r="BN49" s="2138"/>
      <c r="BO49" s="2138"/>
      <c r="BP49" s="2138"/>
      <c r="BQ49" s="2138"/>
      <c r="BR49" s="2138"/>
      <c r="BS49" s="2138"/>
      <c r="BT49" s="2138"/>
      <c r="BU49" s="2138"/>
      <c r="BV49" s="2138"/>
      <c r="BW49" s="2138"/>
      <c r="BX49" s="2138"/>
      <c r="BY49" s="2138"/>
      <c r="BZ49" s="2138"/>
      <c r="CA49" s="2138"/>
      <c r="CB49" s="2138"/>
      <c r="CC49" s="2138"/>
      <c r="CD49" s="2138"/>
      <c r="CE49" s="2138"/>
    </row>
    <row r="50" spans="2:83" s="2101" customFormat="1" ht="18" customHeight="1">
      <c r="B50" s="2407" t="s">
        <v>164</v>
      </c>
      <c r="C50" s="2706">
        <v>430.74792419999994</v>
      </c>
      <c r="D50" s="2701">
        <v>33.067931540000004</v>
      </c>
      <c r="E50" s="2701">
        <v>0</v>
      </c>
      <c r="F50" s="2701">
        <v>0</v>
      </c>
      <c r="G50" s="2701">
        <v>0</v>
      </c>
      <c r="H50" s="2701">
        <v>0</v>
      </c>
      <c r="I50" s="2701">
        <v>0</v>
      </c>
      <c r="J50" s="2701">
        <v>0</v>
      </c>
      <c r="K50" s="2701">
        <v>367.67999265999993</v>
      </c>
      <c r="L50" s="2701">
        <v>30</v>
      </c>
      <c r="M50" s="2701">
        <v>0</v>
      </c>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c r="AS50" s="2138"/>
      <c r="AT50" s="2138"/>
      <c r="AU50" s="2138"/>
      <c r="AV50" s="2138"/>
      <c r="AW50" s="2138"/>
      <c r="AX50" s="2138"/>
      <c r="AY50" s="2138"/>
      <c r="AZ50" s="2138"/>
      <c r="BA50" s="2138"/>
      <c r="BB50" s="2138"/>
      <c r="BC50" s="2138"/>
      <c r="BD50" s="2138"/>
      <c r="BE50" s="2138"/>
      <c r="BF50" s="2138"/>
      <c r="BG50" s="2138"/>
      <c r="BH50" s="2138"/>
      <c r="BI50" s="2138"/>
      <c r="BJ50" s="2138"/>
      <c r="BK50" s="2138"/>
      <c r="BL50" s="2138"/>
      <c r="BM50" s="2138"/>
      <c r="BN50" s="2138"/>
      <c r="BO50" s="2138"/>
      <c r="BP50" s="2138"/>
      <c r="BQ50" s="2138"/>
      <c r="BR50" s="2138"/>
      <c r="BS50" s="2138"/>
      <c r="BT50" s="2138"/>
      <c r="BU50" s="2138"/>
      <c r="BV50" s="2138"/>
      <c r="BW50" s="2138"/>
      <c r="BX50" s="2138"/>
      <c r="BY50" s="2138"/>
      <c r="BZ50" s="2138"/>
      <c r="CA50" s="2138"/>
      <c r="CB50" s="2138"/>
      <c r="CC50" s="2138"/>
      <c r="CD50" s="2138"/>
      <c r="CE50" s="2138"/>
    </row>
    <row r="51" spans="2:83" s="2101" customFormat="1" ht="18" customHeight="1">
      <c r="B51" s="2407" t="s">
        <v>165</v>
      </c>
      <c r="C51" s="2706">
        <v>424.07341105000006</v>
      </c>
      <c r="D51" s="2701">
        <v>28.11054567</v>
      </c>
      <c r="E51" s="2701">
        <v>0</v>
      </c>
      <c r="F51" s="2701">
        <v>0</v>
      </c>
      <c r="G51" s="2701">
        <v>0</v>
      </c>
      <c r="H51" s="2701">
        <v>0</v>
      </c>
      <c r="I51" s="2701">
        <v>0</v>
      </c>
      <c r="J51" s="2701">
        <v>0</v>
      </c>
      <c r="K51" s="2701">
        <v>365.96286538000004</v>
      </c>
      <c r="L51" s="2701">
        <v>30</v>
      </c>
      <c r="M51" s="2701">
        <v>0</v>
      </c>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c r="AS51" s="2138"/>
      <c r="AT51" s="2138"/>
      <c r="AU51" s="2138"/>
      <c r="AV51" s="2138"/>
      <c r="AW51" s="2138"/>
      <c r="AX51" s="2138"/>
      <c r="AY51" s="2138"/>
      <c r="AZ51" s="2138"/>
      <c r="BA51" s="2138"/>
      <c r="BB51" s="2138"/>
      <c r="BC51" s="2138"/>
      <c r="BD51" s="2138"/>
      <c r="BE51" s="2138"/>
      <c r="BF51" s="2138"/>
      <c r="BG51" s="2138"/>
      <c r="BH51" s="2138"/>
      <c r="BI51" s="2138"/>
      <c r="BJ51" s="2138"/>
      <c r="BK51" s="2138"/>
      <c r="BL51" s="2138"/>
      <c r="BM51" s="2138"/>
      <c r="BN51" s="2138"/>
      <c r="BO51" s="2138"/>
      <c r="BP51" s="2138"/>
      <c r="BQ51" s="2138"/>
      <c r="BR51" s="2138"/>
      <c r="BS51" s="2138"/>
      <c r="BT51" s="2138"/>
      <c r="BU51" s="2138"/>
      <c r="BV51" s="2138"/>
      <c r="BW51" s="2138"/>
      <c r="BX51" s="2138"/>
      <c r="BY51" s="2138"/>
      <c r="BZ51" s="2138"/>
      <c r="CA51" s="2138"/>
      <c r="CB51" s="2138"/>
      <c r="CC51" s="2138"/>
      <c r="CD51" s="2138"/>
      <c r="CE51" s="2138"/>
    </row>
    <row r="52" spans="2:83" s="2101" customFormat="1" ht="18" customHeight="1">
      <c r="B52" s="2784" t="s">
        <v>166</v>
      </c>
      <c r="C52" s="2787">
        <v>437.44937459000005</v>
      </c>
      <c r="D52" s="2786">
        <v>44.488706839999999</v>
      </c>
      <c r="E52" s="2786">
        <v>0</v>
      </c>
      <c r="F52" s="2786">
        <v>0</v>
      </c>
      <c r="G52" s="2786">
        <v>0</v>
      </c>
      <c r="H52" s="2786">
        <v>0</v>
      </c>
      <c r="I52" s="2786">
        <v>0</v>
      </c>
      <c r="J52" s="2786">
        <v>0</v>
      </c>
      <c r="K52" s="2786">
        <v>362.96066775000003</v>
      </c>
      <c r="L52" s="2786">
        <v>30</v>
      </c>
      <c r="M52" s="2786">
        <v>0</v>
      </c>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c r="AS52" s="2138"/>
      <c r="AT52" s="2138"/>
      <c r="AU52" s="2138"/>
      <c r="AV52" s="2138"/>
      <c r="AW52" s="2138"/>
      <c r="AX52" s="2138"/>
      <c r="AY52" s="2138"/>
      <c r="AZ52" s="2138"/>
      <c r="BA52" s="2138"/>
      <c r="BB52" s="2138"/>
      <c r="BC52" s="2138"/>
      <c r="BD52" s="2138"/>
      <c r="BE52" s="2138"/>
      <c r="BF52" s="2138"/>
      <c r="BG52" s="2138"/>
      <c r="BH52" s="2138"/>
      <c r="BI52" s="2138"/>
      <c r="BJ52" s="2138"/>
      <c r="BK52" s="2138"/>
      <c r="BL52" s="2138"/>
      <c r="BM52" s="2138"/>
      <c r="BN52" s="2138"/>
      <c r="BO52" s="2138"/>
      <c r="BP52" s="2138"/>
      <c r="BQ52" s="2138"/>
      <c r="BR52" s="2138"/>
      <c r="BS52" s="2138"/>
      <c r="BT52" s="2138"/>
      <c r="BU52" s="2138"/>
      <c r="BV52" s="2138"/>
      <c r="BW52" s="2138"/>
      <c r="BX52" s="2138"/>
      <c r="BY52" s="2138"/>
      <c r="BZ52" s="2138"/>
      <c r="CA52" s="2138"/>
      <c r="CB52" s="2138"/>
      <c r="CC52" s="2138"/>
      <c r="CD52" s="2138"/>
      <c r="CE52" s="2138"/>
    </row>
    <row r="53" spans="2:83" s="2101" customFormat="1" ht="18" customHeight="1">
      <c r="B53" s="2784" t="s">
        <v>167</v>
      </c>
      <c r="C53" s="2787">
        <v>436.15037850000004</v>
      </c>
      <c r="D53" s="2786">
        <v>36.459359960000008</v>
      </c>
      <c r="E53" s="2786">
        <v>0</v>
      </c>
      <c r="F53" s="2786">
        <v>0</v>
      </c>
      <c r="G53" s="2786">
        <v>0</v>
      </c>
      <c r="H53" s="2786">
        <v>0</v>
      </c>
      <c r="I53" s="2786">
        <v>0</v>
      </c>
      <c r="J53" s="2786">
        <v>0</v>
      </c>
      <c r="K53" s="2786">
        <v>369.69101854000002</v>
      </c>
      <c r="L53" s="2786">
        <v>30</v>
      </c>
      <c r="M53" s="2786">
        <v>0</v>
      </c>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c r="AS53" s="2138"/>
      <c r="AT53" s="2138"/>
      <c r="AU53" s="2138"/>
      <c r="AV53" s="2138"/>
      <c r="AW53" s="2138"/>
      <c r="AX53" s="2138"/>
      <c r="AY53" s="2138"/>
      <c r="AZ53" s="2138"/>
      <c r="BA53" s="2138"/>
      <c r="BB53" s="2138"/>
      <c r="BC53" s="2138"/>
      <c r="BD53" s="2138"/>
      <c r="BE53" s="2138"/>
      <c r="BF53" s="2138"/>
      <c r="BG53" s="2138"/>
      <c r="BH53" s="2138"/>
      <c r="BI53" s="2138"/>
      <c r="BJ53" s="2138"/>
      <c r="BK53" s="2138"/>
      <c r="BL53" s="2138"/>
      <c r="BM53" s="2138"/>
      <c r="BN53" s="2138"/>
      <c r="BO53" s="2138"/>
      <c r="BP53" s="2138"/>
      <c r="BQ53" s="2138"/>
      <c r="BR53" s="2138"/>
      <c r="BS53" s="2138"/>
      <c r="BT53" s="2138"/>
      <c r="BU53" s="2138"/>
      <c r="BV53" s="2138"/>
      <c r="BW53" s="2138"/>
      <c r="BX53" s="2138"/>
      <c r="BY53" s="2138"/>
      <c r="BZ53" s="2138"/>
      <c r="CA53" s="2138"/>
      <c r="CB53" s="2138"/>
      <c r="CC53" s="2138"/>
      <c r="CD53" s="2138"/>
      <c r="CE53" s="2138"/>
    </row>
    <row r="54" spans="2:83" s="2101" customFormat="1" ht="18" customHeight="1">
      <c r="B54" s="2784" t="s">
        <v>168</v>
      </c>
      <c r="C54" s="2787">
        <v>446.48941525999999</v>
      </c>
      <c r="D54" s="2786">
        <v>43.629597030000006</v>
      </c>
      <c r="E54" s="2786">
        <v>0</v>
      </c>
      <c r="F54" s="2786">
        <v>0</v>
      </c>
      <c r="G54" s="2786">
        <v>0</v>
      </c>
      <c r="H54" s="2786">
        <v>0</v>
      </c>
      <c r="I54" s="2786">
        <v>0</v>
      </c>
      <c r="J54" s="2786">
        <v>0</v>
      </c>
      <c r="K54" s="2786">
        <v>372.85981822999997</v>
      </c>
      <c r="L54" s="2786">
        <v>30</v>
      </c>
      <c r="M54" s="2786">
        <v>0</v>
      </c>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c r="AS54" s="2138"/>
      <c r="AT54" s="2138"/>
      <c r="AU54" s="2138"/>
      <c r="AV54" s="2138"/>
      <c r="AW54" s="2138"/>
      <c r="AX54" s="2138"/>
      <c r="AY54" s="2138"/>
      <c r="AZ54" s="2138"/>
      <c r="BA54" s="2138"/>
      <c r="BB54" s="2138"/>
      <c r="BC54" s="2138"/>
      <c r="BD54" s="2138"/>
      <c r="BE54" s="2138"/>
      <c r="BF54" s="2138"/>
      <c r="BG54" s="2138"/>
      <c r="BH54" s="2138"/>
      <c r="BI54" s="2138"/>
      <c r="BJ54" s="2138"/>
      <c r="BK54" s="2138"/>
      <c r="BL54" s="2138"/>
      <c r="BM54" s="2138"/>
      <c r="BN54" s="2138"/>
      <c r="BO54" s="2138"/>
      <c r="BP54" s="2138"/>
      <c r="BQ54" s="2138"/>
      <c r="BR54" s="2138"/>
      <c r="BS54" s="2138"/>
      <c r="BT54" s="2138"/>
      <c r="BU54" s="2138"/>
      <c r="BV54" s="2138"/>
      <c r="BW54" s="2138"/>
      <c r="BX54" s="2138"/>
      <c r="BY54" s="2138"/>
      <c r="BZ54" s="2138"/>
      <c r="CA54" s="2138"/>
      <c r="CB54" s="2138"/>
      <c r="CC54" s="2138"/>
      <c r="CD54" s="2138"/>
      <c r="CE54" s="2138"/>
    </row>
    <row r="55" spans="2:83" s="2101" customFormat="1" ht="18" customHeight="1">
      <c r="B55" s="2784" t="s">
        <v>169</v>
      </c>
      <c r="C55" s="2787">
        <v>439.93368356999997</v>
      </c>
      <c r="D55" s="2786">
        <v>40.628082200000009</v>
      </c>
      <c r="E55" s="2786">
        <v>0</v>
      </c>
      <c r="F55" s="2786">
        <v>0</v>
      </c>
      <c r="G55" s="2786">
        <v>0</v>
      </c>
      <c r="H55" s="2786">
        <v>0</v>
      </c>
      <c r="I55" s="2786">
        <v>0</v>
      </c>
      <c r="J55" s="2786">
        <v>0</v>
      </c>
      <c r="K55" s="2786">
        <v>369.30560136999998</v>
      </c>
      <c r="L55" s="2786">
        <v>30</v>
      </c>
      <c r="M55" s="2786">
        <v>0</v>
      </c>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c r="AS55" s="2138"/>
      <c r="AT55" s="2138"/>
      <c r="AU55" s="2138"/>
      <c r="AV55" s="2138"/>
      <c r="AW55" s="2138"/>
      <c r="AX55" s="2138"/>
      <c r="AY55" s="2138"/>
      <c r="AZ55" s="2138"/>
      <c r="BA55" s="2138"/>
      <c r="BB55" s="2138"/>
      <c r="BC55" s="2138"/>
      <c r="BD55" s="2138"/>
      <c r="BE55" s="2138"/>
      <c r="BF55" s="2138"/>
      <c r="BG55" s="2138"/>
      <c r="BH55" s="2138"/>
      <c r="BI55" s="2138"/>
      <c r="BJ55" s="2138"/>
      <c r="BK55" s="2138"/>
      <c r="BL55" s="2138"/>
      <c r="BM55" s="2138"/>
      <c r="BN55" s="2138"/>
      <c r="BO55" s="2138"/>
      <c r="BP55" s="2138"/>
      <c r="BQ55" s="2138"/>
      <c r="BR55" s="2138"/>
      <c r="BS55" s="2138"/>
      <c r="BT55" s="2138"/>
      <c r="BU55" s="2138"/>
      <c r="BV55" s="2138"/>
      <c r="BW55" s="2138"/>
      <c r="BX55" s="2138"/>
      <c r="BY55" s="2138"/>
      <c r="BZ55" s="2138"/>
      <c r="CA55" s="2138"/>
      <c r="CB55" s="2138"/>
      <c r="CC55" s="2138"/>
      <c r="CD55" s="2138"/>
      <c r="CE55" s="2138"/>
    </row>
    <row r="56" spans="2:83" s="2101" customFormat="1" ht="18" customHeight="1">
      <c r="B56" s="2784" t="s">
        <v>170</v>
      </c>
      <c r="C56" s="2787">
        <v>448.31736458000006</v>
      </c>
      <c r="D56" s="2786">
        <v>52.557117310000002</v>
      </c>
      <c r="E56" s="2786">
        <v>0</v>
      </c>
      <c r="F56" s="2786">
        <v>0</v>
      </c>
      <c r="G56" s="2786">
        <v>0</v>
      </c>
      <c r="H56" s="2786">
        <v>0</v>
      </c>
      <c r="I56" s="2786">
        <v>0</v>
      </c>
      <c r="J56" s="2786">
        <v>0</v>
      </c>
      <c r="K56" s="2786">
        <v>365.76024727000004</v>
      </c>
      <c r="L56" s="2786">
        <v>30</v>
      </c>
      <c r="M56" s="2786">
        <v>0</v>
      </c>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c r="AS56" s="2138"/>
      <c r="AT56" s="2138"/>
      <c r="AU56" s="2138"/>
      <c r="AV56" s="2138"/>
      <c r="AW56" s="2138"/>
      <c r="AX56" s="2138"/>
      <c r="AY56" s="2138"/>
      <c r="AZ56" s="2138"/>
      <c r="BA56" s="2138"/>
      <c r="BB56" s="2138"/>
      <c r="BC56" s="2138"/>
      <c r="BD56" s="2138"/>
      <c r="BE56" s="2138"/>
      <c r="BF56" s="2138"/>
      <c r="BG56" s="2138"/>
      <c r="BH56" s="2138"/>
      <c r="BI56" s="2138"/>
      <c r="BJ56" s="2138"/>
      <c r="BK56" s="2138"/>
      <c r="BL56" s="2138"/>
      <c r="BM56" s="2138"/>
      <c r="BN56" s="2138"/>
      <c r="BO56" s="2138"/>
      <c r="BP56" s="2138"/>
      <c r="BQ56" s="2138"/>
      <c r="BR56" s="2138"/>
      <c r="BS56" s="2138"/>
      <c r="BT56" s="2138"/>
      <c r="BU56" s="2138"/>
      <c r="BV56" s="2138"/>
      <c r="BW56" s="2138"/>
      <c r="BX56" s="2138"/>
      <c r="BY56" s="2138"/>
      <c r="BZ56" s="2138"/>
      <c r="CA56" s="2138"/>
      <c r="CB56" s="2138"/>
      <c r="CC56" s="2138"/>
      <c r="CD56" s="2138"/>
      <c r="CE56" s="2138"/>
    </row>
    <row r="57" spans="2:83" s="2101" customFormat="1" ht="18" customHeight="1">
      <c r="B57" s="2784" t="s">
        <v>171</v>
      </c>
      <c r="C57" s="2787">
        <v>454.73255646000007</v>
      </c>
      <c r="D57" s="2786">
        <v>40.9674665</v>
      </c>
      <c r="E57" s="2786">
        <v>0</v>
      </c>
      <c r="F57" s="2786">
        <v>0</v>
      </c>
      <c r="G57" s="2786">
        <v>0</v>
      </c>
      <c r="H57" s="2786">
        <v>0</v>
      </c>
      <c r="I57" s="2786">
        <v>0</v>
      </c>
      <c r="J57" s="2786">
        <v>0</v>
      </c>
      <c r="K57" s="2786">
        <v>383.76508996000007</v>
      </c>
      <c r="L57" s="2786">
        <v>30</v>
      </c>
      <c r="M57" s="2786">
        <v>0</v>
      </c>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c r="AS57" s="2138"/>
      <c r="AT57" s="2138"/>
      <c r="AU57" s="2138"/>
      <c r="AV57" s="2138"/>
      <c r="AW57" s="2138"/>
      <c r="AX57" s="2138"/>
      <c r="AY57" s="2138"/>
      <c r="AZ57" s="2138"/>
      <c r="BA57" s="2138"/>
      <c r="BB57" s="2138"/>
      <c r="BC57" s="2138"/>
      <c r="BD57" s="2138"/>
      <c r="BE57" s="2138"/>
      <c r="BF57" s="2138"/>
      <c r="BG57" s="2138"/>
      <c r="BH57" s="2138"/>
      <c r="BI57" s="2138"/>
      <c r="BJ57" s="2138"/>
      <c r="BK57" s="2138"/>
      <c r="BL57" s="2138"/>
      <c r="BM57" s="2138"/>
      <c r="BN57" s="2138"/>
      <c r="BO57" s="2138"/>
      <c r="BP57" s="2138"/>
      <c r="BQ57" s="2138"/>
      <c r="BR57" s="2138"/>
      <c r="BS57" s="2138"/>
      <c r="BT57" s="2138"/>
      <c r="BU57" s="2138"/>
      <c r="BV57" s="2138"/>
      <c r="BW57" s="2138"/>
      <c r="BX57" s="2138"/>
      <c r="BY57" s="2138"/>
      <c r="BZ57" s="2138"/>
      <c r="CA57" s="2138"/>
      <c r="CB57" s="2138"/>
      <c r="CC57" s="2138"/>
      <c r="CD57" s="2138"/>
      <c r="CE57" s="2138"/>
    </row>
    <row r="58" spans="2:83" s="2101" customFormat="1" ht="18" customHeight="1">
      <c r="B58" s="2784" t="s">
        <v>148</v>
      </c>
      <c r="C58" s="2787">
        <v>452.78155191000002</v>
      </c>
      <c r="D58" s="2786">
        <v>47.959428519999996</v>
      </c>
      <c r="E58" s="2786">
        <v>0</v>
      </c>
      <c r="F58" s="2786">
        <v>0</v>
      </c>
      <c r="G58" s="2786">
        <v>0</v>
      </c>
      <c r="H58" s="2786">
        <v>0</v>
      </c>
      <c r="I58" s="2786">
        <v>0</v>
      </c>
      <c r="J58" s="2786">
        <v>0</v>
      </c>
      <c r="K58" s="2786">
        <v>374.82212339</v>
      </c>
      <c r="L58" s="2786">
        <v>30</v>
      </c>
      <c r="M58" s="2786">
        <v>0</v>
      </c>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c r="AS58" s="2138"/>
      <c r="AT58" s="2138"/>
      <c r="AU58" s="2138"/>
      <c r="AV58" s="2138"/>
      <c r="AW58" s="2138"/>
      <c r="AX58" s="2138"/>
      <c r="AY58" s="2138"/>
      <c r="AZ58" s="2138"/>
      <c r="BA58" s="2138"/>
      <c r="BB58" s="2138"/>
      <c r="BC58" s="2138"/>
      <c r="BD58" s="2138"/>
      <c r="BE58" s="2138"/>
      <c r="BF58" s="2138"/>
      <c r="BG58" s="2138"/>
      <c r="BH58" s="2138"/>
      <c r="BI58" s="2138"/>
      <c r="BJ58" s="2138"/>
      <c r="BK58" s="2138"/>
      <c r="BL58" s="2138"/>
      <c r="BM58" s="2138"/>
      <c r="BN58" s="2138"/>
      <c r="BO58" s="2138"/>
      <c r="BP58" s="2138"/>
      <c r="BQ58" s="2138"/>
      <c r="BR58" s="2138"/>
      <c r="BS58" s="2138"/>
      <c r="BT58" s="2138"/>
      <c r="BU58" s="2138"/>
      <c r="BV58" s="2138"/>
      <c r="BW58" s="2138"/>
      <c r="BX58" s="2138"/>
      <c r="BY58" s="2138"/>
      <c r="BZ58" s="2138"/>
      <c r="CA58" s="2138"/>
      <c r="CB58" s="2138"/>
      <c r="CC58" s="2138"/>
      <c r="CD58" s="2138"/>
      <c r="CE58" s="2138"/>
    </row>
    <row r="59" spans="2:83" s="2101" customFormat="1" ht="18" customHeight="1">
      <c r="B59" s="2938">
        <v>2014</v>
      </c>
      <c r="C59" s="2787"/>
      <c r="D59" s="2786"/>
      <c r="E59" s="2786"/>
      <c r="F59" s="2786"/>
      <c r="G59" s="2786"/>
      <c r="H59" s="2786"/>
      <c r="I59" s="2786"/>
      <c r="J59" s="2786"/>
      <c r="K59" s="2786"/>
      <c r="L59" s="2786"/>
      <c r="M59" s="2786"/>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c r="AS59" s="2138"/>
      <c r="AT59" s="2138"/>
      <c r="AU59" s="2138"/>
      <c r="AV59" s="2138"/>
      <c r="AW59" s="2138"/>
      <c r="AX59" s="2138"/>
      <c r="AY59" s="2138"/>
      <c r="AZ59" s="2138"/>
      <c r="BA59" s="2138"/>
      <c r="BB59" s="2138"/>
      <c r="BC59" s="2138"/>
      <c r="BD59" s="2138"/>
      <c r="BE59" s="2138"/>
      <c r="BF59" s="2138"/>
      <c r="BG59" s="2138"/>
      <c r="BH59" s="2138"/>
      <c r="BI59" s="2138"/>
      <c r="BJ59" s="2138"/>
      <c r="BK59" s="2138"/>
      <c r="BL59" s="2138"/>
      <c r="BM59" s="2138"/>
      <c r="BN59" s="2138"/>
      <c r="BO59" s="2138"/>
      <c r="BP59" s="2138"/>
      <c r="BQ59" s="2138"/>
      <c r="BR59" s="2138"/>
      <c r="BS59" s="2138"/>
      <c r="BT59" s="2138"/>
      <c r="BU59" s="2138"/>
      <c r="BV59" s="2138"/>
      <c r="BW59" s="2138"/>
      <c r="BX59" s="2138"/>
      <c r="BY59" s="2138"/>
      <c r="BZ59" s="2138"/>
      <c r="CA59" s="2138"/>
      <c r="CB59" s="2138"/>
      <c r="CC59" s="2138"/>
      <c r="CD59" s="2138"/>
      <c r="CE59" s="2138"/>
    </row>
    <row r="60" spans="2:83" s="2101" customFormat="1" ht="18" customHeight="1">
      <c r="B60" s="2784" t="s">
        <v>161</v>
      </c>
      <c r="C60" s="2787">
        <v>462.86007674999996</v>
      </c>
      <c r="D60" s="2786">
        <v>59.427412860000004</v>
      </c>
      <c r="E60" s="2786">
        <v>0</v>
      </c>
      <c r="F60" s="2786">
        <v>0</v>
      </c>
      <c r="G60" s="2786">
        <v>0</v>
      </c>
      <c r="H60" s="2786">
        <v>0</v>
      </c>
      <c r="I60" s="2786">
        <v>0</v>
      </c>
      <c r="J60" s="2786">
        <v>0</v>
      </c>
      <c r="K60" s="2786">
        <v>373.43266388999996</v>
      </c>
      <c r="L60" s="2786">
        <v>30</v>
      </c>
      <c r="M60" s="2786">
        <v>0</v>
      </c>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c r="AS60" s="2138"/>
      <c r="AT60" s="2138"/>
      <c r="AU60" s="2138"/>
      <c r="AV60" s="2138"/>
      <c r="AW60" s="2138"/>
      <c r="AX60" s="2138"/>
      <c r="AY60" s="2138"/>
      <c r="AZ60" s="2138"/>
      <c r="BA60" s="2138"/>
      <c r="BB60" s="2138"/>
      <c r="BC60" s="2138"/>
      <c r="BD60" s="2138"/>
      <c r="BE60" s="2138"/>
      <c r="BF60" s="2138"/>
      <c r="BG60" s="2138"/>
      <c r="BH60" s="2138"/>
      <c r="BI60" s="2138"/>
      <c r="BJ60" s="2138"/>
      <c r="BK60" s="2138"/>
      <c r="BL60" s="2138"/>
      <c r="BM60" s="2138"/>
      <c r="BN60" s="2138"/>
      <c r="BO60" s="2138"/>
      <c r="BP60" s="2138"/>
      <c r="BQ60" s="2138"/>
      <c r="BR60" s="2138"/>
      <c r="BS60" s="2138"/>
      <c r="BT60" s="2138"/>
      <c r="BU60" s="2138"/>
      <c r="BV60" s="2138"/>
      <c r="BW60" s="2138"/>
      <c r="BX60" s="2138"/>
      <c r="BY60" s="2138"/>
      <c r="BZ60" s="2138"/>
      <c r="CA60" s="2138"/>
      <c r="CB60" s="2138"/>
      <c r="CC60" s="2138"/>
      <c r="CD60" s="2138"/>
      <c r="CE60" s="2138"/>
    </row>
    <row r="61" spans="2:83" s="2101" customFormat="1" ht="18" customHeight="1">
      <c r="B61" s="2784" t="s">
        <v>162</v>
      </c>
      <c r="C61" s="2787">
        <v>457.0825767</v>
      </c>
      <c r="D61" s="2786">
        <v>56.733959820000003</v>
      </c>
      <c r="E61" s="2786">
        <v>0</v>
      </c>
      <c r="F61" s="2786">
        <v>0</v>
      </c>
      <c r="G61" s="2786">
        <v>0</v>
      </c>
      <c r="H61" s="2786">
        <v>0</v>
      </c>
      <c r="I61" s="2786">
        <v>0</v>
      </c>
      <c r="J61" s="2786">
        <v>0</v>
      </c>
      <c r="K61" s="2786">
        <v>370.34861688000001</v>
      </c>
      <c r="L61" s="2786">
        <v>30</v>
      </c>
      <c r="M61" s="2786">
        <v>0</v>
      </c>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c r="AS61" s="2138"/>
      <c r="AT61" s="2138"/>
      <c r="AU61" s="2138"/>
      <c r="AV61" s="2138"/>
      <c r="AW61" s="2138"/>
      <c r="AX61" s="2138"/>
      <c r="AY61" s="2138"/>
      <c r="AZ61" s="2138"/>
      <c r="BA61" s="2138"/>
      <c r="BB61" s="2138"/>
      <c r="BC61" s="2138"/>
      <c r="BD61" s="2138"/>
      <c r="BE61" s="2138"/>
      <c r="BF61" s="2138"/>
      <c r="BG61" s="2138"/>
      <c r="BH61" s="2138"/>
      <c r="BI61" s="2138"/>
      <c r="BJ61" s="2138"/>
      <c r="BK61" s="2138"/>
      <c r="BL61" s="2138"/>
      <c r="BM61" s="2138"/>
      <c r="BN61" s="2138"/>
      <c r="BO61" s="2138"/>
      <c r="BP61" s="2138"/>
      <c r="BQ61" s="2138"/>
      <c r="BR61" s="2138"/>
      <c r="BS61" s="2138"/>
      <c r="BT61" s="2138"/>
      <c r="BU61" s="2138"/>
      <c r="BV61" s="2138"/>
      <c r="BW61" s="2138"/>
      <c r="BX61" s="2138"/>
      <c r="BY61" s="2138"/>
      <c r="BZ61" s="2138"/>
      <c r="CA61" s="2138"/>
      <c r="CB61" s="2138"/>
      <c r="CC61" s="2138"/>
      <c r="CD61" s="2138"/>
      <c r="CE61" s="2138"/>
    </row>
    <row r="62" spans="2:83" s="2101" customFormat="1" ht="18" customHeight="1">
      <c r="B62" s="2784" t="s">
        <v>163</v>
      </c>
      <c r="C62" s="2787">
        <v>450.81683809000003</v>
      </c>
      <c r="D62" s="2786">
        <v>49.611924259999995</v>
      </c>
      <c r="E62" s="2786">
        <v>0</v>
      </c>
      <c r="F62" s="2786">
        <v>0</v>
      </c>
      <c r="G62" s="2786">
        <v>0</v>
      </c>
      <c r="H62" s="2786">
        <v>0</v>
      </c>
      <c r="I62" s="2786">
        <v>0</v>
      </c>
      <c r="J62" s="2786">
        <v>0</v>
      </c>
      <c r="K62" s="2786">
        <v>371.20491383000001</v>
      </c>
      <c r="L62" s="2786">
        <v>30</v>
      </c>
      <c r="M62" s="2786">
        <v>0</v>
      </c>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c r="AS62" s="2138"/>
      <c r="AT62" s="2138"/>
      <c r="AU62" s="2138"/>
      <c r="AV62" s="2138"/>
      <c r="AW62" s="2138"/>
      <c r="AX62" s="2138"/>
      <c r="AY62" s="2138"/>
      <c r="AZ62" s="2138"/>
      <c r="BA62" s="2138"/>
      <c r="BB62" s="2138"/>
      <c r="BC62" s="2138"/>
      <c r="BD62" s="2138"/>
      <c r="BE62" s="2138"/>
      <c r="BF62" s="2138"/>
      <c r="BG62" s="2138"/>
      <c r="BH62" s="2138"/>
      <c r="BI62" s="2138"/>
      <c r="BJ62" s="2138"/>
      <c r="BK62" s="2138"/>
      <c r="BL62" s="2138"/>
      <c r="BM62" s="2138"/>
      <c r="BN62" s="2138"/>
      <c r="BO62" s="2138"/>
      <c r="BP62" s="2138"/>
      <c r="BQ62" s="2138"/>
      <c r="BR62" s="2138"/>
      <c r="BS62" s="2138"/>
      <c r="BT62" s="2138"/>
      <c r="BU62" s="2138"/>
      <c r="BV62" s="2138"/>
      <c r="BW62" s="2138"/>
      <c r="BX62" s="2138"/>
      <c r="BY62" s="2138"/>
      <c r="BZ62" s="2138"/>
      <c r="CA62" s="2138"/>
      <c r="CB62" s="2138"/>
      <c r="CC62" s="2138"/>
      <c r="CD62" s="2138"/>
      <c r="CE62" s="2138"/>
    </row>
    <row r="63" spans="2:83" s="2101" customFormat="1" ht="18" customHeight="1">
      <c r="B63" s="2784" t="s">
        <v>164</v>
      </c>
      <c r="C63" s="2787">
        <v>530.63008497999999</v>
      </c>
      <c r="D63" s="2786">
        <v>56.650870490000003</v>
      </c>
      <c r="E63" s="2786">
        <v>0</v>
      </c>
      <c r="F63" s="2786">
        <v>0</v>
      </c>
      <c r="G63" s="2786">
        <v>0</v>
      </c>
      <c r="H63" s="2786">
        <v>0</v>
      </c>
      <c r="I63" s="2786">
        <v>0</v>
      </c>
      <c r="J63" s="2786">
        <v>0</v>
      </c>
      <c r="K63" s="2786">
        <v>378.97921448999995</v>
      </c>
      <c r="L63" s="2786">
        <v>95</v>
      </c>
      <c r="M63" s="2786">
        <v>0</v>
      </c>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c r="AS63" s="2138"/>
      <c r="AT63" s="2138"/>
      <c r="AU63" s="2138"/>
      <c r="AV63" s="2138"/>
      <c r="AW63" s="2138"/>
      <c r="AX63" s="2138"/>
      <c r="AY63" s="2138"/>
      <c r="AZ63" s="2138"/>
      <c r="BA63" s="2138"/>
      <c r="BB63" s="2138"/>
      <c r="BC63" s="2138"/>
      <c r="BD63" s="2138"/>
      <c r="BE63" s="2138"/>
      <c r="BF63" s="2138"/>
      <c r="BG63" s="2138"/>
      <c r="BH63" s="2138"/>
      <c r="BI63" s="2138"/>
      <c r="BJ63" s="2138"/>
      <c r="BK63" s="2138"/>
      <c r="BL63" s="2138"/>
      <c r="BM63" s="2138"/>
      <c r="BN63" s="2138"/>
      <c r="BO63" s="2138"/>
      <c r="BP63" s="2138"/>
      <c r="BQ63" s="2138"/>
      <c r="BR63" s="2138"/>
      <c r="BS63" s="2138"/>
      <c r="BT63" s="2138"/>
      <c r="BU63" s="2138"/>
      <c r="BV63" s="2138"/>
      <c r="BW63" s="2138"/>
      <c r="BX63" s="2138"/>
      <c r="BY63" s="2138"/>
      <c r="BZ63" s="2138"/>
      <c r="CA63" s="2138"/>
      <c r="CB63" s="2138"/>
      <c r="CC63" s="2138"/>
      <c r="CD63" s="2138"/>
      <c r="CE63" s="2138"/>
    </row>
    <row r="64" spans="2:83" s="2101" customFormat="1" ht="18" customHeight="1">
      <c r="B64" s="2784" t="s">
        <v>165</v>
      </c>
      <c r="C64" s="2787">
        <v>541.06397641000001</v>
      </c>
      <c r="D64" s="2786">
        <v>43.035076220000001</v>
      </c>
      <c r="E64" s="2786">
        <v>0</v>
      </c>
      <c r="F64" s="2786">
        <v>0</v>
      </c>
      <c r="G64" s="2786">
        <v>0</v>
      </c>
      <c r="H64" s="2786">
        <v>0</v>
      </c>
      <c r="I64" s="2786">
        <v>0</v>
      </c>
      <c r="J64" s="2786">
        <v>0</v>
      </c>
      <c r="K64" s="2786">
        <v>378.02890019</v>
      </c>
      <c r="L64" s="2786">
        <v>120</v>
      </c>
      <c r="M64" s="2786">
        <v>0</v>
      </c>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c r="AS64" s="2138"/>
      <c r="AT64" s="2138"/>
      <c r="AU64" s="2138"/>
      <c r="AV64" s="2138"/>
      <c r="AW64" s="2138"/>
      <c r="AX64" s="2138"/>
      <c r="AY64" s="2138"/>
      <c r="AZ64" s="2138"/>
      <c r="BA64" s="2138"/>
      <c r="BB64" s="2138"/>
      <c r="BC64" s="2138"/>
      <c r="BD64" s="2138"/>
      <c r="BE64" s="2138"/>
      <c r="BF64" s="2138"/>
      <c r="BG64" s="2138"/>
      <c r="BH64" s="2138"/>
      <c r="BI64" s="2138"/>
      <c r="BJ64" s="2138"/>
      <c r="BK64" s="2138"/>
      <c r="BL64" s="2138"/>
      <c r="BM64" s="2138"/>
      <c r="BN64" s="2138"/>
      <c r="BO64" s="2138"/>
      <c r="BP64" s="2138"/>
      <c r="BQ64" s="2138"/>
      <c r="BR64" s="2138"/>
      <c r="BS64" s="2138"/>
      <c r="BT64" s="2138"/>
      <c r="BU64" s="2138"/>
      <c r="BV64" s="2138"/>
      <c r="BW64" s="2138"/>
      <c r="BX64" s="2138"/>
      <c r="BY64" s="2138"/>
      <c r="BZ64" s="2138"/>
      <c r="CA64" s="2138"/>
      <c r="CB64" s="2138"/>
      <c r="CC64" s="2138"/>
      <c r="CD64" s="2138"/>
      <c r="CE64" s="2138"/>
    </row>
    <row r="65" spans="2:83" s="2101" customFormat="1" ht="18" customHeight="1">
      <c r="B65" s="2784" t="s">
        <v>166</v>
      </c>
      <c r="C65" s="2787">
        <v>543.99609747999989</v>
      </c>
      <c r="D65" s="2786">
        <v>37.047227039999996</v>
      </c>
      <c r="E65" s="2786">
        <v>0</v>
      </c>
      <c r="F65" s="2786">
        <v>0</v>
      </c>
      <c r="G65" s="2786">
        <v>0</v>
      </c>
      <c r="H65" s="2786">
        <v>0</v>
      </c>
      <c r="I65" s="2786">
        <v>0</v>
      </c>
      <c r="J65" s="2786">
        <v>0</v>
      </c>
      <c r="K65" s="2786">
        <v>386.94887043999995</v>
      </c>
      <c r="L65" s="2786">
        <v>120</v>
      </c>
      <c r="M65" s="2786">
        <v>0</v>
      </c>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c r="AS65" s="2138"/>
      <c r="AT65" s="2138"/>
      <c r="AU65" s="2138"/>
      <c r="AV65" s="2138"/>
      <c r="AW65" s="2138"/>
      <c r="AX65" s="2138"/>
      <c r="AY65" s="2138"/>
      <c r="AZ65" s="2138"/>
      <c r="BA65" s="2138"/>
      <c r="BB65" s="2138"/>
      <c r="BC65" s="2138"/>
      <c r="BD65" s="2138"/>
      <c r="BE65" s="2138"/>
      <c r="BF65" s="2138"/>
      <c r="BG65" s="2138"/>
      <c r="BH65" s="2138"/>
      <c r="BI65" s="2138"/>
      <c r="BJ65" s="2138"/>
      <c r="BK65" s="2138"/>
      <c r="BL65" s="2138"/>
      <c r="BM65" s="2138"/>
      <c r="BN65" s="2138"/>
      <c r="BO65" s="2138"/>
      <c r="BP65" s="2138"/>
      <c r="BQ65" s="2138"/>
      <c r="BR65" s="2138"/>
      <c r="BS65" s="2138"/>
      <c r="BT65" s="2138"/>
      <c r="BU65" s="2138"/>
      <c r="BV65" s="2138"/>
      <c r="BW65" s="2138"/>
      <c r="BX65" s="2138"/>
      <c r="BY65" s="2138"/>
      <c r="BZ65" s="2138"/>
      <c r="CA65" s="2138"/>
      <c r="CB65" s="2138"/>
      <c r="CC65" s="2138"/>
      <c r="CD65" s="2138"/>
      <c r="CE65" s="2138"/>
    </row>
    <row r="66" spans="2:83" s="2101" customFormat="1" ht="18" customHeight="1">
      <c r="B66" s="2784" t="s">
        <v>167</v>
      </c>
      <c r="C66" s="2787">
        <v>553.06065035000006</v>
      </c>
      <c r="D66" s="2786">
        <v>47.405736240000003</v>
      </c>
      <c r="E66" s="2786">
        <v>0</v>
      </c>
      <c r="F66" s="2786">
        <v>0</v>
      </c>
      <c r="G66" s="2786">
        <v>0</v>
      </c>
      <c r="H66" s="2786">
        <v>0</v>
      </c>
      <c r="I66" s="2786">
        <v>0</v>
      </c>
      <c r="J66" s="2786">
        <v>0</v>
      </c>
      <c r="K66" s="2786">
        <v>385.65491410999999</v>
      </c>
      <c r="L66" s="2786">
        <v>120</v>
      </c>
      <c r="M66" s="2786">
        <v>0</v>
      </c>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c r="AS66" s="2138"/>
      <c r="AT66" s="2138"/>
      <c r="AU66" s="2138"/>
      <c r="AV66" s="2138"/>
      <c r="AW66" s="2138"/>
      <c r="AX66" s="2138"/>
      <c r="AY66" s="2138"/>
      <c r="AZ66" s="2138"/>
      <c r="BA66" s="2138"/>
      <c r="BB66" s="2138"/>
      <c r="BC66" s="2138"/>
      <c r="BD66" s="2138"/>
      <c r="BE66" s="2138"/>
      <c r="BF66" s="2138"/>
      <c r="BG66" s="2138"/>
      <c r="BH66" s="2138"/>
      <c r="BI66" s="2138"/>
      <c r="BJ66" s="2138"/>
      <c r="BK66" s="2138"/>
      <c r="BL66" s="2138"/>
      <c r="BM66" s="2138"/>
      <c r="BN66" s="2138"/>
      <c r="BO66" s="2138"/>
      <c r="BP66" s="2138"/>
      <c r="BQ66" s="2138"/>
      <c r="BR66" s="2138"/>
      <c r="BS66" s="2138"/>
      <c r="BT66" s="2138"/>
      <c r="BU66" s="2138"/>
      <c r="BV66" s="2138"/>
      <c r="BW66" s="2138"/>
      <c r="BX66" s="2138"/>
      <c r="BY66" s="2138"/>
      <c r="BZ66" s="2138"/>
      <c r="CA66" s="2138"/>
      <c r="CB66" s="2138"/>
      <c r="CC66" s="2138"/>
      <c r="CD66" s="2138"/>
      <c r="CE66" s="2138"/>
    </row>
    <row r="67" spans="2:83" s="2101" customFormat="1" ht="18" customHeight="1">
      <c r="B67" s="2784" t="s">
        <v>168</v>
      </c>
      <c r="C67" s="2787">
        <v>547.64691334999998</v>
      </c>
      <c r="D67" s="2786">
        <v>24.44908371</v>
      </c>
      <c r="E67" s="2786">
        <v>0</v>
      </c>
      <c r="F67" s="2786">
        <v>0</v>
      </c>
      <c r="G67" s="2786">
        <v>0</v>
      </c>
      <c r="H67" s="2786">
        <v>0</v>
      </c>
      <c r="I67" s="2786">
        <v>0</v>
      </c>
      <c r="J67" s="2786">
        <v>0</v>
      </c>
      <c r="K67" s="2786">
        <v>403.19782964000001</v>
      </c>
      <c r="L67" s="2786">
        <v>120</v>
      </c>
      <c r="M67" s="2786">
        <v>0</v>
      </c>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c r="AS67" s="2138"/>
      <c r="AT67" s="2138"/>
      <c r="AU67" s="2138"/>
      <c r="AV67" s="2138"/>
      <c r="AW67" s="2138"/>
      <c r="AX67" s="2138"/>
      <c r="AY67" s="2138"/>
      <c r="AZ67" s="2138"/>
      <c r="BA67" s="2138"/>
      <c r="BB67" s="2138"/>
      <c r="BC67" s="2138"/>
      <c r="BD67" s="2138"/>
      <c r="BE67" s="2138"/>
      <c r="BF67" s="2138"/>
      <c r="BG67" s="2138"/>
      <c r="BH67" s="2138"/>
      <c r="BI67" s="2138"/>
      <c r="BJ67" s="2138"/>
      <c r="BK67" s="2138"/>
      <c r="BL67" s="2138"/>
      <c r="BM67" s="2138"/>
      <c r="BN67" s="2138"/>
      <c r="BO67" s="2138"/>
      <c r="BP67" s="2138"/>
      <c r="BQ67" s="2138"/>
      <c r="BR67" s="2138"/>
      <c r="BS67" s="2138"/>
      <c r="BT67" s="2138"/>
      <c r="BU67" s="2138"/>
      <c r="BV67" s="2138"/>
      <c r="BW67" s="2138"/>
      <c r="BX67" s="2138"/>
      <c r="BY67" s="2138"/>
      <c r="BZ67" s="2138"/>
      <c r="CA67" s="2138"/>
      <c r="CB67" s="2138"/>
      <c r="CC67" s="2138"/>
      <c r="CD67" s="2138"/>
      <c r="CE67" s="2138"/>
    </row>
    <row r="68" spans="2:83" s="2101" customFormat="1" ht="18" customHeight="1">
      <c r="B68" s="2784" t="s">
        <v>169</v>
      </c>
      <c r="C68" s="2787">
        <v>554.56291811999995</v>
      </c>
      <c r="D68" s="2786">
        <v>37.317022310000006</v>
      </c>
      <c r="E68" s="2786">
        <v>0</v>
      </c>
      <c r="F68" s="2786">
        <v>0</v>
      </c>
      <c r="G68" s="2786">
        <v>0</v>
      </c>
      <c r="H68" s="2786">
        <v>0</v>
      </c>
      <c r="I68" s="2786">
        <v>0</v>
      </c>
      <c r="J68" s="2786">
        <v>0</v>
      </c>
      <c r="K68" s="2786">
        <v>397.24589580999998</v>
      </c>
      <c r="L68" s="2786">
        <v>120</v>
      </c>
      <c r="M68" s="2786">
        <v>0</v>
      </c>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c r="AS68" s="2138"/>
      <c r="AT68" s="2138"/>
      <c r="AU68" s="2138"/>
      <c r="AV68" s="2138"/>
      <c r="AW68" s="2138"/>
      <c r="AX68" s="2138"/>
      <c r="AY68" s="2138"/>
      <c r="AZ68" s="2138"/>
      <c r="BA68" s="2138"/>
      <c r="BB68" s="2138"/>
      <c r="BC68" s="2138"/>
      <c r="BD68" s="2138"/>
      <c r="BE68" s="2138"/>
      <c r="BF68" s="2138"/>
      <c r="BG68" s="2138"/>
      <c r="BH68" s="2138"/>
      <c r="BI68" s="2138"/>
      <c r="BJ68" s="2138"/>
      <c r="BK68" s="2138"/>
      <c r="BL68" s="2138"/>
      <c r="BM68" s="2138"/>
      <c r="BN68" s="2138"/>
      <c r="BO68" s="2138"/>
      <c r="BP68" s="2138"/>
      <c r="BQ68" s="2138"/>
      <c r="BR68" s="2138"/>
      <c r="BS68" s="2138"/>
      <c r="BT68" s="2138"/>
      <c r="BU68" s="2138"/>
      <c r="BV68" s="2138"/>
      <c r="BW68" s="2138"/>
      <c r="BX68" s="2138"/>
      <c r="BY68" s="2138"/>
      <c r="BZ68" s="2138"/>
      <c r="CA68" s="2138"/>
      <c r="CB68" s="2138"/>
      <c r="CC68" s="2138"/>
      <c r="CD68" s="2138"/>
      <c r="CE68" s="2138"/>
    </row>
    <row r="69" spans="2:83" s="2101" customFormat="1" ht="18" customHeight="1">
      <c r="B69" s="2784" t="s">
        <v>170</v>
      </c>
      <c r="C69" s="2787">
        <v>559.48356856999999</v>
      </c>
      <c r="D69" s="2786">
        <v>40.63401305</v>
      </c>
      <c r="E69" s="2786">
        <v>0</v>
      </c>
      <c r="F69" s="2786">
        <v>0</v>
      </c>
      <c r="G69" s="2786">
        <v>0</v>
      </c>
      <c r="H69" s="2786">
        <v>0</v>
      </c>
      <c r="I69" s="2786">
        <v>0</v>
      </c>
      <c r="J69" s="2786">
        <v>0</v>
      </c>
      <c r="K69" s="2786">
        <v>398.84955552000002</v>
      </c>
      <c r="L69" s="2786">
        <v>120</v>
      </c>
      <c r="M69" s="2786">
        <v>0</v>
      </c>
      <c r="O69" s="2138"/>
      <c r="P69" s="2138"/>
      <c r="Q69" s="2138"/>
      <c r="R69" s="2138"/>
      <c r="S69" s="2138"/>
      <c r="T69" s="2138"/>
      <c r="U69" s="2138"/>
      <c r="V69" s="2138"/>
      <c r="W69" s="2138"/>
      <c r="X69" s="2138"/>
      <c r="Y69" s="2138"/>
      <c r="Z69" s="2138"/>
      <c r="AA69" s="2138"/>
      <c r="AB69" s="2138"/>
      <c r="AC69" s="2138"/>
      <c r="AD69" s="2138"/>
      <c r="AE69" s="2138"/>
      <c r="AF69" s="2138"/>
      <c r="AG69" s="2138"/>
      <c r="AH69" s="2138"/>
      <c r="AI69" s="2138"/>
      <c r="AJ69" s="2138"/>
      <c r="AK69" s="2138"/>
      <c r="AL69" s="2138"/>
      <c r="AM69" s="2138"/>
      <c r="AN69" s="2138"/>
      <c r="AO69" s="2138"/>
      <c r="AP69" s="2138"/>
      <c r="AQ69" s="2138"/>
      <c r="AR69" s="2138"/>
      <c r="AS69" s="2138"/>
      <c r="AT69" s="2138"/>
      <c r="AU69" s="2138"/>
      <c r="AV69" s="2138"/>
      <c r="AW69" s="2138"/>
      <c r="AX69" s="2138"/>
      <c r="AY69" s="2138"/>
      <c r="AZ69" s="2138"/>
      <c r="BA69" s="2138"/>
      <c r="BB69" s="2138"/>
      <c r="BC69" s="2138"/>
      <c r="BD69" s="2138"/>
      <c r="BE69" s="2138"/>
      <c r="BF69" s="2138"/>
      <c r="BG69" s="2138"/>
      <c r="BH69" s="2138"/>
      <c r="BI69" s="2138"/>
      <c r="BJ69" s="2138"/>
      <c r="BK69" s="2138"/>
      <c r="BL69" s="2138"/>
      <c r="BM69" s="2138"/>
      <c r="BN69" s="2138"/>
      <c r="BO69" s="2138"/>
      <c r="BP69" s="2138"/>
      <c r="BQ69" s="2138"/>
      <c r="BR69" s="2138"/>
      <c r="BS69" s="2138"/>
      <c r="BT69" s="2138"/>
      <c r="BU69" s="2138"/>
      <c r="BV69" s="2138"/>
      <c r="BW69" s="2138"/>
      <c r="BX69" s="2138"/>
      <c r="BY69" s="2138"/>
      <c r="BZ69" s="2138"/>
      <c r="CA69" s="2138"/>
      <c r="CB69" s="2138"/>
      <c r="CC69" s="2138"/>
      <c r="CD69" s="2138"/>
      <c r="CE69" s="2138"/>
    </row>
    <row r="70" spans="2:83" s="2101" customFormat="1" ht="18" customHeight="1">
      <c r="B70" s="2784" t="s">
        <v>171</v>
      </c>
      <c r="C70" s="2787">
        <v>559.30651770000009</v>
      </c>
      <c r="D70" s="2786">
        <v>40.848583679999997</v>
      </c>
      <c r="E70" s="2786">
        <v>0</v>
      </c>
      <c r="F70" s="2786">
        <v>0</v>
      </c>
      <c r="G70" s="2786">
        <v>0</v>
      </c>
      <c r="H70" s="2786">
        <v>0</v>
      </c>
      <c r="I70" s="2786">
        <v>0</v>
      </c>
      <c r="J70" s="2786">
        <v>0</v>
      </c>
      <c r="K70" s="2786">
        <v>398.45793402000004</v>
      </c>
      <c r="L70" s="2786">
        <v>120</v>
      </c>
      <c r="M70" s="2786">
        <v>0</v>
      </c>
      <c r="O70" s="2138"/>
      <c r="P70" s="2138"/>
      <c r="Q70" s="2138"/>
      <c r="R70" s="2138"/>
      <c r="S70" s="2138"/>
      <c r="T70" s="2138"/>
      <c r="U70" s="2138"/>
      <c r="V70" s="2138"/>
      <c r="W70" s="2138"/>
      <c r="X70" s="2138"/>
      <c r="Y70" s="2138"/>
      <c r="Z70" s="2138"/>
      <c r="AA70" s="2138"/>
      <c r="AB70" s="2138"/>
      <c r="AC70" s="2138"/>
      <c r="AD70" s="2138"/>
      <c r="AE70" s="2138"/>
      <c r="AF70" s="2138"/>
      <c r="AG70" s="2138"/>
      <c r="AH70" s="2138"/>
      <c r="AI70" s="2138"/>
      <c r="AJ70" s="2138"/>
      <c r="AK70" s="2138"/>
      <c r="AL70" s="2138"/>
      <c r="AM70" s="2138"/>
      <c r="AN70" s="2138"/>
      <c r="AO70" s="2138"/>
      <c r="AP70" s="2138"/>
      <c r="AQ70" s="2138"/>
      <c r="AR70" s="2138"/>
      <c r="AS70" s="2138"/>
      <c r="AT70" s="2138"/>
      <c r="AU70" s="2138"/>
      <c r="AV70" s="2138"/>
      <c r="AW70" s="2138"/>
      <c r="AX70" s="2138"/>
      <c r="AY70" s="2138"/>
      <c r="AZ70" s="2138"/>
      <c r="BA70" s="2138"/>
      <c r="BB70" s="2138"/>
      <c r="BC70" s="2138"/>
      <c r="BD70" s="2138"/>
      <c r="BE70" s="2138"/>
      <c r="BF70" s="2138"/>
      <c r="BG70" s="2138"/>
      <c r="BH70" s="2138"/>
      <c r="BI70" s="2138"/>
      <c r="BJ70" s="2138"/>
      <c r="BK70" s="2138"/>
      <c r="BL70" s="2138"/>
      <c r="BM70" s="2138"/>
      <c r="BN70" s="2138"/>
      <c r="BO70" s="2138"/>
      <c r="BP70" s="2138"/>
      <c r="BQ70" s="2138"/>
      <c r="BR70" s="2138"/>
      <c r="BS70" s="2138"/>
      <c r="BT70" s="2138"/>
      <c r="BU70" s="2138"/>
      <c r="BV70" s="2138"/>
      <c r="BW70" s="2138"/>
      <c r="BX70" s="2138"/>
      <c r="BY70" s="2138"/>
      <c r="BZ70" s="2138"/>
      <c r="CA70" s="2138"/>
      <c r="CB70" s="2138"/>
      <c r="CC70" s="2138"/>
      <c r="CD70" s="2138"/>
      <c r="CE70" s="2138"/>
    </row>
    <row r="71" spans="2:83" s="2101" customFormat="1" ht="18" customHeight="1">
      <c r="B71" s="2784" t="s">
        <v>148</v>
      </c>
      <c r="C71" s="2787">
        <v>624.55088983000007</v>
      </c>
      <c r="D71" s="2786">
        <v>81.578021000000007</v>
      </c>
      <c r="E71" s="2786">
        <v>0</v>
      </c>
      <c r="F71" s="2786">
        <v>0</v>
      </c>
      <c r="G71" s="2786">
        <v>0</v>
      </c>
      <c r="H71" s="2786">
        <v>0</v>
      </c>
      <c r="I71" s="2786">
        <v>0</v>
      </c>
      <c r="J71" s="2786">
        <v>0</v>
      </c>
      <c r="K71" s="2786">
        <v>412.55977883000003</v>
      </c>
      <c r="L71" s="2786">
        <v>130.41309000000001</v>
      </c>
      <c r="M71" s="2786">
        <v>0</v>
      </c>
      <c r="O71" s="2138"/>
      <c r="P71" s="2138"/>
      <c r="Q71" s="2138"/>
      <c r="R71" s="2138"/>
      <c r="S71" s="2138"/>
      <c r="T71" s="2138"/>
      <c r="U71" s="2138"/>
      <c r="V71" s="2138"/>
      <c r="W71" s="2138"/>
      <c r="X71" s="2138"/>
      <c r="Y71" s="2138"/>
      <c r="Z71" s="2138"/>
      <c r="AA71" s="2138"/>
      <c r="AB71" s="2138"/>
      <c r="AC71" s="2138"/>
      <c r="AD71" s="2138"/>
      <c r="AE71" s="2138"/>
      <c r="AF71" s="2138"/>
      <c r="AG71" s="2138"/>
      <c r="AH71" s="2138"/>
      <c r="AI71" s="2138"/>
      <c r="AJ71" s="2138"/>
      <c r="AK71" s="2138"/>
      <c r="AL71" s="2138"/>
      <c r="AM71" s="2138"/>
      <c r="AN71" s="2138"/>
      <c r="AO71" s="2138"/>
      <c r="AP71" s="2138"/>
      <c r="AQ71" s="2138"/>
      <c r="AR71" s="2138"/>
      <c r="AS71" s="2138"/>
      <c r="AT71" s="2138"/>
      <c r="AU71" s="2138"/>
      <c r="AV71" s="2138"/>
      <c r="AW71" s="2138"/>
      <c r="AX71" s="2138"/>
      <c r="AY71" s="2138"/>
      <c r="AZ71" s="2138"/>
      <c r="BA71" s="2138"/>
      <c r="BB71" s="2138"/>
      <c r="BC71" s="2138"/>
      <c r="BD71" s="2138"/>
      <c r="BE71" s="2138"/>
      <c r="BF71" s="2138"/>
      <c r="BG71" s="2138"/>
      <c r="BH71" s="2138"/>
      <c r="BI71" s="2138"/>
      <c r="BJ71" s="2138"/>
      <c r="BK71" s="2138"/>
      <c r="BL71" s="2138"/>
      <c r="BM71" s="2138"/>
      <c r="BN71" s="2138"/>
      <c r="BO71" s="2138"/>
      <c r="BP71" s="2138"/>
      <c r="BQ71" s="2138"/>
      <c r="BR71" s="2138"/>
      <c r="BS71" s="2138"/>
      <c r="BT71" s="2138"/>
      <c r="BU71" s="2138"/>
      <c r="BV71" s="2138"/>
      <c r="BW71" s="2138"/>
      <c r="BX71" s="2138"/>
      <c r="BY71" s="2138"/>
      <c r="BZ71" s="2138"/>
      <c r="CA71" s="2138"/>
      <c r="CB71" s="2138"/>
      <c r="CC71" s="2138"/>
      <c r="CD71" s="2138"/>
      <c r="CE71" s="2138"/>
    </row>
    <row r="72" spans="2:83" s="2101" customFormat="1" ht="18" customHeight="1">
      <c r="B72" s="2938">
        <v>2015</v>
      </c>
      <c r="C72" s="2787"/>
      <c r="D72" s="2786"/>
      <c r="E72" s="2786"/>
      <c r="F72" s="2786"/>
      <c r="G72" s="2786"/>
      <c r="H72" s="2786"/>
      <c r="I72" s="2786"/>
      <c r="J72" s="2786"/>
      <c r="K72" s="2786"/>
      <c r="L72" s="2786"/>
      <c r="M72" s="2786"/>
      <c r="O72" s="2138"/>
      <c r="P72" s="2138"/>
      <c r="Q72" s="2138"/>
      <c r="R72" s="2138"/>
      <c r="S72" s="2138"/>
      <c r="T72" s="2138"/>
      <c r="U72" s="2138"/>
      <c r="V72" s="2138"/>
      <c r="W72" s="2138"/>
      <c r="X72" s="2138"/>
      <c r="Y72" s="2138"/>
      <c r="Z72" s="2138"/>
      <c r="AA72" s="2138"/>
      <c r="AB72" s="2138"/>
      <c r="AC72" s="2138"/>
      <c r="AD72" s="2138"/>
      <c r="AE72" s="2138"/>
      <c r="AF72" s="2138"/>
      <c r="AG72" s="2138"/>
      <c r="AH72" s="2138"/>
      <c r="AI72" s="2138"/>
      <c r="AJ72" s="2138"/>
      <c r="AK72" s="2138"/>
      <c r="AL72" s="2138"/>
      <c r="AM72" s="2138"/>
      <c r="AN72" s="2138"/>
      <c r="AO72" s="2138"/>
      <c r="AP72" s="2138"/>
      <c r="AQ72" s="2138"/>
      <c r="AR72" s="2138"/>
      <c r="AS72" s="2138"/>
      <c r="AT72" s="2138"/>
      <c r="AU72" s="2138"/>
      <c r="AV72" s="2138"/>
      <c r="AW72" s="2138"/>
      <c r="AX72" s="2138"/>
      <c r="AY72" s="2138"/>
      <c r="AZ72" s="2138"/>
      <c r="BA72" s="2138"/>
      <c r="BB72" s="2138"/>
      <c r="BC72" s="2138"/>
      <c r="BD72" s="2138"/>
      <c r="BE72" s="2138"/>
      <c r="BF72" s="2138"/>
      <c r="BG72" s="2138"/>
      <c r="BH72" s="2138"/>
      <c r="BI72" s="2138"/>
      <c r="BJ72" s="2138"/>
      <c r="BK72" s="2138"/>
      <c r="BL72" s="2138"/>
      <c r="BM72" s="2138"/>
      <c r="BN72" s="2138"/>
      <c r="BO72" s="2138"/>
      <c r="BP72" s="2138"/>
      <c r="BQ72" s="2138"/>
      <c r="BR72" s="2138"/>
      <c r="BS72" s="2138"/>
      <c r="BT72" s="2138"/>
      <c r="BU72" s="2138"/>
      <c r="BV72" s="2138"/>
      <c r="BW72" s="2138"/>
      <c r="BX72" s="2138"/>
      <c r="BY72" s="2138"/>
      <c r="BZ72" s="2138"/>
      <c r="CA72" s="2138"/>
      <c r="CB72" s="2138"/>
      <c r="CC72" s="2138"/>
      <c r="CD72" s="2138"/>
      <c r="CE72" s="2138"/>
    </row>
    <row r="73" spans="2:83" s="2101" customFormat="1" ht="18" customHeight="1">
      <c r="B73" s="2784" t="s">
        <v>161</v>
      </c>
      <c r="C73" s="2787">
        <v>631.41771306999999</v>
      </c>
      <c r="D73" s="2786">
        <v>75.323950990000014</v>
      </c>
      <c r="E73" s="2786">
        <v>0</v>
      </c>
      <c r="F73" s="2786">
        <v>0</v>
      </c>
      <c r="G73" s="2786">
        <v>0</v>
      </c>
      <c r="H73" s="2786">
        <v>0</v>
      </c>
      <c r="I73" s="2786">
        <v>0</v>
      </c>
      <c r="J73" s="2786">
        <v>0</v>
      </c>
      <c r="K73" s="2786">
        <v>425.68067208000002</v>
      </c>
      <c r="L73" s="2786">
        <v>130.41309000000001</v>
      </c>
      <c r="M73" s="2786">
        <v>0</v>
      </c>
      <c r="O73" s="2138"/>
      <c r="P73" s="2138"/>
      <c r="Q73" s="2138"/>
      <c r="R73" s="2138"/>
      <c r="S73" s="2138"/>
      <c r="T73" s="2138"/>
      <c r="U73" s="2138"/>
      <c r="V73" s="2138"/>
      <c r="W73" s="2138"/>
      <c r="X73" s="2138"/>
      <c r="Y73" s="2138"/>
      <c r="Z73" s="2138"/>
      <c r="AA73" s="2138"/>
      <c r="AB73" s="2138"/>
      <c r="AC73" s="2138"/>
      <c r="AD73" s="2138"/>
      <c r="AE73" s="2138"/>
      <c r="AF73" s="2138"/>
      <c r="AG73" s="2138"/>
      <c r="AH73" s="2138"/>
      <c r="AI73" s="2138"/>
      <c r="AJ73" s="2138"/>
      <c r="AK73" s="2138"/>
      <c r="AL73" s="2138"/>
      <c r="AM73" s="2138"/>
      <c r="AN73" s="2138"/>
      <c r="AO73" s="2138"/>
      <c r="AP73" s="2138"/>
      <c r="AQ73" s="2138"/>
      <c r="AR73" s="2138"/>
      <c r="AS73" s="2138"/>
      <c r="AT73" s="2138"/>
      <c r="AU73" s="2138"/>
      <c r="AV73" s="2138"/>
      <c r="AW73" s="2138"/>
      <c r="AX73" s="2138"/>
      <c r="AY73" s="2138"/>
      <c r="AZ73" s="2138"/>
      <c r="BA73" s="2138"/>
      <c r="BB73" s="2138"/>
      <c r="BC73" s="2138"/>
      <c r="BD73" s="2138"/>
      <c r="BE73" s="2138"/>
      <c r="BF73" s="2138"/>
      <c r="BG73" s="2138"/>
      <c r="BH73" s="2138"/>
      <c r="BI73" s="2138"/>
      <c r="BJ73" s="2138"/>
      <c r="BK73" s="2138"/>
      <c r="BL73" s="2138"/>
      <c r="BM73" s="2138"/>
      <c r="BN73" s="2138"/>
      <c r="BO73" s="2138"/>
      <c r="BP73" s="2138"/>
      <c r="BQ73" s="2138"/>
      <c r="BR73" s="2138"/>
      <c r="BS73" s="2138"/>
      <c r="BT73" s="2138"/>
      <c r="BU73" s="2138"/>
      <c r="BV73" s="2138"/>
      <c r="BW73" s="2138"/>
      <c r="BX73" s="2138"/>
      <c r="BY73" s="2138"/>
      <c r="BZ73" s="2138"/>
      <c r="CA73" s="2138"/>
      <c r="CB73" s="2138"/>
      <c r="CC73" s="2138"/>
      <c r="CD73" s="2138"/>
      <c r="CE73" s="2138"/>
    </row>
    <row r="74" spans="2:83" s="2101" customFormat="1" ht="18" customHeight="1">
      <c r="B74" s="2784" t="s">
        <v>162</v>
      </c>
      <c r="C74" s="2787">
        <v>662.39364453999997</v>
      </c>
      <c r="D74" s="2786">
        <v>112.35572388999999</v>
      </c>
      <c r="E74" s="2786">
        <v>0</v>
      </c>
      <c r="F74" s="2786">
        <v>0</v>
      </c>
      <c r="G74" s="2786">
        <v>0</v>
      </c>
      <c r="H74" s="2786">
        <v>0</v>
      </c>
      <c r="I74" s="2786">
        <v>0</v>
      </c>
      <c r="J74" s="2786">
        <v>0</v>
      </c>
      <c r="K74" s="2786">
        <v>434.62483064999998</v>
      </c>
      <c r="L74" s="2786">
        <v>115.41309</v>
      </c>
      <c r="M74" s="2786">
        <v>0</v>
      </c>
      <c r="O74" s="2138"/>
      <c r="P74" s="2138"/>
      <c r="Q74" s="2138"/>
      <c r="R74" s="2138"/>
      <c r="S74" s="2138"/>
      <c r="T74" s="2138"/>
      <c r="U74" s="2138"/>
      <c r="V74" s="2138"/>
      <c r="W74" s="2138"/>
      <c r="X74" s="2138"/>
      <c r="Y74" s="2138"/>
      <c r="Z74" s="2138"/>
      <c r="AA74" s="2138"/>
      <c r="AB74" s="2138"/>
      <c r="AC74" s="2138"/>
      <c r="AD74" s="2138"/>
      <c r="AE74" s="2138"/>
      <c r="AF74" s="2138"/>
      <c r="AG74" s="2138"/>
      <c r="AH74" s="2138"/>
      <c r="AI74" s="2138"/>
      <c r="AJ74" s="2138"/>
      <c r="AK74" s="2138"/>
      <c r="AL74" s="2138"/>
      <c r="AM74" s="2138"/>
      <c r="AN74" s="2138"/>
      <c r="AO74" s="2138"/>
      <c r="AP74" s="2138"/>
      <c r="AQ74" s="2138"/>
      <c r="AR74" s="2138"/>
      <c r="AS74" s="2138"/>
      <c r="AT74" s="2138"/>
      <c r="AU74" s="2138"/>
      <c r="AV74" s="2138"/>
      <c r="AW74" s="2138"/>
      <c r="AX74" s="2138"/>
      <c r="AY74" s="2138"/>
      <c r="AZ74" s="2138"/>
      <c r="BA74" s="2138"/>
      <c r="BB74" s="2138"/>
      <c r="BC74" s="2138"/>
      <c r="BD74" s="2138"/>
      <c r="BE74" s="2138"/>
      <c r="BF74" s="2138"/>
      <c r="BG74" s="2138"/>
      <c r="BH74" s="2138"/>
      <c r="BI74" s="2138"/>
      <c r="BJ74" s="2138"/>
      <c r="BK74" s="2138"/>
      <c r="BL74" s="2138"/>
      <c r="BM74" s="2138"/>
      <c r="BN74" s="2138"/>
      <c r="BO74" s="2138"/>
      <c r="BP74" s="2138"/>
      <c r="BQ74" s="2138"/>
      <c r="BR74" s="2138"/>
      <c r="BS74" s="2138"/>
      <c r="BT74" s="2138"/>
      <c r="BU74" s="2138"/>
      <c r="BV74" s="2138"/>
      <c r="BW74" s="2138"/>
      <c r="BX74" s="2138"/>
      <c r="BY74" s="2138"/>
      <c r="BZ74" s="2138"/>
      <c r="CA74" s="2138"/>
      <c r="CB74" s="2138"/>
      <c r="CC74" s="2138"/>
      <c r="CD74" s="2138"/>
      <c r="CE74" s="2138"/>
    </row>
    <row r="75" spans="2:83" s="2101" customFormat="1" ht="18" customHeight="1">
      <c r="B75" s="2784" t="s">
        <v>163</v>
      </c>
      <c r="C75" s="2787">
        <v>679.84811440999999</v>
      </c>
      <c r="D75" s="2786">
        <v>72.878469719999998</v>
      </c>
      <c r="E75" s="2786">
        <v>0</v>
      </c>
      <c r="F75" s="2786">
        <v>0</v>
      </c>
      <c r="G75" s="2786">
        <v>0</v>
      </c>
      <c r="H75" s="2786">
        <v>0</v>
      </c>
      <c r="I75" s="2786">
        <v>0</v>
      </c>
      <c r="J75" s="2786">
        <v>0</v>
      </c>
      <c r="K75" s="2786">
        <v>476.55655468999998</v>
      </c>
      <c r="L75" s="2786">
        <v>130.41309000000001</v>
      </c>
      <c r="M75" s="2786">
        <v>0</v>
      </c>
      <c r="O75" s="2138"/>
      <c r="P75" s="2138"/>
      <c r="Q75" s="2138"/>
      <c r="R75" s="2138"/>
      <c r="S75" s="2138"/>
      <c r="T75" s="2138"/>
      <c r="U75" s="2138"/>
      <c r="V75" s="2138"/>
      <c r="W75" s="2138"/>
      <c r="X75" s="2138"/>
      <c r="Y75" s="2138"/>
      <c r="Z75" s="2138"/>
      <c r="AA75" s="2138"/>
      <c r="AB75" s="2138"/>
      <c r="AC75" s="2138"/>
      <c r="AD75" s="2138"/>
      <c r="AE75" s="2138"/>
      <c r="AF75" s="2138"/>
      <c r="AG75" s="2138"/>
      <c r="AH75" s="2138"/>
      <c r="AI75" s="2138"/>
      <c r="AJ75" s="2138"/>
      <c r="AK75" s="2138"/>
      <c r="AL75" s="2138"/>
      <c r="AM75" s="2138"/>
      <c r="AN75" s="2138"/>
      <c r="AO75" s="2138"/>
      <c r="AP75" s="2138"/>
      <c r="AQ75" s="2138"/>
      <c r="AR75" s="2138"/>
      <c r="AS75" s="2138"/>
      <c r="AT75" s="2138"/>
      <c r="AU75" s="2138"/>
      <c r="AV75" s="2138"/>
      <c r="AW75" s="2138"/>
      <c r="AX75" s="2138"/>
      <c r="AY75" s="2138"/>
      <c r="AZ75" s="2138"/>
      <c r="BA75" s="2138"/>
      <c r="BB75" s="2138"/>
      <c r="BC75" s="2138"/>
      <c r="BD75" s="2138"/>
      <c r="BE75" s="2138"/>
      <c r="BF75" s="2138"/>
      <c r="BG75" s="2138"/>
      <c r="BH75" s="2138"/>
      <c r="BI75" s="2138"/>
      <c r="BJ75" s="2138"/>
      <c r="BK75" s="2138"/>
      <c r="BL75" s="2138"/>
      <c r="BM75" s="2138"/>
      <c r="BN75" s="2138"/>
      <c r="BO75" s="2138"/>
      <c r="BP75" s="2138"/>
      <c r="BQ75" s="2138"/>
      <c r="BR75" s="2138"/>
      <c r="BS75" s="2138"/>
      <c r="BT75" s="2138"/>
      <c r="BU75" s="2138"/>
      <c r="BV75" s="2138"/>
      <c r="BW75" s="2138"/>
      <c r="BX75" s="2138"/>
      <c r="BY75" s="2138"/>
      <c r="BZ75" s="2138"/>
      <c r="CA75" s="2138"/>
      <c r="CB75" s="2138"/>
      <c r="CC75" s="2138"/>
      <c r="CD75" s="2138"/>
      <c r="CE75" s="2138"/>
    </row>
    <row r="76" spans="2:83" s="2101" customFormat="1" ht="18" customHeight="1">
      <c r="B76" s="2784" t="s">
        <v>164</v>
      </c>
      <c r="C76" s="2787">
        <v>675.53822171000002</v>
      </c>
      <c r="D76" s="2786">
        <v>86.436304329999999</v>
      </c>
      <c r="E76" s="2786">
        <v>0</v>
      </c>
      <c r="F76" s="2786">
        <v>0</v>
      </c>
      <c r="G76" s="2786">
        <v>0</v>
      </c>
      <c r="H76" s="2786">
        <v>0</v>
      </c>
      <c r="I76" s="2786">
        <v>0</v>
      </c>
      <c r="J76" s="2786">
        <v>0</v>
      </c>
      <c r="K76" s="2786">
        <v>458.68882738000002</v>
      </c>
      <c r="L76" s="2786">
        <v>130.41309000000001</v>
      </c>
      <c r="M76" s="2786">
        <v>0</v>
      </c>
      <c r="O76" s="2138"/>
      <c r="P76" s="2138"/>
      <c r="Q76" s="2138"/>
      <c r="R76" s="2138"/>
      <c r="S76" s="2138"/>
      <c r="T76" s="2138"/>
      <c r="U76" s="2138"/>
      <c r="V76" s="2138"/>
      <c r="W76" s="2138"/>
      <c r="X76" s="2138"/>
      <c r="Y76" s="2138"/>
      <c r="Z76" s="2138"/>
      <c r="AA76" s="2138"/>
      <c r="AB76" s="2138"/>
      <c r="AC76" s="2138"/>
      <c r="AD76" s="2138"/>
      <c r="AE76" s="2138"/>
      <c r="AF76" s="2138"/>
      <c r="AG76" s="2138"/>
      <c r="AH76" s="2138"/>
      <c r="AI76" s="2138"/>
      <c r="AJ76" s="2138"/>
      <c r="AK76" s="2138"/>
      <c r="AL76" s="2138"/>
      <c r="AM76" s="2138"/>
      <c r="AN76" s="2138"/>
      <c r="AO76" s="2138"/>
      <c r="AP76" s="2138"/>
      <c r="AQ76" s="2138"/>
      <c r="AR76" s="2138"/>
      <c r="AS76" s="2138"/>
      <c r="AT76" s="2138"/>
      <c r="AU76" s="2138"/>
      <c r="AV76" s="2138"/>
      <c r="AW76" s="2138"/>
      <c r="AX76" s="2138"/>
      <c r="AY76" s="2138"/>
      <c r="AZ76" s="2138"/>
      <c r="BA76" s="2138"/>
      <c r="BB76" s="2138"/>
      <c r="BC76" s="2138"/>
      <c r="BD76" s="2138"/>
      <c r="BE76" s="2138"/>
      <c r="BF76" s="2138"/>
      <c r="BG76" s="2138"/>
      <c r="BH76" s="2138"/>
      <c r="BI76" s="2138"/>
      <c r="BJ76" s="2138"/>
      <c r="BK76" s="2138"/>
      <c r="BL76" s="2138"/>
      <c r="BM76" s="2138"/>
      <c r="BN76" s="2138"/>
      <c r="BO76" s="2138"/>
      <c r="BP76" s="2138"/>
      <c r="BQ76" s="2138"/>
      <c r="BR76" s="2138"/>
      <c r="BS76" s="2138"/>
      <c r="BT76" s="2138"/>
      <c r="BU76" s="2138"/>
      <c r="BV76" s="2138"/>
      <c r="BW76" s="2138"/>
      <c r="BX76" s="2138"/>
      <c r="BY76" s="2138"/>
      <c r="BZ76" s="2138"/>
      <c r="CA76" s="2138"/>
      <c r="CB76" s="2138"/>
      <c r="CC76" s="2138"/>
      <c r="CD76" s="2138"/>
      <c r="CE76" s="2138"/>
    </row>
    <row r="77" spans="2:83" s="2101" customFormat="1" ht="18" customHeight="1">
      <c r="B77" s="2784" t="s">
        <v>165</v>
      </c>
      <c r="C77" s="2787">
        <v>729.63610658999994</v>
      </c>
      <c r="D77" s="2786">
        <v>77.130441129999994</v>
      </c>
      <c r="E77" s="2786">
        <v>0</v>
      </c>
      <c r="F77" s="2786">
        <v>0</v>
      </c>
      <c r="G77" s="2786">
        <v>0</v>
      </c>
      <c r="H77" s="2786">
        <v>0</v>
      </c>
      <c r="I77" s="2786">
        <v>0</v>
      </c>
      <c r="J77" s="2786">
        <v>0</v>
      </c>
      <c r="K77" s="2786">
        <v>482.09257545999998</v>
      </c>
      <c r="L77" s="2786">
        <v>140.41309000000001</v>
      </c>
      <c r="M77" s="2786">
        <v>30</v>
      </c>
      <c r="O77" s="2138"/>
      <c r="P77" s="2138"/>
      <c r="Q77" s="2138"/>
      <c r="R77" s="2138"/>
      <c r="S77" s="2138"/>
      <c r="T77" s="2138"/>
      <c r="U77" s="2138"/>
      <c r="V77" s="2138"/>
      <c r="W77" s="2138"/>
      <c r="X77" s="2138"/>
      <c r="Y77" s="2138"/>
      <c r="Z77" s="2138"/>
      <c r="AA77" s="2138"/>
      <c r="AB77" s="2138"/>
      <c r="AC77" s="2138"/>
      <c r="AD77" s="2138"/>
      <c r="AE77" s="2138"/>
      <c r="AF77" s="2138"/>
      <c r="AG77" s="2138"/>
      <c r="AH77" s="2138"/>
      <c r="AI77" s="2138"/>
      <c r="AJ77" s="2138"/>
      <c r="AK77" s="2138"/>
      <c r="AL77" s="2138"/>
      <c r="AM77" s="2138"/>
      <c r="AN77" s="2138"/>
      <c r="AO77" s="2138"/>
      <c r="AP77" s="2138"/>
      <c r="AQ77" s="2138"/>
      <c r="AR77" s="2138"/>
      <c r="AS77" s="2138"/>
      <c r="AT77" s="2138"/>
      <c r="AU77" s="2138"/>
      <c r="AV77" s="2138"/>
      <c r="AW77" s="2138"/>
      <c r="AX77" s="2138"/>
      <c r="AY77" s="2138"/>
      <c r="AZ77" s="2138"/>
      <c r="BA77" s="2138"/>
      <c r="BB77" s="2138"/>
      <c r="BC77" s="2138"/>
      <c r="BD77" s="2138"/>
      <c r="BE77" s="2138"/>
      <c r="BF77" s="2138"/>
      <c r="BG77" s="2138"/>
      <c r="BH77" s="2138"/>
      <c r="BI77" s="2138"/>
      <c r="BJ77" s="2138"/>
      <c r="BK77" s="2138"/>
      <c r="BL77" s="2138"/>
      <c r="BM77" s="2138"/>
      <c r="BN77" s="2138"/>
      <c r="BO77" s="2138"/>
      <c r="BP77" s="2138"/>
      <c r="BQ77" s="2138"/>
      <c r="BR77" s="2138"/>
      <c r="BS77" s="2138"/>
      <c r="BT77" s="2138"/>
      <c r="BU77" s="2138"/>
      <c r="BV77" s="2138"/>
      <c r="BW77" s="2138"/>
      <c r="BX77" s="2138"/>
      <c r="BY77" s="2138"/>
      <c r="BZ77" s="2138"/>
      <c r="CA77" s="2138"/>
      <c r="CB77" s="2138"/>
      <c r="CC77" s="2138"/>
      <c r="CD77" s="2138"/>
      <c r="CE77" s="2138"/>
    </row>
    <row r="78" spans="2:83" s="2101" customFormat="1" ht="18" customHeight="1">
      <c r="B78" s="2784" t="s">
        <v>166</v>
      </c>
      <c r="C78" s="2787">
        <v>744.28403099999991</v>
      </c>
      <c r="D78" s="2786">
        <v>72.31577206</v>
      </c>
      <c r="E78" s="2786">
        <v>0</v>
      </c>
      <c r="F78" s="2786">
        <v>0</v>
      </c>
      <c r="G78" s="2786">
        <v>0</v>
      </c>
      <c r="H78" s="2786">
        <v>0</v>
      </c>
      <c r="I78" s="2786">
        <v>0</v>
      </c>
      <c r="J78" s="2786">
        <v>0</v>
      </c>
      <c r="K78" s="2786">
        <v>496.55516893999987</v>
      </c>
      <c r="L78" s="2786">
        <v>115.41309</v>
      </c>
      <c r="M78" s="2786">
        <v>60</v>
      </c>
      <c r="O78" s="2138"/>
      <c r="P78" s="2138"/>
      <c r="Q78" s="2138"/>
      <c r="R78" s="2138"/>
      <c r="S78" s="2138"/>
      <c r="T78" s="2138"/>
      <c r="U78" s="2138"/>
      <c r="V78" s="2138"/>
      <c r="W78" s="2138"/>
      <c r="X78" s="2138"/>
      <c r="Y78" s="2138"/>
      <c r="Z78" s="2138"/>
      <c r="AA78" s="2138"/>
      <c r="AB78" s="2138"/>
      <c r="AC78" s="2138"/>
      <c r="AD78" s="2138"/>
      <c r="AE78" s="2138"/>
      <c r="AF78" s="2138"/>
      <c r="AG78" s="2138"/>
      <c r="AH78" s="2138"/>
      <c r="AI78" s="2138"/>
      <c r="AJ78" s="2138"/>
      <c r="AK78" s="2138"/>
      <c r="AL78" s="2138"/>
      <c r="AM78" s="2138"/>
      <c r="AN78" s="2138"/>
      <c r="AO78" s="2138"/>
      <c r="AP78" s="2138"/>
      <c r="AQ78" s="2138"/>
      <c r="AR78" s="2138"/>
      <c r="AS78" s="2138"/>
      <c r="AT78" s="2138"/>
      <c r="AU78" s="2138"/>
      <c r="AV78" s="2138"/>
      <c r="AW78" s="2138"/>
      <c r="AX78" s="2138"/>
      <c r="AY78" s="2138"/>
      <c r="AZ78" s="2138"/>
      <c r="BA78" s="2138"/>
      <c r="BB78" s="2138"/>
      <c r="BC78" s="2138"/>
      <c r="BD78" s="2138"/>
      <c r="BE78" s="2138"/>
      <c r="BF78" s="2138"/>
      <c r="BG78" s="2138"/>
      <c r="BH78" s="2138"/>
      <c r="BI78" s="2138"/>
      <c r="BJ78" s="2138"/>
      <c r="BK78" s="2138"/>
      <c r="BL78" s="2138"/>
      <c r="BM78" s="2138"/>
      <c r="BN78" s="2138"/>
      <c r="BO78" s="2138"/>
      <c r="BP78" s="2138"/>
      <c r="BQ78" s="2138"/>
      <c r="BR78" s="2138"/>
      <c r="BS78" s="2138"/>
      <c r="BT78" s="2138"/>
      <c r="BU78" s="2138"/>
      <c r="BV78" s="2138"/>
      <c r="BW78" s="2138"/>
      <c r="BX78" s="2138"/>
      <c r="BY78" s="2138"/>
      <c r="BZ78" s="2138"/>
      <c r="CA78" s="2138"/>
      <c r="CB78" s="2138"/>
      <c r="CC78" s="2138"/>
      <c r="CD78" s="2138"/>
      <c r="CE78" s="2138"/>
    </row>
    <row r="79" spans="2:83" s="2101" customFormat="1" ht="18" customHeight="1">
      <c r="B79" s="2784" t="s">
        <v>167</v>
      </c>
      <c r="C79" s="2787">
        <v>762.72002672999997</v>
      </c>
      <c r="D79" s="2786">
        <v>60.741037139999996</v>
      </c>
      <c r="E79" s="2786">
        <v>0</v>
      </c>
      <c r="F79" s="2786">
        <v>0</v>
      </c>
      <c r="G79" s="2786">
        <v>0</v>
      </c>
      <c r="H79" s="2786">
        <v>0</v>
      </c>
      <c r="I79" s="2786">
        <v>0</v>
      </c>
      <c r="J79" s="2786">
        <v>0</v>
      </c>
      <c r="K79" s="2786">
        <v>526.56589958999996</v>
      </c>
      <c r="L79" s="2786">
        <v>115.41309</v>
      </c>
      <c r="M79" s="2786">
        <v>60</v>
      </c>
      <c r="O79" s="2138"/>
      <c r="P79" s="2138"/>
      <c r="Q79" s="2138"/>
      <c r="R79" s="2138"/>
      <c r="S79" s="2138"/>
      <c r="T79" s="2138"/>
      <c r="U79" s="2138"/>
      <c r="V79" s="2138"/>
      <c r="W79" s="2138"/>
      <c r="X79" s="2138"/>
      <c r="Y79" s="2138"/>
      <c r="Z79" s="2138"/>
      <c r="AA79" s="2138"/>
      <c r="AB79" s="2138"/>
      <c r="AC79" s="2138"/>
      <c r="AD79" s="2138"/>
      <c r="AE79" s="2138"/>
      <c r="AF79" s="2138"/>
      <c r="AG79" s="2138"/>
      <c r="AH79" s="2138"/>
      <c r="AI79" s="2138"/>
      <c r="AJ79" s="2138"/>
      <c r="AK79" s="2138"/>
      <c r="AL79" s="2138"/>
      <c r="AM79" s="2138"/>
      <c r="AN79" s="2138"/>
      <c r="AO79" s="2138"/>
      <c r="AP79" s="2138"/>
      <c r="AQ79" s="2138"/>
      <c r="AR79" s="2138"/>
      <c r="AS79" s="2138"/>
      <c r="AT79" s="2138"/>
      <c r="AU79" s="2138"/>
      <c r="AV79" s="2138"/>
      <c r="AW79" s="2138"/>
      <c r="AX79" s="2138"/>
      <c r="AY79" s="2138"/>
      <c r="AZ79" s="2138"/>
      <c r="BA79" s="2138"/>
      <c r="BB79" s="2138"/>
      <c r="BC79" s="2138"/>
      <c r="BD79" s="2138"/>
      <c r="BE79" s="2138"/>
      <c r="BF79" s="2138"/>
      <c r="BG79" s="2138"/>
      <c r="BH79" s="2138"/>
      <c r="BI79" s="2138"/>
      <c r="BJ79" s="2138"/>
      <c r="BK79" s="2138"/>
      <c r="BL79" s="2138"/>
      <c r="BM79" s="2138"/>
      <c r="BN79" s="2138"/>
      <c r="BO79" s="2138"/>
      <c r="BP79" s="2138"/>
      <c r="BQ79" s="2138"/>
      <c r="BR79" s="2138"/>
      <c r="BS79" s="2138"/>
      <c r="BT79" s="2138"/>
      <c r="BU79" s="2138"/>
      <c r="BV79" s="2138"/>
      <c r="BW79" s="2138"/>
      <c r="BX79" s="2138"/>
      <c r="BY79" s="2138"/>
      <c r="BZ79" s="2138"/>
      <c r="CA79" s="2138"/>
      <c r="CB79" s="2138"/>
      <c r="CC79" s="2138"/>
      <c r="CD79" s="2138"/>
      <c r="CE79" s="2138"/>
    </row>
    <row r="80" spans="2:83" s="2101" customFormat="1" ht="18" customHeight="1">
      <c r="B80" s="2784" t="s">
        <v>168</v>
      </c>
      <c r="C80" s="2787">
        <v>870.92834124000001</v>
      </c>
      <c r="D80" s="2786">
        <v>53.749561749999998</v>
      </c>
      <c r="E80" s="2786">
        <v>0</v>
      </c>
      <c r="F80" s="2786">
        <v>0</v>
      </c>
      <c r="G80" s="2786">
        <v>0</v>
      </c>
      <c r="H80" s="2786">
        <v>0</v>
      </c>
      <c r="I80" s="2786">
        <v>0</v>
      </c>
      <c r="J80" s="2786">
        <v>0</v>
      </c>
      <c r="K80" s="2786">
        <v>641.76568949</v>
      </c>
      <c r="L80" s="2786">
        <v>115.41309</v>
      </c>
      <c r="M80" s="2786">
        <v>60</v>
      </c>
      <c r="O80" s="2138"/>
      <c r="P80" s="2138"/>
      <c r="Q80" s="2138"/>
      <c r="R80" s="2138"/>
      <c r="S80" s="2138"/>
      <c r="T80" s="2138"/>
      <c r="U80" s="2138"/>
      <c r="V80" s="2138"/>
      <c r="W80" s="2138"/>
      <c r="X80" s="2138"/>
      <c r="Y80" s="2138"/>
      <c r="Z80" s="2138"/>
      <c r="AA80" s="2138"/>
      <c r="AB80" s="2138"/>
      <c r="AC80" s="2138"/>
      <c r="AD80" s="2138"/>
      <c r="AE80" s="2138"/>
      <c r="AF80" s="2138"/>
      <c r="AG80" s="2138"/>
      <c r="AH80" s="2138"/>
      <c r="AI80" s="2138"/>
      <c r="AJ80" s="2138"/>
      <c r="AK80" s="2138"/>
      <c r="AL80" s="2138"/>
      <c r="AM80" s="2138"/>
      <c r="AN80" s="2138"/>
      <c r="AO80" s="2138"/>
      <c r="AP80" s="2138"/>
      <c r="AQ80" s="2138"/>
      <c r="AR80" s="2138"/>
      <c r="AS80" s="2138"/>
      <c r="AT80" s="2138"/>
      <c r="AU80" s="2138"/>
      <c r="AV80" s="2138"/>
      <c r="AW80" s="2138"/>
      <c r="AX80" s="2138"/>
      <c r="AY80" s="2138"/>
      <c r="AZ80" s="2138"/>
      <c r="BA80" s="2138"/>
      <c r="BB80" s="2138"/>
      <c r="BC80" s="2138"/>
      <c r="BD80" s="2138"/>
      <c r="BE80" s="2138"/>
      <c r="BF80" s="2138"/>
      <c r="BG80" s="2138"/>
      <c r="BH80" s="2138"/>
      <c r="BI80" s="2138"/>
      <c r="BJ80" s="2138"/>
      <c r="BK80" s="2138"/>
      <c r="BL80" s="2138"/>
      <c r="BM80" s="2138"/>
      <c r="BN80" s="2138"/>
      <c r="BO80" s="2138"/>
      <c r="BP80" s="2138"/>
      <c r="BQ80" s="2138"/>
      <c r="BR80" s="2138"/>
      <c r="BS80" s="2138"/>
      <c r="BT80" s="2138"/>
      <c r="BU80" s="2138"/>
      <c r="BV80" s="2138"/>
      <c r="BW80" s="2138"/>
      <c r="BX80" s="2138"/>
      <c r="BY80" s="2138"/>
      <c r="BZ80" s="2138"/>
      <c r="CA80" s="2138"/>
      <c r="CB80" s="2138"/>
      <c r="CC80" s="2138"/>
      <c r="CD80" s="2138"/>
      <c r="CE80" s="2138"/>
    </row>
    <row r="81" spans="1:83" s="2101" customFormat="1" ht="18" customHeight="1">
      <c r="B81" s="3217" t="s">
        <v>169</v>
      </c>
      <c r="C81" s="3220">
        <v>900.14325021000002</v>
      </c>
      <c r="D81" s="3219">
        <v>27.90574101</v>
      </c>
      <c r="E81" s="3219">
        <v>0</v>
      </c>
      <c r="F81" s="3219">
        <v>0</v>
      </c>
      <c r="G81" s="3219">
        <v>0</v>
      </c>
      <c r="H81" s="3219">
        <v>0</v>
      </c>
      <c r="I81" s="3219">
        <v>0</v>
      </c>
      <c r="J81" s="3219">
        <v>1.75</v>
      </c>
      <c r="K81" s="3219">
        <v>695.07441919999997</v>
      </c>
      <c r="L81" s="3219">
        <v>115.41309</v>
      </c>
      <c r="M81" s="3219">
        <v>60</v>
      </c>
      <c r="O81" s="2138"/>
      <c r="P81" s="2138"/>
      <c r="Q81" s="2138"/>
      <c r="R81" s="2138"/>
      <c r="S81" s="2138"/>
      <c r="T81" s="2138"/>
      <c r="U81" s="2138"/>
      <c r="V81" s="2138"/>
      <c r="W81" s="2138"/>
      <c r="X81" s="2138"/>
      <c r="Y81" s="2138"/>
      <c r="Z81" s="2138"/>
      <c r="AA81" s="2138"/>
      <c r="AB81" s="2138"/>
      <c r="AC81" s="2138"/>
      <c r="AD81" s="2138"/>
      <c r="AE81" s="2138"/>
      <c r="AF81" s="2138"/>
      <c r="AG81" s="2138"/>
      <c r="AH81" s="2138"/>
      <c r="AI81" s="2138"/>
      <c r="AJ81" s="2138"/>
      <c r="AK81" s="2138"/>
      <c r="AL81" s="2138"/>
      <c r="AM81" s="2138"/>
      <c r="AN81" s="2138"/>
      <c r="AO81" s="2138"/>
      <c r="AP81" s="2138"/>
      <c r="AQ81" s="2138"/>
      <c r="AR81" s="2138"/>
      <c r="AS81" s="2138"/>
      <c r="AT81" s="2138"/>
      <c r="AU81" s="2138"/>
      <c r="AV81" s="2138"/>
      <c r="AW81" s="2138"/>
      <c r="AX81" s="2138"/>
      <c r="AY81" s="2138"/>
      <c r="AZ81" s="2138"/>
      <c r="BA81" s="2138"/>
      <c r="BB81" s="2138"/>
      <c r="BC81" s="2138"/>
      <c r="BD81" s="2138"/>
      <c r="BE81" s="2138"/>
      <c r="BF81" s="2138"/>
      <c r="BG81" s="2138"/>
      <c r="BH81" s="2138"/>
      <c r="BI81" s="2138"/>
      <c r="BJ81" s="2138"/>
      <c r="BK81" s="2138"/>
      <c r="BL81" s="2138"/>
      <c r="BM81" s="2138"/>
      <c r="BN81" s="2138"/>
      <c r="BO81" s="2138"/>
      <c r="BP81" s="2138"/>
      <c r="BQ81" s="2138"/>
      <c r="BR81" s="2138"/>
      <c r="BS81" s="2138"/>
      <c r="BT81" s="2138"/>
      <c r="BU81" s="2138"/>
      <c r="BV81" s="2138"/>
      <c r="BW81" s="2138"/>
      <c r="BX81" s="2138"/>
      <c r="BY81" s="2138"/>
      <c r="BZ81" s="2138"/>
      <c r="CA81" s="2138"/>
      <c r="CB81" s="2138"/>
      <c r="CC81" s="2138"/>
      <c r="CD81" s="2138"/>
      <c r="CE81" s="2138"/>
    </row>
    <row r="82" spans="1:83" s="2101" customFormat="1" ht="18" customHeight="1">
      <c r="B82" s="3217" t="s">
        <v>170</v>
      </c>
      <c r="C82" s="3220">
        <v>958.41615162000005</v>
      </c>
      <c r="D82" s="3219">
        <v>59.489636159999996</v>
      </c>
      <c r="E82" s="3219">
        <v>0</v>
      </c>
      <c r="F82" s="3219">
        <v>0</v>
      </c>
      <c r="G82" s="3219">
        <v>0</v>
      </c>
      <c r="H82" s="3219">
        <v>0</v>
      </c>
      <c r="I82" s="3219">
        <v>0</v>
      </c>
      <c r="J82" s="3219">
        <v>1.75</v>
      </c>
      <c r="K82" s="3219">
        <v>721.76342546000001</v>
      </c>
      <c r="L82" s="3219">
        <v>115.41309</v>
      </c>
      <c r="M82" s="3219">
        <v>60</v>
      </c>
      <c r="O82" s="2138"/>
      <c r="P82" s="2138"/>
      <c r="Q82" s="2138"/>
      <c r="R82" s="2138"/>
      <c r="S82" s="2138"/>
      <c r="T82" s="2138"/>
      <c r="U82" s="2138"/>
      <c r="V82" s="2138"/>
      <c r="W82" s="2138"/>
      <c r="X82" s="2138"/>
      <c r="Y82" s="2138"/>
      <c r="Z82" s="2138"/>
      <c r="AA82" s="2138"/>
      <c r="AB82" s="2138"/>
      <c r="AC82" s="2138"/>
      <c r="AD82" s="2138"/>
      <c r="AE82" s="2138"/>
      <c r="AF82" s="2138"/>
      <c r="AG82" s="2138"/>
      <c r="AH82" s="2138"/>
      <c r="AI82" s="2138"/>
      <c r="AJ82" s="2138"/>
      <c r="AK82" s="2138"/>
      <c r="AL82" s="2138"/>
      <c r="AM82" s="2138"/>
      <c r="AN82" s="2138"/>
      <c r="AO82" s="2138"/>
      <c r="AP82" s="2138"/>
      <c r="AQ82" s="2138"/>
      <c r="AR82" s="2138"/>
      <c r="AS82" s="2138"/>
      <c r="AT82" s="2138"/>
      <c r="AU82" s="2138"/>
      <c r="AV82" s="2138"/>
      <c r="AW82" s="2138"/>
      <c r="AX82" s="2138"/>
      <c r="AY82" s="2138"/>
      <c r="AZ82" s="2138"/>
      <c r="BA82" s="2138"/>
      <c r="BB82" s="2138"/>
      <c r="BC82" s="2138"/>
      <c r="BD82" s="2138"/>
      <c r="BE82" s="2138"/>
      <c r="BF82" s="2138"/>
      <c r="BG82" s="2138"/>
      <c r="BH82" s="2138"/>
      <c r="BI82" s="2138"/>
      <c r="BJ82" s="2138"/>
      <c r="BK82" s="2138"/>
      <c r="BL82" s="2138"/>
      <c r="BM82" s="2138"/>
      <c r="BN82" s="2138"/>
      <c r="BO82" s="2138"/>
      <c r="BP82" s="2138"/>
      <c r="BQ82" s="2138"/>
      <c r="BR82" s="2138"/>
      <c r="BS82" s="2138"/>
      <c r="BT82" s="2138"/>
      <c r="BU82" s="2138"/>
      <c r="BV82" s="2138"/>
      <c r="BW82" s="2138"/>
      <c r="BX82" s="2138"/>
      <c r="BY82" s="2138"/>
      <c r="BZ82" s="2138"/>
      <c r="CA82" s="2138"/>
      <c r="CB82" s="2138"/>
      <c r="CC82" s="2138"/>
      <c r="CD82" s="2138"/>
      <c r="CE82" s="2138"/>
    </row>
    <row r="83" spans="1:83" s="2101" customFormat="1" ht="18" customHeight="1">
      <c r="B83" s="4202" t="s">
        <v>171</v>
      </c>
      <c r="C83" s="4205">
        <v>996.89508677000003</v>
      </c>
      <c r="D83" s="4204">
        <v>89.817636709999988</v>
      </c>
      <c r="E83" s="4204">
        <v>0</v>
      </c>
      <c r="F83" s="4204">
        <v>0</v>
      </c>
      <c r="G83" s="4204">
        <v>0</v>
      </c>
      <c r="H83" s="4204">
        <v>0</v>
      </c>
      <c r="I83" s="4204">
        <v>0</v>
      </c>
      <c r="J83" s="4204">
        <v>1.75</v>
      </c>
      <c r="K83" s="4204">
        <v>759.91436006000004</v>
      </c>
      <c r="L83" s="4204">
        <v>85.413089999999997</v>
      </c>
      <c r="M83" s="4204">
        <v>60</v>
      </c>
      <c r="O83" s="2138"/>
      <c r="P83" s="2138"/>
      <c r="Q83" s="2138"/>
      <c r="R83" s="2138"/>
      <c r="S83" s="2138"/>
      <c r="T83" s="2138"/>
      <c r="U83" s="2138"/>
      <c r="V83" s="2138"/>
      <c r="W83" s="2138"/>
      <c r="X83" s="2138"/>
      <c r="Y83" s="2138"/>
      <c r="Z83" s="2138"/>
      <c r="AA83" s="2138"/>
      <c r="AB83" s="2138"/>
      <c r="AC83" s="2138"/>
      <c r="AD83" s="2138"/>
      <c r="AE83" s="2138"/>
      <c r="AF83" s="2138"/>
      <c r="AG83" s="2138"/>
      <c r="AH83" s="2138"/>
      <c r="AI83" s="2138"/>
      <c r="AJ83" s="2138"/>
      <c r="AK83" s="2138"/>
      <c r="AL83" s="2138"/>
      <c r="AM83" s="2138"/>
      <c r="AN83" s="2138"/>
      <c r="AO83" s="2138"/>
      <c r="AP83" s="2138"/>
      <c r="AQ83" s="2138"/>
      <c r="AR83" s="2138"/>
      <c r="AS83" s="2138"/>
      <c r="AT83" s="2138"/>
      <c r="AU83" s="2138"/>
      <c r="AV83" s="2138"/>
      <c r="AW83" s="2138"/>
      <c r="AX83" s="2138"/>
      <c r="AY83" s="2138"/>
      <c r="AZ83" s="2138"/>
      <c r="BA83" s="2138"/>
      <c r="BB83" s="2138"/>
      <c r="BC83" s="2138"/>
      <c r="BD83" s="2138"/>
      <c r="BE83" s="2138"/>
      <c r="BF83" s="2138"/>
      <c r="BG83" s="2138"/>
      <c r="BH83" s="2138"/>
      <c r="BI83" s="2138"/>
      <c r="BJ83" s="2138"/>
      <c r="BK83" s="2138"/>
      <c r="BL83" s="2138"/>
      <c r="BM83" s="2138"/>
      <c r="BN83" s="2138"/>
      <c r="BO83" s="2138"/>
      <c r="BP83" s="2138"/>
      <c r="BQ83" s="2138"/>
      <c r="BR83" s="2138"/>
      <c r="BS83" s="2138"/>
      <c r="BT83" s="2138"/>
      <c r="BU83" s="2138"/>
      <c r="BV83" s="2138"/>
      <c r="BW83" s="2138"/>
      <c r="BX83" s="2138"/>
      <c r="BY83" s="2138"/>
      <c r="BZ83" s="2138"/>
      <c r="CA83" s="2138"/>
      <c r="CB83" s="2138"/>
      <c r="CC83" s="2138"/>
      <c r="CD83" s="2138"/>
      <c r="CE83" s="2138"/>
    </row>
    <row r="84" spans="1:83" s="2101" customFormat="1" ht="18" customHeight="1">
      <c r="B84" s="4202" t="s">
        <v>148</v>
      </c>
      <c r="C84" s="4205">
        <v>1040.6494671</v>
      </c>
      <c r="D84" s="4204">
        <v>94.646241629999992</v>
      </c>
      <c r="E84" s="4204">
        <v>0</v>
      </c>
      <c r="F84" s="4204">
        <v>0</v>
      </c>
      <c r="G84" s="4204">
        <v>0</v>
      </c>
      <c r="H84" s="4204">
        <v>0</v>
      </c>
      <c r="I84" s="4204">
        <v>0</v>
      </c>
      <c r="J84" s="4204">
        <v>1.75</v>
      </c>
      <c r="K84" s="4204">
        <v>798.84013547000006</v>
      </c>
      <c r="L84" s="4204">
        <v>85.413089999999997</v>
      </c>
      <c r="M84" s="4204">
        <v>60</v>
      </c>
      <c r="O84" s="2138"/>
      <c r="P84" s="2138"/>
      <c r="Q84" s="2138"/>
      <c r="R84" s="2138"/>
      <c r="S84" s="2138"/>
      <c r="T84" s="2138"/>
      <c r="U84" s="2138"/>
      <c r="V84" s="2138"/>
      <c r="W84" s="2138"/>
      <c r="X84" s="2138"/>
      <c r="Y84" s="2138"/>
      <c r="Z84" s="2138"/>
      <c r="AA84" s="2138"/>
      <c r="AB84" s="2138"/>
      <c r="AC84" s="2138"/>
      <c r="AD84" s="2138"/>
      <c r="AE84" s="2138"/>
      <c r="AF84" s="2138"/>
      <c r="AG84" s="2138"/>
      <c r="AH84" s="2138"/>
      <c r="AI84" s="2138"/>
      <c r="AJ84" s="2138"/>
      <c r="AK84" s="2138"/>
      <c r="AL84" s="2138"/>
      <c r="AM84" s="2138"/>
      <c r="AN84" s="2138"/>
      <c r="AO84" s="2138"/>
      <c r="AP84" s="2138"/>
      <c r="AQ84" s="2138"/>
      <c r="AR84" s="2138"/>
      <c r="AS84" s="2138"/>
      <c r="AT84" s="2138"/>
      <c r="AU84" s="2138"/>
      <c r="AV84" s="2138"/>
      <c r="AW84" s="2138"/>
      <c r="AX84" s="2138"/>
      <c r="AY84" s="2138"/>
      <c r="AZ84" s="2138"/>
      <c r="BA84" s="2138"/>
      <c r="BB84" s="2138"/>
      <c r="BC84" s="2138"/>
      <c r="BD84" s="2138"/>
      <c r="BE84" s="2138"/>
      <c r="BF84" s="2138"/>
      <c r="BG84" s="2138"/>
      <c r="BH84" s="2138"/>
      <c r="BI84" s="2138"/>
      <c r="BJ84" s="2138"/>
      <c r="BK84" s="2138"/>
      <c r="BL84" s="2138"/>
      <c r="BM84" s="2138"/>
      <c r="BN84" s="2138"/>
      <c r="BO84" s="2138"/>
      <c r="BP84" s="2138"/>
      <c r="BQ84" s="2138"/>
      <c r="BR84" s="2138"/>
      <c r="BS84" s="2138"/>
      <c r="BT84" s="2138"/>
      <c r="BU84" s="2138"/>
      <c r="BV84" s="2138"/>
      <c r="BW84" s="2138"/>
      <c r="BX84" s="2138"/>
      <c r="BY84" s="2138"/>
      <c r="BZ84" s="2138"/>
      <c r="CA84" s="2138"/>
      <c r="CB84" s="2138"/>
      <c r="CC84" s="2138"/>
      <c r="CD84" s="2138"/>
      <c r="CE84" s="2138"/>
    </row>
    <row r="85" spans="1:83" s="2101" customFormat="1" ht="18" customHeight="1">
      <c r="B85" s="4331">
        <v>2016</v>
      </c>
      <c r="C85" s="4205"/>
      <c r="D85" s="4204"/>
      <c r="E85" s="4204"/>
      <c r="F85" s="4204"/>
      <c r="G85" s="4204"/>
      <c r="H85" s="4204"/>
      <c r="I85" s="4204"/>
      <c r="J85" s="4204"/>
      <c r="K85" s="4204"/>
      <c r="L85" s="4204"/>
      <c r="M85" s="4204"/>
      <c r="O85" s="2138"/>
      <c r="P85" s="2138"/>
      <c r="Q85" s="2138"/>
      <c r="R85" s="2138"/>
      <c r="S85" s="2138"/>
      <c r="T85" s="2138"/>
      <c r="U85" s="2138"/>
      <c r="V85" s="2138"/>
      <c r="W85" s="2138"/>
      <c r="X85" s="2138"/>
      <c r="Y85" s="2138"/>
      <c r="Z85" s="2138"/>
      <c r="AA85" s="2138"/>
      <c r="AB85" s="2138"/>
      <c r="AC85" s="2138"/>
      <c r="AD85" s="2138"/>
      <c r="AE85" s="2138"/>
      <c r="AF85" s="2138"/>
      <c r="AG85" s="2138"/>
      <c r="AH85" s="2138"/>
      <c r="AI85" s="2138"/>
      <c r="AJ85" s="2138"/>
      <c r="AK85" s="2138"/>
      <c r="AL85" s="2138"/>
      <c r="AM85" s="2138"/>
      <c r="AN85" s="2138"/>
      <c r="AO85" s="2138"/>
      <c r="AP85" s="2138"/>
      <c r="AQ85" s="2138"/>
      <c r="AR85" s="2138"/>
      <c r="AS85" s="2138"/>
      <c r="AT85" s="2138"/>
      <c r="AU85" s="2138"/>
      <c r="AV85" s="2138"/>
      <c r="AW85" s="2138"/>
      <c r="AX85" s="2138"/>
      <c r="AY85" s="2138"/>
      <c r="AZ85" s="2138"/>
      <c r="BA85" s="2138"/>
      <c r="BB85" s="2138"/>
      <c r="BC85" s="2138"/>
      <c r="BD85" s="2138"/>
      <c r="BE85" s="2138"/>
      <c r="BF85" s="2138"/>
      <c r="BG85" s="2138"/>
      <c r="BH85" s="2138"/>
      <c r="BI85" s="2138"/>
      <c r="BJ85" s="2138"/>
      <c r="BK85" s="2138"/>
      <c r="BL85" s="2138"/>
      <c r="BM85" s="2138"/>
      <c r="BN85" s="2138"/>
      <c r="BO85" s="2138"/>
      <c r="BP85" s="2138"/>
      <c r="BQ85" s="2138"/>
      <c r="BR85" s="2138"/>
      <c r="BS85" s="2138"/>
      <c r="BT85" s="2138"/>
      <c r="BU85" s="2138"/>
      <c r="BV85" s="2138"/>
      <c r="BW85" s="2138"/>
      <c r="BX85" s="2138"/>
      <c r="BY85" s="2138"/>
      <c r="BZ85" s="2138"/>
      <c r="CA85" s="2138"/>
      <c r="CB85" s="2138"/>
      <c r="CC85" s="2138"/>
      <c r="CD85" s="2138"/>
      <c r="CE85" s="2138"/>
    </row>
    <row r="86" spans="1:83" s="2101" customFormat="1" ht="18" customHeight="1">
      <c r="B86" s="4202" t="s">
        <v>161</v>
      </c>
      <c r="C86" s="4205">
        <v>1021.9334478300002</v>
      </c>
      <c r="D86" s="4204">
        <v>144.17116915000003</v>
      </c>
      <c r="E86" s="4204">
        <v>0</v>
      </c>
      <c r="F86" s="4204">
        <v>0</v>
      </c>
      <c r="G86" s="4204">
        <v>0</v>
      </c>
      <c r="H86" s="4204">
        <v>0</v>
      </c>
      <c r="I86" s="4204">
        <v>0</v>
      </c>
      <c r="J86" s="4204">
        <v>1.75</v>
      </c>
      <c r="K86" s="4204">
        <v>730.59918868000011</v>
      </c>
      <c r="L86" s="4204">
        <v>85.413089999999997</v>
      </c>
      <c r="M86" s="4204">
        <v>60</v>
      </c>
      <c r="O86" s="2138"/>
      <c r="P86" s="2138"/>
      <c r="Q86" s="2138"/>
      <c r="R86" s="2138"/>
      <c r="S86" s="2138"/>
      <c r="T86" s="2138"/>
      <c r="U86" s="2138"/>
      <c r="V86" s="2138"/>
      <c r="W86" s="2138"/>
      <c r="X86" s="2138"/>
      <c r="Y86" s="2138"/>
      <c r="Z86" s="2138"/>
      <c r="AA86" s="2138"/>
      <c r="AB86" s="2138"/>
      <c r="AC86" s="2138"/>
      <c r="AD86" s="2138"/>
      <c r="AE86" s="2138"/>
      <c r="AF86" s="2138"/>
      <c r="AG86" s="2138"/>
      <c r="AH86" s="2138"/>
      <c r="AI86" s="2138"/>
      <c r="AJ86" s="2138"/>
      <c r="AK86" s="2138"/>
      <c r="AL86" s="2138"/>
      <c r="AM86" s="2138"/>
      <c r="AN86" s="2138"/>
      <c r="AO86" s="2138"/>
      <c r="AP86" s="2138"/>
      <c r="AQ86" s="2138"/>
      <c r="AR86" s="2138"/>
      <c r="AS86" s="2138"/>
      <c r="AT86" s="2138"/>
      <c r="AU86" s="2138"/>
      <c r="AV86" s="2138"/>
      <c r="AW86" s="2138"/>
      <c r="AX86" s="2138"/>
      <c r="AY86" s="2138"/>
      <c r="AZ86" s="2138"/>
      <c r="BA86" s="2138"/>
      <c r="BB86" s="2138"/>
      <c r="BC86" s="2138"/>
      <c r="BD86" s="2138"/>
      <c r="BE86" s="2138"/>
      <c r="BF86" s="2138"/>
      <c r="BG86" s="2138"/>
      <c r="BH86" s="2138"/>
      <c r="BI86" s="2138"/>
      <c r="BJ86" s="2138"/>
      <c r="BK86" s="2138"/>
      <c r="BL86" s="2138"/>
      <c r="BM86" s="2138"/>
      <c r="BN86" s="2138"/>
      <c r="BO86" s="2138"/>
      <c r="BP86" s="2138"/>
      <c r="BQ86" s="2138"/>
      <c r="BR86" s="2138"/>
      <c r="BS86" s="2138"/>
      <c r="BT86" s="2138"/>
      <c r="BU86" s="2138"/>
      <c r="BV86" s="2138"/>
      <c r="BW86" s="2138"/>
      <c r="BX86" s="2138"/>
      <c r="BY86" s="2138"/>
      <c r="BZ86" s="2138"/>
      <c r="CA86" s="2138"/>
      <c r="CB86" s="2138"/>
      <c r="CC86" s="2138"/>
      <c r="CD86" s="2138"/>
      <c r="CE86" s="2138"/>
    </row>
    <row r="87" spans="1:83" s="2101" customFormat="1" ht="18" customHeight="1">
      <c r="B87" s="4332" t="s">
        <v>162</v>
      </c>
      <c r="C87" s="4334">
        <v>1084.65522192</v>
      </c>
      <c r="D87" s="4333">
        <v>181.62688177000001</v>
      </c>
      <c r="E87" s="4333">
        <v>0</v>
      </c>
      <c r="F87" s="4333">
        <v>0</v>
      </c>
      <c r="G87" s="4333">
        <v>0</v>
      </c>
      <c r="H87" s="4333">
        <v>0</v>
      </c>
      <c r="I87" s="4333">
        <v>0</v>
      </c>
      <c r="J87" s="4333">
        <v>1.75</v>
      </c>
      <c r="K87" s="4333">
        <v>755.86525015000007</v>
      </c>
      <c r="L87" s="4333">
        <v>85.413089999999997</v>
      </c>
      <c r="M87" s="4333">
        <v>60</v>
      </c>
      <c r="O87" s="2138"/>
      <c r="P87" s="2138"/>
      <c r="Q87" s="2138"/>
      <c r="R87" s="2138"/>
      <c r="S87" s="2138"/>
      <c r="T87" s="2138"/>
      <c r="U87" s="2138"/>
      <c r="V87" s="2138"/>
      <c r="W87" s="2138"/>
      <c r="X87" s="2138"/>
      <c r="Y87" s="2138"/>
      <c r="Z87" s="2138"/>
      <c r="AA87" s="2138"/>
      <c r="AB87" s="2138"/>
      <c r="AC87" s="2138"/>
      <c r="AD87" s="2138"/>
      <c r="AE87" s="2138"/>
      <c r="AF87" s="2138"/>
      <c r="AG87" s="2138"/>
      <c r="AH87" s="2138"/>
      <c r="AI87" s="2138"/>
      <c r="AJ87" s="2138"/>
      <c r="AK87" s="2138"/>
      <c r="AL87" s="2138"/>
      <c r="AM87" s="2138"/>
      <c r="AN87" s="2138"/>
      <c r="AO87" s="2138"/>
      <c r="AP87" s="2138"/>
      <c r="AQ87" s="2138"/>
      <c r="AR87" s="2138"/>
      <c r="AS87" s="2138"/>
      <c r="AT87" s="2138"/>
      <c r="AU87" s="2138"/>
      <c r="AV87" s="2138"/>
      <c r="AW87" s="2138"/>
      <c r="AX87" s="2138"/>
      <c r="AY87" s="2138"/>
      <c r="AZ87" s="2138"/>
      <c r="BA87" s="2138"/>
      <c r="BB87" s="2138"/>
      <c r="BC87" s="2138"/>
      <c r="BD87" s="2138"/>
      <c r="BE87" s="2138"/>
      <c r="BF87" s="2138"/>
      <c r="BG87" s="2138"/>
      <c r="BH87" s="2138"/>
      <c r="BI87" s="2138"/>
      <c r="BJ87" s="2138"/>
      <c r="BK87" s="2138"/>
      <c r="BL87" s="2138"/>
      <c r="BM87" s="2138"/>
      <c r="BN87" s="2138"/>
      <c r="BO87" s="2138"/>
      <c r="BP87" s="2138"/>
      <c r="BQ87" s="2138"/>
      <c r="BR87" s="2138"/>
      <c r="BS87" s="2138"/>
      <c r="BT87" s="2138"/>
      <c r="BU87" s="2138"/>
      <c r="BV87" s="2138"/>
      <c r="BW87" s="2138"/>
      <c r="BX87" s="2138"/>
      <c r="BY87" s="2138"/>
      <c r="BZ87" s="2138"/>
      <c r="CA87" s="2138"/>
      <c r="CB87" s="2138"/>
      <c r="CC87" s="2138"/>
      <c r="CD87" s="2138"/>
      <c r="CE87" s="2138"/>
    </row>
    <row r="88" spans="1:83" ht="24.75" customHeight="1">
      <c r="A88" s="2101"/>
      <c r="B88" s="4654" t="s">
        <v>1635</v>
      </c>
      <c r="C88" s="4654"/>
      <c r="D88" s="4654"/>
      <c r="E88" s="4654"/>
      <c r="F88" s="4654"/>
      <c r="G88" s="4654"/>
      <c r="H88" s="4654"/>
      <c r="I88" s="4654"/>
      <c r="J88" s="4654"/>
      <c r="K88" s="4654"/>
      <c r="L88" s="4654"/>
      <c r="M88" s="4654"/>
      <c r="N88" s="2401"/>
      <c r="O88" s="2139"/>
    </row>
    <row r="89" spans="1:83" ht="13.5" customHeight="1">
      <c r="A89" s="2101"/>
      <c r="B89" s="4654"/>
      <c r="C89" s="4654"/>
      <c r="D89" s="4654"/>
      <c r="E89" s="4654"/>
      <c r="F89" s="4654"/>
      <c r="G89" s="4654"/>
      <c r="H89" s="4654"/>
      <c r="I89" s="4654"/>
      <c r="J89" s="4654"/>
      <c r="K89" s="4654"/>
      <c r="L89" s="4654"/>
      <c r="M89" s="4654"/>
      <c r="N89" s="2401"/>
      <c r="O89" s="2138"/>
    </row>
    <row r="90" spans="1:83">
      <c r="A90" s="2101"/>
      <c r="B90" s="2204"/>
      <c r="C90" s="3530"/>
      <c r="D90" s="2204"/>
      <c r="E90" s="2204"/>
      <c r="F90" s="2204"/>
      <c r="G90" s="2204"/>
      <c r="H90" s="2204"/>
      <c r="I90" s="2204"/>
      <c r="J90" s="2204"/>
      <c r="K90" s="2204"/>
      <c r="L90" s="2204"/>
      <c r="M90" s="2204"/>
      <c r="N90" s="2101"/>
      <c r="O90" s="2139"/>
    </row>
    <row r="91" spans="1:83">
      <c r="A91" s="2101"/>
      <c r="B91" s="2970"/>
      <c r="C91" s="3530"/>
      <c r="D91" s="2204"/>
      <c r="E91" s="2204"/>
      <c r="F91" s="2969"/>
      <c r="G91" s="2204"/>
      <c r="H91" s="2124"/>
      <c r="I91" s="2204"/>
      <c r="J91" s="2204"/>
      <c r="K91" s="2204"/>
      <c r="L91" s="2204"/>
      <c r="M91" s="2204"/>
      <c r="N91" s="2101"/>
    </row>
    <row r="92" spans="1:83">
      <c r="A92" s="2101"/>
      <c r="B92" s="2204"/>
      <c r="C92" s="2320"/>
      <c r="D92" s="2204"/>
      <c r="E92" s="2204"/>
      <c r="F92" s="2204"/>
      <c r="G92" s="2204"/>
      <c r="H92" s="2204"/>
      <c r="I92" s="2204"/>
      <c r="J92" s="2204"/>
      <c r="K92" s="2204"/>
      <c r="L92" s="2204"/>
      <c r="M92" s="2204"/>
      <c r="N92" s="2101"/>
    </row>
    <row r="93" spans="1:83">
      <c r="A93" s="2101"/>
      <c r="B93" s="2970"/>
      <c r="C93" s="2320"/>
      <c r="D93" s="2204"/>
      <c r="E93" s="2204"/>
      <c r="F93" s="2204"/>
      <c r="G93" s="2204"/>
      <c r="H93" s="2204"/>
      <c r="I93" s="2204"/>
      <c r="J93" s="2204"/>
      <c r="K93" s="2204"/>
      <c r="L93" s="2204"/>
      <c r="M93" s="2204"/>
      <c r="N93" s="2101"/>
    </row>
    <row r="95" spans="1:83">
      <c r="D95" s="2319"/>
      <c r="E95" s="2319"/>
    </row>
    <row r="97" spans="2:13">
      <c r="C97" s="3529"/>
      <c r="D97" s="2319"/>
      <c r="E97" s="2319"/>
    </row>
    <row r="100" spans="2:13">
      <c r="E100" s="2319"/>
    </row>
    <row r="103" spans="2:13">
      <c r="B103" s="2105"/>
      <c r="C103" s="3531"/>
      <c r="D103" s="2319"/>
      <c r="E103" s="2105"/>
      <c r="F103" s="2105"/>
      <c r="G103" s="2105"/>
      <c r="H103" s="2105"/>
      <c r="I103" s="2105"/>
      <c r="J103" s="2105"/>
      <c r="K103" s="2105"/>
      <c r="L103" s="2105"/>
      <c r="M103" s="2105"/>
    </row>
  </sheetData>
  <mergeCells count="3">
    <mergeCell ref="B1:M1"/>
    <mergeCell ref="E6:G6"/>
    <mergeCell ref="B88:M89"/>
  </mergeCells>
  <pageMargins left="0.7" right="0.7" top="0.75" bottom="0.75" header="0.3" footer="0.3"/>
  <pageSetup paperSize="9" scale="73" orientation="portrait" r:id="rId1"/>
  <colBreaks count="1" manualBreakCount="1">
    <brk id="14" max="1048575" man="1"/>
  </colBreaks>
</worksheet>
</file>

<file path=xl/worksheets/sheet42.xml><?xml version="1.0" encoding="utf-8"?>
<worksheet xmlns="http://schemas.openxmlformats.org/spreadsheetml/2006/main" xmlns:r="http://schemas.openxmlformats.org/officeDocument/2006/relationships">
  <dimension ref="A1:Q87"/>
  <sheetViews>
    <sheetView zoomScale="70" zoomScaleNormal="70" workbookViewId="0">
      <pane xSplit="2" ySplit="8" topLeftCell="C9" activePane="bottomRight" state="frozen"/>
      <selection activeCell="O92" sqref="O92"/>
      <selection pane="topRight" activeCell="O92" sqref="O92"/>
      <selection pane="bottomLeft" activeCell="O92" sqref="O92"/>
      <selection pane="bottomRight" activeCell="P92" sqref="P92"/>
    </sheetView>
  </sheetViews>
  <sheetFormatPr defaultRowHeight="16.5"/>
  <cols>
    <col min="1" max="1" width="9.140625" style="2139"/>
    <col min="2" max="2" width="10" style="2112" customWidth="1"/>
    <col min="3" max="3" width="9.85546875" style="3503" customWidth="1"/>
    <col min="4" max="4" width="14" style="2112" customWidth="1"/>
    <col min="5" max="5" width="9.5703125" style="2112" customWidth="1"/>
    <col min="6" max="6" width="9.85546875" style="2112" customWidth="1"/>
    <col min="7" max="7" width="14.5703125" style="2112" customWidth="1"/>
    <col min="8" max="8" width="10.42578125" style="2112" customWidth="1"/>
    <col min="9" max="9" width="9.85546875" style="2112" customWidth="1"/>
    <col min="10" max="10" width="9.140625" style="2112" hidden="1" customWidth="1"/>
    <col min="11" max="11" width="13.85546875" style="2112" customWidth="1"/>
    <col min="12" max="12" width="9.42578125" style="2112" customWidth="1"/>
    <col min="13" max="13" width="9.140625" style="2139"/>
    <col min="14" max="256" width="9.140625" style="2105"/>
    <col min="257" max="257" width="10" style="2105" customWidth="1"/>
    <col min="258" max="258" width="9.85546875" style="2105" customWidth="1"/>
    <col min="259" max="259" width="14.5703125" style="2105" customWidth="1"/>
    <col min="260" max="260" width="9.5703125" style="2105" customWidth="1"/>
    <col min="261" max="261" width="9.85546875" style="2105" customWidth="1"/>
    <col min="262" max="262" width="14.5703125" style="2105" customWidth="1"/>
    <col min="263" max="263" width="10.42578125" style="2105" customWidth="1"/>
    <col min="264" max="264" width="9.85546875" style="2105" customWidth="1"/>
    <col min="265" max="265" width="0" style="2105" hidden="1" customWidth="1"/>
    <col min="266" max="266" width="13.85546875" style="2105" customWidth="1"/>
    <col min="267" max="267" width="9.42578125" style="2105" customWidth="1"/>
    <col min="268" max="512" width="9.140625" style="2105"/>
    <col min="513" max="513" width="10" style="2105" customWidth="1"/>
    <col min="514" max="514" width="9.85546875" style="2105" customWidth="1"/>
    <col min="515" max="515" width="14.5703125" style="2105" customWidth="1"/>
    <col min="516" max="516" width="9.5703125" style="2105" customWidth="1"/>
    <col min="517" max="517" width="9.85546875" style="2105" customWidth="1"/>
    <col min="518" max="518" width="14.5703125" style="2105" customWidth="1"/>
    <col min="519" max="519" width="10.42578125" style="2105" customWidth="1"/>
    <col min="520" max="520" width="9.85546875" style="2105" customWidth="1"/>
    <col min="521" max="521" width="0" style="2105" hidden="1" customWidth="1"/>
    <col min="522" max="522" width="13.85546875" style="2105" customWidth="1"/>
    <col min="523" max="523" width="9.42578125" style="2105" customWidth="1"/>
    <col min="524" max="768" width="9.140625" style="2105"/>
    <col min="769" max="769" width="10" style="2105" customWidth="1"/>
    <col min="770" max="770" width="9.85546875" style="2105" customWidth="1"/>
    <col min="771" max="771" width="14.5703125" style="2105" customWidth="1"/>
    <col min="772" max="772" width="9.5703125" style="2105" customWidth="1"/>
    <col min="773" max="773" width="9.85546875" style="2105" customWidth="1"/>
    <col min="774" max="774" width="14.5703125" style="2105" customWidth="1"/>
    <col min="775" max="775" width="10.42578125" style="2105" customWidth="1"/>
    <col min="776" max="776" width="9.85546875" style="2105" customWidth="1"/>
    <col min="777" max="777" width="0" style="2105" hidden="1" customWidth="1"/>
    <col min="778" max="778" width="13.85546875" style="2105" customWidth="1"/>
    <col min="779" max="779" width="9.42578125" style="2105" customWidth="1"/>
    <col min="780" max="1024" width="9.140625" style="2105"/>
    <col min="1025" max="1025" width="10" style="2105" customWidth="1"/>
    <col min="1026" max="1026" width="9.85546875" style="2105" customWidth="1"/>
    <col min="1027" max="1027" width="14.5703125" style="2105" customWidth="1"/>
    <col min="1028" max="1028" width="9.5703125" style="2105" customWidth="1"/>
    <col min="1029" max="1029" width="9.85546875" style="2105" customWidth="1"/>
    <col min="1030" max="1030" width="14.5703125" style="2105" customWidth="1"/>
    <col min="1031" max="1031" width="10.42578125" style="2105" customWidth="1"/>
    <col min="1032" max="1032" width="9.85546875" style="2105" customWidth="1"/>
    <col min="1033" max="1033" width="0" style="2105" hidden="1" customWidth="1"/>
    <col min="1034" max="1034" width="13.85546875" style="2105" customWidth="1"/>
    <col min="1035" max="1035" width="9.42578125" style="2105" customWidth="1"/>
    <col min="1036" max="1280" width="9.140625" style="2105"/>
    <col min="1281" max="1281" width="10" style="2105" customWidth="1"/>
    <col min="1282" max="1282" width="9.85546875" style="2105" customWidth="1"/>
    <col min="1283" max="1283" width="14.5703125" style="2105" customWidth="1"/>
    <col min="1284" max="1284" width="9.5703125" style="2105" customWidth="1"/>
    <col min="1285" max="1285" width="9.85546875" style="2105" customWidth="1"/>
    <col min="1286" max="1286" width="14.5703125" style="2105" customWidth="1"/>
    <col min="1287" max="1287" width="10.42578125" style="2105" customWidth="1"/>
    <col min="1288" max="1288" width="9.85546875" style="2105" customWidth="1"/>
    <col min="1289" max="1289" width="0" style="2105" hidden="1" customWidth="1"/>
    <col min="1290" max="1290" width="13.85546875" style="2105" customWidth="1"/>
    <col min="1291" max="1291" width="9.42578125" style="2105" customWidth="1"/>
    <col min="1292" max="1536" width="9.140625" style="2105"/>
    <col min="1537" max="1537" width="10" style="2105" customWidth="1"/>
    <col min="1538" max="1538" width="9.85546875" style="2105" customWidth="1"/>
    <col min="1539" max="1539" width="14.5703125" style="2105" customWidth="1"/>
    <col min="1540" max="1540" width="9.5703125" style="2105" customWidth="1"/>
    <col min="1541" max="1541" width="9.85546875" style="2105" customWidth="1"/>
    <col min="1542" max="1542" width="14.5703125" style="2105" customWidth="1"/>
    <col min="1543" max="1543" width="10.42578125" style="2105" customWidth="1"/>
    <col min="1544" max="1544" width="9.85546875" style="2105" customWidth="1"/>
    <col min="1545" max="1545" width="0" style="2105" hidden="1" customWidth="1"/>
    <col min="1546" max="1546" width="13.85546875" style="2105" customWidth="1"/>
    <col min="1547" max="1547" width="9.42578125" style="2105" customWidth="1"/>
    <col min="1548" max="1792" width="9.140625" style="2105"/>
    <col min="1793" max="1793" width="10" style="2105" customWidth="1"/>
    <col min="1794" max="1794" width="9.85546875" style="2105" customWidth="1"/>
    <col min="1795" max="1795" width="14.5703125" style="2105" customWidth="1"/>
    <col min="1796" max="1796" width="9.5703125" style="2105" customWidth="1"/>
    <col min="1797" max="1797" width="9.85546875" style="2105" customWidth="1"/>
    <col min="1798" max="1798" width="14.5703125" style="2105" customWidth="1"/>
    <col min="1799" max="1799" width="10.42578125" style="2105" customWidth="1"/>
    <col min="1800" max="1800" width="9.85546875" style="2105" customWidth="1"/>
    <col min="1801" max="1801" width="0" style="2105" hidden="1" customWidth="1"/>
    <col min="1802" max="1802" width="13.85546875" style="2105" customWidth="1"/>
    <col min="1803" max="1803" width="9.42578125" style="2105" customWidth="1"/>
    <col min="1804" max="2048" width="9.140625" style="2105"/>
    <col min="2049" max="2049" width="10" style="2105" customWidth="1"/>
    <col min="2050" max="2050" width="9.85546875" style="2105" customWidth="1"/>
    <col min="2051" max="2051" width="14.5703125" style="2105" customWidth="1"/>
    <col min="2052" max="2052" width="9.5703125" style="2105" customWidth="1"/>
    <col min="2053" max="2053" width="9.85546875" style="2105" customWidth="1"/>
    <col min="2054" max="2054" width="14.5703125" style="2105" customWidth="1"/>
    <col min="2055" max="2055" width="10.42578125" style="2105" customWidth="1"/>
    <col min="2056" max="2056" width="9.85546875" style="2105" customWidth="1"/>
    <col min="2057" max="2057" width="0" style="2105" hidden="1" customWidth="1"/>
    <col min="2058" max="2058" width="13.85546875" style="2105" customWidth="1"/>
    <col min="2059" max="2059" width="9.42578125" style="2105" customWidth="1"/>
    <col min="2060" max="2304" width="9.140625" style="2105"/>
    <col min="2305" max="2305" width="10" style="2105" customWidth="1"/>
    <col min="2306" max="2306" width="9.85546875" style="2105" customWidth="1"/>
    <col min="2307" max="2307" width="14.5703125" style="2105" customWidth="1"/>
    <col min="2308" max="2308" width="9.5703125" style="2105" customWidth="1"/>
    <col min="2309" max="2309" width="9.85546875" style="2105" customWidth="1"/>
    <col min="2310" max="2310" width="14.5703125" style="2105" customWidth="1"/>
    <col min="2311" max="2311" width="10.42578125" style="2105" customWidth="1"/>
    <col min="2312" max="2312" width="9.85546875" style="2105" customWidth="1"/>
    <col min="2313" max="2313" width="0" style="2105" hidden="1" customWidth="1"/>
    <col min="2314" max="2314" width="13.85546875" style="2105" customWidth="1"/>
    <col min="2315" max="2315" width="9.42578125" style="2105" customWidth="1"/>
    <col min="2316" max="2560" width="9.140625" style="2105"/>
    <col min="2561" max="2561" width="10" style="2105" customWidth="1"/>
    <col min="2562" max="2562" width="9.85546875" style="2105" customWidth="1"/>
    <col min="2563" max="2563" width="14.5703125" style="2105" customWidth="1"/>
    <col min="2564" max="2564" width="9.5703125" style="2105" customWidth="1"/>
    <col min="2565" max="2565" width="9.85546875" style="2105" customWidth="1"/>
    <col min="2566" max="2566" width="14.5703125" style="2105" customWidth="1"/>
    <col min="2567" max="2567" width="10.42578125" style="2105" customWidth="1"/>
    <col min="2568" max="2568" width="9.85546875" style="2105" customWidth="1"/>
    <col min="2569" max="2569" width="0" style="2105" hidden="1" customWidth="1"/>
    <col min="2570" max="2570" width="13.85546875" style="2105" customWidth="1"/>
    <col min="2571" max="2571" width="9.42578125" style="2105" customWidth="1"/>
    <col min="2572" max="2816" width="9.140625" style="2105"/>
    <col min="2817" max="2817" width="10" style="2105" customWidth="1"/>
    <col min="2818" max="2818" width="9.85546875" style="2105" customWidth="1"/>
    <col min="2819" max="2819" width="14.5703125" style="2105" customWidth="1"/>
    <col min="2820" max="2820" width="9.5703125" style="2105" customWidth="1"/>
    <col min="2821" max="2821" width="9.85546875" style="2105" customWidth="1"/>
    <col min="2822" max="2822" width="14.5703125" style="2105" customWidth="1"/>
    <col min="2823" max="2823" width="10.42578125" style="2105" customWidth="1"/>
    <col min="2824" max="2824" width="9.85546875" style="2105" customWidth="1"/>
    <col min="2825" max="2825" width="0" style="2105" hidden="1" customWidth="1"/>
    <col min="2826" max="2826" width="13.85546875" style="2105" customWidth="1"/>
    <col min="2827" max="2827" width="9.42578125" style="2105" customWidth="1"/>
    <col min="2828" max="3072" width="9.140625" style="2105"/>
    <col min="3073" max="3073" width="10" style="2105" customWidth="1"/>
    <col min="3074" max="3074" width="9.85546875" style="2105" customWidth="1"/>
    <col min="3075" max="3075" width="14.5703125" style="2105" customWidth="1"/>
    <col min="3076" max="3076" width="9.5703125" style="2105" customWidth="1"/>
    <col min="3077" max="3077" width="9.85546875" style="2105" customWidth="1"/>
    <col min="3078" max="3078" width="14.5703125" style="2105" customWidth="1"/>
    <col min="3079" max="3079" width="10.42578125" style="2105" customWidth="1"/>
    <col min="3080" max="3080" width="9.85546875" style="2105" customWidth="1"/>
    <col min="3081" max="3081" width="0" style="2105" hidden="1" customWidth="1"/>
    <col min="3082" max="3082" width="13.85546875" style="2105" customWidth="1"/>
    <col min="3083" max="3083" width="9.42578125" style="2105" customWidth="1"/>
    <col min="3084" max="3328" width="9.140625" style="2105"/>
    <col min="3329" max="3329" width="10" style="2105" customWidth="1"/>
    <col min="3330" max="3330" width="9.85546875" style="2105" customWidth="1"/>
    <col min="3331" max="3331" width="14.5703125" style="2105" customWidth="1"/>
    <col min="3332" max="3332" width="9.5703125" style="2105" customWidth="1"/>
    <col min="3333" max="3333" width="9.85546875" style="2105" customWidth="1"/>
    <col min="3334" max="3334" width="14.5703125" style="2105" customWidth="1"/>
    <col min="3335" max="3335" width="10.42578125" style="2105" customWidth="1"/>
    <col min="3336" max="3336" width="9.85546875" style="2105" customWidth="1"/>
    <col min="3337" max="3337" width="0" style="2105" hidden="1" customWidth="1"/>
    <col min="3338" max="3338" width="13.85546875" style="2105" customWidth="1"/>
    <col min="3339" max="3339" width="9.42578125" style="2105" customWidth="1"/>
    <col min="3340" max="3584" width="9.140625" style="2105"/>
    <col min="3585" max="3585" width="10" style="2105" customWidth="1"/>
    <col min="3586" max="3586" width="9.85546875" style="2105" customWidth="1"/>
    <col min="3587" max="3587" width="14.5703125" style="2105" customWidth="1"/>
    <col min="3588" max="3588" width="9.5703125" style="2105" customWidth="1"/>
    <col min="3589" max="3589" width="9.85546875" style="2105" customWidth="1"/>
    <col min="3590" max="3590" width="14.5703125" style="2105" customWidth="1"/>
    <col min="3591" max="3591" width="10.42578125" style="2105" customWidth="1"/>
    <col min="3592" max="3592" width="9.85546875" style="2105" customWidth="1"/>
    <col min="3593" max="3593" width="0" style="2105" hidden="1" customWidth="1"/>
    <col min="3594" max="3594" width="13.85546875" style="2105" customWidth="1"/>
    <col min="3595" max="3595" width="9.42578125" style="2105" customWidth="1"/>
    <col min="3596" max="3840" width="9.140625" style="2105"/>
    <col min="3841" max="3841" width="10" style="2105" customWidth="1"/>
    <col min="3842" max="3842" width="9.85546875" style="2105" customWidth="1"/>
    <col min="3843" max="3843" width="14.5703125" style="2105" customWidth="1"/>
    <col min="3844" max="3844" width="9.5703125" style="2105" customWidth="1"/>
    <col min="3845" max="3845" width="9.85546875" style="2105" customWidth="1"/>
    <col min="3846" max="3846" width="14.5703125" style="2105" customWidth="1"/>
    <col min="3847" max="3847" width="10.42578125" style="2105" customWidth="1"/>
    <col min="3848" max="3848" width="9.85546875" style="2105" customWidth="1"/>
    <col min="3849" max="3849" width="0" style="2105" hidden="1" customWidth="1"/>
    <col min="3850" max="3850" width="13.85546875" style="2105" customWidth="1"/>
    <col min="3851" max="3851" width="9.42578125" style="2105" customWidth="1"/>
    <col min="3852" max="4096" width="9.140625" style="2105"/>
    <col min="4097" max="4097" width="10" style="2105" customWidth="1"/>
    <col min="4098" max="4098" width="9.85546875" style="2105" customWidth="1"/>
    <col min="4099" max="4099" width="14.5703125" style="2105" customWidth="1"/>
    <col min="4100" max="4100" width="9.5703125" style="2105" customWidth="1"/>
    <col min="4101" max="4101" width="9.85546875" style="2105" customWidth="1"/>
    <col min="4102" max="4102" width="14.5703125" style="2105" customWidth="1"/>
    <col min="4103" max="4103" width="10.42578125" style="2105" customWidth="1"/>
    <col min="4104" max="4104" width="9.85546875" style="2105" customWidth="1"/>
    <col min="4105" max="4105" width="0" style="2105" hidden="1" customWidth="1"/>
    <col min="4106" max="4106" width="13.85546875" style="2105" customWidth="1"/>
    <col min="4107" max="4107" width="9.42578125" style="2105" customWidth="1"/>
    <col min="4108" max="4352" width="9.140625" style="2105"/>
    <col min="4353" max="4353" width="10" style="2105" customWidth="1"/>
    <col min="4354" max="4354" width="9.85546875" style="2105" customWidth="1"/>
    <col min="4355" max="4355" width="14.5703125" style="2105" customWidth="1"/>
    <col min="4356" max="4356" width="9.5703125" style="2105" customWidth="1"/>
    <col min="4357" max="4357" width="9.85546875" style="2105" customWidth="1"/>
    <col min="4358" max="4358" width="14.5703125" style="2105" customWidth="1"/>
    <col min="4359" max="4359" width="10.42578125" style="2105" customWidth="1"/>
    <col min="4360" max="4360" width="9.85546875" style="2105" customWidth="1"/>
    <col min="4361" max="4361" width="0" style="2105" hidden="1" customWidth="1"/>
    <col min="4362" max="4362" width="13.85546875" style="2105" customWidth="1"/>
    <col min="4363" max="4363" width="9.42578125" style="2105" customWidth="1"/>
    <col min="4364" max="4608" width="9.140625" style="2105"/>
    <col min="4609" max="4609" width="10" style="2105" customWidth="1"/>
    <col min="4610" max="4610" width="9.85546875" style="2105" customWidth="1"/>
    <col min="4611" max="4611" width="14.5703125" style="2105" customWidth="1"/>
    <col min="4612" max="4612" width="9.5703125" style="2105" customWidth="1"/>
    <col min="4613" max="4613" width="9.85546875" style="2105" customWidth="1"/>
    <col min="4614" max="4614" width="14.5703125" style="2105" customWidth="1"/>
    <col min="4615" max="4615" width="10.42578125" style="2105" customWidth="1"/>
    <col min="4616" max="4616" width="9.85546875" style="2105" customWidth="1"/>
    <col min="4617" max="4617" width="0" style="2105" hidden="1" customWidth="1"/>
    <col min="4618" max="4618" width="13.85546875" style="2105" customWidth="1"/>
    <col min="4619" max="4619" width="9.42578125" style="2105" customWidth="1"/>
    <col min="4620" max="4864" width="9.140625" style="2105"/>
    <col min="4865" max="4865" width="10" style="2105" customWidth="1"/>
    <col min="4866" max="4866" width="9.85546875" style="2105" customWidth="1"/>
    <col min="4867" max="4867" width="14.5703125" style="2105" customWidth="1"/>
    <col min="4868" max="4868" width="9.5703125" style="2105" customWidth="1"/>
    <col min="4869" max="4869" width="9.85546875" style="2105" customWidth="1"/>
    <col min="4870" max="4870" width="14.5703125" style="2105" customWidth="1"/>
    <col min="4871" max="4871" width="10.42578125" style="2105" customWidth="1"/>
    <col min="4872" max="4872" width="9.85546875" style="2105" customWidth="1"/>
    <col min="4873" max="4873" width="0" style="2105" hidden="1" customWidth="1"/>
    <col min="4874" max="4874" width="13.85546875" style="2105" customWidth="1"/>
    <col min="4875" max="4875" width="9.42578125" style="2105" customWidth="1"/>
    <col min="4876" max="5120" width="9.140625" style="2105"/>
    <col min="5121" max="5121" width="10" style="2105" customWidth="1"/>
    <col min="5122" max="5122" width="9.85546875" style="2105" customWidth="1"/>
    <col min="5123" max="5123" width="14.5703125" style="2105" customWidth="1"/>
    <col min="5124" max="5124" width="9.5703125" style="2105" customWidth="1"/>
    <col min="5125" max="5125" width="9.85546875" style="2105" customWidth="1"/>
    <col min="5126" max="5126" width="14.5703125" style="2105" customWidth="1"/>
    <col min="5127" max="5127" width="10.42578125" style="2105" customWidth="1"/>
    <col min="5128" max="5128" width="9.85546875" style="2105" customWidth="1"/>
    <col min="5129" max="5129" width="0" style="2105" hidden="1" customWidth="1"/>
    <col min="5130" max="5130" width="13.85546875" style="2105" customWidth="1"/>
    <col min="5131" max="5131" width="9.42578125" style="2105" customWidth="1"/>
    <col min="5132" max="5376" width="9.140625" style="2105"/>
    <col min="5377" max="5377" width="10" style="2105" customWidth="1"/>
    <col min="5378" max="5378" width="9.85546875" style="2105" customWidth="1"/>
    <col min="5379" max="5379" width="14.5703125" style="2105" customWidth="1"/>
    <col min="5380" max="5380" width="9.5703125" style="2105" customWidth="1"/>
    <col min="5381" max="5381" width="9.85546875" style="2105" customWidth="1"/>
    <col min="5382" max="5382" width="14.5703125" style="2105" customWidth="1"/>
    <col min="5383" max="5383" width="10.42578125" style="2105" customWidth="1"/>
    <col min="5384" max="5384" width="9.85546875" style="2105" customWidth="1"/>
    <col min="5385" max="5385" width="0" style="2105" hidden="1" customWidth="1"/>
    <col min="5386" max="5386" width="13.85546875" style="2105" customWidth="1"/>
    <col min="5387" max="5387" width="9.42578125" style="2105" customWidth="1"/>
    <col min="5388" max="5632" width="9.140625" style="2105"/>
    <col min="5633" max="5633" width="10" style="2105" customWidth="1"/>
    <col min="5634" max="5634" width="9.85546875" style="2105" customWidth="1"/>
    <col min="5635" max="5635" width="14.5703125" style="2105" customWidth="1"/>
    <col min="5636" max="5636" width="9.5703125" style="2105" customWidth="1"/>
    <col min="5637" max="5637" width="9.85546875" style="2105" customWidth="1"/>
    <col min="5638" max="5638" width="14.5703125" style="2105" customWidth="1"/>
    <col min="5639" max="5639" width="10.42578125" style="2105" customWidth="1"/>
    <col min="5640" max="5640" width="9.85546875" style="2105" customWidth="1"/>
    <col min="5641" max="5641" width="0" style="2105" hidden="1" customWidth="1"/>
    <col min="5642" max="5642" width="13.85546875" style="2105" customWidth="1"/>
    <col min="5643" max="5643" width="9.42578125" style="2105" customWidth="1"/>
    <col min="5644" max="5888" width="9.140625" style="2105"/>
    <col min="5889" max="5889" width="10" style="2105" customWidth="1"/>
    <col min="5890" max="5890" width="9.85546875" style="2105" customWidth="1"/>
    <col min="5891" max="5891" width="14.5703125" style="2105" customWidth="1"/>
    <col min="5892" max="5892" width="9.5703125" style="2105" customWidth="1"/>
    <col min="5893" max="5893" width="9.85546875" style="2105" customWidth="1"/>
    <col min="5894" max="5894" width="14.5703125" style="2105" customWidth="1"/>
    <col min="5895" max="5895" width="10.42578125" style="2105" customWidth="1"/>
    <col min="5896" max="5896" width="9.85546875" style="2105" customWidth="1"/>
    <col min="5897" max="5897" width="0" style="2105" hidden="1" customWidth="1"/>
    <col min="5898" max="5898" width="13.85546875" style="2105" customWidth="1"/>
    <col min="5899" max="5899" width="9.42578125" style="2105" customWidth="1"/>
    <col min="5900" max="6144" width="9.140625" style="2105"/>
    <col min="6145" max="6145" width="10" style="2105" customWidth="1"/>
    <col min="6146" max="6146" width="9.85546875" style="2105" customWidth="1"/>
    <col min="6147" max="6147" width="14.5703125" style="2105" customWidth="1"/>
    <col min="6148" max="6148" width="9.5703125" style="2105" customWidth="1"/>
    <col min="6149" max="6149" width="9.85546875" style="2105" customWidth="1"/>
    <col min="6150" max="6150" width="14.5703125" style="2105" customWidth="1"/>
    <col min="6151" max="6151" width="10.42578125" style="2105" customWidth="1"/>
    <col min="6152" max="6152" width="9.85546875" style="2105" customWidth="1"/>
    <col min="6153" max="6153" width="0" style="2105" hidden="1" customWidth="1"/>
    <col min="6154" max="6154" width="13.85546875" style="2105" customWidth="1"/>
    <col min="6155" max="6155" width="9.42578125" style="2105" customWidth="1"/>
    <col min="6156" max="6400" width="9.140625" style="2105"/>
    <col min="6401" max="6401" width="10" style="2105" customWidth="1"/>
    <col min="6402" max="6402" width="9.85546875" style="2105" customWidth="1"/>
    <col min="6403" max="6403" width="14.5703125" style="2105" customWidth="1"/>
    <col min="6404" max="6404" width="9.5703125" style="2105" customWidth="1"/>
    <col min="6405" max="6405" width="9.85546875" style="2105" customWidth="1"/>
    <col min="6406" max="6406" width="14.5703125" style="2105" customWidth="1"/>
    <col min="6407" max="6407" width="10.42578125" style="2105" customWidth="1"/>
    <col min="6408" max="6408" width="9.85546875" style="2105" customWidth="1"/>
    <col min="6409" max="6409" width="0" style="2105" hidden="1" customWidth="1"/>
    <col min="6410" max="6410" width="13.85546875" style="2105" customWidth="1"/>
    <col min="6411" max="6411" width="9.42578125" style="2105" customWidth="1"/>
    <col min="6412" max="6656" width="9.140625" style="2105"/>
    <col min="6657" max="6657" width="10" style="2105" customWidth="1"/>
    <col min="6658" max="6658" width="9.85546875" style="2105" customWidth="1"/>
    <col min="6659" max="6659" width="14.5703125" style="2105" customWidth="1"/>
    <col min="6660" max="6660" width="9.5703125" style="2105" customWidth="1"/>
    <col min="6661" max="6661" width="9.85546875" style="2105" customWidth="1"/>
    <col min="6662" max="6662" width="14.5703125" style="2105" customWidth="1"/>
    <col min="6663" max="6663" width="10.42578125" style="2105" customWidth="1"/>
    <col min="6664" max="6664" width="9.85546875" style="2105" customWidth="1"/>
    <col min="6665" max="6665" width="0" style="2105" hidden="1" customWidth="1"/>
    <col min="6666" max="6666" width="13.85546875" style="2105" customWidth="1"/>
    <col min="6667" max="6667" width="9.42578125" style="2105" customWidth="1"/>
    <col min="6668" max="6912" width="9.140625" style="2105"/>
    <col min="6913" max="6913" width="10" style="2105" customWidth="1"/>
    <col min="6914" max="6914" width="9.85546875" style="2105" customWidth="1"/>
    <col min="6915" max="6915" width="14.5703125" style="2105" customWidth="1"/>
    <col min="6916" max="6916" width="9.5703125" style="2105" customWidth="1"/>
    <col min="6917" max="6917" width="9.85546875" style="2105" customWidth="1"/>
    <col min="6918" max="6918" width="14.5703125" style="2105" customWidth="1"/>
    <col min="6919" max="6919" width="10.42578125" style="2105" customWidth="1"/>
    <col min="6920" max="6920" width="9.85546875" style="2105" customWidth="1"/>
    <col min="6921" max="6921" width="0" style="2105" hidden="1" customWidth="1"/>
    <col min="6922" max="6922" width="13.85546875" style="2105" customWidth="1"/>
    <col min="6923" max="6923" width="9.42578125" style="2105" customWidth="1"/>
    <col min="6924" max="7168" width="9.140625" style="2105"/>
    <col min="7169" max="7169" width="10" style="2105" customWidth="1"/>
    <col min="7170" max="7170" width="9.85546875" style="2105" customWidth="1"/>
    <col min="7171" max="7171" width="14.5703125" style="2105" customWidth="1"/>
    <col min="7172" max="7172" width="9.5703125" style="2105" customWidth="1"/>
    <col min="7173" max="7173" width="9.85546875" style="2105" customWidth="1"/>
    <col min="7174" max="7174" width="14.5703125" style="2105" customWidth="1"/>
    <col min="7175" max="7175" width="10.42578125" style="2105" customWidth="1"/>
    <col min="7176" max="7176" width="9.85546875" style="2105" customWidth="1"/>
    <col min="7177" max="7177" width="0" style="2105" hidden="1" customWidth="1"/>
    <col min="7178" max="7178" width="13.85546875" style="2105" customWidth="1"/>
    <col min="7179" max="7179" width="9.42578125" style="2105" customWidth="1"/>
    <col min="7180" max="7424" width="9.140625" style="2105"/>
    <col min="7425" max="7425" width="10" style="2105" customWidth="1"/>
    <col min="7426" max="7426" width="9.85546875" style="2105" customWidth="1"/>
    <col min="7427" max="7427" width="14.5703125" style="2105" customWidth="1"/>
    <col min="7428" max="7428" width="9.5703125" style="2105" customWidth="1"/>
    <col min="7429" max="7429" width="9.85546875" style="2105" customWidth="1"/>
    <col min="7430" max="7430" width="14.5703125" style="2105" customWidth="1"/>
    <col min="7431" max="7431" width="10.42578125" style="2105" customWidth="1"/>
    <col min="7432" max="7432" width="9.85546875" style="2105" customWidth="1"/>
    <col min="7433" max="7433" width="0" style="2105" hidden="1" customWidth="1"/>
    <col min="7434" max="7434" width="13.85546875" style="2105" customWidth="1"/>
    <col min="7435" max="7435" width="9.42578125" style="2105" customWidth="1"/>
    <col min="7436" max="7680" width="9.140625" style="2105"/>
    <col min="7681" max="7681" width="10" style="2105" customWidth="1"/>
    <col min="7682" max="7682" width="9.85546875" style="2105" customWidth="1"/>
    <col min="7683" max="7683" width="14.5703125" style="2105" customWidth="1"/>
    <col min="7684" max="7684" width="9.5703125" style="2105" customWidth="1"/>
    <col min="7685" max="7685" width="9.85546875" style="2105" customWidth="1"/>
    <col min="7686" max="7686" width="14.5703125" style="2105" customWidth="1"/>
    <col min="7687" max="7687" width="10.42578125" style="2105" customWidth="1"/>
    <col min="7688" max="7688" width="9.85546875" style="2105" customWidth="1"/>
    <col min="7689" max="7689" width="0" style="2105" hidden="1" customWidth="1"/>
    <col min="7690" max="7690" width="13.85546875" style="2105" customWidth="1"/>
    <col min="7691" max="7691" width="9.42578125" style="2105" customWidth="1"/>
    <col min="7692" max="7936" width="9.140625" style="2105"/>
    <col min="7937" max="7937" width="10" style="2105" customWidth="1"/>
    <col min="7938" max="7938" width="9.85546875" style="2105" customWidth="1"/>
    <col min="7939" max="7939" width="14.5703125" style="2105" customWidth="1"/>
    <col min="7940" max="7940" width="9.5703125" style="2105" customWidth="1"/>
    <col min="7941" max="7941" width="9.85546875" style="2105" customWidth="1"/>
    <col min="7942" max="7942" width="14.5703125" style="2105" customWidth="1"/>
    <col min="7943" max="7943" width="10.42578125" style="2105" customWidth="1"/>
    <col min="7944" max="7944" width="9.85546875" style="2105" customWidth="1"/>
    <col min="7945" max="7945" width="0" style="2105" hidden="1" customWidth="1"/>
    <col min="7946" max="7946" width="13.85546875" style="2105" customWidth="1"/>
    <col min="7947" max="7947" width="9.42578125" style="2105" customWidth="1"/>
    <col min="7948" max="8192" width="9.140625" style="2105"/>
    <col min="8193" max="8193" width="10" style="2105" customWidth="1"/>
    <col min="8194" max="8194" width="9.85546875" style="2105" customWidth="1"/>
    <col min="8195" max="8195" width="14.5703125" style="2105" customWidth="1"/>
    <col min="8196" max="8196" width="9.5703125" style="2105" customWidth="1"/>
    <col min="8197" max="8197" width="9.85546875" style="2105" customWidth="1"/>
    <col min="8198" max="8198" width="14.5703125" style="2105" customWidth="1"/>
    <col min="8199" max="8199" width="10.42578125" style="2105" customWidth="1"/>
    <col min="8200" max="8200" width="9.85546875" style="2105" customWidth="1"/>
    <col min="8201" max="8201" width="0" style="2105" hidden="1" customWidth="1"/>
    <col min="8202" max="8202" width="13.85546875" style="2105" customWidth="1"/>
    <col min="8203" max="8203" width="9.42578125" style="2105" customWidth="1"/>
    <col min="8204" max="8448" width="9.140625" style="2105"/>
    <col min="8449" max="8449" width="10" style="2105" customWidth="1"/>
    <col min="8450" max="8450" width="9.85546875" style="2105" customWidth="1"/>
    <col min="8451" max="8451" width="14.5703125" style="2105" customWidth="1"/>
    <col min="8452" max="8452" width="9.5703125" style="2105" customWidth="1"/>
    <col min="8453" max="8453" width="9.85546875" style="2105" customWidth="1"/>
    <col min="8454" max="8454" width="14.5703125" style="2105" customWidth="1"/>
    <col min="8455" max="8455" width="10.42578125" style="2105" customWidth="1"/>
    <col min="8456" max="8456" width="9.85546875" style="2105" customWidth="1"/>
    <col min="8457" max="8457" width="0" style="2105" hidden="1" customWidth="1"/>
    <col min="8458" max="8458" width="13.85546875" style="2105" customWidth="1"/>
    <col min="8459" max="8459" width="9.42578125" style="2105" customWidth="1"/>
    <col min="8460" max="8704" width="9.140625" style="2105"/>
    <col min="8705" max="8705" width="10" style="2105" customWidth="1"/>
    <col min="8706" max="8706" width="9.85546875" style="2105" customWidth="1"/>
    <col min="8707" max="8707" width="14.5703125" style="2105" customWidth="1"/>
    <col min="8708" max="8708" width="9.5703125" style="2105" customWidth="1"/>
    <col min="8709" max="8709" width="9.85546875" style="2105" customWidth="1"/>
    <col min="8710" max="8710" width="14.5703125" style="2105" customWidth="1"/>
    <col min="8711" max="8711" width="10.42578125" style="2105" customWidth="1"/>
    <col min="8712" max="8712" width="9.85546875" style="2105" customWidth="1"/>
    <col min="8713" max="8713" width="0" style="2105" hidden="1" customWidth="1"/>
    <col min="8714" max="8714" width="13.85546875" style="2105" customWidth="1"/>
    <col min="8715" max="8715" width="9.42578125" style="2105" customWidth="1"/>
    <col min="8716" max="8960" width="9.140625" style="2105"/>
    <col min="8961" max="8961" width="10" style="2105" customWidth="1"/>
    <col min="8962" max="8962" width="9.85546875" style="2105" customWidth="1"/>
    <col min="8963" max="8963" width="14.5703125" style="2105" customWidth="1"/>
    <col min="8964" max="8964" width="9.5703125" style="2105" customWidth="1"/>
    <col min="8965" max="8965" width="9.85546875" style="2105" customWidth="1"/>
    <col min="8966" max="8966" width="14.5703125" style="2105" customWidth="1"/>
    <col min="8967" max="8967" width="10.42578125" style="2105" customWidth="1"/>
    <col min="8968" max="8968" width="9.85546875" style="2105" customWidth="1"/>
    <col min="8969" max="8969" width="0" style="2105" hidden="1" customWidth="1"/>
    <col min="8970" max="8970" width="13.85546875" style="2105" customWidth="1"/>
    <col min="8971" max="8971" width="9.42578125" style="2105" customWidth="1"/>
    <col min="8972" max="9216" width="9.140625" style="2105"/>
    <col min="9217" max="9217" width="10" style="2105" customWidth="1"/>
    <col min="9218" max="9218" width="9.85546875" style="2105" customWidth="1"/>
    <col min="9219" max="9219" width="14.5703125" style="2105" customWidth="1"/>
    <col min="9220" max="9220" width="9.5703125" style="2105" customWidth="1"/>
    <col min="9221" max="9221" width="9.85546875" style="2105" customWidth="1"/>
    <col min="9222" max="9222" width="14.5703125" style="2105" customWidth="1"/>
    <col min="9223" max="9223" width="10.42578125" style="2105" customWidth="1"/>
    <col min="9224" max="9224" width="9.85546875" style="2105" customWidth="1"/>
    <col min="9225" max="9225" width="0" style="2105" hidden="1" customWidth="1"/>
    <col min="9226" max="9226" width="13.85546875" style="2105" customWidth="1"/>
    <col min="9227" max="9227" width="9.42578125" style="2105" customWidth="1"/>
    <col min="9228" max="9472" width="9.140625" style="2105"/>
    <col min="9473" max="9473" width="10" style="2105" customWidth="1"/>
    <col min="9474" max="9474" width="9.85546875" style="2105" customWidth="1"/>
    <col min="9475" max="9475" width="14.5703125" style="2105" customWidth="1"/>
    <col min="9476" max="9476" width="9.5703125" style="2105" customWidth="1"/>
    <col min="9477" max="9477" width="9.85546875" style="2105" customWidth="1"/>
    <col min="9478" max="9478" width="14.5703125" style="2105" customWidth="1"/>
    <col min="9479" max="9479" width="10.42578125" style="2105" customWidth="1"/>
    <col min="9480" max="9480" width="9.85546875" style="2105" customWidth="1"/>
    <col min="9481" max="9481" width="0" style="2105" hidden="1" customWidth="1"/>
    <col min="9482" max="9482" width="13.85546875" style="2105" customWidth="1"/>
    <col min="9483" max="9483" width="9.42578125" style="2105" customWidth="1"/>
    <col min="9484" max="9728" width="9.140625" style="2105"/>
    <col min="9729" max="9729" width="10" style="2105" customWidth="1"/>
    <col min="9730" max="9730" width="9.85546875" style="2105" customWidth="1"/>
    <col min="9731" max="9731" width="14.5703125" style="2105" customWidth="1"/>
    <col min="9732" max="9732" width="9.5703125" style="2105" customWidth="1"/>
    <col min="9733" max="9733" width="9.85546875" style="2105" customWidth="1"/>
    <col min="9734" max="9734" width="14.5703125" style="2105" customWidth="1"/>
    <col min="9735" max="9735" width="10.42578125" style="2105" customWidth="1"/>
    <col min="9736" max="9736" width="9.85546875" style="2105" customWidth="1"/>
    <col min="9737" max="9737" width="0" style="2105" hidden="1" customWidth="1"/>
    <col min="9738" max="9738" width="13.85546875" style="2105" customWidth="1"/>
    <col min="9739" max="9739" width="9.42578125" style="2105" customWidth="1"/>
    <col min="9740" max="9984" width="9.140625" style="2105"/>
    <col min="9985" max="9985" width="10" style="2105" customWidth="1"/>
    <col min="9986" max="9986" width="9.85546875" style="2105" customWidth="1"/>
    <col min="9987" max="9987" width="14.5703125" style="2105" customWidth="1"/>
    <col min="9988" max="9988" width="9.5703125" style="2105" customWidth="1"/>
    <col min="9989" max="9989" width="9.85546875" style="2105" customWidth="1"/>
    <col min="9990" max="9990" width="14.5703125" style="2105" customWidth="1"/>
    <col min="9991" max="9991" width="10.42578125" style="2105" customWidth="1"/>
    <col min="9992" max="9992" width="9.85546875" style="2105" customWidth="1"/>
    <col min="9993" max="9993" width="0" style="2105" hidden="1" customWidth="1"/>
    <col min="9994" max="9994" width="13.85546875" style="2105" customWidth="1"/>
    <col min="9995" max="9995" width="9.42578125" style="2105" customWidth="1"/>
    <col min="9996" max="10240" width="9.140625" style="2105"/>
    <col min="10241" max="10241" width="10" style="2105" customWidth="1"/>
    <col min="10242" max="10242" width="9.85546875" style="2105" customWidth="1"/>
    <col min="10243" max="10243" width="14.5703125" style="2105" customWidth="1"/>
    <col min="10244" max="10244" width="9.5703125" style="2105" customWidth="1"/>
    <col min="10245" max="10245" width="9.85546875" style="2105" customWidth="1"/>
    <col min="10246" max="10246" width="14.5703125" style="2105" customWidth="1"/>
    <col min="10247" max="10247" width="10.42578125" style="2105" customWidth="1"/>
    <col min="10248" max="10248" width="9.85546875" style="2105" customWidth="1"/>
    <col min="10249" max="10249" width="0" style="2105" hidden="1" customWidth="1"/>
    <col min="10250" max="10250" width="13.85546875" style="2105" customWidth="1"/>
    <col min="10251" max="10251" width="9.42578125" style="2105" customWidth="1"/>
    <col min="10252" max="10496" width="9.140625" style="2105"/>
    <col min="10497" max="10497" width="10" style="2105" customWidth="1"/>
    <col min="10498" max="10498" width="9.85546875" style="2105" customWidth="1"/>
    <col min="10499" max="10499" width="14.5703125" style="2105" customWidth="1"/>
    <col min="10500" max="10500" width="9.5703125" style="2105" customWidth="1"/>
    <col min="10501" max="10501" width="9.85546875" style="2105" customWidth="1"/>
    <col min="10502" max="10502" width="14.5703125" style="2105" customWidth="1"/>
    <col min="10503" max="10503" width="10.42578125" style="2105" customWidth="1"/>
    <col min="10504" max="10504" width="9.85546875" style="2105" customWidth="1"/>
    <col min="10505" max="10505" width="0" style="2105" hidden="1" customWidth="1"/>
    <col min="10506" max="10506" width="13.85546875" style="2105" customWidth="1"/>
    <col min="10507" max="10507" width="9.42578125" style="2105" customWidth="1"/>
    <col min="10508" max="10752" width="9.140625" style="2105"/>
    <col min="10753" max="10753" width="10" style="2105" customWidth="1"/>
    <col min="10754" max="10754" width="9.85546875" style="2105" customWidth="1"/>
    <col min="10755" max="10755" width="14.5703125" style="2105" customWidth="1"/>
    <col min="10756" max="10756" width="9.5703125" style="2105" customWidth="1"/>
    <col min="10757" max="10757" width="9.85546875" style="2105" customWidth="1"/>
    <col min="10758" max="10758" width="14.5703125" style="2105" customWidth="1"/>
    <col min="10759" max="10759" width="10.42578125" style="2105" customWidth="1"/>
    <col min="10760" max="10760" width="9.85546875" style="2105" customWidth="1"/>
    <col min="10761" max="10761" width="0" style="2105" hidden="1" customWidth="1"/>
    <col min="10762" max="10762" width="13.85546875" style="2105" customWidth="1"/>
    <col min="10763" max="10763" width="9.42578125" style="2105" customWidth="1"/>
    <col min="10764" max="11008" width="9.140625" style="2105"/>
    <col min="11009" max="11009" width="10" style="2105" customWidth="1"/>
    <col min="11010" max="11010" width="9.85546875" style="2105" customWidth="1"/>
    <col min="11011" max="11011" width="14.5703125" style="2105" customWidth="1"/>
    <col min="11012" max="11012" width="9.5703125" style="2105" customWidth="1"/>
    <col min="11013" max="11013" width="9.85546875" style="2105" customWidth="1"/>
    <col min="11014" max="11014" width="14.5703125" style="2105" customWidth="1"/>
    <col min="11015" max="11015" width="10.42578125" style="2105" customWidth="1"/>
    <col min="11016" max="11016" width="9.85546875" style="2105" customWidth="1"/>
    <col min="11017" max="11017" width="0" style="2105" hidden="1" customWidth="1"/>
    <col min="11018" max="11018" width="13.85546875" style="2105" customWidth="1"/>
    <col min="11019" max="11019" width="9.42578125" style="2105" customWidth="1"/>
    <col min="11020" max="11264" width="9.140625" style="2105"/>
    <col min="11265" max="11265" width="10" style="2105" customWidth="1"/>
    <col min="11266" max="11266" width="9.85546875" style="2105" customWidth="1"/>
    <col min="11267" max="11267" width="14.5703125" style="2105" customWidth="1"/>
    <col min="11268" max="11268" width="9.5703125" style="2105" customWidth="1"/>
    <col min="11269" max="11269" width="9.85546875" style="2105" customWidth="1"/>
    <col min="11270" max="11270" width="14.5703125" style="2105" customWidth="1"/>
    <col min="11271" max="11271" width="10.42578125" style="2105" customWidth="1"/>
    <col min="11272" max="11272" width="9.85546875" style="2105" customWidth="1"/>
    <col min="11273" max="11273" width="0" style="2105" hidden="1" customWidth="1"/>
    <col min="11274" max="11274" width="13.85546875" style="2105" customWidth="1"/>
    <col min="11275" max="11275" width="9.42578125" style="2105" customWidth="1"/>
    <col min="11276" max="11520" width="9.140625" style="2105"/>
    <col min="11521" max="11521" width="10" style="2105" customWidth="1"/>
    <col min="11522" max="11522" width="9.85546875" style="2105" customWidth="1"/>
    <col min="11523" max="11523" width="14.5703125" style="2105" customWidth="1"/>
    <col min="11524" max="11524" width="9.5703125" style="2105" customWidth="1"/>
    <col min="11525" max="11525" width="9.85546875" style="2105" customWidth="1"/>
    <col min="11526" max="11526" width="14.5703125" style="2105" customWidth="1"/>
    <col min="11527" max="11527" width="10.42578125" style="2105" customWidth="1"/>
    <col min="11528" max="11528" width="9.85546875" style="2105" customWidth="1"/>
    <col min="11529" max="11529" width="0" style="2105" hidden="1" customWidth="1"/>
    <col min="11530" max="11530" width="13.85546875" style="2105" customWidth="1"/>
    <col min="11531" max="11531" width="9.42578125" style="2105" customWidth="1"/>
    <col min="11532" max="11776" width="9.140625" style="2105"/>
    <col min="11777" max="11777" width="10" style="2105" customWidth="1"/>
    <col min="11778" max="11778" width="9.85546875" style="2105" customWidth="1"/>
    <col min="11779" max="11779" width="14.5703125" style="2105" customWidth="1"/>
    <col min="11780" max="11780" width="9.5703125" style="2105" customWidth="1"/>
    <col min="11781" max="11781" width="9.85546875" style="2105" customWidth="1"/>
    <col min="11782" max="11782" width="14.5703125" style="2105" customWidth="1"/>
    <col min="11783" max="11783" width="10.42578125" style="2105" customWidth="1"/>
    <col min="11784" max="11784" width="9.85546875" style="2105" customWidth="1"/>
    <col min="11785" max="11785" width="0" style="2105" hidden="1" customWidth="1"/>
    <col min="11786" max="11786" width="13.85546875" style="2105" customWidth="1"/>
    <col min="11787" max="11787" width="9.42578125" style="2105" customWidth="1"/>
    <col min="11788" max="12032" width="9.140625" style="2105"/>
    <col min="12033" max="12033" width="10" style="2105" customWidth="1"/>
    <col min="12034" max="12034" width="9.85546875" style="2105" customWidth="1"/>
    <col min="12035" max="12035" width="14.5703125" style="2105" customWidth="1"/>
    <col min="12036" max="12036" width="9.5703125" style="2105" customWidth="1"/>
    <col min="12037" max="12037" width="9.85546875" style="2105" customWidth="1"/>
    <col min="12038" max="12038" width="14.5703125" style="2105" customWidth="1"/>
    <col min="12039" max="12039" width="10.42578125" style="2105" customWidth="1"/>
    <col min="12040" max="12040" width="9.85546875" style="2105" customWidth="1"/>
    <col min="12041" max="12041" width="0" style="2105" hidden="1" customWidth="1"/>
    <col min="12042" max="12042" width="13.85546875" style="2105" customWidth="1"/>
    <col min="12043" max="12043" width="9.42578125" style="2105" customWidth="1"/>
    <col min="12044" max="12288" width="9.140625" style="2105"/>
    <col min="12289" max="12289" width="10" style="2105" customWidth="1"/>
    <col min="12290" max="12290" width="9.85546875" style="2105" customWidth="1"/>
    <col min="12291" max="12291" width="14.5703125" style="2105" customWidth="1"/>
    <col min="12292" max="12292" width="9.5703125" style="2105" customWidth="1"/>
    <col min="12293" max="12293" width="9.85546875" style="2105" customWidth="1"/>
    <col min="12294" max="12294" width="14.5703125" style="2105" customWidth="1"/>
    <col min="12295" max="12295" width="10.42578125" style="2105" customWidth="1"/>
    <col min="12296" max="12296" width="9.85546875" style="2105" customWidth="1"/>
    <col min="12297" max="12297" width="0" style="2105" hidden="1" customWidth="1"/>
    <col min="12298" max="12298" width="13.85546875" style="2105" customWidth="1"/>
    <col min="12299" max="12299" width="9.42578125" style="2105" customWidth="1"/>
    <col min="12300" max="12544" width="9.140625" style="2105"/>
    <col min="12545" max="12545" width="10" style="2105" customWidth="1"/>
    <col min="12546" max="12546" width="9.85546875" style="2105" customWidth="1"/>
    <col min="12547" max="12547" width="14.5703125" style="2105" customWidth="1"/>
    <col min="12548" max="12548" width="9.5703125" style="2105" customWidth="1"/>
    <col min="12549" max="12549" width="9.85546875" style="2105" customWidth="1"/>
    <col min="12550" max="12550" width="14.5703125" style="2105" customWidth="1"/>
    <col min="12551" max="12551" width="10.42578125" style="2105" customWidth="1"/>
    <col min="12552" max="12552" width="9.85546875" style="2105" customWidth="1"/>
    <col min="12553" max="12553" width="0" style="2105" hidden="1" customWidth="1"/>
    <col min="12554" max="12554" width="13.85546875" style="2105" customWidth="1"/>
    <col min="12555" max="12555" width="9.42578125" style="2105" customWidth="1"/>
    <col min="12556" max="12800" width="9.140625" style="2105"/>
    <col min="12801" max="12801" width="10" style="2105" customWidth="1"/>
    <col min="12802" max="12802" width="9.85546875" style="2105" customWidth="1"/>
    <col min="12803" max="12803" width="14.5703125" style="2105" customWidth="1"/>
    <col min="12804" max="12804" width="9.5703125" style="2105" customWidth="1"/>
    <col min="12805" max="12805" width="9.85546875" style="2105" customWidth="1"/>
    <col min="12806" max="12806" width="14.5703125" style="2105" customWidth="1"/>
    <col min="12807" max="12807" width="10.42578125" style="2105" customWidth="1"/>
    <col min="12808" max="12808" width="9.85546875" style="2105" customWidth="1"/>
    <col min="12809" max="12809" width="0" style="2105" hidden="1" customWidth="1"/>
    <col min="12810" max="12810" width="13.85546875" style="2105" customWidth="1"/>
    <col min="12811" max="12811" width="9.42578125" style="2105" customWidth="1"/>
    <col min="12812" max="13056" width="9.140625" style="2105"/>
    <col min="13057" max="13057" width="10" style="2105" customWidth="1"/>
    <col min="13058" max="13058" width="9.85546875" style="2105" customWidth="1"/>
    <col min="13059" max="13059" width="14.5703125" style="2105" customWidth="1"/>
    <col min="13060" max="13060" width="9.5703125" style="2105" customWidth="1"/>
    <col min="13061" max="13061" width="9.85546875" style="2105" customWidth="1"/>
    <col min="13062" max="13062" width="14.5703125" style="2105" customWidth="1"/>
    <col min="13063" max="13063" width="10.42578125" style="2105" customWidth="1"/>
    <col min="13064" max="13064" width="9.85546875" style="2105" customWidth="1"/>
    <col min="13065" max="13065" width="0" style="2105" hidden="1" customWidth="1"/>
    <col min="13066" max="13066" width="13.85546875" style="2105" customWidth="1"/>
    <col min="13067" max="13067" width="9.42578125" style="2105" customWidth="1"/>
    <col min="13068" max="13312" width="9.140625" style="2105"/>
    <col min="13313" max="13313" width="10" style="2105" customWidth="1"/>
    <col min="13314" max="13314" width="9.85546875" style="2105" customWidth="1"/>
    <col min="13315" max="13315" width="14.5703125" style="2105" customWidth="1"/>
    <col min="13316" max="13316" width="9.5703125" style="2105" customWidth="1"/>
    <col min="13317" max="13317" width="9.85546875" style="2105" customWidth="1"/>
    <col min="13318" max="13318" width="14.5703125" style="2105" customWidth="1"/>
    <col min="13319" max="13319" width="10.42578125" style="2105" customWidth="1"/>
    <col min="13320" max="13320" width="9.85546875" style="2105" customWidth="1"/>
    <col min="13321" max="13321" width="0" style="2105" hidden="1" customWidth="1"/>
    <col min="13322" max="13322" width="13.85546875" style="2105" customWidth="1"/>
    <col min="13323" max="13323" width="9.42578125" style="2105" customWidth="1"/>
    <col min="13324" max="13568" width="9.140625" style="2105"/>
    <col min="13569" max="13569" width="10" style="2105" customWidth="1"/>
    <col min="13570" max="13570" width="9.85546875" style="2105" customWidth="1"/>
    <col min="13571" max="13571" width="14.5703125" style="2105" customWidth="1"/>
    <col min="13572" max="13572" width="9.5703125" style="2105" customWidth="1"/>
    <col min="13573" max="13573" width="9.85546875" style="2105" customWidth="1"/>
    <col min="13574" max="13574" width="14.5703125" style="2105" customWidth="1"/>
    <col min="13575" max="13575" width="10.42578125" style="2105" customWidth="1"/>
    <col min="13576" max="13576" width="9.85546875" style="2105" customWidth="1"/>
    <col min="13577" max="13577" width="0" style="2105" hidden="1" customWidth="1"/>
    <col min="13578" max="13578" width="13.85546875" style="2105" customWidth="1"/>
    <col min="13579" max="13579" width="9.42578125" style="2105" customWidth="1"/>
    <col min="13580" max="13824" width="9.140625" style="2105"/>
    <col min="13825" max="13825" width="10" style="2105" customWidth="1"/>
    <col min="13826" max="13826" width="9.85546875" style="2105" customWidth="1"/>
    <col min="13827" max="13827" width="14.5703125" style="2105" customWidth="1"/>
    <col min="13828" max="13828" width="9.5703125" style="2105" customWidth="1"/>
    <col min="13829" max="13829" width="9.85546875" style="2105" customWidth="1"/>
    <col min="13830" max="13830" width="14.5703125" style="2105" customWidth="1"/>
    <col min="13831" max="13831" width="10.42578125" style="2105" customWidth="1"/>
    <col min="13832" max="13832" width="9.85546875" style="2105" customWidth="1"/>
    <col min="13833" max="13833" width="0" style="2105" hidden="1" customWidth="1"/>
    <col min="13834" max="13834" width="13.85546875" style="2105" customWidth="1"/>
    <col min="13835" max="13835" width="9.42578125" style="2105" customWidth="1"/>
    <col min="13836" max="14080" width="9.140625" style="2105"/>
    <col min="14081" max="14081" width="10" style="2105" customWidth="1"/>
    <col min="14082" max="14082" width="9.85546875" style="2105" customWidth="1"/>
    <col min="14083" max="14083" width="14.5703125" style="2105" customWidth="1"/>
    <col min="14084" max="14084" width="9.5703125" style="2105" customWidth="1"/>
    <col min="14085" max="14085" width="9.85546875" style="2105" customWidth="1"/>
    <col min="14086" max="14086" width="14.5703125" style="2105" customWidth="1"/>
    <col min="14087" max="14087" width="10.42578125" style="2105" customWidth="1"/>
    <col min="14088" max="14088" width="9.85546875" style="2105" customWidth="1"/>
    <col min="14089" max="14089" width="0" style="2105" hidden="1" customWidth="1"/>
    <col min="14090" max="14090" width="13.85546875" style="2105" customWidth="1"/>
    <col min="14091" max="14091" width="9.42578125" style="2105" customWidth="1"/>
    <col min="14092" max="14336" width="9.140625" style="2105"/>
    <col min="14337" max="14337" width="10" style="2105" customWidth="1"/>
    <col min="14338" max="14338" width="9.85546875" style="2105" customWidth="1"/>
    <col min="14339" max="14339" width="14.5703125" style="2105" customWidth="1"/>
    <col min="14340" max="14340" width="9.5703125" style="2105" customWidth="1"/>
    <col min="14341" max="14341" width="9.85546875" style="2105" customWidth="1"/>
    <col min="14342" max="14342" width="14.5703125" style="2105" customWidth="1"/>
    <col min="14343" max="14343" width="10.42578125" style="2105" customWidth="1"/>
    <col min="14344" max="14344" width="9.85546875" style="2105" customWidth="1"/>
    <col min="14345" max="14345" width="0" style="2105" hidden="1" customWidth="1"/>
    <col min="14346" max="14346" width="13.85546875" style="2105" customWidth="1"/>
    <col min="14347" max="14347" width="9.42578125" style="2105" customWidth="1"/>
    <col min="14348" max="14592" width="9.140625" style="2105"/>
    <col min="14593" max="14593" width="10" style="2105" customWidth="1"/>
    <col min="14594" max="14594" width="9.85546875" style="2105" customWidth="1"/>
    <col min="14595" max="14595" width="14.5703125" style="2105" customWidth="1"/>
    <col min="14596" max="14596" width="9.5703125" style="2105" customWidth="1"/>
    <col min="14597" max="14597" width="9.85546875" style="2105" customWidth="1"/>
    <col min="14598" max="14598" width="14.5703125" style="2105" customWidth="1"/>
    <col min="14599" max="14599" width="10.42578125" style="2105" customWidth="1"/>
    <col min="14600" max="14600" width="9.85546875" style="2105" customWidth="1"/>
    <col min="14601" max="14601" width="0" style="2105" hidden="1" customWidth="1"/>
    <col min="14602" max="14602" width="13.85546875" style="2105" customWidth="1"/>
    <col min="14603" max="14603" width="9.42578125" style="2105" customWidth="1"/>
    <col min="14604" max="14848" width="9.140625" style="2105"/>
    <col min="14849" max="14849" width="10" style="2105" customWidth="1"/>
    <col min="14850" max="14850" width="9.85546875" style="2105" customWidth="1"/>
    <col min="14851" max="14851" width="14.5703125" style="2105" customWidth="1"/>
    <col min="14852" max="14852" width="9.5703125" style="2105" customWidth="1"/>
    <col min="14853" max="14853" width="9.85546875" style="2105" customWidth="1"/>
    <col min="14854" max="14854" width="14.5703125" style="2105" customWidth="1"/>
    <col min="14855" max="14855" width="10.42578125" style="2105" customWidth="1"/>
    <col min="14856" max="14856" width="9.85546875" style="2105" customWidth="1"/>
    <col min="14857" max="14857" width="0" style="2105" hidden="1" customWidth="1"/>
    <col min="14858" max="14858" width="13.85546875" style="2105" customWidth="1"/>
    <col min="14859" max="14859" width="9.42578125" style="2105" customWidth="1"/>
    <col min="14860" max="15104" width="9.140625" style="2105"/>
    <col min="15105" max="15105" width="10" style="2105" customWidth="1"/>
    <col min="15106" max="15106" width="9.85546875" style="2105" customWidth="1"/>
    <col min="15107" max="15107" width="14.5703125" style="2105" customWidth="1"/>
    <col min="15108" max="15108" width="9.5703125" style="2105" customWidth="1"/>
    <col min="15109" max="15109" width="9.85546875" style="2105" customWidth="1"/>
    <col min="15110" max="15110" width="14.5703125" style="2105" customWidth="1"/>
    <col min="15111" max="15111" width="10.42578125" style="2105" customWidth="1"/>
    <col min="15112" max="15112" width="9.85546875" style="2105" customWidth="1"/>
    <col min="15113" max="15113" width="0" style="2105" hidden="1" customWidth="1"/>
    <col min="15114" max="15114" width="13.85546875" style="2105" customWidth="1"/>
    <col min="15115" max="15115" width="9.42578125" style="2105" customWidth="1"/>
    <col min="15116" max="15360" width="9.140625" style="2105"/>
    <col min="15361" max="15361" width="10" style="2105" customWidth="1"/>
    <col min="15362" max="15362" width="9.85546875" style="2105" customWidth="1"/>
    <col min="15363" max="15363" width="14.5703125" style="2105" customWidth="1"/>
    <col min="15364" max="15364" width="9.5703125" style="2105" customWidth="1"/>
    <col min="15365" max="15365" width="9.85546875" style="2105" customWidth="1"/>
    <col min="15366" max="15366" width="14.5703125" style="2105" customWidth="1"/>
    <col min="15367" max="15367" width="10.42578125" style="2105" customWidth="1"/>
    <col min="15368" max="15368" width="9.85546875" style="2105" customWidth="1"/>
    <col min="15369" max="15369" width="0" style="2105" hidden="1" customWidth="1"/>
    <col min="15370" max="15370" width="13.85546875" style="2105" customWidth="1"/>
    <col min="15371" max="15371" width="9.42578125" style="2105" customWidth="1"/>
    <col min="15372" max="15616" width="9.140625" style="2105"/>
    <col min="15617" max="15617" width="10" style="2105" customWidth="1"/>
    <col min="15618" max="15618" width="9.85546875" style="2105" customWidth="1"/>
    <col min="15619" max="15619" width="14.5703125" style="2105" customWidth="1"/>
    <col min="15620" max="15620" width="9.5703125" style="2105" customWidth="1"/>
    <col min="15621" max="15621" width="9.85546875" style="2105" customWidth="1"/>
    <col min="15622" max="15622" width="14.5703125" style="2105" customWidth="1"/>
    <col min="15623" max="15623" width="10.42578125" style="2105" customWidth="1"/>
    <col min="15624" max="15624" width="9.85546875" style="2105" customWidth="1"/>
    <col min="15625" max="15625" width="0" style="2105" hidden="1" customWidth="1"/>
    <col min="15626" max="15626" width="13.85546875" style="2105" customWidth="1"/>
    <col min="15627" max="15627" width="9.42578125" style="2105" customWidth="1"/>
    <col min="15628" max="15872" width="9.140625" style="2105"/>
    <col min="15873" max="15873" width="10" style="2105" customWidth="1"/>
    <col min="15874" max="15874" width="9.85546875" style="2105" customWidth="1"/>
    <col min="15875" max="15875" width="14.5703125" style="2105" customWidth="1"/>
    <col min="15876" max="15876" width="9.5703125" style="2105" customWidth="1"/>
    <col min="15877" max="15877" width="9.85546875" style="2105" customWidth="1"/>
    <col min="15878" max="15878" width="14.5703125" style="2105" customWidth="1"/>
    <col min="15879" max="15879" width="10.42578125" style="2105" customWidth="1"/>
    <col min="15880" max="15880" width="9.85546875" style="2105" customWidth="1"/>
    <col min="15881" max="15881" width="0" style="2105" hidden="1" customWidth="1"/>
    <col min="15882" max="15882" width="13.85546875" style="2105" customWidth="1"/>
    <col min="15883" max="15883" width="9.42578125" style="2105" customWidth="1"/>
    <col min="15884" max="16128" width="9.140625" style="2105"/>
    <col min="16129" max="16129" width="10" style="2105" customWidth="1"/>
    <col min="16130" max="16130" width="9.85546875" style="2105" customWidth="1"/>
    <col min="16131" max="16131" width="14.5703125" style="2105" customWidth="1"/>
    <col min="16132" max="16132" width="9.5703125" style="2105" customWidth="1"/>
    <col min="16133" max="16133" width="9.85546875" style="2105" customWidth="1"/>
    <col min="16134" max="16134" width="14.5703125" style="2105" customWidth="1"/>
    <col min="16135" max="16135" width="10.42578125" style="2105" customWidth="1"/>
    <col min="16136" max="16136" width="9.85546875" style="2105" customWidth="1"/>
    <col min="16137" max="16137" width="0" style="2105" hidden="1" customWidth="1"/>
    <col min="16138" max="16138" width="13.85546875" style="2105" customWidth="1"/>
    <col min="16139" max="16139" width="9.42578125" style="2105" customWidth="1"/>
    <col min="16140" max="16384" width="9.140625" style="2105"/>
  </cols>
  <sheetData>
    <row r="1" spans="1:16" s="2139" customFormat="1" ht="18" customHeight="1">
      <c r="A1" s="2101"/>
      <c r="B1" s="4671" t="s">
        <v>2081</v>
      </c>
      <c r="C1" s="4671"/>
      <c r="D1" s="4671"/>
      <c r="E1" s="4671"/>
      <c r="F1" s="4671"/>
      <c r="G1" s="4671"/>
      <c r="H1" s="4671"/>
      <c r="I1" s="4671"/>
      <c r="J1" s="4671"/>
      <c r="K1" s="4671"/>
      <c r="L1" s="4671"/>
      <c r="M1" s="2101"/>
    </row>
    <row r="2" spans="1:16" s="2139" customFormat="1" ht="18" customHeight="1">
      <c r="A2" s="2101"/>
      <c r="B2" s="3151" t="s">
        <v>1757</v>
      </c>
      <c r="C2" s="3151"/>
      <c r="D2" s="3151"/>
      <c r="E2" s="2204"/>
      <c r="F2" s="2204"/>
      <c r="G2" s="2204"/>
      <c r="H2" s="2204"/>
      <c r="I2" s="2204"/>
      <c r="J2" s="2204"/>
      <c r="K2" s="2204"/>
      <c r="L2" s="2204"/>
      <c r="M2" s="2101"/>
    </row>
    <row r="3" spans="1:16" s="2139" customFormat="1" ht="12" customHeight="1">
      <c r="A3" s="2101"/>
      <c r="B3" s="2140"/>
      <c r="C3" s="3532"/>
      <c r="D3" s="2211"/>
      <c r="E3" s="2211"/>
      <c r="F3" s="2211"/>
      <c r="G3" s="2211"/>
      <c r="H3" s="2211"/>
      <c r="I3" s="2211"/>
      <c r="J3" s="2211"/>
      <c r="K3" s="2211"/>
      <c r="L3" s="2213"/>
      <c r="M3" s="2101"/>
    </row>
    <row r="4" spans="1:16" ht="18" customHeight="1">
      <c r="A4" s="2101"/>
      <c r="B4" s="2130"/>
      <c r="C4" s="2328" t="s">
        <v>188</v>
      </c>
      <c r="D4" s="2329"/>
      <c r="E4" s="2212"/>
      <c r="F4" s="2212"/>
      <c r="G4" s="2212"/>
      <c r="H4" s="2212"/>
      <c r="I4" s="2212"/>
      <c r="J4" s="2212"/>
      <c r="K4" s="2212"/>
      <c r="L4" s="2214"/>
      <c r="M4" s="2101"/>
    </row>
    <row r="5" spans="1:16" ht="36" customHeight="1">
      <c r="A5" s="2101"/>
      <c r="B5" s="2130"/>
      <c r="C5" s="2130"/>
      <c r="D5" s="4678" t="s">
        <v>1586</v>
      </c>
      <c r="E5" s="2130"/>
      <c r="F5" s="2130" t="s">
        <v>142</v>
      </c>
      <c r="G5" s="4678" t="s">
        <v>1587</v>
      </c>
      <c r="H5" s="2130" t="s">
        <v>142</v>
      </c>
      <c r="I5" s="2130"/>
      <c r="J5" s="2130"/>
      <c r="K5" s="2130" t="s">
        <v>142</v>
      </c>
      <c r="L5" s="2130" t="s">
        <v>142</v>
      </c>
      <c r="M5" s="2101"/>
    </row>
    <row r="6" spans="1:16" ht="18" customHeight="1">
      <c r="A6" s="2101"/>
      <c r="B6" s="2130" t="s">
        <v>1569</v>
      </c>
      <c r="C6" s="2130"/>
      <c r="D6" s="4678"/>
      <c r="E6" s="2130"/>
      <c r="F6" s="2130" t="s">
        <v>142</v>
      </c>
      <c r="G6" s="4678"/>
      <c r="H6" s="2130" t="s">
        <v>433</v>
      </c>
      <c r="I6" s="2130" t="s">
        <v>433</v>
      </c>
      <c r="J6" s="2130" t="s">
        <v>142</v>
      </c>
      <c r="K6" s="4675" t="s">
        <v>1578</v>
      </c>
      <c r="L6" s="2130" t="s">
        <v>189</v>
      </c>
      <c r="M6" s="2101"/>
    </row>
    <row r="7" spans="1:16" ht="18" customHeight="1">
      <c r="A7" s="2101"/>
      <c r="B7" s="2130" t="s">
        <v>1570</v>
      </c>
      <c r="C7" s="2130"/>
      <c r="D7" s="4678"/>
      <c r="E7" s="2130" t="s">
        <v>1579</v>
      </c>
      <c r="F7" s="2130" t="s">
        <v>1580</v>
      </c>
      <c r="G7" s="4678"/>
      <c r="H7" s="2130" t="s">
        <v>1582</v>
      </c>
      <c r="I7" s="2130" t="s">
        <v>1582</v>
      </c>
      <c r="J7" s="2130" t="s">
        <v>1583</v>
      </c>
      <c r="K7" s="4676"/>
      <c r="L7" s="2130" t="s">
        <v>191</v>
      </c>
      <c r="M7" s="2101"/>
    </row>
    <row r="8" spans="1:16" ht="18" customHeight="1">
      <c r="A8" s="2101"/>
      <c r="B8" s="2185" t="s">
        <v>140</v>
      </c>
      <c r="C8" s="2185" t="s">
        <v>152</v>
      </c>
      <c r="D8" s="4679"/>
      <c r="E8" s="2185" t="s">
        <v>1584</v>
      </c>
      <c r="F8" s="2185" t="s">
        <v>1584</v>
      </c>
      <c r="G8" s="4679"/>
      <c r="H8" s="2185" t="s">
        <v>1573</v>
      </c>
      <c r="I8" s="2185" t="s">
        <v>935</v>
      </c>
      <c r="J8" s="2185" t="s">
        <v>1584</v>
      </c>
      <c r="K8" s="4677"/>
      <c r="L8" s="2185" t="s">
        <v>180</v>
      </c>
      <c r="M8" s="2101"/>
    </row>
    <row r="9" spans="1:16" ht="18" hidden="1" customHeight="1">
      <c r="A9" s="2101"/>
      <c r="B9" s="2491">
        <v>2010</v>
      </c>
      <c r="C9" s="2491"/>
      <c r="D9" s="2408"/>
      <c r="E9" s="2408"/>
      <c r="F9" s="2408"/>
      <c r="G9" s="2408"/>
      <c r="H9" s="2408"/>
      <c r="I9" s="2408"/>
      <c r="J9" s="2408"/>
      <c r="K9" s="2408"/>
      <c r="L9" s="2408"/>
      <c r="M9" s="2101"/>
    </row>
    <row r="10" spans="1:16" ht="18" hidden="1" customHeight="1">
      <c r="A10" s="2101"/>
      <c r="B10" s="2408" t="s">
        <v>164</v>
      </c>
      <c r="C10" s="2705">
        <v>139.31121077</v>
      </c>
      <c r="D10" s="2693">
        <v>0</v>
      </c>
      <c r="E10" s="2693">
        <v>0</v>
      </c>
      <c r="F10" s="2693">
        <v>0</v>
      </c>
      <c r="G10" s="2693">
        <v>0</v>
      </c>
      <c r="H10" s="2693">
        <v>0</v>
      </c>
      <c r="I10" s="2693">
        <v>0</v>
      </c>
      <c r="J10" s="2693"/>
      <c r="K10" s="2693">
        <v>132.528334887</v>
      </c>
      <c r="L10" s="2693">
        <v>6.7828758830000027</v>
      </c>
      <c r="M10" s="2141"/>
      <c r="N10" s="2707"/>
    </row>
    <row r="11" spans="1:16" ht="18" hidden="1" customHeight="1">
      <c r="A11" s="2101"/>
      <c r="B11" s="2408" t="s">
        <v>165</v>
      </c>
      <c r="C11" s="2705">
        <v>144.60315878</v>
      </c>
      <c r="D11" s="2693">
        <v>0</v>
      </c>
      <c r="E11" s="2693">
        <v>0</v>
      </c>
      <c r="F11" s="2693">
        <v>0</v>
      </c>
      <c r="G11" s="2693">
        <v>0</v>
      </c>
      <c r="H11" s="2693">
        <v>0</v>
      </c>
      <c r="I11" s="2693">
        <v>0</v>
      </c>
      <c r="J11" s="2693"/>
      <c r="K11" s="2693">
        <v>136.79130339399998</v>
      </c>
      <c r="L11" s="2693">
        <v>7.8118553860000191</v>
      </c>
      <c r="M11" s="2141"/>
      <c r="N11" s="2707"/>
    </row>
    <row r="12" spans="1:16" ht="18" hidden="1" customHeight="1">
      <c r="A12" s="2101"/>
      <c r="B12" s="2408" t="s">
        <v>166</v>
      </c>
      <c r="C12" s="2705">
        <v>164.35909722</v>
      </c>
      <c r="D12" s="2693">
        <v>0</v>
      </c>
      <c r="E12" s="2693">
        <v>0</v>
      </c>
      <c r="F12" s="2693">
        <v>0</v>
      </c>
      <c r="G12" s="2693">
        <v>0</v>
      </c>
      <c r="H12" s="2693">
        <v>0</v>
      </c>
      <c r="I12" s="2693">
        <v>0</v>
      </c>
      <c r="J12" s="2693"/>
      <c r="K12" s="2693">
        <v>153.87205690200003</v>
      </c>
      <c r="L12" s="2693">
        <v>10.48704031799997</v>
      </c>
      <c r="M12" s="2141"/>
      <c r="N12" s="2707"/>
    </row>
    <row r="13" spans="1:16" ht="18" hidden="1" customHeight="1">
      <c r="A13" s="2101"/>
      <c r="B13" s="2408" t="s">
        <v>167</v>
      </c>
      <c r="C13" s="2705">
        <v>157.12465723</v>
      </c>
      <c r="D13" s="2693">
        <v>0</v>
      </c>
      <c r="E13" s="2693">
        <v>0</v>
      </c>
      <c r="F13" s="2693">
        <v>0</v>
      </c>
      <c r="G13" s="2693">
        <v>0</v>
      </c>
      <c r="H13" s="2693">
        <v>0</v>
      </c>
      <c r="I13" s="2699">
        <v>0</v>
      </c>
      <c r="J13" s="2786"/>
      <c r="K13" s="2786">
        <v>148.274314129</v>
      </c>
      <c r="L13" s="2693">
        <v>8.8503431009999929</v>
      </c>
      <c r="M13" s="2141"/>
      <c r="N13" s="2707"/>
      <c r="P13" s="2109"/>
    </row>
    <row r="14" spans="1:16" ht="18" hidden="1" customHeight="1">
      <c r="A14" s="2101"/>
      <c r="B14" s="2408" t="s">
        <v>168</v>
      </c>
      <c r="C14" s="2705">
        <v>159.67024774000001</v>
      </c>
      <c r="D14" s="2693">
        <v>0</v>
      </c>
      <c r="E14" s="2693">
        <v>0</v>
      </c>
      <c r="F14" s="2693">
        <v>0</v>
      </c>
      <c r="G14" s="2693">
        <v>0</v>
      </c>
      <c r="H14" s="2693">
        <v>0</v>
      </c>
      <c r="I14" s="2699">
        <v>0</v>
      </c>
      <c r="J14" s="2786"/>
      <c r="K14" s="2786">
        <v>152.640814823</v>
      </c>
      <c r="L14" s="2693">
        <v>7.0294329170000083</v>
      </c>
      <c r="M14" s="2141"/>
      <c r="N14" s="2707"/>
    </row>
    <row r="15" spans="1:16" ht="18" hidden="1" customHeight="1">
      <c r="A15" s="2101"/>
      <c r="B15" s="2408" t="s">
        <v>169</v>
      </c>
      <c r="C15" s="2705">
        <v>161.18498457999999</v>
      </c>
      <c r="D15" s="2693">
        <v>0</v>
      </c>
      <c r="E15" s="2693">
        <v>0</v>
      </c>
      <c r="F15" s="2693">
        <v>0</v>
      </c>
      <c r="G15" s="2693">
        <v>0</v>
      </c>
      <c r="H15" s="2693">
        <v>0</v>
      </c>
      <c r="I15" s="2693">
        <v>0</v>
      </c>
      <c r="J15" s="2693"/>
      <c r="K15" s="2693">
        <v>158.54128969800001</v>
      </c>
      <c r="L15" s="2693">
        <v>2.643694881999977</v>
      </c>
      <c r="M15" s="2141"/>
      <c r="N15" s="2707"/>
    </row>
    <row r="16" spans="1:16" ht="18" hidden="1" customHeight="1">
      <c r="A16" s="2101"/>
      <c r="B16" s="2408" t="s">
        <v>170</v>
      </c>
      <c r="C16" s="2705">
        <v>161.08550923999999</v>
      </c>
      <c r="D16" s="2693">
        <v>0</v>
      </c>
      <c r="E16" s="2693">
        <v>0</v>
      </c>
      <c r="F16" s="2693">
        <v>0</v>
      </c>
      <c r="G16" s="2693">
        <v>0</v>
      </c>
      <c r="H16" s="2693">
        <v>0</v>
      </c>
      <c r="I16" s="2693">
        <v>0</v>
      </c>
      <c r="J16" s="2693"/>
      <c r="K16" s="2693">
        <v>159.82629698899999</v>
      </c>
      <c r="L16" s="2693">
        <v>1.2592122510000081</v>
      </c>
      <c r="M16" s="2141"/>
      <c r="N16" s="2707"/>
    </row>
    <row r="17" spans="1:17" ht="18" hidden="1" customHeight="1">
      <c r="A17" s="2101"/>
      <c r="B17" s="2408" t="s">
        <v>171</v>
      </c>
      <c r="C17" s="2705">
        <v>164.75937252</v>
      </c>
      <c r="D17" s="2693">
        <v>0</v>
      </c>
      <c r="E17" s="2693">
        <v>0</v>
      </c>
      <c r="F17" s="2693">
        <v>0</v>
      </c>
      <c r="G17" s="2693">
        <v>0</v>
      </c>
      <c r="H17" s="2693">
        <v>0</v>
      </c>
      <c r="I17" s="2693">
        <v>0</v>
      </c>
      <c r="J17" s="2693"/>
      <c r="K17" s="2693">
        <v>173.51457544499999</v>
      </c>
      <c r="L17" s="2693">
        <v>-8.7552029249999919</v>
      </c>
      <c r="M17" s="2141"/>
      <c r="N17" s="2707"/>
      <c r="O17" s="2109"/>
    </row>
    <row r="18" spans="1:17" ht="18" hidden="1" customHeight="1">
      <c r="A18" s="2101"/>
      <c r="B18" s="2491">
        <v>2010</v>
      </c>
      <c r="C18" s="2705">
        <v>230.33167900000001</v>
      </c>
      <c r="D18" s="2693">
        <v>0</v>
      </c>
      <c r="E18" s="2693">
        <v>50.008581999999997</v>
      </c>
      <c r="F18" s="2693">
        <v>13.15917894</v>
      </c>
      <c r="G18" s="2693">
        <v>0</v>
      </c>
      <c r="H18" s="2693">
        <v>50</v>
      </c>
      <c r="I18" s="2693">
        <v>0</v>
      </c>
      <c r="J18" s="2693"/>
      <c r="K18" s="2693">
        <v>109.729491</v>
      </c>
      <c r="L18" s="2693">
        <v>7.4344270600000186</v>
      </c>
      <c r="M18" s="2141"/>
      <c r="N18" s="2707"/>
      <c r="O18" s="2109"/>
    </row>
    <row r="19" spans="1:17" ht="18" hidden="1" customHeight="1">
      <c r="A19" s="2101"/>
      <c r="B19" s="2491">
        <v>2011</v>
      </c>
      <c r="C19" s="2705"/>
      <c r="D19" s="2693"/>
      <c r="E19" s="2693"/>
      <c r="F19" s="2693"/>
      <c r="G19" s="2693"/>
      <c r="H19" s="2693"/>
      <c r="I19" s="2693"/>
      <c r="J19" s="2693"/>
      <c r="K19" s="2693"/>
      <c r="L19" s="2693"/>
      <c r="M19" s="2101"/>
      <c r="N19" s="2707"/>
    </row>
    <row r="20" spans="1:17" ht="18" hidden="1" customHeight="1">
      <c r="A20" s="2101"/>
      <c r="B20" s="2408" t="s">
        <v>161</v>
      </c>
      <c r="C20" s="2705">
        <v>270.37425759999996</v>
      </c>
      <c r="D20" s="2693">
        <v>0</v>
      </c>
      <c r="E20" s="2693">
        <v>0</v>
      </c>
      <c r="F20" s="2693">
        <v>0</v>
      </c>
      <c r="G20" s="2693">
        <v>0</v>
      </c>
      <c r="H20" s="2693">
        <v>85</v>
      </c>
      <c r="I20" s="2693">
        <v>0</v>
      </c>
      <c r="J20" s="2693"/>
      <c r="K20" s="2693">
        <v>122.600944231</v>
      </c>
      <c r="L20" s="2693">
        <v>62.773313368999965</v>
      </c>
      <c r="M20" s="2141"/>
      <c r="N20" s="2707"/>
    </row>
    <row r="21" spans="1:17" ht="18" hidden="1" customHeight="1">
      <c r="A21" s="2101"/>
      <c r="B21" s="2408" t="s">
        <v>162</v>
      </c>
      <c r="C21" s="2705">
        <v>276.52299006999999</v>
      </c>
      <c r="D21" s="2693">
        <v>0</v>
      </c>
      <c r="E21" s="2693">
        <v>0</v>
      </c>
      <c r="F21" s="2693">
        <v>0</v>
      </c>
      <c r="G21" s="2693">
        <v>0</v>
      </c>
      <c r="H21" s="2693">
        <v>85</v>
      </c>
      <c r="I21" s="2693">
        <v>0</v>
      </c>
      <c r="J21" s="2693"/>
      <c r="K21" s="2693">
        <v>128.37329389199999</v>
      </c>
      <c r="L21" s="2693">
        <v>63.149696177999999</v>
      </c>
      <c r="M21" s="2141"/>
      <c r="N21" s="2707"/>
    </row>
    <row r="22" spans="1:17" ht="18" hidden="1" customHeight="1">
      <c r="A22" s="2101"/>
      <c r="B22" s="2408" t="s">
        <v>163</v>
      </c>
      <c r="C22" s="2705">
        <v>289.57611973000002</v>
      </c>
      <c r="D22" s="2693">
        <v>0</v>
      </c>
      <c r="E22" s="2693">
        <v>0</v>
      </c>
      <c r="F22" s="2693">
        <v>0</v>
      </c>
      <c r="G22" s="2693">
        <v>0</v>
      </c>
      <c r="H22" s="2693">
        <v>85</v>
      </c>
      <c r="I22" s="2693">
        <v>0</v>
      </c>
      <c r="J22" s="2693"/>
      <c r="K22" s="2693">
        <v>136.743211078</v>
      </c>
      <c r="L22" s="2693">
        <v>67.832908652000015</v>
      </c>
      <c r="M22" s="2141"/>
      <c r="N22" s="2707"/>
    </row>
    <row r="23" spans="1:17" ht="18" hidden="1" customHeight="1">
      <c r="A23" s="2101"/>
      <c r="B23" s="2408" t="s">
        <v>164</v>
      </c>
      <c r="C23" s="2705">
        <v>284.40214000000003</v>
      </c>
      <c r="D23" s="2693">
        <v>0</v>
      </c>
      <c r="E23" s="2693">
        <v>0</v>
      </c>
      <c r="F23" s="2693">
        <v>0</v>
      </c>
      <c r="G23" s="2693">
        <v>0</v>
      </c>
      <c r="H23" s="2693">
        <v>85</v>
      </c>
      <c r="I23" s="2693">
        <v>0</v>
      </c>
      <c r="J23" s="2693"/>
      <c r="K23" s="2693">
        <v>142.98908906</v>
      </c>
      <c r="L23" s="2693">
        <v>56.413050940000034</v>
      </c>
      <c r="M23" s="2141"/>
      <c r="N23" s="2707"/>
    </row>
    <row r="24" spans="1:17" ht="18" hidden="1" customHeight="1">
      <c r="A24" s="2101"/>
      <c r="B24" s="2408" t="s">
        <v>165</v>
      </c>
      <c r="C24" s="2705">
        <v>285.54734766999997</v>
      </c>
      <c r="D24" s="2693">
        <v>0</v>
      </c>
      <c r="E24" s="2693">
        <v>0</v>
      </c>
      <c r="F24" s="2693">
        <v>0</v>
      </c>
      <c r="G24" s="2693">
        <v>0</v>
      </c>
      <c r="H24" s="2693">
        <v>85</v>
      </c>
      <c r="I24" s="2693">
        <v>0</v>
      </c>
      <c r="J24" s="2693"/>
      <c r="K24" s="2693">
        <v>145.65050085799999</v>
      </c>
      <c r="L24" s="2693">
        <v>54.896846811999978</v>
      </c>
      <c r="M24" s="2141"/>
      <c r="N24" s="2707"/>
      <c r="P24" s="2109"/>
    </row>
    <row r="25" spans="1:17" ht="18" hidden="1" customHeight="1">
      <c r="A25" s="2101"/>
      <c r="B25" s="2408" t="s">
        <v>166</v>
      </c>
      <c r="C25" s="2705">
        <v>306.34669611000004</v>
      </c>
      <c r="D25" s="2693">
        <v>0</v>
      </c>
      <c r="E25" s="2693">
        <v>0</v>
      </c>
      <c r="F25" s="2693">
        <v>0</v>
      </c>
      <c r="G25" s="2693">
        <v>0</v>
      </c>
      <c r="H25" s="2693">
        <v>85</v>
      </c>
      <c r="I25" s="2693">
        <v>0</v>
      </c>
      <c r="J25" s="2786"/>
      <c r="K25" s="2693">
        <v>160.23482447000001</v>
      </c>
      <c r="L25" s="2693">
        <v>61.111871640000032</v>
      </c>
      <c r="M25" s="2141"/>
      <c r="N25" s="2707"/>
    </row>
    <row r="26" spans="1:17" ht="18" hidden="1" customHeight="1">
      <c r="A26" s="2101"/>
      <c r="B26" s="2408" t="s">
        <v>167</v>
      </c>
      <c r="C26" s="2705">
        <v>324.33933961000002</v>
      </c>
      <c r="D26" s="2693">
        <v>0</v>
      </c>
      <c r="E26" s="2693">
        <v>0</v>
      </c>
      <c r="F26" s="2693">
        <v>0</v>
      </c>
      <c r="G26" s="2693">
        <v>0</v>
      </c>
      <c r="H26" s="2693">
        <v>85</v>
      </c>
      <c r="I26" s="2693">
        <v>0</v>
      </c>
      <c r="J26" s="2693"/>
      <c r="K26" s="2693">
        <v>172.87660926999996</v>
      </c>
      <c r="L26" s="2693">
        <v>66.462730340000064</v>
      </c>
      <c r="M26" s="2141"/>
      <c r="N26" s="2707"/>
    </row>
    <row r="27" spans="1:17" ht="18" hidden="1" customHeight="1">
      <c r="A27" s="2101"/>
      <c r="B27" s="2408" t="s">
        <v>168</v>
      </c>
      <c r="C27" s="2705">
        <v>327.87343090999997</v>
      </c>
      <c r="D27" s="2693">
        <v>0</v>
      </c>
      <c r="E27" s="2693">
        <v>0</v>
      </c>
      <c r="F27" s="2693">
        <v>0</v>
      </c>
      <c r="G27" s="2693">
        <v>0</v>
      </c>
      <c r="H27" s="2693">
        <v>85</v>
      </c>
      <c r="I27" s="2693">
        <v>0</v>
      </c>
      <c r="J27" s="2693"/>
      <c r="K27" s="2693">
        <v>176.74231434500001</v>
      </c>
      <c r="L27" s="2693">
        <v>66.131116564999957</v>
      </c>
      <c r="M27" s="2141"/>
      <c r="N27" s="2707"/>
      <c r="O27" s="2109"/>
      <c r="Q27" s="2109"/>
    </row>
    <row r="28" spans="1:17" ht="18" hidden="1" customHeight="1">
      <c r="A28" s="2101"/>
      <c r="B28" s="2408" t="s">
        <v>169</v>
      </c>
      <c r="C28" s="2705">
        <v>315.78304456999996</v>
      </c>
      <c r="D28" s="2693">
        <v>0</v>
      </c>
      <c r="E28" s="2693">
        <v>0</v>
      </c>
      <c r="F28" s="2693">
        <v>0</v>
      </c>
      <c r="G28" s="2693">
        <v>0</v>
      </c>
      <c r="H28" s="2693">
        <v>85</v>
      </c>
      <c r="I28" s="2693">
        <v>0</v>
      </c>
      <c r="J28" s="2693"/>
      <c r="K28" s="2693">
        <v>170.26353158099997</v>
      </c>
      <c r="L28" s="2693">
        <v>60.519512988999992</v>
      </c>
      <c r="M28" s="2141"/>
      <c r="N28" s="2707"/>
    </row>
    <row r="29" spans="1:17" ht="18" hidden="1" customHeight="1">
      <c r="A29" s="2101"/>
      <c r="B29" s="2408" t="s">
        <v>170</v>
      </c>
      <c r="C29" s="2705">
        <v>365.44454647999999</v>
      </c>
      <c r="D29" s="2693">
        <v>0</v>
      </c>
      <c r="E29" s="2693">
        <v>0</v>
      </c>
      <c r="F29" s="2693">
        <v>0</v>
      </c>
      <c r="G29" s="2693">
        <v>0</v>
      </c>
      <c r="H29" s="2693">
        <v>85</v>
      </c>
      <c r="I29" s="2693">
        <v>40</v>
      </c>
      <c r="J29" s="2693"/>
      <c r="K29" s="2693">
        <v>176.62546684599999</v>
      </c>
      <c r="L29" s="2693">
        <v>63.819079633999991</v>
      </c>
      <c r="M29" s="2141"/>
      <c r="N29" s="2707"/>
    </row>
    <row r="30" spans="1:17" ht="18" hidden="1" customHeight="1">
      <c r="A30" s="2101"/>
      <c r="B30" s="2408" t="s">
        <v>171</v>
      </c>
      <c r="C30" s="2705">
        <v>356.61289391000003</v>
      </c>
      <c r="D30" s="2693">
        <v>0</v>
      </c>
      <c r="E30" s="2693">
        <v>0</v>
      </c>
      <c r="F30" s="2693">
        <v>0</v>
      </c>
      <c r="G30" s="2693">
        <v>0</v>
      </c>
      <c r="H30" s="2693">
        <v>85</v>
      </c>
      <c r="I30" s="2693">
        <v>40</v>
      </c>
      <c r="J30" s="2693"/>
      <c r="K30" s="2693">
        <v>166.38308481799999</v>
      </c>
      <c r="L30" s="2693">
        <v>65.229809092000039</v>
      </c>
      <c r="M30" s="2141"/>
      <c r="N30" s="2707"/>
    </row>
    <row r="31" spans="1:17" ht="18" hidden="1" customHeight="1">
      <c r="A31" s="2101"/>
      <c r="B31" s="2491">
        <v>2011</v>
      </c>
      <c r="C31" s="2705">
        <v>367.302526</v>
      </c>
      <c r="D31" s="2693">
        <v>0</v>
      </c>
      <c r="E31" s="2693">
        <v>0</v>
      </c>
      <c r="F31" s="2693">
        <v>0</v>
      </c>
      <c r="G31" s="2693">
        <v>0</v>
      </c>
      <c r="H31" s="2693">
        <v>85</v>
      </c>
      <c r="I31" s="2693">
        <v>40</v>
      </c>
      <c r="J31" s="2693"/>
      <c r="K31" s="2693">
        <v>127.340001</v>
      </c>
      <c r="L31" s="2693">
        <v>114.962525</v>
      </c>
      <c r="M31" s="2141"/>
      <c r="N31" s="2707"/>
    </row>
    <row r="32" spans="1:17" ht="18" hidden="1" customHeight="1">
      <c r="A32" s="2101"/>
      <c r="B32" s="2491">
        <v>2012</v>
      </c>
      <c r="C32" s="2705"/>
      <c r="D32" s="2693"/>
      <c r="E32" s="2693"/>
      <c r="F32" s="2693"/>
      <c r="G32" s="2693"/>
      <c r="H32" s="2693"/>
      <c r="I32" s="2693"/>
      <c r="J32" s="2693"/>
      <c r="K32" s="2693"/>
      <c r="L32" s="2693"/>
      <c r="M32" s="2101"/>
      <c r="N32" s="2707"/>
    </row>
    <row r="33" spans="1:14" ht="18" hidden="1" customHeight="1">
      <c r="A33" s="2101"/>
      <c r="B33" s="2408" t="s">
        <v>161</v>
      </c>
      <c r="C33" s="2705">
        <v>362.16454795999999</v>
      </c>
      <c r="D33" s="2693">
        <v>0</v>
      </c>
      <c r="E33" s="2693">
        <v>0</v>
      </c>
      <c r="F33" s="2693">
        <v>0</v>
      </c>
      <c r="G33" s="2693">
        <v>0</v>
      </c>
      <c r="H33" s="2693">
        <v>85</v>
      </c>
      <c r="I33" s="2693">
        <v>40</v>
      </c>
      <c r="J33" s="2693"/>
      <c r="K33" s="2693">
        <v>137.19252690899998</v>
      </c>
      <c r="L33" s="2693">
        <v>99.972021051000013</v>
      </c>
      <c r="M33" s="2141"/>
      <c r="N33" s="2707"/>
    </row>
    <row r="34" spans="1:14" ht="18" hidden="1" customHeight="1">
      <c r="A34" s="2101"/>
      <c r="B34" s="2408" t="s">
        <v>162</v>
      </c>
      <c r="C34" s="2705">
        <v>368.82046128000002</v>
      </c>
      <c r="D34" s="2693">
        <v>0</v>
      </c>
      <c r="E34" s="2693">
        <v>0</v>
      </c>
      <c r="F34" s="2693">
        <v>0</v>
      </c>
      <c r="G34" s="2693">
        <v>0</v>
      </c>
      <c r="H34" s="2693">
        <v>85</v>
      </c>
      <c r="I34" s="2693">
        <v>50</v>
      </c>
      <c r="J34" s="2693"/>
      <c r="K34" s="2693">
        <v>131.60125497249999</v>
      </c>
      <c r="L34" s="2693">
        <v>102.21920630750003</v>
      </c>
      <c r="M34" s="2141"/>
      <c r="N34" s="2707"/>
    </row>
    <row r="35" spans="1:14" ht="18" hidden="1" customHeight="1">
      <c r="A35" s="2101"/>
      <c r="B35" s="2408" t="s">
        <v>163</v>
      </c>
      <c r="C35" s="2705">
        <v>380.35027614999996</v>
      </c>
      <c r="D35" s="2693">
        <v>0</v>
      </c>
      <c r="E35" s="2693">
        <v>0</v>
      </c>
      <c r="F35" s="2693">
        <v>0</v>
      </c>
      <c r="G35" s="2693">
        <v>0</v>
      </c>
      <c r="H35" s="2693">
        <v>85</v>
      </c>
      <c r="I35" s="2693">
        <v>60</v>
      </c>
      <c r="J35" s="2693"/>
      <c r="K35" s="2693">
        <v>144.99985078450001</v>
      </c>
      <c r="L35" s="2693">
        <v>90.350425365499916</v>
      </c>
      <c r="M35" s="2141"/>
      <c r="N35" s="2707"/>
    </row>
    <row r="36" spans="1:14" ht="18" hidden="1" customHeight="1">
      <c r="A36" s="2101"/>
      <c r="B36" s="2408" t="s">
        <v>164</v>
      </c>
      <c r="C36" s="2705">
        <v>384.22225531999999</v>
      </c>
      <c r="D36" s="2693">
        <v>0</v>
      </c>
      <c r="E36" s="2693">
        <v>0</v>
      </c>
      <c r="F36" s="2693">
        <v>0</v>
      </c>
      <c r="G36" s="2693">
        <v>0</v>
      </c>
      <c r="H36" s="2693">
        <v>85</v>
      </c>
      <c r="I36" s="2693">
        <v>70</v>
      </c>
      <c r="J36" s="2693"/>
      <c r="K36" s="2693">
        <v>138.25909751</v>
      </c>
      <c r="L36" s="2693">
        <v>90.963157809999984</v>
      </c>
      <c r="M36" s="2141"/>
      <c r="N36" s="2707"/>
    </row>
    <row r="37" spans="1:14" ht="18" hidden="1" customHeight="1">
      <c r="A37" s="2101"/>
      <c r="B37" s="2408" t="s">
        <v>165</v>
      </c>
      <c r="C37" s="2705">
        <v>397.51098645000002</v>
      </c>
      <c r="D37" s="2693">
        <v>0</v>
      </c>
      <c r="E37" s="2693">
        <v>0</v>
      </c>
      <c r="F37" s="2693">
        <v>0</v>
      </c>
      <c r="G37" s="2693">
        <v>0</v>
      </c>
      <c r="H37" s="2693">
        <v>85</v>
      </c>
      <c r="I37" s="2693">
        <v>70</v>
      </c>
      <c r="J37" s="2693"/>
      <c r="K37" s="2693">
        <v>141.96815439399998</v>
      </c>
      <c r="L37" s="2693">
        <v>100.54283205600007</v>
      </c>
      <c r="M37" s="2141"/>
      <c r="N37" s="2707"/>
    </row>
    <row r="38" spans="1:14" ht="18" hidden="1" customHeight="1">
      <c r="A38" s="2101"/>
      <c r="B38" s="2408" t="s">
        <v>166</v>
      </c>
      <c r="C38" s="2705">
        <v>418.13622858999997</v>
      </c>
      <c r="D38" s="2693">
        <v>0</v>
      </c>
      <c r="E38" s="2693">
        <v>0</v>
      </c>
      <c r="F38" s="2693">
        <v>0</v>
      </c>
      <c r="G38" s="2693">
        <v>0</v>
      </c>
      <c r="H38" s="2693">
        <v>85</v>
      </c>
      <c r="I38" s="2693">
        <v>70</v>
      </c>
      <c r="J38" s="2693"/>
      <c r="K38" s="2693">
        <v>264.38195277950001</v>
      </c>
      <c r="L38" s="2693">
        <v>-1.2457241895000379</v>
      </c>
      <c r="M38" s="2141"/>
      <c r="N38" s="2707"/>
    </row>
    <row r="39" spans="1:14" ht="18" hidden="1" customHeight="1">
      <c r="A39" s="2101"/>
      <c r="B39" s="2408" t="s">
        <v>167</v>
      </c>
      <c r="C39" s="2705">
        <v>453.74776328000002</v>
      </c>
      <c r="D39" s="2693">
        <v>0</v>
      </c>
      <c r="E39" s="2693">
        <v>0</v>
      </c>
      <c r="F39" s="2693">
        <v>0</v>
      </c>
      <c r="G39" s="2693">
        <v>0</v>
      </c>
      <c r="H39" s="2693">
        <v>85</v>
      </c>
      <c r="I39" s="2693">
        <v>70</v>
      </c>
      <c r="J39" s="2693"/>
      <c r="K39" s="2693">
        <v>290.76183485299998</v>
      </c>
      <c r="L39" s="2693">
        <v>7.985928427000033</v>
      </c>
      <c r="M39" s="2101"/>
      <c r="N39" s="2707"/>
    </row>
    <row r="40" spans="1:14" ht="18" hidden="1" customHeight="1">
      <c r="A40" s="2101"/>
      <c r="B40" s="2408" t="s">
        <v>168</v>
      </c>
      <c r="C40" s="2705">
        <v>441.91460418999992</v>
      </c>
      <c r="D40" s="2693">
        <v>0</v>
      </c>
      <c r="E40" s="2693">
        <v>0</v>
      </c>
      <c r="F40" s="2693">
        <v>0</v>
      </c>
      <c r="G40" s="2693">
        <v>0</v>
      </c>
      <c r="H40" s="2693">
        <v>85</v>
      </c>
      <c r="I40" s="2693">
        <v>70</v>
      </c>
      <c r="J40" s="2693"/>
      <c r="K40" s="2693">
        <v>289.804021976</v>
      </c>
      <c r="L40" s="2693">
        <v>-2.8894177860000809</v>
      </c>
      <c r="M40" s="2101"/>
      <c r="N40" s="2707"/>
    </row>
    <row r="41" spans="1:14" ht="18" hidden="1" customHeight="1">
      <c r="A41" s="2101"/>
      <c r="B41" s="2408" t="s">
        <v>169</v>
      </c>
      <c r="C41" s="2705">
        <v>443.95376892000002</v>
      </c>
      <c r="D41" s="2693">
        <v>0</v>
      </c>
      <c r="E41" s="2693">
        <v>0</v>
      </c>
      <c r="F41" s="2693">
        <v>0</v>
      </c>
      <c r="G41" s="2693">
        <v>0</v>
      </c>
      <c r="H41" s="2693">
        <v>85</v>
      </c>
      <c r="I41" s="2693">
        <v>70</v>
      </c>
      <c r="J41" s="2693"/>
      <c r="K41" s="2693">
        <v>301.1914927685001</v>
      </c>
      <c r="L41" s="2693">
        <v>-12.237723848500082</v>
      </c>
      <c r="M41" s="2101"/>
      <c r="N41" s="2707"/>
    </row>
    <row r="42" spans="1:14" ht="18" hidden="1" customHeight="1">
      <c r="A42" s="2101"/>
      <c r="B42" s="2408" t="s">
        <v>170</v>
      </c>
      <c r="C42" s="2705">
        <v>447.82971722000002</v>
      </c>
      <c r="D42" s="2693">
        <v>0</v>
      </c>
      <c r="E42" s="2693">
        <v>0</v>
      </c>
      <c r="F42" s="2693">
        <v>0</v>
      </c>
      <c r="G42" s="2693">
        <v>0</v>
      </c>
      <c r="H42" s="2693">
        <v>35</v>
      </c>
      <c r="I42" s="2693">
        <v>0</v>
      </c>
      <c r="J42" s="2693"/>
      <c r="K42" s="2693">
        <v>470.58787365649994</v>
      </c>
      <c r="L42" s="2693">
        <v>-57.758156436499917</v>
      </c>
      <c r="M42" s="2101"/>
      <c r="N42" s="2707"/>
    </row>
    <row r="43" spans="1:14" ht="18" hidden="1" customHeight="1">
      <c r="A43" s="2101"/>
      <c r="B43" s="2408" t="s">
        <v>171</v>
      </c>
      <c r="C43" s="2705">
        <v>449.36586005999999</v>
      </c>
      <c r="D43" s="2693">
        <v>0</v>
      </c>
      <c r="E43" s="2693">
        <v>0</v>
      </c>
      <c r="F43" s="2693">
        <v>0</v>
      </c>
      <c r="G43" s="2693">
        <v>0</v>
      </c>
      <c r="H43" s="2693">
        <v>35</v>
      </c>
      <c r="I43" s="2693">
        <v>0</v>
      </c>
      <c r="J43" s="2693"/>
      <c r="K43" s="2693">
        <v>471.67261548949989</v>
      </c>
      <c r="L43" s="2693">
        <v>-57.306755429499901</v>
      </c>
      <c r="M43" s="2101"/>
      <c r="N43" s="2707"/>
    </row>
    <row r="44" spans="1:14" ht="18" customHeight="1">
      <c r="A44" s="2101"/>
      <c r="B44" s="2491">
        <v>2012</v>
      </c>
      <c r="C44" s="2705">
        <v>437.75924900000001</v>
      </c>
      <c r="D44" s="2693">
        <v>0</v>
      </c>
      <c r="E44" s="2693">
        <v>0</v>
      </c>
      <c r="F44" s="2693">
        <v>0</v>
      </c>
      <c r="G44" s="2693">
        <v>0</v>
      </c>
      <c r="H44" s="2693">
        <v>35</v>
      </c>
      <c r="I44" s="2693">
        <v>0</v>
      </c>
      <c r="J44" s="2693"/>
      <c r="K44" s="2693">
        <v>264.07978900000001</v>
      </c>
      <c r="L44" s="2693">
        <v>138.67946000000001</v>
      </c>
      <c r="M44" s="2101"/>
      <c r="N44" s="2707"/>
    </row>
    <row r="45" spans="1:14" ht="18" customHeight="1">
      <c r="A45" s="2101"/>
      <c r="B45" s="2491">
        <v>2013</v>
      </c>
      <c r="C45" s="2705"/>
      <c r="D45" s="2693"/>
      <c r="E45" s="2693"/>
      <c r="F45" s="2693"/>
      <c r="G45" s="2693"/>
      <c r="H45" s="2693"/>
      <c r="I45" s="2693"/>
      <c r="J45" s="2693"/>
      <c r="K45" s="2693"/>
      <c r="L45" s="2693"/>
      <c r="M45" s="2101"/>
      <c r="N45" s="2707"/>
    </row>
    <row r="46" spans="1:14" ht="18" customHeight="1">
      <c r="A46" s="2101"/>
      <c r="B46" s="2408" t="s">
        <v>161</v>
      </c>
      <c r="C46" s="2705">
        <v>441.95104287000004</v>
      </c>
      <c r="D46" s="2693">
        <v>0</v>
      </c>
      <c r="E46" s="2693">
        <v>0</v>
      </c>
      <c r="F46" s="2693">
        <v>0</v>
      </c>
      <c r="G46" s="2693">
        <v>0</v>
      </c>
      <c r="H46" s="2693">
        <v>35</v>
      </c>
      <c r="I46" s="2693">
        <v>0</v>
      </c>
      <c r="J46" s="2693"/>
      <c r="K46" s="2693">
        <v>480.0705182195</v>
      </c>
      <c r="L46" s="2693">
        <v>-73.119475349499908</v>
      </c>
      <c r="M46" s="2101"/>
      <c r="N46" s="2707"/>
    </row>
    <row r="47" spans="1:14" ht="18" customHeight="1">
      <c r="A47" s="2101"/>
      <c r="B47" s="2408" t="s">
        <v>162</v>
      </c>
      <c r="C47" s="2705">
        <v>453.60400398000002</v>
      </c>
      <c r="D47" s="2693">
        <v>0</v>
      </c>
      <c r="E47" s="2693">
        <v>0</v>
      </c>
      <c r="F47" s="2693">
        <v>0</v>
      </c>
      <c r="G47" s="2693">
        <v>0</v>
      </c>
      <c r="H47" s="2693">
        <v>35</v>
      </c>
      <c r="I47" s="2693">
        <v>0</v>
      </c>
      <c r="J47" s="2693"/>
      <c r="K47" s="2693">
        <v>465.176499879</v>
      </c>
      <c r="L47" s="2693">
        <v>-46.572495898999989</v>
      </c>
      <c r="M47" s="2101"/>
      <c r="N47" s="2707"/>
    </row>
    <row r="48" spans="1:14" ht="18" customHeight="1">
      <c r="A48" s="2101"/>
      <c r="B48" s="2407" t="s">
        <v>163</v>
      </c>
      <c r="C48" s="2706">
        <v>441.34638324000002</v>
      </c>
      <c r="D48" s="2701">
        <v>0</v>
      </c>
      <c r="E48" s="2701">
        <v>0</v>
      </c>
      <c r="F48" s="2701">
        <v>0</v>
      </c>
      <c r="G48" s="2701">
        <v>0</v>
      </c>
      <c r="H48" s="2701">
        <v>35</v>
      </c>
      <c r="I48" s="2701">
        <v>0</v>
      </c>
      <c r="J48" s="2701"/>
      <c r="K48" s="2701">
        <v>461.95216215649992</v>
      </c>
      <c r="L48" s="2701">
        <v>-55.605778916499901</v>
      </c>
      <c r="M48" s="2101"/>
      <c r="N48" s="2707"/>
    </row>
    <row r="49" spans="1:14" ht="18" customHeight="1">
      <c r="A49" s="2101"/>
      <c r="B49" s="2407" t="s">
        <v>164</v>
      </c>
      <c r="C49" s="2706">
        <v>430.74792419999994</v>
      </c>
      <c r="D49" s="2701">
        <v>0</v>
      </c>
      <c r="E49" s="2701">
        <v>0</v>
      </c>
      <c r="F49" s="2701">
        <v>0</v>
      </c>
      <c r="G49" s="2701">
        <v>0</v>
      </c>
      <c r="H49" s="2701">
        <v>35</v>
      </c>
      <c r="I49" s="2701">
        <v>0</v>
      </c>
      <c r="J49" s="2701"/>
      <c r="K49" s="2701">
        <v>450.63695928050004</v>
      </c>
      <c r="L49" s="2701">
        <v>-54.889035080500093</v>
      </c>
      <c r="M49" s="2101"/>
      <c r="N49" s="2707"/>
    </row>
    <row r="50" spans="1:14" ht="18" customHeight="1">
      <c r="A50" s="2101"/>
      <c r="B50" s="2407" t="s">
        <v>165</v>
      </c>
      <c r="C50" s="2706">
        <v>424.07341105000006</v>
      </c>
      <c r="D50" s="2701">
        <v>0</v>
      </c>
      <c r="E50" s="2701">
        <v>0</v>
      </c>
      <c r="F50" s="2701">
        <v>0</v>
      </c>
      <c r="G50" s="2701">
        <v>0</v>
      </c>
      <c r="H50" s="2701">
        <v>35</v>
      </c>
      <c r="I50" s="2701">
        <v>0</v>
      </c>
      <c r="J50" s="2701"/>
      <c r="K50" s="2701">
        <v>439.51680034150002</v>
      </c>
      <c r="L50" s="2701">
        <v>-50.443389291499955</v>
      </c>
      <c r="M50" s="2101"/>
      <c r="N50" s="2707"/>
    </row>
    <row r="51" spans="1:14" ht="18" customHeight="1">
      <c r="A51" s="2101"/>
      <c r="B51" s="2784" t="s">
        <v>166</v>
      </c>
      <c r="C51" s="2787">
        <v>437.44937459000005</v>
      </c>
      <c r="D51" s="2786">
        <v>0</v>
      </c>
      <c r="E51" s="2786">
        <v>0</v>
      </c>
      <c r="F51" s="2786">
        <v>0</v>
      </c>
      <c r="G51" s="2786">
        <v>0</v>
      </c>
      <c r="H51" s="2786">
        <v>35</v>
      </c>
      <c r="I51" s="2786">
        <v>0</v>
      </c>
      <c r="J51" s="2786"/>
      <c r="K51" s="2786">
        <v>463.96776381199999</v>
      </c>
      <c r="L51" s="2786">
        <v>-61.518389221999939</v>
      </c>
      <c r="M51" s="2101"/>
      <c r="N51" s="2707"/>
    </row>
    <row r="52" spans="1:14" ht="18" customHeight="1">
      <c r="A52" s="2101"/>
      <c r="B52" s="2784" t="s">
        <v>167</v>
      </c>
      <c r="C52" s="2787">
        <v>436.15037850000004</v>
      </c>
      <c r="D52" s="2786">
        <v>0</v>
      </c>
      <c r="E52" s="2786">
        <v>0</v>
      </c>
      <c r="F52" s="2786">
        <v>0</v>
      </c>
      <c r="G52" s="2786">
        <v>0</v>
      </c>
      <c r="H52" s="2786">
        <v>35</v>
      </c>
      <c r="I52" s="2786">
        <v>0</v>
      </c>
      <c r="J52" s="2820"/>
      <c r="K52" s="2786">
        <v>449.00248738599998</v>
      </c>
      <c r="L52" s="2786">
        <v>-47.85210888599994</v>
      </c>
      <c r="M52" s="2101"/>
    </row>
    <row r="53" spans="1:14" ht="18" customHeight="1">
      <c r="A53" s="2101"/>
      <c r="B53" s="2784" t="s">
        <v>168</v>
      </c>
      <c r="C53" s="2787">
        <v>446.48941525999999</v>
      </c>
      <c r="D53" s="2786">
        <v>0</v>
      </c>
      <c r="E53" s="2786">
        <v>0</v>
      </c>
      <c r="F53" s="2786">
        <v>0</v>
      </c>
      <c r="G53" s="2786">
        <v>0</v>
      </c>
      <c r="H53" s="2786">
        <v>35</v>
      </c>
      <c r="I53" s="2786">
        <v>0</v>
      </c>
      <c r="J53" s="2820"/>
      <c r="K53" s="2786">
        <v>455.69517174499998</v>
      </c>
      <c r="L53" s="2786">
        <v>-44.205756484999995</v>
      </c>
      <c r="M53" s="2101"/>
    </row>
    <row r="54" spans="1:14" ht="18" customHeight="1">
      <c r="A54" s="2101"/>
      <c r="B54" s="2784" t="s">
        <v>169</v>
      </c>
      <c r="C54" s="2787">
        <v>439.93368356999997</v>
      </c>
      <c r="D54" s="2786">
        <v>0</v>
      </c>
      <c r="E54" s="2786">
        <v>0</v>
      </c>
      <c r="F54" s="2786">
        <v>0</v>
      </c>
      <c r="G54" s="2786">
        <v>0</v>
      </c>
      <c r="H54" s="2786">
        <v>35</v>
      </c>
      <c r="I54" s="2786">
        <v>0</v>
      </c>
      <c r="J54" s="2820"/>
      <c r="K54" s="2786">
        <v>459.84286987849993</v>
      </c>
      <c r="L54" s="2786">
        <v>-54.909186308499955</v>
      </c>
      <c r="M54" s="2101"/>
    </row>
    <row r="55" spans="1:14" ht="18" customHeight="1">
      <c r="A55" s="2101"/>
      <c r="B55" s="2784" t="s">
        <v>170</v>
      </c>
      <c r="C55" s="2787">
        <v>448.31736458000006</v>
      </c>
      <c r="D55" s="2786">
        <v>0</v>
      </c>
      <c r="E55" s="2786">
        <v>0</v>
      </c>
      <c r="F55" s="2786">
        <v>0</v>
      </c>
      <c r="G55" s="2786">
        <v>0</v>
      </c>
      <c r="H55" s="2786">
        <v>35</v>
      </c>
      <c r="I55" s="2786">
        <v>0</v>
      </c>
      <c r="J55" s="2820"/>
      <c r="K55" s="2786">
        <v>448.84815603100003</v>
      </c>
      <c r="L55" s="2786">
        <v>-35.53079145099997</v>
      </c>
      <c r="M55" s="2101"/>
    </row>
    <row r="56" spans="1:14" ht="18" customHeight="1">
      <c r="A56" s="2101"/>
      <c r="B56" s="2784" t="s">
        <v>171</v>
      </c>
      <c r="C56" s="2787">
        <v>454.73255646000007</v>
      </c>
      <c r="D56" s="2786">
        <v>0</v>
      </c>
      <c r="E56" s="2786">
        <v>0</v>
      </c>
      <c r="F56" s="2786">
        <v>0</v>
      </c>
      <c r="G56" s="2786">
        <v>0</v>
      </c>
      <c r="H56" s="2786">
        <v>35</v>
      </c>
      <c r="I56" s="2786">
        <v>0</v>
      </c>
      <c r="J56" s="2820"/>
      <c r="K56" s="2786">
        <v>459.73612408899999</v>
      </c>
      <c r="L56" s="2786">
        <v>-40.003567628999917</v>
      </c>
      <c r="M56" s="2101"/>
    </row>
    <row r="57" spans="1:14" ht="18" customHeight="1">
      <c r="A57" s="2101"/>
      <c r="B57" s="2784" t="s">
        <v>148</v>
      </c>
      <c r="C57" s="2787">
        <v>452.78155191000002</v>
      </c>
      <c r="D57" s="2786">
        <v>0</v>
      </c>
      <c r="E57" s="2786">
        <v>0</v>
      </c>
      <c r="F57" s="2786">
        <v>0</v>
      </c>
      <c r="G57" s="2786">
        <v>0</v>
      </c>
      <c r="H57" s="2786">
        <v>35</v>
      </c>
      <c r="I57" s="2786">
        <v>0</v>
      </c>
      <c r="J57" s="2820"/>
      <c r="K57" s="2786">
        <v>272.94225900000004</v>
      </c>
      <c r="L57" s="2786">
        <v>144.83929290999998</v>
      </c>
      <c r="M57" s="2101"/>
    </row>
    <row r="58" spans="1:14" ht="18" customHeight="1">
      <c r="A58" s="2101"/>
      <c r="B58" s="2939">
        <v>2014</v>
      </c>
      <c r="C58" s="2939"/>
      <c r="D58" s="2820"/>
      <c r="E58" s="2820"/>
      <c r="F58" s="2820"/>
      <c r="G58" s="2820"/>
      <c r="H58" s="2820"/>
      <c r="I58" s="2820"/>
      <c r="J58" s="2820"/>
      <c r="K58" s="2820"/>
      <c r="L58" s="2820"/>
      <c r="M58" s="2101"/>
    </row>
    <row r="59" spans="1:14" ht="18" customHeight="1">
      <c r="A59" s="2101"/>
      <c r="B59" s="2820" t="s">
        <v>161</v>
      </c>
      <c r="C59" s="2787">
        <v>462.86007674999996</v>
      </c>
      <c r="D59" s="2786">
        <v>0</v>
      </c>
      <c r="E59" s="2786">
        <v>0</v>
      </c>
      <c r="F59" s="2786">
        <v>0</v>
      </c>
      <c r="G59" s="2786">
        <v>0</v>
      </c>
      <c r="H59" s="2786">
        <v>35</v>
      </c>
      <c r="I59" s="2786">
        <v>0</v>
      </c>
      <c r="J59" s="2820"/>
      <c r="K59" s="2786">
        <v>477.99859034250005</v>
      </c>
      <c r="L59" s="2786">
        <v>-50.13851359250009</v>
      </c>
      <c r="M59" s="2101"/>
    </row>
    <row r="60" spans="1:14" ht="18" customHeight="1">
      <c r="A60" s="2101"/>
      <c r="B60" s="2820" t="s">
        <v>162</v>
      </c>
      <c r="C60" s="2787">
        <v>457.0825767</v>
      </c>
      <c r="D60" s="2786">
        <v>0</v>
      </c>
      <c r="E60" s="2786">
        <v>0</v>
      </c>
      <c r="F60" s="2786">
        <v>0</v>
      </c>
      <c r="G60" s="2786">
        <v>0</v>
      </c>
      <c r="H60" s="2786">
        <v>35</v>
      </c>
      <c r="I60" s="2786">
        <v>0</v>
      </c>
      <c r="J60" s="2820"/>
      <c r="K60" s="2786">
        <v>304.99878751400001</v>
      </c>
      <c r="L60" s="2786">
        <v>117.08378918599999</v>
      </c>
      <c r="M60" s="2101"/>
    </row>
    <row r="61" spans="1:14" ht="18" customHeight="1">
      <c r="A61" s="2101"/>
      <c r="B61" s="2820" t="s">
        <v>163</v>
      </c>
      <c r="C61" s="2787">
        <v>450.81683809000003</v>
      </c>
      <c r="D61" s="2786">
        <v>0</v>
      </c>
      <c r="E61" s="2786">
        <v>0</v>
      </c>
      <c r="F61" s="2786">
        <v>0</v>
      </c>
      <c r="G61" s="2786">
        <v>0</v>
      </c>
      <c r="H61" s="2786">
        <v>35</v>
      </c>
      <c r="I61" s="2786">
        <v>0</v>
      </c>
      <c r="J61" s="2820"/>
      <c r="K61" s="2786">
        <v>315.36837432750002</v>
      </c>
      <c r="L61" s="2786">
        <v>100.44846376250001</v>
      </c>
      <c r="M61" s="2101"/>
    </row>
    <row r="62" spans="1:14" ht="18" customHeight="1">
      <c r="A62" s="2101"/>
      <c r="B62" s="2820" t="s">
        <v>164</v>
      </c>
      <c r="C62" s="2787">
        <v>530.63008497999999</v>
      </c>
      <c r="D62" s="2786">
        <v>0</v>
      </c>
      <c r="E62" s="2786">
        <v>0</v>
      </c>
      <c r="F62" s="2786">
        <v>0</v>
      </c>
      <c r="G62" s="2786">
        <v>0</v>
      </c>
      <c r="H62" s="2786">
        <v>0</v>
      </c>
      <c r="I62" s="2786">
        <v>0</v>
      </c>
      <c r="J62" s="2820"/>
      <c r="K62" s="2786">
        <v>438.17202880100001</v>
      </c>
      <c r="L62" s="2786">
        <v>92.458056178999982</v>
      </c>
      <c r="M62" s="2101"/>
    </row>
    <row r="63" spans="1:14" ht="18" customHeight="1">
      <c r="A63" s="2101"/>
      <c r="B63" s="2820" t="s">
        <v>165</v>
      </c>
      <c r="C63" s="2787">
        <v>541.06397641000001</v>
      </c>
      <c r="D63" s="2786">
        <v>0</v>
      </c>
      <c r="E63" s="2786">
        <v>0</v>
      </c>
      <c r="F63" s="2786">
        <v>0</v>
      </c>
      <c r="G63" s="2786">
        <v>0</v>
      </c>
      <c r="H63" s="2786">
        <v>0</v>
      </c>
      <c r="I63" s="2786">
        <v>0</v>
      </c>
      <c r="J63" s="2820"/>
      <c r="K63" s="2786">
        <v>441.76709467800003</v>
      </c>
      <c r="L63" s="2786">
        <v>99.296881731999974</v>
      </c>
      <c r="M63" s="2101"/>
    </row>
    <row r="64" spans="1:14" ht="18" customHeight="1">
      <c r="A64" s="2101"/>
      <c r="B64" s="2820" t="s">
        <v>166</v>
      </c>
      <c r="C64" s="2787">
        <v>543.99609747999989</v>
      </c>
      <c r="D64" s="2786">
        <v>0</v>
      </c>
      <c r="E64" s="2786">
        <v>0</v>
      </c>
      <c r="F64" s="2786">
        <v>0</v>
      </c>
      <c r="G64" s="2786">
        <v>0</v>
      </c>
      <c r="H64" s="2786">
        <v>0</v>
      </c>
      <c r="I64" s="2786">
        <v>0</v>
      </c>
      <c r="J64" s="2820"/>
      <c r="K64" s="2786">
        <v>415.828034</v>
      </c>
      <c r="L64" s="2786">
        <v>128.16806347999989</v>
      </c>
      <c r="M64" s="2101"/>
    </row>
    <row r="65" spans="1:13">
      <c r="A65" s="2101"/>
      <c r="B65" s="2820" t="s">
        <v>167</v>
      </c>
      <c r="C65" s="2787">
        <v>553.06065035000006</v>
      </c>
      <c r="D65" s="2786">
        <v>0</v>
      </c>
      <c r="E65" s="2786">
        <v>0</v>
      </c>
      <c r="F65" s="2786">
        <v>0</v>
      </c>
      <c r="G65" s="2786">
        <v>0</v>
      </c>
      <c r="H65" s="2786">
        <v>0</v>
      </c>
      <c r="I65" s="2786">
        <v>0</v>
      </c>
      <c r="J65" s="2820"/>
      <c r="K65" s="2786">
        <v>409.24802066350003</v>
      </c>
      <c r="L65" s="2786">
        <v>143.81262968650003</v>
      </c>
      <c r="M65" s="2101"/>
    </row>
    <row r="66" spans="1:13">
      <c r="A66" s="2101"/>
      <c r="B66" s="2820" t="s">
        <v>168</v>
      </c>
      <c r="C66" s="2787">
        <v>547.64691334999998</v>
      </c>
      <c r="D66" s="2786">
        <v>0</v>
      </c>
      <c r="E66" s="2786">
        <v>0</v>
      </c>
      <c r="F66" s="2786">
        <v>0</v>
      </c>
      <c r="G66" s="2786">
        <v>0</v>
      </c>
      <c r="H66" s="2786">
        <v>0</v>
      </c>
      <c r="I66" s="2786">
        <v>0</v>
      </c>
      <c r="J66" s="2820"/>
      <c r="K66" s="2786">
        <v>408.56715942699998</v>
      </c>
      <c r="L66" s="2786">
        <v>139.079753923</v>
      </c>
      <c r="M66" s="2101"/>
    </row>
    <row r="67" spans="1:13">
      <c r="A67" s="2101"/>
      <c r="B67" s="2820" t="s">
        <v>169</v>
      </c>
      <c r="C67" s="2787">
        <v>554.56291811999995</v>
      </c>
      <c r="D67" s="2786">
        <v>0</v>
      </c>
      <c r="E67" s="2786">
        <v>0</v>
      </c>
      <c r="F67" s="2786">
        <v>0</v>
      </c>
      <c r="G67" s="2786">
        <v>0</v>
      </c>
      <c r="H67" s="2786">
        <v>0</v>
      </c>
      <c r="I67" s="2786">
        <v>0</v>
      </c>
      <c r="J67" s="2820"/>
      <c r="K67" s="2786">
        <v>416.533188</v>
      </c>
      <c r="L67" s="2786">
        <v>138.02973011999995</v>
      </c>
      <c r="M67" s="2101"/>
    </row>
    <row r="68" spans="1:13">
      <c r="A68" s="2101"/>
      <c r="B68" s="2820" t="s">
        <v>170</v>
      </c>
      <c r="C68" s="2787">
        <v>559.48356856999999</v>
      </c>
      <c r="D68" s="2786">
        <v>0</v>
      </c>
      <c r="E68" s="2786">
        <v>0</v>
      </c>
      <c r="F68" s="2786">
        <v>0</v>
      </c>
      <c r="G68" s="2786">
        <v>0</v>
      </c>
      <c r="H68" s="2786">
        <v>0</v>
      </c>
      <c r="I68" s="2786">
        <v>0</v>
      </c>
      <c r="J68" s="2820"/>
      <c r="K68" s="2786">
        <v>441.220331343</v>
      </c>
      <c r="L68" s="2786">
        <v>118.26323722699999</v>
      </c>
      <c r="M68" s="2101"/>
    </row>
    <row r="69" spans="1:13">
      <c r="A69" s="2101"/>
      <c r="B69" s="2820" t="s">
        <v>171</v>
      </c>
      <c r="C69" s="2787">
        <v>559.30651770000009</v>
      </c>
      <c r="D69" s="2786">
        <v>0</v>
      </c>
      <c r="E69" s="2786">
        <v>0</v>
      </c>
      <c r="F69" s="2786">
        <v>0</v>
      </c>
      <c r="G69" s="2786">
        <v>0</v>
      </c>
      <c r="H69" s="2786">
        <v>0</v>
      </c>
      <c r="I69" s="2786">
        <v>0</v>
      </c>
      <c r="J69" s="2820"/>
      <c r="K69" s="2786">
        <v>427.50909654000003</v>
      </c>
      <c r="L69" s="2786">
        <v>131.79742116000006</v>
      </c>
      <c r="M69" s="2101"/>
    </row>
    <row r="70" spans="1:13">
      <c r="A70" s="2101"/>
      <c r="B70" s="2820" t="s">
        <v>148</v>
      </c>
      <c r="C70" s="2787">
        <v>624.55088983000007</v>
      </c>
      <c r="D70" s="2786">
        <v>0</v>
      </c>
      <c r="E70" s="2786">
        <v>0</v>
      </c>
      <c r="F70" s="2786">
        <v>0</v>
      </c>
      <c r="G70" s="2786">
        <v>0</v>
      </c>
      <c r="H70" s="2786">
        <v>0</v>
      </c>
      <c r="I70" s="2786">
        <v>0</v>
      </c>
      <c r="J70" s="2820"/>
      <c r="K70" s="2786">
        <v>417.36756200000002</v>
      </c>
      <c r="L70" s="2786">
        <v>207.18332783000005</v>
      </c>
      <c r="M70" s="2101"/>
    </row>
    <row r="71" spans="1:13">
      <c r="A71" s="2101"/>
      <c r="B71" s="2939">
        <v>2015</v>
      </c>
      <c r="C71" s="2787"/>
      <c r="D71" s="2786"/>
      <c r="E71" s="2786"/>
      <c r="F71" s="2786"/>
      <c r="G71" s="2786"/>
      <c r="H71" s="2786"/>
      <c r="I71" s="2786"/>
      <c r="J71" s="2820"/>
      <c r="K71" s="2786"/>
      <c r="L71" s="2786"/>
      <c r="M71" s="2101"/>
    </row>
    <row r="72" spans="1:13">
      <c r="A72" s="2101"/>
      <c r="B72" s="2820" t="s">
        <v>161</v>
      </c>
      <c r="C72" s="2787">
        <v>631.41771306999999</v>
      </c>
      <c r="D72" s="2786">
        <v>0</v>
      </c>
      <c r="E72" s="2786">
        <v>0</v>
      </c>
      <c r="F72" s="2786">
        <v>0</v>
      </c>
      <c r="G72" s="2786">
        <v>0</v>
      </c>
      <c r="H72" s="2786">
        <v>0</v>
      </c>
      <c r="I72" s="2786">
        <v>0</v>
      </c>
      <c r="J72" s="2820"/>
      <c r="K72" s="2786">
        <v>442.90725208099997</v>
      </c>
      <c r="L72" s="2786">
        <v>188.51046098900002</v>
      </c>
      <c r="M72" s="2101"/>
    </row>
    <row r="73" spans="1:13">
      <c r="A73" s="2101"/>
      <c r="B73" s="2820" t="s">
        <v>162</v>
      </c>
      <c r="C73" s="2787">
        <v>662.39364453999997</v>
      </c>
      <c r="D73" s="2786">
        <v>0</v>
      </c>
      <c r="E73" s="2786">
        <v>0</v>
      </c>
      <c r="F73" s="2786">
        <v>0</v>
      </c>
      <c r="G73" s="2786">
        <v>0</v>
      </c>
      <c r="H73" s="2786">
        <v>0</v>
      </c>
      <c r="I73" s="2786">
        <v>0</v>
      </c>
      <c r="J73" s="2820"/>
      <c r="K73" s="2786">
        <v>442.50386646999999</v>
      </c>
      <c r="L73" s="2786">
        <v>219.88977806999998</v>
      </c>
      <c r="M73" s="2101"/>
    </row>
    <row r="74" spans="1:13">
      <c r="A74" s="2101"/>
      <c r="B74" s="2820" t="s">
        <v>163</v>
      </c>
      <c r="C74" s="2787">
        <v>679.84811440999999</v>
      </c>
      <c r="D74" s="2786">
        <v>0</v>
      </c>
      <c r="E74" s="2786">
        <v>0</v>
      </c>
      <c r="F74" s="2786">
        <v>0</v>
      </c>
      <c r="G74" s="2786">
        <v>0</v>
      </c>
      <c r="H74" s="2786">
        <v>0</v>
      </c>
      <c r="I74" s="2786">
        <v>0</v>
      </c>
      <c r="J74" s="2820"/>
      <c r="K74" s="2786">
        <v>457.49253600000003</v>
      </c>
      <c r="L74" s="2786">
        <v>222.35557840999996</v>
      </c>
      <c r="M74" s="2101"/>
    </row>
    <row r="75" spans="1:13">
      <c r="A75" s="2101"/>
      <c r="B75" s="2820" t="s">
        <v>164</v>
      </c>
      <c r="C75" s="2787">
        <v>675.53822171000002</v>
      </c>
      <c r="D75" s="2786">
        <v>0</v>
      </c>
      <c r="E75" s="2786">
        <v>0</v>
      </c>
      <c r="F75" s="2786">
        <v>0</v>
      </c>
      <c r="G75" s="2786">
        <v>0</v>
      </c>
      <c r="H75" s="2786">
        <v>0</v>
      </c>
      <c r="I75" s="2786">
        <v>0</v>
      </c>
      <c r="J75" s="2820"/>
      <c r="K75" s="2786">
        <v>428.23779448000005</v>
      </c>
      <c r="L75" s="2786">
        <v>247.30042722999997</v>
      </c>
      <c r="M75" s="2101"/>
    </row>
    <row r="76" spans="1:13">
      <c r="A76" s="2101"/>
      <c r="B76" s="2820" t="s">
        <v>165</v>
      </c>
      <c r="C76" s="2787">
        <v>729.63610658999994</v>
      </c>
      <c r="D76" s="2786">
        <v>0</v>
      </c>
      <c r="E76" s="2786">
        <v>0</v>
      </c>
      <c r="F76" s="2786">
        <v>0</v>
      </c>
      <c r="G76" s="2786">
        <v>0</v>
      </c>
      <c r="H76" s="2786">
        <v>0</v>
      </c>
      <c r="I76" s="2786">
        <v>0</v>
      </c>
      <c r="J76" s="2820"/>
      <c r="K76" s="2786">
        <v>425.57526243500001</v>
      </c>
      <c r="L76" s="2786">
        <v>304.06084415499993</v>
      </c>
      <c r="M76" s="2101"/>
    </row>
    <row r="77" spans="1:13">
      <c r="A77" s="2101"/>
      <c r="B77" s="2820" t="s">
        <v>166</v>
      </c>
      <c r="C77" s="2787">
        <v>744.28403099999991</v>
      </c>
      <c r="D77" s="2786">
        <v>0</v>
      </c>
      <c r="E77" s="2786">
        <v>0</v>
      </c>
      <c r="F77" s="2786">
        <v>0</v>
      </c>
      <c r="G77" s="2786">
        <v>0</v>
      </c>
      <c r="H77" s="2786">
        <v>0</v>
      </c>
      <c r="I77" s="2786">
        <v>0</v>
      </c>
      <c r="J77" s="2820"/>
      <c r="K77" s="2786">
        <v>448.99166790000004</v>
      </c>
      <c r="L77" s="2786">
        <v>295.29236309999987</v>
      </c>
      <c r="M77" s="2101"/>
    </row>
    <row r="78" spans="1:13">
      <c r="A78" s="2101"/>
      <c r="B78" s="2820" t="s">
        <v>167</v>
      </c>
      <c r="C78" s="2787">
        <v>762.72002672999997</v>
      </c>
      <c r="D78" s="2786">
        <v>0</v>
      </c>
      <c r="E78" s="2786">
        <v>0</v>
      </c>
      <c r="F78" s="2786">
        <v>0</v>
      </c>
      <c r="G78" s="2786">
        <v>0</v>
      </c>
      <c r="H78" s="2786">
        <v>0</v>
      </c>
      <c r="I78" s="2786">
        <v>0</v>
      </c>
      <c r="J78" s="2820"/>
      <c r="K78" s="2786">
        <v>440.199332094</v>
      </c>
      <c r="L78" s="2786">
        <v>322.52069463599997</v>
      </c>
      <c r="M78" s="2101"/>
    </row>
    <row r="79" spans="1:13">
      <c r="A79" s="2101"/>
      <c r="B79" s="2820" t="s">
        <v>168</v>
      </c>
      <c r="C79" s="2787">
        <v>870.92834124000001</v>
      </c>
      <c r="D79" s="2786">
        <v>0</v>
      </c>
      <c r="E79" s="2786">
        <v>0</v>
      </c>
      <c r="F79" s="2786">
        <v>0</v>
      </c>
      <c r="G79" s="2786">
        <v>0</v>
      </c>
      <c r="H79" s="2786">
        <v>36</v>
      </c>
      <c r="I79" s="2786">
        <v>0</v>
      </c>
      <c r="J79" s="2820"/>
      <c r="K79" s="2786">
        <v>449.41228695699999</v>
      </c>
      <c r="L79" s="2786">
        <v>385.51605428300002</v>
      </c>
      <c r="M79" s="2101"/>
    </row>
    <row r="80" spans="1:13">
      <c r="A80" s="2101"/>
      <c r="B80" s="3221" t="s">
        <v>169</v>
      </c>
      <c r="C80" s="3220">
        <v>900.14325021000002</v>
      </c>
      <c r="D80" s="3219">
        <v>0</v>
      </c>
      <c r="E80" s="3219">
        <v>0</v>
      </c>
      <c r="F80" s="3219">
        <v>0</v>
      </c>
      <c r="G80" s="3219">
        <v>0</v>
      </c>
      <c r="H80" s="3219">
        <v>343.13761299999999</v>
      </c>
      <c r="I80" s="3219">
        <v>0</v>
      </c>
      <c r="J80" s="3221"/>
      <c r="K80" s="3219">
        <v>459.34527850000001</v>
      </c>
      <c r="L80" s="3219">
        <v>97.660358709999969</v>
      </c>
      <c r="M80" s="2101"/>
    </row>
    <row r="81" spans="1:13">
      <c r="A81" s="2101"/>
      <c r="B81" s="3221" t="s">
        <v>170</v>
      </c>
      <c r="C81" s="3220">
        <v>958.41615162000005</v>
      </c>
      <c r="D81" s="3219">
        <v>0</v>
      </c>
      <c r="E81" s="3219">
        <v>0</v>
      </c>
      <c r="F81" s="3219">
        <v>0</v>
      </c>
      <c r="G81" s="3219">
        <v>0</v>
      </c>
      <c r="H81" s="3219">
        <v>36</v>
      </c>
      <c r="I81" s="3219">
        <v>30</v>
      </c>
      <c r="J81" s="3221"/>
      <c r="K81" s="3219">
        <v>467.80145530300001</v>
      </c>
      <c r="L81" s="3219">
        <v>424.61469631700004</v>
      </c>
      <c r="M81" s="2101"/>
    </row>
    <row r="82" spans="1:13">
      <c r="A82" s="2101"/>
      <c r="B82" s="4206" t="s">
        <v>171</v>
      </c>
      <c r="C82" s="4205">
        <v>996.89508677000003</v>
      </c>
      <c r="D82" s="4204">
        <v>0</v>
      </c>
      <c r="E82" s="4204">
        <v>0</v>
      </c>
      <c r="F82" s="4204">
        <v>0</v>
      </c>
      <c r="G82" s="4204">
        <v>0</v>
      </c>
      <c r="H82" s="4204">
        <v>36</v>
      </c>
      <c r="I82" s="4204">
        <v>50</v>
      </c>
      <c r="J82" s="4206"/>
      <c r="K82" s="4204">
        <v>509.33234576999996</v>
      </c>
      <c r="L82" s="4204">
        <v>401.56274100000007</v>
      </c>
      <c r="M82" s="2101"/>
    </row>
    <row r="83" spans="1:13">
      <c r="A83" s="2101"/>
      <c r="B83" s="4206" t="s">
        <v>148</v>
      </c>
      <c r="C83" s="4205">
        <v>1040.6494671</v>
      </c>
      <c r="D83" s="4204">
        <v>0</v>
      </c>
      <c r="E83" s="4204">
        <v>0</v>
      </c>
      <c r="F83" s="4204">
        <v>0</v>
      </c>
      <c r="G83" s="4204">
        <v>0</v>
      </c>
      <c r="H83" s="4204">
        <v>430.89919200000003</v>
      </c>
      <c r="I83" s="4204">
        <v>0</v>
      </c>
      <c r="J83" s="4206"/>
      <c r="K83" s="4204">
        <v>493.69568649999997</v>
      </c>
      <c r="L83" s="4204">
        <v>116.05458859999999</v>
      </c>
      <c r="M83" s="2101"/>
    </row>
    <row r="84" spans="1:13">
      <c r="A84" s="2101"/>
      <c r="B84" s="4335">
        <v>2016</v>
      </c>
      <c r="C84" s="4205"/>
      <c r="D84" s="4204"/>
      <c r="E84" s="4204"/>
      <c r="F84" s="4204"/>
      <c r="G84" s="4204"/>
      <c r="H84" s="4204"/>
      <c r="I84" s="4204"/>
      <c r="J84" s="4206"/>
      <c r="K84" s="4204"/>
      <c r="L84" s="4204"/>
      <c r="M84" s="2101"/>
    </row>
    <row r="85" spans="1:13">
      <c r="A85" s="2101"/>
      <c r="B85" s="4206" t="s">
        <v>161</v>
      </c>
      <c r="C85" s="4205">
        <v>1021.9334478300002</v>
      </c>
      <c r="D85" s="4204">
        <v>0</v>
      </c>
      <c r="E85" s="4204">
        <v>0</v>
      </c>
      <c r="F85" s="4204">
        <v>0</v>
      </c>
      <c r="G85" s="4204">
        <v>0</v>
      </c>
      <c r="H85" s="4204">
        <v>0</v>
      </c>
      <c r="I85" s="4204">
        <v>50</v>
      </c>
      <c r="J85" s="4206"/>
      <c r="K85" s="4204">
        <v>503.47263271700001</v>
      </c>
      <c r="L85" s="4204">
        <v>468.46081511300019</v>
      </c>
      <c r="M85" s="2101"/>
    </row>
    <row r="86" spans="1:13">
      <c r="A86" s="2101"/>
      <c r="B86" s="4206" t="s">
        <v>162</v>
      </c>
      <c r="C86" s="4205">
        <v>1084.65522192</v>
      </c>
      <c r="D86" s="4204">
        <v>0</v>
      </c>
      <c r="E86" s="4204">
        <v>0</v>
      </c>
      <c r="F86" s="4204">
        <v>0</v>
      </c>
      <c r="G86" s="4204">
        <v>0</v>
      </c>
      <c r="H86" s="4204">
        <v>0</v>
      </c>
      <c r="I86" s="4204">
        <v>50</v>
      </c>
      <c r="J86" s="4206"/>
      <c r="K86" s="4204">
        <v>505.290063691</v>
      </c>
      <c r="L86" s="4204">
        <v>529.36515822900003</v>
      </c>
      <c r="M86" s="2101"/>
    </row>
    <row r="87" spans="1:13">
      <c r="A87" s="2101"/>
      <c r="B87" s="4344"/>
      <c r="C87" s="4345"/>
      <c r="D87" s="4344"/>
      <c r="E87" s="4344"/>
      <c r="F87" s="4344"/>
      <c r="G87" s="4344"/>
      <c r="H87" s="4344"/>
      <c r="I87" s="4344"/>
      <c r="J87" s="4344"/>
      <c r="K87" s="4344"/>
      <c r="L87" s="4344"/>
      <c r="M87" s="2101"/>
    </row>
  </sheetData>
  <mergeCells count="4">
    <mergeCell ref="K6:K8"/>
    <mergeCell ref="D5:D8"/>
    <mergeCell ref="G5:G8"/>
    <mergeCell ref="B1:L1"/>
  </mergeCells>
  <pageMargins left="0.95" right="0.7" top="0.75" bottom="0.75" header="0.55000000000000004" footer="0.3"/>
  <pageSetup paperSize="9" scale="75" orientation="portrait" r:id="rId1"/>
</worksheet>
</file>

<file path=xl/worksheets/sheet43.xml><?xml version="1.0" encoding="utf-8"?>
<worksheet xmlns="http://schemas.openxmlformats.org/spreadsheetml/2006/main" xmlns:r="http://schemas.openxmlformats.org/officeDocument/2006/relationships">
  <dimension ref="A1:Q224"/>
  <sheetViews>
    <sheetView zoomScale="70" zoomScaleNormal="70" workbookViewId="0">
      <pane xSplit="2" ySplit="11" topLeftCell="C12" activePane="bottomRight" state="frozen"/>
      <selection activeCell="O92" sqref="O92"/>
      <selection pane="topRight" activeCell="O92" sqref="O92"/>
      <selection pane="bottomLeft" activeCell="O92" sqref="O92"/>
      <selection pane="bottomRight" activeCell="O221" sqref="O221"/>
    </sheetView>
  </sheetViews>
  <sheetFormatPr defaultRowHeight="12.75"/>
  <cols>
    <col min="1" max="1" width="9.140625" style="2830"/>
    <col min="2" max="2" width="10" style="2874" bestFit="1" customWidth="1"/>
    <col min="3" max="3" width="14.5703125" style="3537" customWidth="1"/>
    <col min="4" max="4" width="12.7109375" style="2874" customWidth="1"/>
    <col min="5" max="5" width="11.42578125" style="2874" bestFit="1" customWidth="1"/>
    <col min="6" max="6" width="15.85546875" style="2874" customWidth="1"/>
    <col min="7" max="7" width="11.28515625" style="2874" customWidth="1"/>
    <col min="8" max="8" width="10.5703125" style="2874" customWidth="1"/>
    <col min="9" max="9" width="10.42578125" style="2874" customWidth="1"/>
    <col min="10" max="10" width="9.42578125" style="2874" customWidth="1"/>
    <col min="11" max="11" width="13.5703125" style="2874" customWidth="1"/>
    <col min="12" max="16384" width="9.140625" style="2830"/>
  </cols>
  <sheetData>
    <row r="1" spans="1:12" ht="47.25" customHeight="1">
      <c r="A1" s="2831"/>
      <c r="B1" s="4680" t="s">
        <v>2026</v>
      </c>
      <c r="C1" s="4680"/>
      <c r="D1" s="4680"/>
      <c r="E1" s="4680"/>
      <c r="F1" s="4680"/>
      <c r="G1" s="4680"/>
      <c r="H1" s="4680"/>
      <c r="I1" s="4680"/>
      <c r="J1" s="4680"/>
      <c r="K1" s="4680"/>
    </row>
    <row r="2" spans="1:12" ht="16.5" hidden="1">
      <c r="A2" s="2831"/>
      <c r="B2" s="2833"/>
      <c r="C2" s="2833"/>
      <c r="D2" s="2833"/>
      <c r="E2" s="2833"/>
      <c r="F2" s="2833"/>
      <c r="G2" s="2833"/>
      <c r="H2" s="2833"/>
      <c r="I2" s="2833"/>
      <c r="J2" s="2833"/>
      <c r="K2" s="2833"/>
    </row>
    <row r="3" spans="1:12" ht="16.5">
      <c r="A3" s="2831"/>
      <c r="B3" s="3152" t="s">
        <v>1757</v>
      </c>
      <c r="C3" s="3152"/>
      <c r="D3" s="3152"/>
      <c r="E3" s="2832"/>
      <c r="F3" s="2832"/>
      <c r="G3" s="2832"/>
      <c r="H3" s="2832"/>
      <c r="I3" s="2832"/>
      <c r="J3" s="2832"/>
      <c r="K3" s="2833"/>
      <c r="L3" s="2834"/>
    </row>
    <row r="4" spans="1:12" ht="16.5">
      <c r="A4" s="2831"/>
      <c r="B4" s="2835"/>
      <c r="C4" s="3534"/>
      <c r="D4" s="2836"/>
      <c r="E4" s="2836"/>
      <c r="F4" s="2836"/>
      <c r="G4" s="2836"/>
      <c r="H4" s="2836"/>
      <c r="I4" s="2836"/>
      <c r="J4" s="2836"/>
      <c r="K4" s="2837" t="s">
        <v>142</v>
      </c>
      <c r="L4" s="2834"/>
    </row>
    <row r="5" spans="1:12" ht="16.5">
      <c r="A5" s="2831"/>
      <c r="B5" s="2838"/>
      <c r="C5" s="2839" t="s">
        <v>1588</v>
      </c>
      <c r="D5" s="2840"/>
      <c r="E5" s="2840"/>
      <c r="F5" s="2840"/>
      <c r="G5" s="2840"/>
      <c r="H5" s="2840"/>
      <c r="I5" s="2840"/>
      <c r="J5" s="2840"/>
      <c r="K5" s="2841"/>
      <c r="L5" s="2834"/>
    </row>
    <row r="6" spans="1:12" ht="16.5">
      <c r="A6" s="2831"/>
      <c r="B6" s="2838"/>
      <c r="C6" s="2842"/>
      <c r="D6" s="2843"/>
      <c r="E6" s="2843"/>
      <c r="F6" s="2844"/>
      <c r="G6" s="2845" t="s">
        <v>142</v>
      </c>
      <c r="H6" s="2845"/>
      <c r="I6" s="2845"/>
      <c r="J6" s="4681" t="s">
        <v>1589</v>
      </c>
      <c r="K6" s="4684" t="s">
        <v>1590</v>
      </c>
      <c r="L6" s="2834"/>
    </row>
    <row r="7" spans="1:12" ht="16.5">
      <c r="A7" s="2831"/>
      <c r="B7" s="2838"/>
      <c r="C7" s="2842"/>
      <c r="D7" s="4687" t="s">
        <v>421</v>
      </c>
      <c r="E7" s="4688"/>
      <c r="F7" s="4689"/>
      <c r="G7" s="4690" t="s">
        <v>1591</v>
      </c>
      <c r="H7" s="2845" t="s">
        <v>142</v>
      </c>
      <c r="I7" s="2845"/>
      <c r="J7" s="4682"/>
      <c r="K7" s="4685"/>
      <c r="L7" s="2834"/>
    </row>
    <row r="8" spans="1:12" ht="16.5">
      <c r="A8" s="2831"/>
      <c r="B8" s="2838"/>
      <c r="C8" s="2842"/>
      <c r="D8" s="2846"/>
      <c r="E8" s="2846"/>
      <c r="F8" s="2842" t="s">
        <v>1592</v>
      </c>
      <c r="G8" s="4682"/>
      <c r="H8" s="2845"/>
      <c r="I8" s="2845" t="s">
        <v>173</v>
      </c>
      <c r="J8" s="4682"/>
      <c r="K8" s="4685"/>
      <c r="L8" s="2834"/>
    </row>
    <row r="9" spans="1:12" ht="16.5">
      <c r="A9" s="2831"/>
      <c r="B9" s="2838"/>
      <c r="C9" s="2842"/>
      <c r="D9" s="2845"/>
      <c r="E9" s="2845"/>
      <c r="F9" s="2842" t="s">
        <v>1593</v>
      </c>
      <c r="G9" s="4682"/>
      <c r="H9" s="2845" t="s">
        <v>173</v>
      </c>
      <c r="I9" s="2845" t="s">
        <v>174</v>
      </c>
      <c r="J9" s="4682"/>
      <c r="K9" s="4685"/>
      <c r="L9" s="2834"/>
    </row>
    <row r="10" spans="1:12" ht="16.5">
      <c r="A10" s="2831"/>
      <c r="B10" s="2838" t="s">
        <v>175</v>
      </c>
      <c r="C10" s="2842"/>
      <c r="D10" s="2845"/>
      <c r="E10" s="2845"/>
      <c r="F10" s="2842" t="s">
        <v>1594</v>
      </c>
      <c r="G10" s="4682"/>
      <c r="H10" s="2845" t="s">
        <v>174</v>
      </c>
      <c r="I10" s="2845" t="s">
        <v>178</v>
      </c>
      <c r="J10" s="4682"/>
      <c r="K10" s="4685"/>
      <c r="L10" s="2834"/>
    </row>
    <row r="11" spans="1:12" ht="16.5">
      <c r="A11" s="2831"/>
      <c r="B11" s="2847" t="s">
        <v>140</v>
      </c>
      <c r="C11" s="2848" t="s">
        <v>152</v>
      </c>
      <c r="D11" s="2849" t="s">
        <v>152</v>
      </c>
      <c r="E11" s="2849" t="s">
        <v>141</v>
      </c>
      <c r="F11" s="2849" t="s">
        <v>179</v>
      </c>
      <c r="G11" s="4683"/>
      <c r="H11" s="2849" t="s">
        <v>177</v>
      </c>
      <c r="I11" s="2849" t="s">
        <v>182</v>
      </c>
      <c r="J11" s="4683"/>
      <c r="K11" s="4686"/>
      <c r="L11" s="2834"/>
    </row>
    <row r="12" spans="1:12" ht="16.5" hidden="1">
      <c r="A12" s="2831"/>
      <c r="B12" s="3035">
        <v>2000</v>
      </c>
      <c r="C12" s="2997"/>
      <c r="D12" s="2854"/>
      <c r="E12" s="2853"/>
      <c r="F12" s="2853"/>
      <c r="G12" s="2853"/>
      <c r="H12" s="2853"/>
      <c r="I12" s="2853"/>
      <c r="J12" s="2850"/>
      <c r="K12" s="2852"/>
      <c r="L12" s="2834"/>
    </row>
    <row r="13" spans="1:12" ht="16.5" hidden="1">
      <c r="A13" s="2831"/>
      <c r="B13" s="3034" t="s">
        <v>161</v>
      </c>
      <c r="C13" s="2997">
        <v>10182.539999999999</v>
      </c>
      <c r="D13" s="2853">
        <v>8922.3799999999992</v>
      </c>
      <c r="E13" s="2853">
        <v>93.96</v>
      </c>
      <c r="F13" s="2853">
        <v>8828.42</v>
      </c>
      <c r="G13" s="2853">
        <v>1257.45</v>
      </c>
      <c r="H13" s="2853">
        <v>0</v>
      </c>
      <c r="I13" s="2853">
        <v>2.71</v>
      </c>
      <c r="J13" s="2850">
        <v>0</v>
      </c>
      <c r="K13" s="2852">
        <v>0</v>
      </c>
      <c r="L13" s="2834"/>
    </row>
    <row r="14" spans="1:12" ht="16.5" hidden="1">
      <c r="A14" s="2831"/>
      <c r="B14" s="3034" t="s">
        <v>162</v>
      </c>
      <c r="C14" s="2997">
        <v>10407.049999999999</v>
      </c>
      <c r="D14" s="2853">
        <v>8923.58</v>
      </c>
      <c r="E14" s="2853">
        <v>64.760000000000005</v>
      </c>
      <c r="F14" s="2853">
        <v>8858.82</v>
      </c>
      <c r="G14" s="2853">
        <v>1480.8</v>
      </c>
      <c r="H14" s="2853">
        <v>0</v>
      </c>
      <c r="I14" s="2853">
        <v>2.67</v>
      </c>
      <c r="J14" s="2850">
        <v>0</v>
      </c>
      <c r="K14" s="2852">
        <v>0</v>
      </c>
      <c r="L14" s="2834"/>
    </row>
    <row r="15" spans="1:12" ht="16.5" hidden="1">
      <c r="A15" s="2831"/>
      <c r="B15" s="3034" t="s">
        <v>163</v>
      </c>
      <c r="C15" s="2997">
        <v>10349.939999999999</v>
      </c>
      <c r="D15" s="2853">
        <v>8975.67</v>
      </c>
      <c r="E15" s="2853">
        <v>91.13</v>
      </c>
      <c r="F15" s="2853">
        <v>8884.5400000000009</v>
      </c>
      <c r="G15" s="2853">
        <v>1371.56</v>
      </c>
      <c r="H15" s="2853">
        <v>0</v>
      </c>
      <c r="I15" s="2853">
        <v>2.71</v>
      </c>
      <c r="J15" s="2850">
        <v>0</v>
      </c>
      <c r="K15" s="2852">
        <v>0</v>
      </c>
      <c r="L15" s="2834"/>
    </row>
    <row r="16" spans="1:12" ht="16.5" hidden="1">
      <c r="A16" s="2831"/>
      <c r="B16" s="3034" t="s">
        <v>164</v>
      </c>
      <c r="C16" s="2997">
        <v>10221.290000000001</v>
      </c>
      <c r="D16" s="2853">
        <v>8818.35</v>
      </c>
      <c r="E16" s="2853">
        <v>106.02</v>
      </c>
      <c r="F16" s="2853">
        <v>8712.33</v>
      </c>
      <c r="G16" s="2853">
        <v>1400.11</v>
      </c>
      <c r="H16" s="2853">
        <v>0</v>
      </c>
      <c r="I16" s="2853">
        <v>2.83</v>
      </c>
      <c r="J16" s="2850">
        <v>0</v>
      </c>
      <c r="K16" s="2852">
        <v>0</v>
      </c>
      <c r="L16" s="2834"/>
    </row>
    <row r="17" spans="1:12" ht="16.5" hidden="1">
      <c r="A17" s="2831"/>
      <c r="B17" s="3034" t="s">
        <v>165</v>
      </c>
      <c r="C17" s="2997">
        <v>9970.76</v>
      </c>
      <c r="D17" s="2853">
        <v>8990.25</v>
      </c>
      <c r="E17" s="2853">
        <v>111.42</v>
      </c>
      <c r="F17" s="2853">
        <v>8878.83</v>
      </c>
      <c r="G17" s="2853">
        <v>977.78</v>
      </c>
      <c r="H17" s="2853">
        <v>0</v>
      </c>
      <c r="I17" s="2853">
        <v>2.73</v>
      </c>
      <c r="J17" s="2850">
        <v>0</v>
      </c>
      <c r="K17" s="2852">
        <v>0</v>
      </c>
      <c r="L17" s="2834"/>
    </row>
    <row r="18" spans="1:12" ht="16.5" hidden="1">
      <c r="A18" s="2831"/>
      <c r="B18" s="3034" t="s">
        <v>166</v>
      </c>
      <c r="C18" s="2997">
        <v>9577.27</v>
      </c>
      <c r="D18" s="2853">
        <v>9162.86</v>
      </c>
      <c r="E18" s="2853">
        <v>102.02</v>
      </c>
      <c r="F18" s="2853">
        <v>9060.84</v>
      </c>
      <c r="G18" s="2853">
        <v>411.89</v>
      </c>
      <c r="H18" s="2853">
        <v>0</v>
      </c>
      <c r="I18" s="2853">
        <v>2.52</v>
      </c>
      <c r="J18" s="2850">
        <v>0</v>
      </c>
      <c r="K18" s="2852">
        <v>0</v>
      </c>
      <c r="L18" s="2834"/>
    </row>
    <row r="19" spans="1:12" ht="16.5" hidden="1">
      <c r="A19" s="2831"/>
      <c r="B19" s="3034" t="s">
        <v>167</v>
      </c>
      <c r="C19" s="2997">
        <v>9989.73</v>
      </c>
      <c r="D19" s="2853">
        <v>9228.65</v>
      </c>
      <c r="E19" s="2853">
        <v>100.63</v>
      </c>
      <c r="F19" s="2853">
        <v>9128.02</v>
      </c>
      <c r="G19" s="2853">
        <v>758.14</v>
      </c>
      <c r="H19" s="2853">
        <v>0</v>
      </c>
      <c r="I19" s="2853">
        <v>2.94</v>
      </c>
      <c r="J19" s="2850">
        <v>0</v>
      </c>
      <c r="K19" s="2852">
        <v>0</v>
      </c>
      <c r="L19" s="2834"/>
    </row>
    <row r="20" spans="1:12" ht="16.5" hidden="1">
      <c r="A20" s="2831"/>
      <c r="B20" s="3034" t="s">
        <v>168</v>
      </c>
      <c r="C20" s="2997">
        <v>10172.759999999998</v>
      </c>
      <c r="D20" s="2853">
        <v>9505.119999999999</v>
      </c>
      <c r="E20" s="2853">
        <v>91.15</v>
      </c>
      <c r="F20" s="2853">
        <v>9413.9699999999993</v>
      </c>
      <c r="G20" s="2853">
        <v>664.89</v>
      </c>
      <c r="H20" s="2853">
        <v>0</v>
      </c>
      <c r="I20" s="2853">
        <v>2.75</v>
      </c>
      <c r="J20" s="2850">
        <v>0</v>
      </c>
      <c r="K20" s="2852">
        <v>0</v>
      </c>
      <c r="L20" s="2834"/>
    </row>
    <row r="21" spans="1:12" ht="16.5" hidden="1">
      <c r="A21" s="2831"/>
      <c r="B21" s="3034" t="s">
        <v>183</v>
      </c>
      <c r="C21" s="2997">
        <v>10470.980000000001</v>
      </c>
      <c r="D21" s="2853">
        <v>9662.77</v>
      </c>
      <c r="E21" s="2853">
        <v>97.5</v>
      </c>
      <c r="F21" s="2853">
        <v>9565.27</v>
      </c>
      <c r="G21" s="2853">
        <v>804.95</v>
      </c>
      <c r="H21" s="2853">
        <v>0</v>
      </c>
      <c r="I21" s="2853">
        <v>3.26</v>
      </c>
      <c r="J21" s="2850">
        <v>0</v>
      </c>
      <c r="K21" s="2852">
        <v>0</v>
      </c>
      <c r="L21" s="2834"/>
    </row>
    <row r="22" spans="1:12" ht="16.5" hidden="1">
      <c r="A22" s="2831"/>
      <c r="B22" s="2861" t="s">
        <v>170</v>
      </c>
      <c r="C22" s="2997">
        <v>11049.599999999999</v>
      </c>
      <c r="D22" s="2851">
        <v>9942</v>
      </c>
      <c r="E22" s="2851">
        <v>85.1</v>
      </c>
      <c r="F22" s="2851">
        <v>9856.9</v>
      </c>
      <c r="G22" s="2851">
        <v>1104.3</v>
      </c>
      <c r="H22" s="2851">
        <v>0</v>
      </c>
      <c r="I22" s="2851">
        <v>3.3</v>
      </c>
      <c r="J22" s="2850">
        <v>0</v>
      </c>
      <c r="K22" s="2852">
        <v>0</v>
      </c>
      <c r="L22" s="2834"/>
    </row>
    <row r="23" spans="1:12" ht="16.5" hidden="1">
      <c r="A23" s="2831"/>
      <c r="B23" s="2861" t="s">
        <v>171</v>
      </c>
      <c r="C23" s="2997">
        <v>11791.400000000001</v>
      </c>
      <c r="D23" s="2851">
        <v>10468.5</v>
      </c>
      <c r="E23" s="2851">
        <v>100.1</v>
      </c>
      <c r="F23" s="2851">
        <v>10368.4</v>
      </c>
      <c r="G23" s="2851">
        <v>1319.7</v>
      </c>
      <c r="H23" s="2851">
        <v>0</v>
      </c>
      <c r="I23" s="2851">
        <v>3.2</v>
      </c>
      <c r="J23" s="2850">
        <v>0</v>
      </c>
      <c r="K23" s="2852">
        <v>0</v>
      </c>
      <c r="L23" s="2834"/>
    </row>
    <row r="24" spans="1:12" ht="16.5" hidden="1">
      <c r="A24" s="2855"/>
      <c r="B24" s="3035">
        <v>2000</v>
      </c>
      <c r="C24" s="2997">
        <v>11253.8</v>
      </c>
      <c r="D24" s="2851">
        <v>10357.599999999999</v>
      </c>
      <c r="E24" s="2851">
        <v>87.8</v>
      </c>
      <c r="F24" s="2851">
        <v>10269.799999999999</v>
      </c>
      <c r="G24" s="2851">
        <v>892.7</v>
      </c>
      <c r="H24" s="2851">
        <v>0</v>
      </c>
      <c r="I24" s="2851">
        <v>3.5</v>
      </c>
      <c r="J24" s="2850">
        <v>0</v>
      </c>
      <c r="K24" s="2852">
        <v>0</v>
      </c>
      <c r="L24" s="2834"/>
    </row>
    <row r="25" spans="1:12" ht="16.5" hidden="1">
      <c r="A25" s="2831"/>
      <c r="B25" s="2859">
        <v>2001</v>
      </c>
      <c r="C25" s="2997"/>
      <c r="D25" s="2851"/>
      <c r="E25" s="2851"/>
      <c r="F25" s="2851"/>
      <c r="G25" s="2851"/>
      <c r="H25" s="2851"/>
      <c r="I25" s="2851"/>
      <c r="J25" s="2850"/>
      <c r="K25" s="2852">
        <v>0</v>
      </c>
      <c r="L25" s="2834"/>
    </row>
    <row r="26" spans="1:12" ht="16.5" hidden="1">
      <c r="A26" s="2831"/>
      <c r="B26" s="2861" t="s">
        <v>161</v>
      </c>
      <c r="C26" s="2997">
        <v>10556.76</v>
      </c>
      <c r="D26" s="2851">
        <v>9544.07</v>
      </c>
      <c r="E26" s="2851">
        <v>100.55</v>
      </c>
      <c r="F26" s="2851">
        <v>9443.52</v>
      </c>
      <c r="G26" s="2851">
        <v>1009.08</v>
      </c>
      <c r="H26" s="2851">
        <v>0</v>
      </c>
      <c r="I26" s="2851">
        <v>3.61</v>
      </c>
      <c r="J26" s="2850">
        <v>0</v>
      </c>
      <c r="K26" s="2852">
        <v>0</v>
      </c>
      <c r="L26" s="2834"/>
    </row>
    <row r="27" spans="1:12" ht="16.5" hidden="1">
      <c r="A27" s="2831"/>
      <c r="B27" s="2861" t="s">
        <v>162</v>
      </c>
      <c r="C27" s="2997">
        <v>9987.7999999999993</v>
      </c>
      <c r="D27" s="2851">
        <v>9188.4499999999989</v>
      </c>
      <c r="E27" s="2851">
        <v>90.65</v>
      </c>
      <c r="F27" s="2851">
        <v>9097.7999999999993</v>
      </c>
      <c r="G27" s="2851">
        <v>795.83</v>
      </c>
      <c r="H27" s="2851">
        <v>0</v>
      </c>
      <c r="I27" s="2851">
        <v>3.52</v>
      </c>
      <c r="J27" s="2850">
        <v>0</v>
      </c>
      <c r="K27" s="2852">
        <v>0</v>
      </c>
      <c r="L27" s="2834"/>
    </row>
    <row r="28" spans="1:12" ht="16.5" hidden="1">
      <c r="A28" s="2831"/>
      <c r="B28" s="2861" t="s">
        <v>163</v>
      </c>
      <c r="C28" s="2997">
        <v>9608.6400000000012</v>
      </c>
      <c r="D28" s="2851">
        <v>8921.7900000000009</v>
      </c>
      <c r="E28" s="2851">
        <v>95.67</v>
      </c>
      <c r="F28" s="2851">
        <v>8826.1200000000008</v>
      </c>
      <c r="G28" s="2851">
        <v>683.31</v>
      </c>
      <c r="H28" s="2851">
        <v>0</v>
      </c>
      <c r="I28" s="2851">
        <v>3.54</v>
      </c>
      <c r="J28" s="2850">
        <v>0</v>
      </c>
      <c r="K28" s="2852">
        <v>0</v>
      </c>
      <c r="L28" s="2834"/>
    </row>
    <row r="29" spans="1:12" ht="16.5" hidden="1">
      <c r="A29" s="2831"/>
      <c r="B29" s="2861" t="s">
        <v>164</v>
      </c>
      <c r="C29" s="2997">
        <v>9221.6600000000017</v>
      </c>
      <c r="D29" s="2851">
        <v>9018.5000000000018</v>
      </c>
      <c r="E29" s="2851">
        <v>108.79</v>
      </c>
      <c r="F29" s="2851">
        <v>8909.7100000000009</v>
      </c>
      <c r="G29" s="2851">
        <v>199.5</v>
      </c>
      <c r="H29" s="2851">
        <v>0</v>
      </c>
      <c r="I29" s="2851">
        <v>3.66</v>
      </c>
      <c r="J29" s="2850">
        <v>0</v>
      </c>
      <c r="K29" s="2852">
        <v>0</v>
      </c>
      <c r="L29" s="2834"/>
    </row>
    <row r="30" spans="1:12" ht="16.5" hidden="1">
      <c r="A30" s="2831"/>
      <c r="B30" s="2861" t="s">
        <v>165</v>
      </c>
      <c r="C30" s="2997">
        <v>9080.2299999999977</v>
      </c>
      <c r="D30" s="2851">
        <v>8998.0199999999986</v>
      </c>
      <c r="E30" s="2851">
        <v>78.709999999999994</v>
      </c>
      <c r="F30" s="2851">
        <v>8919.31</v>
      </c>
      <c r="G30" s="2851">
        <v>78.650000000000006</v>
      </c>
      <c r="H30" s="2851">
        <v>0</v>
      </c>
      <c r="I30" s="2851">
        <v>3.56</v>
      </c>
      <c r="J30" s="2850">
        <v>0</v>
      </c>
      <c r="K30" s="2852">
        <v>0</v>
      </c>
      <c r="L30" s="2834"/>
    </row>
    <row r="31" spans="1:12" ht="16.5" hidden="1">
      <c r="A31" s="2831"/>
      <c r="B31" s="2861" t="s">
        <v>166</v>
      </c>
      <c r="C31" s="2997">
        <v>9352.7099999999991</v>
      </c>
      <c r="D31" s="2851">
        <v>9048.02</v>
      </c>
      <c r="E31" s="2851">
        <v>89.35</v>
      </c>
      <c r="F31" s="2851">
        <v>8958.67</v>
      </c>
      <c r="G31" s="2851">
        <v>22.72</v>
      </c>
      <c r="H31" s="2851">
        <v>280</v>
      </c>
      <c r="I31" s="2851">
        <v>1.97</v>
      </c>
      <c r="J31" s="2850">
        <v>0</v>
      </c>
      <c r="K31" s="2852">
        <v>0</v>
      </c>
      <c r="L31" s="2834"/>
    </row>
    <row r="32" spans="1:12" ht="16.5" hidden="1">
      <c r="A32" s="2831"/>
      <c r="B32" s="2861" t="s">
        <v>167</v>
      </c>
      <c r="C32" s="2997">
        <v>9418.5399999999991</v>
      </c>
      <c r="D32" s="2851">
        <v>9089.9599999999991</v>
      </c>
      <c r="E32" s="2851">
        <v>85.4</v>
      </c>
      <c r="F32" s="2851">
        <v>9004.56</v>
      </c>
      <c r="G32" s="2851">
        <v>46.55</v>
      </c>
      <c r="H32" s="2851">
        <v>280</v>
      </c>
      <c r="I32" s="2851">
        <v>2.0299999999999998</v>
      </c>
      <c r="J32" s="2850">
        <v>0</v>
      </c>
      <c r="K32" s="2852">
        <v>0</v>
      </c>
      <c r="L32" s="2834"/>
    </row>
    <row r="33" spans="1:12" ht="16.5" hidden="1">
      <c r="A33" s="2831"/>
      <c r="B33" s="2861" t="s">
        <v>168</v>
      </c>
      <c r="C33" s="2997">
        <v>9734.1200000000008</v>
      </c>
      <c r="D33" s="2851">
        <v>9429.49</v>
      </c>
      <c r="E33" s="2851">
        <v>104.09</v>
      </c>
      <c r="F33" s="2851">
        <v>9325.4</v>
      </c>
      <c r="G33" s="2851">
        <v>22.52</v>
      </c>
      <c r="H33" s="2851">
        <v>280</v>
      </c>
      <c r="I33" s="2851">
        <v>2.11</v>
      </c>
      <c r="J33" s="2850">
        <v>0</v>
      </c>
      <c r="K33" s="2852">
        <v>0</v>
      </c>
      <c r="L33" s="2834"/>
    </row>
    <row r="34" spans="1:12" ht="16.5" hidden="1">
      <c r="A34" s="2831"/>
      <c r="B34" s="2861" t="s">
        <v>169</v>
      </c>
      <c r="C34" s="2997">
        <v>9952.6199999999972</v>
      </c>
      <c r="D34" s="2851">
        <v>9640.8399999999983</v>
      </c>
      <c r="E34" s="2851">
        <v>356.97</v>
      </c>
      <c r="F34" s="2851">
        <v>9283.869999999999</v>
      </c>
      <c r="G34" s="2851">
        <v>29.9</v>
      </c>
      <c r="H34" s="2851">
        <v>280</v>
      </c>
      <c r="I34" s="2851">
        <v>1.88</v>
      </c>
      <c r="J34" s="2850">
        <v>0</v>
      </c>
      <c r="K34" s="2852">
        <v>0</v>
      </c>
      <c r="L34" s="2834"/>
    </row>
    <row r="35" spans="1:12" ht="16.5" hidden="1">
      <c r="A35" s="2831"/>
      <c r="B35" s="2861" t="s">
        <v>170</v>
      </c>
      <c r="C35" s="2997">
        <v>10212.560000000001</v>
      </c>
      <c r="D35" s="2851">
        <v>9964.5200000000023</v>
      </c>
      <c r="E35" s="2851">
        <v>592.62</v>
      </c>
      <c r="F35" s="2851">
        <v>9371.9000000000015</v>
      </c>
      <c r="G35" s="2851">
        <v>246.23</v>
      </c>
      <c r="H35" s="2851">
        <v>0</v>
      </c>
      <c r="I35" s="2851">
        <v>1.81</v>
      </c>
      <c r="J35" s="2850">
        <v>0</v>
      </c>
      <c r="K35" s="2852">
        <v>0</v>
      </c>
      <c r="L35" s="2834"/>
    </row>
    <row r="36" spans="1:12" ht="16.5" hidden="1">
      <c r="A36" s="2831"/>
      <c r="B36" s="2861" t="s">
        <v>171</v>
      </c>
      <c r="C36" s="2997">
        <v>10604.82</v>
      </c>
      <c r="D36" s="2851">
        <v>10219.119999999999</v>
      </c>
      <c r="E36" s="2851">
        <v>799.84</v>
      </c>
      <c r="F36" s="2851">
        <v>9419.2799999999988</v>
      </c>
      <c r="G36" s="2851">
        <v>383.92</v>
      </c>
      <c r="H36" s="2851">
        <v>0</v>
      </c>
      <c r="I36" s="2851">
        <v>1.78</v>
      </c>
      <c r="J36" s="2850">
        <v>0</v>
      </c>
      <c r="K36" s="2852">
        <v>0</v>
      </c>
      <c r="L36" s="2834"/>
    </row>
    <row r="37" spans="1:12" ht="16.5" hidden="1">
      <c r="A37" s="2831"/>
      <c r="B37" s="2859">
        <v>2001</v>
      </c>
      <c r="C37" s="2997">
        <v>11011.179999999998</v>
      </c>
      <c r="D37" s="2851">
        <v>10716.13</v>
      </c>
      <c r="E37" s="2851">
        <v>1215.52</v>
      </c>
      <c r="F37" s="2851">
        <v>9500.6099999999988</v>
      </c>
      <c r="G37" s="2851">
        <v>293.17</v>
      </c>
      <c r="H37" s="2851">
        <v>0</v>
      </c>
      <c r="I37" s="2851">
        <v>1.88</v>
      </c>
      <c r="J37" s="2850">
        <v>0</v>
      </c>
      <c r="K37" s="2852">
        <v>0</v>
      </c>
      <c r="L37" s="2834"/>
    </row>
    <row r="38" spans="1:12" ht="16.5" hidden="1">
      <c r="A38" s="2831"/>
      <c r="B38" s="2859">
        <v>2002</v>
      </c>
      <c r="C38" s="2997"/>
      <c r="D38" s="2851"/>
      <c r="E38" s="2851"/>
      <c r="F38" s="2851"/>
      <c r="G38" s="2851"/>
      <c r="H38" s="2851"/>
      <c r="I38" s="2851"/>
      <c r="J38" s="2850"/>
      <c r="K38" s="2852"/>
      <c r="L38" s="2834"/>
    </row>
    <row r="39" spans="1:12" ht="16.5" hidden="1">
      <c r="A39" s="2831"/>
      <c r="B39" s="2861" t="s">
        <v>161</v>
      </c>
      <c r="C39" s="2997">
        <v>11437.63</v>
      </c>
      <c r="D39" s="2851">
        <v>11013.55</v>
      </c>
      <c r="E39" s="2851">
        <v>1549.83</v>
      </c>
      <c r="F39" s="2851">
        <v>9463.7199999999993</v>
      </c>
      <c r="G39" s="2851">
        <v>421.93</v>
      </c>
      <c r="H39" s="2851">
        <v>0</v>
      </c>
      <c r="I39" s="2851">
        <v>2.15</v>
      </c>
      <c r="J39" s="2850">
        <v>0</v>
      </c>
      <c r="K39" s="2852">
        <v>0</v>
      </c>
      <c r="L39" s="2834"/>
    </row>
    <row r="40" spans="1:12" ht="16.5" hidden="1">
      <c r="A40" s="2831"/>
      <c r="B40" s="2861" t="s">
        <v>162</v>
      </c>
      <c r="C40" s="2997">
        <v>10854.21</v>
      </c>
      <c r="D40" s="2851">
        <v>10636.199999999999</v>
      </c>
      <c r="E40" s="2851">
        <v>1105.1099999999999</v>
      </c>
      <c r="F40" s="2851">
        <v>9531.0899999999983</v>
      </c>
      <c r="G40" s="2851">
        <v>215.81</v>
      </c>
      <c r="H40" s="2851">
        <v>0</v>
      </c>
      <c r="I40" s="2851">
        <v>2.2000000000000002</v>
      </c>
      <c r="J40" s="2850">
        <v>0</v>
      </c>
      <c r="K40" s="2852">
        <v>0</v>
      </c>
      <c r="L40" s="2834"/>
    </row>
    <row r="41" spans="1:12" ht="16.5" hidden="1">
      <c r="A41" s="2831"/>
      <c r="B41" s="2861" t="s">
        <v>163</v>
      </c>
      <c r="C41" s="2997">
        <v>11112.939999999999</v>
      </c>
      <c r="D41" s="2851">
        <v>11060.179999999998</v>
      </c>
      <c r="E41" s="2851">
        <v>1393.72</v>
      </c>
      <c r="F41" s="2851">
        <v>9666.4599999999991</v>
      </c>
      <c r="G41" s="2851">
        <v>50.77</v>
      </c>
      <c r="H41" s="2851">
        <v>0</v>
      </c>
      <c r="I41" s="2851">
        <v>1.99</v>
      </c>
      <c r="J41" s="2850">
        <v>0</v>
      </c>
      <c r="K41" s="2852">
        <v>0</v>
      </c>
      <c r="L41" s="2834"/>
    </row>
    <row r="42" spans="1:12" ht="16.5" hidden="1">
      <c r="A42" s="2831"/>
      <c r="B42" s="2861" t="s">
        <v>164</v>
      </c>
      <c r="C42" s="2997">
        <v>11838.929999999998</v>
      </c>
      <c r="D42" s="2851">
        <v>11338.82</v>
      </c>
      <c r="E42" s="2851">
        <v>1452.12</v>
      </c>
      <c r="F42" s="2851">
        <v>9886.7000000000007</v>
      </c>
      <c r="G42" s="2851">
        <v>498.05</v>
      </c>
      <c r="H42" s="2851">
        <v>0</v>
      </c>
      <c r="I42" s="2851">
        <v>2.06</v>
      </c>
      <c r="J42" s="2850">
        <v>0</v>
      </c>
      <c r="K42" s="2852">
        <v>0</v>
      </c>
      <c r="L42" s="2834"/>
    </row>
    <row r="43" spans="1:12" ht="16.5" hidden="1">
      <c r="A43" s="2831"/>
      <c r="B43" s="2861" t="s">
        <v>165</v>
      </c>
      <c r="C43" s="2997">
        <v>10718.78</v>
      </c>
      <c r="D43" s="2851">
        <v>10663.78</v>
      </c>
      <c r="E43" s="2851">
        <v>644.1</v>
      </c>
      <c r="F43" s="2851">
        <v>10019.68</v>
      </c>
      <c r="G43" s="2851">
        <v>53.2</v>
      </c>
      <c r="H43" s="2851">
        <v>0</v>
      </c>
      <c r="I43" s="2856">
        <v>1.8</v>
      </c>
      <c r="J43" s="2850">
        <v>0</v>
      </c>
      <c r="K43" s="2852">
        <v>0</v>
      </c>
      <c r="L43" s="2834"/>
    </row>
    <row r="44" spans="1:12" ht="16.5" hidden="1">
      <c r="A44" s="2831"/>
      <c r="B44" s="2861" t="s">
        <v>166</v>
      </c>
      <c r="C44" s="2997">
        <v>11006.239999999998</v>
      </c>
      <c r="D44" s="2851">
        <v>10810.449999999999</v>
      </c>
      <c r="E44" s="2851">
        <v>635.65</v>
      </c>
      <c r="F44" s="2851">
        <v>10174.799999999999</v>
      </c>
      <c r="G44" s="2851">
        <v>67.39</v>
      </c>
      <c r="H44" s="2851">
        <v>127</v>
      </c>
      <c r="I44" s="2856">
        <v>1.4</v>
      </c>
      <c r="J44" s="2850">
        <v>0</v>
      </c>
      <c r="K44" s="2852">
        <v>0</v>
      </c>
      <c r="L44" s="2834"/>
    </row>
    <row r="45" spans="1:12" ht="16.5" hidden="1">
      <c r="A45" s="2831"/>
      <c r="B45" s="2861" t="s">
        <v>167</v>
      </c>
      <c r="C45" s="2997">
        <v>11233.149999999998</v>
      </c>
      <c r="D45" s="2851">
        <v>10980.099999999999</v>
      </c>
      <c r="E45" s="2851">
        <v>767.75</v>
      </c>
      <c r="F45" s="2851">
        <v>10212.349999999999</v>
      </c>
      <c r="G45" s="2851">
        <v>124.16</v>
      </c>
      <c r="H45" s="2851">
        <v>127</v>
      </c>
      <c r="I45" s="2856">
        <v>1.89</v>
      </c>
      <c r="J45" s="2850">
        <v>0</v>
      </c>
      <c r="K45" s="2852">
        <v>0</v>
      </c>
      <c r="L45" s="2834"/>
    </row>
    <row r="46" spans="1:12" ht="16.5" hidden="1">
      <c r="A46" s="2831"/>
      <c r="B46" s="2861" t="s">
        <v>168</v>
      </c>
      <c r="C46" s="2997">
        <v>11448.43</v>
      </c>
      <c r="D46" s="2851">
        <v>11173.58</v>
      </c>
      <c r="E46" s="2851">
        <v>926.55</v>
      </c>
      <c r="F46" s="2851">
        <v>10247.030000000001</v>
      </c>
      <c r="G46" s="2851">
        <v>146.18</v>
      </c>
      <c r="H46" s="2851">
        <v>127</v>
      </c>
      <c r="I46" s="2851">
        <v>1.67</v>
      </c>
      <c r="J46" s="2850">
        <v>0</v>
      </c>
      <c r="K46" s="2852">
        <v>0</v>
      </c>
      <c r="L46" s="2834"/>
    </row>
    <row r="47" spans="1:12" ht="16.5" hidden="1">
      <c r="A47" s="2831"/>
      <c r="B47" s="2861" t="s">
        <v>169</v>
      </c>
      <c r="C47" s="2997">
        <v>10978.29</v>
      </c>
      <c r="D47" s="2851">
        <v>10641.330000000002</v>
      </c>
      <c r="E47" s="2851">
        <v>107.04</v>
      </c>
      <c r="F47" s="2851">
        <v>10534.29</v>
      </c>
      <c r="G47" s="2851">
        <v>207.91</v>
      </c>
      <c r="H47" s="2851">
        <v>127</v>
      </c>
      <c r="I47" s="2851">
        <v>2.0499999999999998</v>
      </c>
      <c r="J47" s="2850">
        <v>0</v>
      </c>
      <c r="K47" s="2852">
        <v>0</v>
      </c>
      <c r="L47" s="2834"/>
    </row>
    <row r="48" spans="1:12" ht="16.5" hidden="1">
      <c r="A48" s="2831"/>
      <c r="B48" s="2861" t="s">
        <v>170</v>
      </c>
      <c r="C48" s="2997">
        <v>10994.37</v>
      </c>
      <c r="D48" s="2851">
        <v>10590.79</v>
      </c>
      <c r="E48" s="2851">
        <v>158.69999999999999</v>
      </c>
      <c r="F48" s="2851">
        <v>10432.09</v>
      </c>
      <c r="G48" s="2851">
        <v>273.89999999999998</v>
      </c>
      <c r="H48" s="2851">
        <v>127</v>
      </c>
      <c r="I48" s="2851">
        <v>2.68</v>
      </c>
      <c r="J48" s="2850">
        <v>0</v>
      </c>
      <c r="K48" s="2852">
        <v>0</v>
      </c>
      <c r="L48" s="2834"/>
    </row>
    <row r="49" spans="1:12" ht="16.5" hidden="1">
      <c r="A49" s="2831"/>
      <c r="B49" s="2861" t="s">
        <v>171</v>
      </c>
      <c r="C49" s="2997">
        <v>11474.480000000001</v>
      </c>
      <c r="D49" s="2851">
        <v>11149.570000000002</v>
      </c>
      <c r="E49" s="2851">
        <v>569.52</v>
      </c>
      <c r="F49" s="2851">
        <v>10580.050000000001</v>
      </c>
      <c r="G49" s="2851">
        <v>195.97</v>
      </c>
      <c r="H49" s="2851">
        <v>127</v>
      </c>
      <c r="I49" s="2851">
        <v>1.94</v>
      </c>
      <c r="J49" s="2850">
        <v>0</v>
      </c>
      <c r="K49" s="2852">
        <v>0</v>
      </c>
      <c r="L49" s="2834"/>
    </row>
    <row r="50" spans="1:12" ht="16.5" hidden="1">
      <c r="A50" s="2831"/>
      <c r="B50" s="2859">
        <v>2002</v>
      </c>
      <c r="C50" s="2997">
        <v>12321.86</v>
      </c>
      <c r="D50" s="2851">
        <v>11998.710000000001</v>
      </c>
      <c r="E50" s="2851">
        <v>913.41</v>
      </c>
      <c r="F50" s="2851">
        <v>11085.300000000001</v>
      </c>
      <c r="G50" s="2851">
        <v>194.26</v>
      </c>
      <c r="H50" s="2851">
        <v>127</v>
      </c>
      <c r="I50" s="2851">
        <v>1.89</v>
      </c>
      <c r="J50" s="2850">
        <v>0</v>
      </c>
      <c r="K50" s="2852">
        <v>0</v>
      </c>
      <c r="L50" s="2834"/>
    </row>
    <row r="51" spans="1:12" ht="16.5" hidden="1">
      <c r="A51" s="2831"/>
      <c r="B51" s="2859">
        <v>2003</v>
      </c>
      <c r="C51" s="2997"/>
      <c r="D51" s="2851"/>
      <c r="E51" s="2851"/>
      <c r="F51" s="2851"/>
      <c r="G51" s="2851"/>
      <c r="H51" s="2851"/>
      <c r="I51" s="2851"/>
      <c r="J51" s="2850"/>
      <c r="K51" s="2852"/>
      <c r="L51" s="2834"/>
    </row>
    <row r="52" spans="1:12" ht="16.5" hidden="1">
      <c r="A52" s="2831"/>
      <c r="B52" s="3533" t="s">
        <v>161</v>
      </c>
      <c r="C52" s="2997">
        <v>12402.710000000001</v>
      </c>
      <c r="D52" s="2851">
        <v>12134.52</v>
      </c>
      <c r="E52" s="2851">
        <v>945.1</v>
      </c>
      <c r="F52" s="2851">
        <v>11189.42</v>
      </c>
      <c r="G52" s="2851">
        <v>139.41999999999999</v>
      </c>
      <c r="H52" s="2851">
        <v>127</v>
      </c>
      <c r="I52" s="2851">
        <v>1.77</v>
      </c>
      <c r="J52" s="2850">
        <v>0</v>
      </c>
      <c r="K52" s="2852">
        <v>0</v>
      </c>
      <c r="L52" s="2834"/>
    </row>
    <row r="53" spans="1:12" ht="16.5" hidden="1">
      <c r="A53" s="2831"/>
      <c r="B53" s="3533" t="s">
        <v>162</v>
      </c>
      <c r="C53" s="2997">
        <v>12208.73</v>
      </c>
      <c r="D53" s="2851">
        <v>12121.76</v>
      </c>
      <c r="E53" s="2851">
        <v>936.41</v>
      </c>
      <c r="F53" s="2851">
        <v>11185.35</v>
      </c>
      <c r="G53" s="2851">
        <v>85.39</v>
      </c>
      <c r="H53" s="2851">
        <v>0</v>
      </c>
      <c r="I53" s="2851">
        <v>1.58</v>
      </c>
      <c r="J53" s="2850">
        <v>0</v>
      </c>
      <c r="K53" s="2852">
        <v>0</v>
      </c>
      <c r="L53" s="2834"/>
    </row>
    <row r="54" spans="1:12" ht="16.5" hidden="1">
      <c r="A54" s="2831"/>
      <c r="B54" s="3533" t="s">
        <v>163</v>
      </c>
      <c r="C54" s="2997">
        <v>12190.199999999999</v>
      </c>
      <c r="D54" s="2851">
        <v>12097.009999999998</v>
      </c>
      <c r="E54" s="2851">
        <v>946.05</v>
      </c>
      <c r="F54" s="2851">
        <v>11150.96</v>
      </c>
      <c r="G54" s="2851">
        <v>91.53</v>
      </c>
      <c r="H54" s="2851">
        <v>0</v>
      </c>
      <c r="I54" s="2851">
        <v>1.66</v>
      </c>
      <c r="J54" s="2850">
        <v>0</v>
      </c>
      <c r="K54" s="2852">
        <v>0</v>
      </c>
      <c r="L54" s="2834"/>
    </row>
    <row r="55" spans="1:12" ht="16.5" hidden="1">
      <c r="A55" s="2831"/>
      <c r="B55" s="3533" t="s">
        <v>164</v>
      </c>
      <c r="C55" s="2997">
        <v>12918.23</v>
      </c>
      <c r="D55" s="2851">
        <v>12801.6</v>
      </c>
      <c r="E55" s="2851">
        <v>1640.78</v>
      </c>
      <c r="F55" s="2851">
        <v>11160.82</v>
      </c>
      <c r="G55" s="2851">
        <v>115.06</v>
      </c>
      <c r="H55" s="2851">
        <v>0</v>
      </c>
      <c r="I55" s="2851">
        <v>1.57</v>
      </c>
      <c r="J55" s="2850">
        <v>0</v>
      </c>
      <c r="K55" s="2852">
        <v>0</v>
      </c>
      <c r="L55" s="2834"/>
    </row>
    <row r="56" spans="1:12" ht="16.5" hidden="1">
      <c r="A56" s="2831"/>
      <c r="B56" s="3533" t="s">
        <v>165</v>
      </c>
      <c r="C56" s="2997">
        <v>12829.59</v>
      </c>
      <c r="D56" s="2851">
        <v>12653.18</v>
      </c>
      <c r="E56" s="2851">
        <v>1156.1099999999999</v>
      </c>
      <c r="F56" s="2851">
        <v>11497.07</v>
      </c>
      <c r="G56" s="2851">
        <v>174.74</v>
      </c>
      <c r="H56" s="2851">
        <v>0</v>
      </c>
      <c r="I56" s="2851">
        <v>1.67</v>
      </c>
      <c r="J56" s="2850">
        <v>0</v>
      </c>
      <c r="K56" s="2852">
        <v>0</v>
      </c>
      <c r="L56" s="2834"/>
    </row>
    <row r="57" spans="1:12" ht="16.5" hidden="1">
      <c r="A57" s="2831"/>
      <c r="B57" s="3533" t="s">
        <v>166</v>
      </c>
      <c r="C57" s="2997">
        <v>12539.119999999999</v>
      </c>
      <c r="D57" s="2851">
        <v>12334.539999999999</v>
      </c>
      <c r="E57" s="2851">
        <v>863.64</v>
      </c>
      <c r="F57" s="2851">
        <v>11470.9</v>
      </c>
      <c r="G57" s="2851">
        <v>147.46</v>
      </c>
      <c r="H57" s="2851">
        <v>56</v>
      </c>
      <c r="I57" s="2851">
        <v>1.1200000000000001</v>
      </c>
      <c r="J57" s="2850">
        <v>0</v>
      </c>
      <c r="K57" s="2852">
        <v>0</v>
      </c>
      <c r="L57" s="2834"/>
    </row>
    <row r="58" spans="1:12" ht="16.5" hidden="1">
      <c r="A58" s="2831"/>
      <c r="B58" s="3533" t="s">
        <v>167</v>
      </c>
      <c r="C58" s="2997">
        <v>12557.5</v>
      </c>
      <c r="D58" s="2851">
        <v>12278.47</v>
      </c>
      <c r="E58" s="2851">
        <v>889.44</v>
      </c>
      <c r="F58" s="2851">
        <v>11389.029999999999</v>
      </c>
      <c r="G58" s="2851">
        <v>221.7</v>
      </c>
      <c r="H58" s="2851">
        <v>56</v>
      </c>
      <c r="I58" s="2851">
        <v>1.33</v>
      </c>
      <c r="J58" s="2850">
        <v>0</v>
      </c>
      <c r="K58" s="2852">
        <v>0</v>
      </c>
      <c r="L58" s="2834"/>
    </row>
    <row r="59" spans="1:12" ht="16.5" hidden="1">
      <c r="A59" s="2831"/>
      <c r="B59" s="3533" t="s">
        <v>168</v>
      </c>
      <c r="C59" s="2997">
        <v>12559.51</v>
      </c>
      <c r="D59" s="2851">
        <v>12381.83</v>
      </c>
      <c r="E59" s="2851">
        <v>913.52</v>
      </c>
      <c r="F59" s="2851">
        <v>11468.31</v>
      </c>
      <c r="G59" s="2851">
        <v>120.14</v>
      </c>
      <c r="H59" s="2851">
        <v>56</v>
      </c>
      <c r="I59" s="2851">
        <v>1.54</v>
      </c>
      <c r="J59" s="2850">
        <v>0</v>
      </c>
      <c r="K59" s="2852">
        <v>0</v>
      </c>
      <c r="L59" s="2834"/>
    </row>
    <row r="60" spans="1:12" ht="16.5" hidden="1">
      <c r="A60" s="2831"/>
      <c r="B60" s="3533" t="s">
        <v>169</v>
      </c>
      <c r="C60" s="2997">
        <v>12307.74</v>
      </c>
      <c r="D60" s="2851">
        <v>12112.5</v>
      </c>
      <c r="E60" s="2851">
        <v>679.1</v>
      </c>
      <c r="F60" s="2851">
        <v>11433.4</v>
      </c>
      <c r="G60" s="2851">
        <v>137.61000000000001</v>
      </c>
      <c r="H60" s="2851">
        <v>56</v>
      </c>
      <c r="I60" s="2851">
        <v>1.63</v>
      </c>
      <c r="J60" s="2850">
        <v>0</v>
      </c>
      <c r="K60" s="2852">
        <v>0</v>
      </c>
      <c r="L60" s="2834"/>
    </row>
    <row r="61" spans="1:12" ht="16.5" hidden="1">
      <c r="A61" s="2831"/>
      <c r="B61" s="3533" t="s">
        <v>170</v>
      </c>
      <c r="C61" s="2997">
        <v>11532.539999999999</v>
      </c>
      <c r="D61" s="2851">
        <v>11356.51</v>
      </c>
      <c r="E61" s="2851">
        <v>600.64</v>
      </c>
      <c r="F61" s="2851">
        <v>10755.87</v>
      </c>
      <c r="G61" s="2851">
        <v>118.38</v>
      </c>
      <c r="H61" s="2851">
        <v>56</v>
      </c>
      <c r="I61" s="2851">
        <v>1.65</v>
      </c>
      <c r="J61" s="2850">
        <v>0</v>
      </c>
      <c r="K61" s="2852">
        <v>0</v>
      </c>
      <c r="L61" s="2834"/>
    </row>
    <row r="62" spans="1:12" ht="16.5" hidden="1">
      <c r="A62" s="2831"/>
      <c r="B62" s="3533" t="s">
        <v>171</v>
      </c>
      <c r="C62" s="2997">
        <v>11776.65</v>
      </c>
      <c r="D62" s="2851">
        <v>11606.24</v>
      </c>
      <c r="E62" s="2851">
        <v>610.64</v>
      </c>
      <c r="F62" s="2851">
        <v>10995.6</v>
      </c>
      <c r="G62" s="2851">
        <v>113.13</v>
      </c>
      <c r="H62" s="2851">
        <v>56</v>
      </c>
      <c r="I62" s="2851">
        <v>1.28</v>
      </c>
      <c r="J62" s="2850">
        <v>0</v>
      </c>
      <c r="K62" s="2852">
        <v>0</v>
      </c>
      <c r="L62" s="2834"/>
    </row>
    <row r="63" spans="1:12" ht="16.5">
      <c r="A63" s="2831"/>
      <c r="B63" s="2859">
        <v>2003</v>
      </c>
      <c r="C63" s="2997">
        <v>12260.210000000001</v>
      </c>
      <c r="D63" s="2851">
        <v>11898.95</v>
      </c>
      <c r="E63" s="2851">
        <v>987.25</v>
      </c>
      <c r="F63" s="2851">
        <v>10911.7</v>
      </c>
      <c r="G63" s="2851">
        <v>303.48</v>
      </c>
      <c r="H63" s="2851">
        <v>56</v>
      </c>
      <c r="I63" s="2851">
        <v>1.78</v>
      </c>
      <c r="J63" s="2850">
        <v>0</v>
      </c>
      <c r="K63" s="2852">
        <v>0</v>
      </c>
      <c r="L63" s="2834"/>
    </row>
    <row r="64" spans="1:12" ht="16.5" hidden="1">
      <c r="A64" s="2831"/>
      <c r="B64" s="2859">
        <v>2004</v>
      </c>
      <c r="C64" s="2998"/>
      <c r="D64" s="2857"/>
      <c r="E64" s="2857"/>
      <c r="F64" s="2857"/>
      <c r="G64" s="2857"/>
      <c r="H64" s="2857"/>
      <c r="I64" s="2857"/>
      <c r="J64" s="2857"/>
      <c r="K64" s="2858"/>
      <c r="L64" s="2834"/>
    </row>
    <row r="65" spans="1:12" ht="16.5" hidden="1">
      <c r="A65" s="2831"/>
      <c r="B65" s="2861" t="s">
        <v>161</v>
      </c>
      <c r="C65" s="2997">
        <v>13548.95</v>
      </c>
      <c r="D65" s="2851">
        <v>12913.68</v>
      </c>
      <c r="E65" s="2851">
        <v>1703.1</v>
      </c>
      <c r="F65" s="2851">
        <v>11210.58</v>
      </c>
      <c r="G65" s="2851">
        <v>577.12</v>
      </c>
      <c r="H65" s="2851">
        <v>56</v>
      </c>
      <c r="I65" s="2851">
        <v>2.15</v>
      </c>
      <c r="J65" s="2850">
        <v>0</v>
      </c>
      <c r="K65" s="2852">
        <v>0</v>
      </c>
      <c r="L65" s="2834"/>
    </row>
    <row r="66" spans="1:12" ht="16.5" hidden="1">
      <c r="A66" s="2831"/>
      <c r="B66" s="2861" t="s">
        <v>162</v>
      </c>
      <c r="C66" s="2997">
        <v>14390.259999999998</v>
      </c>
      <c r="D66" s="2851">
        <v>12824.8</v>
      </c>
      <c r="E66" s="2851">
        <v>1701.31</v>
      </c>
      <c r="F66" s="2851">
        <v>11123.49</v>
      </c>
      <c r="G66" s="2851">
        <v>1507.48</v>
      </c>
      <c r="H66" s="2851">
        <v>56</v>
      </c>
      <c r="I66" s="2851">
        <v>1.98</v>
      </c>
      <c r="J66" s="2850">
        <v>0</v>
      </c>
      <c r="K66" s="2852">
        <v>0</v>
      </c>
      <c r="L66" s="2834"/>
    </row>
    <row r="67" spans="1:12" ht="16.5" hidden="1">
      <c r="A67" s="2831"/>
      <c r="B67" s="2861" t="s">
        <v>163</v>
      </c>
      <c r="C67" s="2997">
        <v>13874.52</v>
      </c>
      <c r="D67" s="2851">
        <v>12767.41</v>
      </c>
      <c r="E67" s="2851">
        <v>1722.3</v>
      </c>
      <c r="F67" s="2851">
        <v>11045.11</v>
      </c>
      <c r="G67" s="2851">
        <v>1104.52</v>
      </c>
      <c r="H67" s="2851">
        <v>0</v>
      </c>
      <c r="I67" s="2851">
        <v>2.59</v>
      </c>
      <c r="J67" s="2850">
        <v>0</v>
      </c>
      <c r="K67" s="2852">
        <v>0</v>
      </c>
      <c r="L67" s="2834"/>
    </row>
    <row r="68" spans="1:12" ht="16.5" hidden="1">
      <c r="A68" s="2831"/>
      <c r="B68" s="2861" t="s">
        <v>164</v>
      </c>
      <c r="C68" s="2997">
        <v>14517.630000000001</v>
      </c>
      <c r="D68" s="2851">
        <v>13709.37</v>
      </c>
      <c r="E68" s="2851">
        <v>2901.34</v>
      </c>
      <c r="F68" s="2851">
        <v>10808.03</v>
      </c>
      <c r="G68" s="2851">
        <v>805.96</v>
      </c>
      <c r="H68" s="2851">
        <v>0</v>
      </c>
      <c r="I68" s="2851">
        <v>2.2999999999999998</v>
      </c>
      <c r="J68" s="2850">
        <v>0</v>
      </c>
      <c r="K68" s="2852">
        <v>0</v>
      </c>
      <c r="L68" s="2834"/>
    </row>
    <row r="69" spans="1:12" ht="16.5" hidden="1">
      <c r="A69" s="2831"/>
      <c r="B69" s="2861" t="s">
        <v>165</v>
      </c>
      <c r="C69" s="2997">
        <v>13974.39</v>
      </c>
      <c r="D69" s="2851">
        <v>13444.02</v>
      </c>
      <c r="E69" s="2851">
        <v>1465.95</v>
      </c>
      <c r="F69" s="2851">
        <v>11978.07</v>
      </c>
      <c r="G69" s="2851">
        <v>528.22</v>
      </c>
      <c r="H69" s="2851">
        <v>0</v>
      </c>
      <c r="I69" s="2851">
        <v>2.15</v>
      </c>
      <c r="J69" s="2850">
        <v>0</v>
      </c>
      <c r="K69" s="2852">
        <v>0</v>
      </c>
      <c r="L69" s="2834"/>
    </row>
    <row r="70" spans="1:12" ht="16.5" hidden="1">
      <c r="A70" s="2831"/>
      <c r="B70" s="2861" t="s">
        <v>166</v>
      </c>
      <c r="C70" s="2997">
        <v>13486.160000000002</v>
      </c>
      <c r="D70" s="2851">
        <v>13199.650000000001</v>
      </c>
      <c r="E70" s="2851">
        <v>1822.38</v>
      </c>
      <c r="F70" s="2851">
        <v>11377.27</v>
      </c>
      <c r="G70" s="2851">
        <v>248.7</v>
      </c>
      <c r="H70" s="2851">
        <v>37</v>
      </c>
      <c r="I70" s="2851">
        <v>0.81</v>
      </c>
      <c r="J70" s="2850">
        <v>0</v>
      </c>
      <c r="K70" s="2852">
        <v>0</v>
      </c>
      <c r="L70" s="2834"/>
    </row>
    <row r="71" spans="1:12" ht="16.5" hidden="1">
      <c r="A71" s="2831"/>
      <c r="B71" s="2861" t="s">
        <v>167</v>
      </c>
      <c r="C71" s="2997">
        <v>12584.24</v>
      </c>
      <c r="D71" s="2851">
        <v>12370.32</v>
      </c>
      <c r="E71" s="2851">
        <v>833.79</v>
      </c>
      <c r="F71" s="2851">
        <v>11536.53</v>
      </c>
      <c r="G71" s="2851">
        <v>176.1</v>
      </c>
      <c r="H71" s="2851">
        <v>37</v>
      </c>
      <c r="I71" s="2851">
        <v>0.82</v>
      </c>
      <c r="J71" s="2850">
        <v>0</v>
      </c>
      <c r="K71" s="2852">
        <v>0</v>
      </c>
      <c r="L71" s="2834"/>
    </row>
    <row r="72" spans="1:12" ht="16.5" hidden="1">
      <c r="A72" s="2831"/>
      <c r="B72" s="2861" t="s">
        <v>168</v>
      </c>
      <c r="C72" s="2997">
        <v>12751.569999999998</v>
      </c>
      <c r="D72" s="2851">
        <v>12571.859999999999</v>
      </c>
      <c r="E72" s="2851">
        <v>809.98</v>
      </c>
      <c r="F72" s="2851">
        <v>11761.88</v>
      </c>
      <c r="G72" s="2851">
        <v>141.91</v>
      </c>
      <c r="H72" s="2851">
        <v>37</v>
      </c>
      <c r="I72" s="2851">
        <v>0.8</v>
      </c>
      <c r="J72" s="2850">
        <v>0</v>
      </c>
      <c r="K72" s="2852">
        <v>0</v>
      </c>
      <c r="L72" s="2834"/>
    </row>
    <row r="73" spans="1:12" ht="16.5" hidden="1">
      <c r="A73" s="2831"/>
      <c r="B73" s="2861" t="s">
        <v>169</v>
      </c>
      <c r="C73" s="2997">
        <v>12747.730000000001</v>
      </c>
      <c r="D73" s="2851">
        <v>12572.52</v>
      </c>
      <c r="E73" s="2851">
        <v>765.26</v>
      </c>
      <c r="F73" s="2851">
        <v>11807.26</v>
      </c>
      <c r="G73" s="2851">
        <v>137.44</v>
      </c>
      <c r="H73" s="2851">
        <v>37</v>
      </c>
      <c r="I73" s="2851">
        <v>0.77</v>
      </c>
      <c r="J73" s="2850">
        <v>0</v>
      </c>
      <c r="K73" s="2852">
        <v>0</v>
      </c>
      <c r="L73" s="2834"/>
    </row>
    <row r="74" spans="1:12" ht="16.5" hidden="1">
      <c r="A74" s="2831"/>
      <c r="B74" s="2861" t="s">
        <v>170</v>
      </c>
      <c r="C74" s="2997">
        <v>13462.56</v>
      </c>
      <c r="D74" s="2851">
        <v>12879.039999999999</v>
      </c>
      <c r="E74" s="2851">
        <v>1998.22</v>
      </c>
      <c r="F74" s="2851">
        <v>10880.82</v>
      </c>
      <c r="G74" s="2851">
        <v>545.77</v>
      </c>
      <c r="H74" s="2851">
        <v>37</v>
      </c>
      <c r="I74" s="2851">
        <v>0.75</v>
      </c>
      <c r="J74" s="2850">
        <v>0</v>
      </c>
      <c r="K74" s="2852">
        <v>0</v>
      </c>
      <c r="L74" s="2834"/>
    </row>
    <row r="75" spans="1:12" ht="16.5" hidden="1">
      <c r="A75" s="2831"/>
      <c r="B75" s="2861" t="s">
        <v>171</v>
      </c>
      <c r="C75" s="2997">
        <v>13993.09</v>
      </c>
      <c r="D75" s="2851">
        <v>13060.42</v>
      </c>
      <c r="E75" s="2851">
        <v>2715.44</v>
      </c>
      <c r="F75" s="2851">
        <v>10344.98</v>
      </c>
      <c r="G75" s="2851">
        <v>894.94</v>
      </c>
      <c r="H75" s="2851">
        <v>37</v>
      </c>
      <c r="I75" s="2851">
        <v>0.73</v>
      </c>
      <c r="J75" s="2850">
        <v>0</v>
      </c>
      <c r="K75" s="2852">
        <v>0</v>
      </c>
      <c r="L75" s="2834"/>
    </row>
    <row r="76" spans="1:12" ht="16.5">
      <c r="A76" s="2831"/>
      <c r="B76" s="2859">
        <v>2004</v>
      </c>
      <c r="C76" s="2997">
        <v>13933.619999999999</v>
      </c>
      <c r="D76" s="2851">
        <v>13000.53</v>
      </c>
      <c r="E76" s="2851">
        <v>2709.6</v>
      </c>
      <c r="F76" s="2851">
        <v>10290.93</v>
      </c>
      <c r="G76" s="2851">
        <v>895.38</v>
      </c>
      <c r="H76" s="2851">
        <v>37</v>
      </c>
      <c r="I76" s="2851">
        <v>0.71</v>
      </c>
      <c r="J76" s="2850">
        <v>0</v>
      </c>
      <c r="K76" s="2852">
        <v>0</v>
      </c>
      <c r="L76" s="2834"/>
    </row>
    <row r="77" spans="1:12" ht="16.5" hidden="1">
      <c r="A77" s="2831"/>
      <c r="B77" s="2859">
        <v>2005</v>
      </c>
      <c r="C77" s="2998"/>
      <c r="D77" s="2857"/>
      <c r="E77" s="2857"/>
      <c r="F77" s="2857"/>
      <c r="G77" s="2857"/>
      <c r="H77" s="2857"/>
      <c r="I77" s="2857"/>
      <c r="J77" s="2857"/>
      <c r="K77" s="2858"/>
      <c r="L77" s="2834"/>
    </row>
    <row r="78" spans="1:12" ht="16.5" hidden="1">
      <c r="A78" s="2831"/>
      <c r="B78" s="2861" t="s">
        <v>161</v>
      </c>
      <c r="C78" s="2997">
        <v>14333.349999999999</v>
      </c>
      <c r="D78" s="2851">
        <v>12859.719999999998</v>
      </c>
      <c r="E78" s="2851">
        <v>2578.6999999999998</v>
      </c>
      <c r="F78" s="2851">
        <v>10281.019999999999</v>
      </c>
      <c r="G78" s="2851">
        <v>1435.94</v>
      </c>
      <c r="H78" s="2851">
        <v>37</v>
      </c>
      <c r="I78" s="2851">
        <v>0.69</v>
      </c>
      <c r="J78" s="2850">
        <v>0</v>
      </c>
      <c r="K78" s="2852">
        <v>0</v>
      </c>
      <c r="L78" s="2834"/>
    </row>
    <row r="79" spans="1:12" ht="16.5" hidden="1">
      <c r="A79" s="2831"/>
      <c r="B79" s="2861" t="s">
        <v>162</v>
      </c>
      <c r="C79" s="2997">
        <v>16410.64</v>
      </c>
      <c r="D79" s="2851">
        <v>15022.28</v>
      </c>
      <c r="E79" s="2851">
        <v>2615.1</v>
      </c>
      <c r="F79" s="2851">
        <v>12407.18</v>
      </c>
      <c r="G79" s="2851">
        <v>1350.69</v>
      </c>
      <c r="H79" s="2851">
        <v>37</v>
      </c>
      <c r="I79" s="2851">
        <v>0.67</v>
      </c>
      <c r="J79" s="2850">
        <v>0</v>
      </c>
      <c r="K79" s="2852">
        <v>0</v>
      </c>
      <c r="L79" s="2834"/>
    </row>
    <row r="80" spans="1:12" ht="16.5" hidden="1">
      <c r="A80" s="2831"/>
      <c r="B80" s="2861" t="s">
        <v>163</v>
      </c>
      <c r="C80" s="2997">
        <v>15988.930000000002</v>
      </c>
      <c r="D80" s="2851">
        <v>15026.670000000002</v>
      </c>
      <c r="E80" s="2851">
        <v>2421.1799999999998</v>
      </c>
      <c r="F80" s="2851">
        <v>12605.490000000002</v>
      </c>
      <c r="G80" s="2851">
        <v>924.61</v>
      </c>
      <c r="H80" s="2851">
        <v>37</v>
      </c>
      <c r="I80" s="2851">
        <v>0.65</v>
      </c>
      <c r="J80" s="2850">
        <v>0</v>
      </c>
      <c r="K80" s="2852">
        <v>0</v>
      </c>
      <c r="L80" s="2834"/>
    </row>
    <row r="81" spans="1:12" ht="16.5" hidden="1">
      <c r="A81" s="2831"/>
      <c r="B81" s="2861" t="s">
        <v>164</v>
      </c>
      <c r="C81" s="2997">
        <v>16088.560000000001</v>
      </c>
      <c r="D81" s="2851">
        <v>14660.240000000002</v>
      </c>
      <c r="E81" s="2851">
        <v>1909.11</v>
      </c>
      <c r="F81" s="2851">
        <v>12751.130000000001</v>
      </c>
      <c r="G81" s="2851">
        <v>1427.68</v>
      </c>
      <c r="H81" s="2851">
        <v>0</v>
      </c>
      <c r="I81" s="2851">
        <v>0.64</v>
      </c>
      <c r="J81" s="2850">
        <v>0</v>
      </c>
      <c r="K81" s="2852">
        <v>0</v>
      </c>
      <c r="L81" s="2834"/>
    </row>
    <row r="82" spans="1:12" ht="16.5" hidden="1">
      <c r="A82" s="2831"/>
      <c r="B82" s="2861" t="s">
        <v>165</v>
      </c>
      <c r="C82" s="2997">
        <v>13297.571344000002</v>
      </c>
      <c r="D82" s="2851">
        <v>12560.701344000001</v>
      </c>
      <c r="E82" s="2851">
        <v>2086.41</v>
      </c>
      <c r="F82" s="2851">
        <v>10474.291344000001</v>
      </c>
      <c r="G82" s="2851">
        <v>736.25</v>
      </c>
      <c r="H82" s="2851">
        <v>0</v>
      </c>
      <c r="I82" s="2851">
        <v>0.62</v>
      </c>
      <c r="J82" s="2850">
        <v>0</v>
      </c>
      <c r="K82" s="2852">
        <v>0</v>
      </c>
      <c r="L82" s="2834"/>
    </row>
    <row r="83" spans="1:12" ht="16.5" hidden="1">
      <c r="A83" s="2831"/>
      <c r="B83" s="2861" t="s">
        <v>166</v>
      </c>
      <c r="C83" s="2997">
        <v>14317.862844000001</v>
      </c>
      <c r="D83" s="2851">
        <v>13507.732844</v>
      </c>
      <c r="E83" s="2851">
        <v>2069.69</v>
      </c>
      <c r="F83" s="2851">
        <v>11438.042844</v>
      </c>
      <c r="G83" s="2851">
        <v>709.53</v>
      </c>
      <c r="H83" s="2851">
        <v>100</v>
      </c>
      <c r="I83" s="2851">
        <v>0.6</v>
      </c>
      <c r="J83" s="2850">
        <v>0</v>
      </c>
      <c r="K83" s="2852">
        <v>0</v>
      </c>
      <c r="L83" s="2834"/>
    </row>
    <row r="84" spans="1:12" ht="16.5" hidden="1">
      <c r="A84" s="2831"/>
      <c r="B84" s="2861" t="s">
        <v>167</v>
      </c>
      <c r="C84" s="2997">
        <v>15338.471389</v>
      </c>
      <c r="D84" s="2851">
        <v>14505.721389</v>
      </c>
      <c r="E84" s="2851">
        <v>1411.57</v>
      </c>
      <c r="F84" s="2851">
        <v>13094.151389000001</v>
      </c>
      <c r="G84" s="2851">
        <v>732.17</v>
      </c>
      <c r="H84" s="2851">
        <v>100</v>
      </c>
      <c r="I84" s="2851">
        <v>0.57999999999999996</v>
      </c>
      <c r="J84" s="2850">
        <v>0</v>
      </c>
      <c r="K84" s="2852">
        <v>0</v>
      </c>
      <c r="L84" s="2834"/>
    </row>
    <row r="85" spans="1:12" ht="16.5" hidden="1">
      <c r="A85" s="2831"/>
      <c r="B85" s="2861" t="s">
        <v>168</v>
      </c>
      <c r="C85" s="2997">
        <v>14605.363389000002</v>
      </c>
      <c r="D85" s="2851">
        <v>14310.433389000002</v>
      </c>
      <c r="E85" s="2851">
        <v>891.31</v>
      </c>
      <c r="F85" s="2851">
        <v>13419.123389000002</v>
      </c>
      <c r="G85" s="2851">
        <v>194.36</v>
      </c>
      <c r="H85" s="2851">
        <v>100</v>
      </c>
      <c r="I85" s="2851">
        <v>0.56999999999999995</v>
      </c>
      <c r="J85" s="2850">
        <v>0</v>
      </c>
      <c r="K85" s="2852">
        <v>0</v>
      </c>
      <c r="L85" s="2834"/>
    </row>
    <row r="86" spans="1:12" ht="16.5" hidden="1">
      <c r="A86" s="2831"/>
      <c r="B86" s="2861" t="s">
        <v>169</v>
      </c>
      <c r="C86" s="2997">
        <v>14950.093389000001</v>
      </c>
      <c r="D86" s="2851">
        <v>14265.623389</v>
      </c>
      <c r="E86" s="2851">
        <v>612.85</v>
      </c>
      <c r="F86" s="2851">
        <v>13652.773389</v>
      </c>
      <c r="G86" s="2851">
        <v>583.92999999999995</v>
      </c>
      <c r="H86" s="2851">
        <v>100</v>
      </c>
      <c r="I86" s="2851">
        <v>0.54</v>
      </c>
      <c r="J86" s="2850">
        <v>0</v>
      </c>
      <c r="K86" s="2852">
        <v>0</v>
      </c>
      <c r="L86" s="2834"/>
    </row>
    <row r="87" spans="1:12" ht="16.5" hidden="1">
      <c r="A87" s="2831"/>
      <c r="B87" s="2861" t="s">
        <v>170</v>
      </c>
      <c r="C87" s="2997">
        <v>15995.346889</v>
      </c>
      <c r="D87" s="2851">
        <v>14843.126888999999</v>
      </c>
      <c r="E87" s="2851">
        <v>605.22</v>
      </c>
      <c r="F87" s="2851">
        <v>14237.906889</v>
      </c>
      <c r="G87" s="2851">
        <v>1051.69</v>
      </c>
      <c r="H87" s="2851">
        <v>100</v>
      </c>
      <c r="I87" s="2851">
        <v>0.53</v>
      </c>
      <c r="J87" s="2850">
        <v>0</v>
      </c>
      <c r="K87" s="2852">
        <v>0</v>
      </c>
      <c r="L87" s="2834"/>
    </row>
    <row r="88" spans="1:12" ht="16.5" hidden="1">
      <c r="A88" s="2831"/>
      <c r="B88" s="2861" t="s">
        <v>171</v>
      </c>
      <c r="C88" s="2997">
        <v>18374.129889</v>
      </c>
      <c r="D88" s="2851">
        <v>17220.789889</v>
      </c>
      <c r="E88" s="2851">
        <v>2601.16</v>
      </c>
      <c r="F88" s="2851">
        <v>14619.629889000002</v>
      </c>
      <c r="G88" s="2851">
        <v>1052.8599999999999</v>
      </c>
      <c r="H88" s="2851">
        <v>100</v>
      </c>
      <c r="I88" s="2851">
        <v>0.48</v>
      </c>
      <c r="J88" s="2850">
        <v>0</v>
      </c>
      <c r="K88" s="2852">
        <v>0</v>
      </c>
      <c r="L88" s="2834"/>
    </row>
    <row r="89" spans="1:12" ht="16.5">
      <c r="A89" s="2831"/>
      <c r="B89" s="2859">
        <v>2005</v>
      </c>
      <c r="C89" s="2997">
        <v>18220.374888999999</v>
      </c>
      <c r="D89" s="2851">
        <v>17351.624888999999</v>
      </c>
      <c r="E89" s="2851">
        <v>2539.6799999999998</v>
      </c>
      <c r="F89" s="2851">
        <v>14811.944889</v>
      </c>
      <c r="G89" s="2851">
        <v>768.29</v>
      </c>
      <c r="H89" s="2851">
        <v>100</v>
      </c>
      <c r="I89" s="2851">
        <v>0.46</v>
      </c>
      <c r="J89" s="2850">
        <v>0</v>
      </c>
      <c r="K89" s="2852">
        <v>0</v>
      </c>
      <c r="L89" s="2834"/>
    </row>
    <row r="90" spans="1:12" ht="16.5" hidden="1">
      <c r="A90" s="2831"/>
      <c r="B90" s="2859">
        <v>2006</v>
      </c>
      <c r="C90" s="2998"/>
      <c r="D90" s="2857"/>
      <c r="E90" s="2857"/>
      <c r="F90" s="2857"/>
      <c r="G90" s="2857"/>
      <c r="H90" s="2857"/>
      <c r="I90" s="2857"/>
      <c r="J90" s="2857"/>
      <c r="K90" s="2858"/>
      <c r="L90" s="2834"/>
    </row>
    <row r="91" spans="1:12" ht="16.5" hidden="1">
      <c r="A91" s="2831"/>
      <c r="B91" s="2861" t="s">
        <v>161</v>
      </c>
      <c r="C91" s="2997">
        <v>19098.843889</v>
      </c>
      <c r="D91" s="2851">
        <v>17647.473889000001</v>
      </c>
      <c r="E91" s="2851">
        <v>3000.23</v>
      </c>
      <c r="F91" s="2851">
        <v>14647.243889000001</v>
      </c>
      <c r="G91" s="2851">
        <v>1350.92</v>
      </c>
      <c r="H91" s="2851">
        <v>100</v>
      </c>
      <c r="I91" s="2851">
        <v>0.45</v>
      </c>
      <c r="J91" s="2850">
        <v>0</v>
      </c>
      <c r="K91" s="2852">
        <v>0</v>
      </c>
      <c r="L91" s="2834"/>
    </row>
    <row r="92" spans="1:12" ht="16.5" hidden="1">
      <c r="A92" s="2831"/>
      <c r="B92" s="2861" t="s">
        <v>162</v>
      </c>
      <c r="C92" s="2997">
        <v>18624.677389</v>
      </c>
      <c r="D92" s="2851">
        <v>17335.857389000001</v>
      </c>
      <c r="E92" s="2851">
        <v>2587.39</v>
      </c>
      <c r="F92" s="2851">
        <v>14748.467389000001</v>
      </c>
      <c r="G92" s="2851">
        <v>1288.3900000000001</v>
      </c>
      <c r="H92" s="2851">
        <v>0</v>
      </c>
      <c r="I92" s="2851">
        <v>0.43</v>
      </c>
      <c r="J92" s="2850">
        <v>0</v>
      </c>
      <c r="K92" s="2852">
        <v>0</v>
      </c>
      <c r="L92" s="2834"/>
    </row>
    <row r="93" spans="1:12" ht="16.5" hidden="1">
      <c r="A93" s="2831"/>
      <c r="B93" s="2861" t="s">
        <v>163</v>
      </c>
      <c r="C93" s="2997">
        <v>16872.701389000002</v>
      </c>
      <c r="D93" s="2851">
        <v>16358.991389000001</v>
      </c>
      <c r="E93" s="2851">
        <v>1368.45</v>
      </c>
      <c r="F93" s="2851">
        <v>14990.541389</v>
      </c>
      <c r="G93" s="2851">
        <v>513.28</v>
      </c>
      <c r="H93" s="2851">
        <v>0</v>
      </c>
      <c r="I93" s="2851">
        <v>0.43</v>
      </c>
      <c r="J93" s="2850">
        <v>0</v>
      </c>
      <c r="K93" s="2852">
        <v>0</v>
      </c>
      <c r="L93" s="2834"/>
    </row>
    <row r="94" spans="1:12" ht="16.5" hidden="1">
      <c r="A94" s="2831"/>
      <c r="B94" s="2861" t="s">
        <v>164</v>
      </c>
      <c r="C94" s="2997">
        <v>16701.589689</v>
      </c>
      <c r="D94" s="2851">
        <v>15597.069689</v>
      </c>
      <c r="E94" s="2851">
        <v>2513.37</v>
      </c>
      <c r="F94" s="2851">
        <v>13083.699689000001</v>
      </c>
      <c r="G94" s="2851">
        <v>1104.1099999999999</v>
      </c>
      <c r="H94" s="2851">
        <v>0</v>
      </c>
      <c r="I94" s="2851">
        <v>0.41</v>
      </c>
      <c r="J94" s="2850">
        <v>0</v>
      </c>
      <c r="K94" s="2852">
        <v>0</v>
      </c>
      <c r="L94" s="2834"/>
    </row>
    <row r="95" spans="1:12" ht="16.5" hidden="1">
      <c r="A95" s="2831"/>
      <c r="B95" s="2861" t="s">
        <v>165</v>
      </c>
      <c r="C95" s="2997">
        <v>18642.896000000004</v>
      </c>
      <c r="D95" s="2851">
        <v>18595.006000000001</v>
      </c>
      <c r="E95" s="2851">
        <v>2337.96</v>
      </c>
      <c r="F95" s="2851">
        <v>16257.046000000002</v>
      </c>
      <c r="G95" s="2851">
        <v>47.49</v>
      </c>
      <c r="H95" s="2851">
        <v>0</v>
      </c>
      <c r="I95" s="2851">
        <v>0.4</v>
      </c>
      <c r="J95" s="2850">
        <v>0</v>
      </c>
      <c r="K95" s="2852">
        <v>0</v>
      </c>
      <c r="L95" s="2834"/>
    </row>
    <row r="96" spans="1:12" ht="16.5" hidden="1">
      <c r="A96" s="2831"/>
      <c r="B96" s="2861" t="s">
        <v>166</v>
      </c>
      <c r="C96" s="2997">
        <v>19296.752689000001</v>
      </c>
      <c r="D96" s="2851">
        <v>18702.402689000002</v>
      </c>
      <c r="E96" s="2851">
        <v>1507.42</v>
      </c>
      <c r="F96" s="2851">
        <v>17194.982689</v>
      </c>
      <c r="G96" s="2851">
        <v>591.23</v>
      </c>
      <c r="H96" s="2851">
        <v>0</v>
      </c>
      <c r="I96" s="2851">
        <v>3.12</v>
      </c>
      <c r="J96" s="2850">
        <v>0</v>
      </c>
      <c r="K96" s="2852">
        <v>0</v>
      </c>
      <c r="L96" s="2834"/>
    </row>
    <row r="97" spans="1:12" ht="16.5" hidden="1">
      <c r="A97" s="2831"/>
      <c r="B97" s="2861" t="s">
        <v>167</v>
      </c>
      <c r="C97" s="2997">
        <v>19074.420000000006</v>
      </c>
      <c r="D97" s="2851">
        <v>18762.320000000003</v>
      </c>
      <c r="E97" s="2851">
        <v>1302.29</v>
      </c>
      <c r="F97" s="2851">
        <v>17460.030000000002</v>
      </c>
      <c r="G97" s="2851">
        <v>306.86</v>
      </c>
      <c r="H97" s="2851">
        <v>0</v>
      </c>
      <c r="I97" s="2851">
        <v>5.24</v>
      </c>
      <c r="J97" s="2850">
        <v>0</v>
      </c>
      <c r="K97" s="2852">
        <v>0</v>
      </c>
      <c r="L97" s="2834"/>
    </row>
    <row r="98" spans="1:12" ht="16.5" hidden="1">
      <c r="A98" s="2831"/>
      <c r="B98" s="2861" t="s">
        <v>168</v>
      </c>
      <c r="C98" s="2997">
        <v>18560.680000000004</v>
      </c>
      <c r="D98" s="2851">
        <v>18271.890000000003</v>
      </c>
      <c r="E98" s="2851">
        <v>632.55999999999995</v>
      </c>
      <c r="F98" s="2851">
        <v>17639.330000000002</v>
      </c>
      <c r="G98" s="2851">
        <v>282.08999999999997</v>
      </c>
      <c r="H98" s="2851">
        <v>0</v>
      </c>
      <c r="I98" s="2851">
        <v>6.7</v>
      </c>
      <c r="J98" s="2850">
        <v>0</v>
      </c>
      <c r="K98" s="2852">
        <v>0</v>
      </c>
      <c r="L98" s="2834"/>
    </row>
    <row r="99" spans="1:12" ht="16.5" hidden="1">
      <c r="A99" s="2831"/>
      <c r="B99" s="2861" t="s">
        <v>169</v>
      </c>
      <c r="C99" s="2997">
        <v>17790.730000000003</v>
      </c>
      <c r="D99" s="2851">
        <v>17748.890000000003</v>
      </c>
      <c r="E99" s="2851">
        <v>241.58</v>
      </c>
      <c r="F99" s="2851">
        <v>17507.310000000001</v>
      </c>
      <c r="G99" s="2851">
        <v>35.24</v>
      </c>
      <c r="H99" s="2851">
        <v>0</v>
      </c>
      <c r="I99" s="2851">
        <v>6.6</v>
      </c>
      <c r="J99" s="2850">
        <v>0</v>
      </c>
      <c r="K99" s="2852">
        <v>0</v>
      </c>
      <c r="L99" s="2834"/>
    </row>
    <row r="100" spans="1:12" ht="16.5" hidden="1">
      <c r="A100" s="2831"/>
      <c r="B100" s="2861" t="s">
        <v>170</v>
      </c>
      <c r="C100" s="2997">
        <v>17666.618999999999</v>
      </c>
      <c r="D100" s="2851">
        <v>17617.298999999999</v>
      </c>
      <c r="E100" s="2851">
        <v>222.44</v>
      </c>
      <c r="F100" s="2851">
        <v>17394.859</v>
      </c>
      <c r="G100" s="2851">
        <v>39.9</v>
      </c>
      <c r="H100" s="2851">
        <v>0</v>
      </c>
      <c r="I100" s="2851">
        <v>9.42</v>
      </c>
      <c r="J100" s="2850">
        <v>0</v>
      </c>
      <c r="K100" s="2852">
        <v>0</v>
      </c>
      <c r="L100" s="2834"/>
    </row>
    <row r="101" spans="1:12" ht="16.5" hidden="1">
      <c r="A101" s="2831"/>
      <c r="B101" s="2861" t="s">
        <v>171</v>
      </c>
      <c r="C101" s="2997">
        <v>18045.572339210001</v>
      </c>
      <c r="D101" s="2851">
        <v>17986.38672721</v>
      </c>
      <c r="E101" s="2851">
        <v>252.6</v>
      </c>
      <c r="F101" s="2851">
        <v>17733.786727210001</v>
      </c>
      <c r="G101" s="2851">
        <v>47.30827</v>
      </c>
      <c r="H101" s="2851">
        <v>0</v>
      </c>
      <c r="I101" s="2851">
        <v>11.877342000000001</v>
      </c>
      <c r="J101" s="2850">
        <v>0</v>
      </c>
      <c r="K101" s="2852">
        <v>0</v>
      </c>
      <c r="L101" s="2834"/>
    </row>
    <row r="102" spans="1:12" ht="16.5">
      <c r="A102" s="2831"/>
      <c r="B102" s="2859">
        <v>2006</v>
      </c>
      <c r="C102" s="2997">
        <v>18510.70107408</v>
      </c>
      <c r="D102" s="2851">
        <v>18397.72144908</v>
      </c>
      <c r="E102" s="2851">
        <v>200.76476244999998</v>
      </c>
      <c r="F102" s="2851">
        <v>18196.956686630001</v>
      </c>
      <c r="G102" s="2851">
        <v>103.06411900000001</v>
      </c>
      <c r="H102" s="2851">
        <v>0</v>
      </c>
      <c r="I102" s="2851">
        <v>9.9155060000000006</v>
      </c>
      <c r="J102" s="2850">
        <v>0</v>
      </c>
      <c r="K102" s="2852">
        <v>0</v>
      </c>
      <c r="L102" s="2834"/>
    </row>
    <row r="103" spans="1:12" ht="16.5" hidden="1">
      <c r="A103" s="2831"/>
      <c r="B103" s="2864">
        <v>2007</v>
      </c>
      <c r="C103" s="2998"/>
      <c r="D103" s="2857"/>
      <c r="E103" s="2857"/>
      <c r="F103" s="2857"/>
      <c r="G103" s="2857"/>
      <c r="H103" s="2857"/>
      <c r="I103" s="2857"/>
      <c r="J103" s="2857"/>
      <c r="K103" s="2858"/>
      <c r="L103" s="2834"/>
    </row>
    <row r="104" spans="1:12" ht="16.5" hidden="1">
      <c r="A104" s="2831"/>
      <c r="B104" s="2861" t="s">
        <v>161</v>
      </c>
      <c r="C104" s="2997">
        <v>22325.14741809</v>
      </c>
      <c r="D104" s="2851">
        <v>22267.427973090002</v>
      </c>
      <c r="E104" s="2851">
        <v>1664.22342845</v>
      </c>
      <c r="F104" s="2851">
        <v>20603.204544640001</v>
      </c>
      <c r="G104" s="2851">
        <v>47.454383999999997</v>
      </c>
      <c r="H104" s="2851">
        <v>0</v>
      </c>
      <c r="I104" s="2851">
        <v>10.265060999999999</v>
      </c>
      <c r="J104" s="2850">
        <v>0</v>
      </c>
      <c r="K104" s="2852">
        <v>0</v>
      </c>
      <c r="L104" s="2834"/>
    </row>
    <row r="105" spans="1:12" ht="16.5" hidden="1">
      <c r="A105" s="2831"/>
      <c r="B105" s="2861" t="s">
        <v>162</v>
      </c>
      <c r="C105" s="2997">
        <v>22443.470340690001</v>
      </c>
      <c r="D105" s="2851">
        <v>22400.18369269</v>
      </c>
      <c r="E105" s="2851">
        <v>1563.7422294999999</v>
      </c>
      <c r="F105" s="2851">
        <v>20836.44146319</v>
      </c>
      <c r="G105" s="2851">
        <v>32.658906000000002</v>
      </c>
      <c r="H105" s="2851">
        <v>0</v>
      </c>
      <c r="I105" s="2851">
        <v>10.627742</v>
      </c>
      <c r="J105" s="2850">
        <v>0</v>
      </c>
      <c r="K105" s="2852">
        <v>0</v>
      </c>
      <c r="L105" s="2834"/>
    </row>
    <row r="106" spans="1:12" ht="16.5" hidden="1">
      <c r="A106" s="2831"/>
      <c r="B106" s="2861" t="s">
        <v>163</v>
      </c>
      <c r="C106" s="2997">
        <v>22131.506780610001</v>
      </c>
      <c r="D106" s="2851">
        <v>22048.425668610002</v>
      </c>
      <c r="E106" s="2851">
        <v>1080.2006414500001</v>
      </c>
      <c r="F106" s="2851">
        <v>20968.225027160002</v>
      </c>
      <c r="G106" s="2851">
        <v>72.229703000000001</v>
      </c>
      <c r="H106" s="2851">
        <v>0</v>
      </c>
      <c r="I106" s="2851">
        <v>10.851409</v>
      </c>
      <c r="J106" s="2850">
        <v>0</v>
      </c>
      <c r="K106" s="2852">
        <v>0</v>
      </c>
      <c r="L106" s="2834"/>
    </row>
    <row r="107" spans="1:12" ht="16.5" hidden="1">
      <c r="A107" s="2831"/>
      <c r="B107" s="2861" t="s">
        <v>164</v>
      </c>
      <c r="C107" s="2997">
        <v>19786.143214870001</v>
      </c>
      <c r="D107" s="2851">
        <v>19753.94144287</v>
      </c>
      <c r="E107" s="2851">
        <v>144.88931062</v>
      </c>
      <c r="F107" s="2851">
        <v>19609.052132249999</v>
      </c>
      <c r="G107" s="2851">
        <v>21.358673</v>
      </c>
      <c r="H107" s="2851">
        <v>0</v>
      </c>
      <c r="I107" s="2851">
        <v>10.843099</v>
      </c>
      <c r="J107" s="2850">
        <v>0</v>
      </c>
      <c r="K107" s="2852">
        <v>0</v>
      </c>
      <c r="L107" s="2834"/>
    </row>
    <row r="108" spans="1:12" ht="16.5" hidden="1">
      <c r="A108" s="2831"/>
      <c r="B108" s="2861" t="s">
        <v>165</v>
      </c>
      <c r="C108" s="2997">
        <v>20159.145640999999</v>
      </c>
      <c r="D108" s="2851">
        <v>20091.024782</v>
      </c>
      <c r="E108" s="2851">
        <v>153.20400000000001</v>
      </c>
      <c r="F108" s="2851">
        <v>19937.820781999999</v>
      </c>
      <c r="G108" s="2851">
        <v>56.449438000000001</v>
      </c>
      <c r="H108" s="2851">
        <v>0</v>
      </c>
      <c r="I108" s="2851">
        <v>11.671421</v>
      </c>
      <c r="J108" s="2850">
        <v>0</v>
      </c>
      <c r="K108" s="2852">
        <v>0</v>
      </c>
      <c r="L108" s="2834"/>
    </row>
    <row r="109" spans="1:12" ht="16.5" hidden="1">
      <c r="A109" s="2831"/>
      <c r="B109" s="2861" t="s">
        <v>166</v>
      </c>
      <c r="C109" s="2997">
        <v>22178.544665999998</v>
      </c>
      <c r="D109" s="2851">
        <v>20987.904665999999</v>
      </c>
      <c r="E109" s="2851">
        <v>136.27000000000001</v>
      </c>
      <c r="F109" s="2851">
        <v>20851.634665999998</v>
      </c>
      <c r="G109" s="2851">
        <v>21.57</v>
      </c>
      <c r="H109" s="2851">
        <v>0</v>
      </c>
      <c r="I109" s="2851">
        <v>11.57</v>
      </c>
      <c r="J109" s="2850">
        <v>0</v>
      </c>
      <c r="K109" s="2852">
        <v>1157.5</v>
      </c>
      <c r="L109" s="2834"/>
    </row>
    <row r="110" spans="1:12" ht="16.5" hidden="1">
      <c r="A110" s="2831"/>
      <c r="B110" s="2861" t="s">
        <v>167</v>
      </c>
      <c r="C110" s="2997">
        <v>22073.052607919992</v>
      </c>
      <c r="D110" s="2851">
        <v>20878.524321099994</v>
      </c>
      <c r="E110" s="2851">
        <v>98.405750620000006</v>
      </c>
      <c r="F110" s="2851">
        <v>20780.118570479994</v>
      </c>
      <c r="G110" s="2851">
        <v>25.160291999999998</v>
      </c>
      <c r="H110" s="2851">
        <v>0</v>
      </c>
      <c r="I110" s="2851">
        <v>11.88325882</v>
      </c>
      <c r="J110" s="2850">
        <v>0</v>
      </c>
      <c r="K110" s="2852">
        <v>1157.4847360000001</v>
      </c>
      <c r="L110" s="2834"/>
    </row>
    <row r="111" spans="1:12" ht="16.5" hidden="1">
      <c r="A111" s="2831"/>
      <c r="B111" s="3034" t="s">
        <v>168</v>
      </c>
      <c r="C111" s="2997">
        <v>22419.03063931</v>
      </c>
      <c r="D111" s="2851">
        <v>21055.7377705</v>
      </c>
      <c r="E111" s="2851">
        <v>150.20829062000001</v>
      </c>
      <c r="F111" s="2851">
        <v>20905.529479879999</v>
      </c>
      <c r="G111" s="2851">
        <v>194.17088319999999</v>
      </c>
      <c r="H111" s="2851">
        <v>0</v>
      </c>
      <c r="I111" s="2851">
        <v>11.63724961</v>
      </c>
      <c r="J111" s="2850">
        <v>0</v>
      </c>
      <c r="K111" s="2852">
        <v>1157.4847360000001</v>
      </c>
      <c r="L111" s="2834"/>
    </row>
    <row r="112" spans="1:12" ht="16.5" hidden="1">
      <c r="A112" s="2831"/>
      <c r="B112" s="3034" t="s">
        <v>169</v>
      </c>
      <c r="C112" s="2997">
        <v>22610.939290959999</v>
      </c>
      <c r="D112" s="2851">
        <v>21133.627969609999</v>
      </c>
      <c r="E112" s="2851">
        <v>93.521536339999997</v>
      </c>
      <c r="F112" s="2851">
        <v>21040.106433270001</v>
      </c>
      <c r="G112" s="2851">
        <v>308.52059400000002</v>
      </c>
      <c r="H112" s="2851">
        <v>0</v>
      </c>
      <c r="I112" s="2851">
        <v>11.305991349999999</v>
      </c>
      <c r="J112" s="2850">
        <v>0</v>
      </c>
      <c r="K112" s="2852">
        <v>1157.4847360000001</v>
      </c>
      <c r="L112" s="2834"/>
    </row>
    <row r="113" spans="1:12" ht="16.5" hidden="1">
      <c r="A113" s="2831"/>
      <c r="B113" s="3034" t="s">
        <v>170</v>
      </c>
      <c r="C113" s="2997">
        <v>23113.137362900001</v>
      </c>
      <c r="D113" s="2851">
        <v>21682.630616540002</v>
      </c>
      <c r="E113" s="2851">
        <v>614.55654261999996</v>
      </c>
      <c r="F113" s="2851">
        <v>21068.074073920001</v>
      </c>
      <c r="G113" s="2851">
        <v>261.72468900000001</v>
      </c>
      <c r="H113" s="2851">
        <v>0</v>
      </c>
      <c r="I113" s="2851">
        <v>11.29732173</v>
      </c>
      <c r="J113" s="2850">
        <v>0</v>
      </c>
      <c r="K113" s="2852">
        <v>1157.4847356300002</v>
      </c>
      <c r="L113" s="2834"/>
    </row>
    <row r="114" spans="1:12" ht="16.5" hidden="1">
      <c r="A114" s="2831"/>
      <c r="B114" s="3034" t="s">
        <v>171</v>
      </c>
      <c r="C114" s="2997">
        <v>25323.822066680001</v>
      </c>
      <c r="D114" s="2851">
        <v>23826.039148100001</v>
      </c>
      <c r="E114" s="2851">
        <v>2276.1510646199999</v>
      </c>
      <c r="F114" s="2851">
        <v>21549.88808348</v>
      </c>
      <c r="G114" s="2851">
        <v>328.95675422000005</v>
      </c>
      <c r="H114" s="2851">
        <v>0</v>
      </c>
      <c r="I114" s="2851">
        <v>11.341428730000001</v>
      </c>
      <c r="J114" s="2850">
        <v>0</v>
      </c>
      <c r="K114" s="2852">
        <v>1157.4847356300002</v>
      </c>
      <c r="L114" s="2834"/>
    </row>
    <row r="115" spans="1:12" ht="16.5">
      <c r="A115" s="2831"/>
      <c r="B115" s="2859">
        <v>2007</v>
      </c>
      <c r="C115" s="2997">
        <v>25812.639919149991</v>
      </c>
      <c r="D115" s="2851">
        <v>24483.324034239995</v>
      </c>
      <c r="E115" s="2851">
        <v>2588.8025506199997</v>
      </c>
      <c r="F115" s="2851">
        <v>21894.521483619996</v>
      </c>
      <c r="G115" s="2851">
        <v>160.35841821</v>
      </c>
      <c r="H115" s="2851">
        <v>0</v>
      </c>
      <c r="I115" s="2851">
        <v>11.472730700000001</v>
      </c>
      <c r="J115" s="2850">
        <v>0</v>
      </c>
      <c r="K115" s="2852">
        <v>1157.4847360000001</v>
      </c>
      <c r="L115" s="2834"/>
    </row>
    <row r="116" spans="1:12" ht="16.5" hidden="1">
      <c r="A116" s="2831"/>
      <c r="B116" s="3035">
        <v>2008</v>
      </c>
      <c r="C116" s="2998"/>
      <c r="D116" s="2857"/>
      <c r="E116" s="2857"/>
      <c r="F116" s="2857"/>
      <c r="G116" s="2857"/>
      <c r="H116" s="2857"/>
      <c r="I116" s="2857"/>
      <c r="J116" s="2857"/>
      <c r="K116" s="2852"/>
      <c r="L116" s="2834"/>
    </row>
    <row r="117" spans="1:12" ht="16.5" hidden="1">
      <c r="A117" s="2831"/>
      <c r="B117" s="2861" t="s">
        <v>161</v>
      </c>
      <c r="C117" s="2997">
        <v>23741.102025579996</v>
      </c>
      <c r="D117" s="2851">
        <v>22444.51894898</v>
      </c>
      <c r="E117" s="2851">
        <v>223.53849762000002</v>
      </c>
      <c r="F117" s="2851">
        <v>22220.980451359999</v>
      </c>
      <c r="G117" s="2851">
        <v>127.62653363</v>
      </c>
      <c r="H117" s="2851">
        <v>0</v>
      </c>
      <c r="I117" s="2851">
        <v>11.471806970000001</v>
      </c>
      <c r="J117" s="2850">
        <v>0</v>
      </c>
      <c r="K117" s="2852">
        <v>1157.4847360000001</v>
      </c>
      <c r="L117" s="2834"/>
    </row>
    <row r="118" spans="1:12" ht="16.5" hidden="1">
      <c r="A118" s="2831"/>
      <c r="B118" s="2861" t="s">
        <v>162</v>
      </c>
      <c r="C118" s="2997">
        <v>24497.574092900002</v>
      </c>
      <c r="D118" s="2851">
        <v>23247.191249480002</v>
      </c>
      <c r="E118" s="2851">
        <v>384.43101761999998</v>
      </c>
      <c r="F118" s="2851">
        <v>22862.76023186</v>
      </c>
      <c r="G118" s="2851">
        <v>81.656416450000009</v>
      </c>
      <c r="H118" s="2851">
        <v>0</v>
      </c>
      <c r="I118" s="2851">
        <v>11.241690970000001</v>
      </c>
      <c r="J118" s="2850">
        <v>0</v>
      </c>
      <c r="K118" s="2852">
        <v>1157.4847360000001</v>
      </c>
      <c r="L118" s="2834"/>
    </row>
    <row r="119" spans="1:12" ht="16.5" hidden="1">
      <c r="A119" s="2831"/>
      <c r="B119" s="2861" t="s">
        <v>163</v>
      </c>
      <c r="C119" s="2997">
        <v>25222.05968599</v>
      </c>
      <c r="D119" s="2851">
        <v>23805.022387699999</v>
      </c>
      <c r="E119" s="2851">
        <v>120.00538762000001</v>
      </c>
      <c r="F119" s="2851">
        <v>23685.017000079999</v>
      </c>
      <c r="G119" s="2851">
        <v>246.67590799999999</v>
      </c>
      <c r="H119" s="2851">
        <v>0</v>
      </c>
      <c r="I119" s="2851">
        <v>12.876654290000001</v>
      </c>
      <c r="J119" s="2850">
        <v>0</v>
      </c>
      <c r="K119" s="2852">
        <v>1157.4847360000001</v>
      </c>
      <c r="L119" s="2834"/>
    </row>
    <row r="120" spans="1:12" ht="16.5" hidden="1">
      <c r="A120" s="2831"/>
      <c r="B120" s="2861" t="s">
        <v>164</v>
      </c>
      <c r="C120" s="2997">
        <v>25570.201523882402</v>
      </c>
      <c r="D120" s="2851">
        <v>24059.549065152401</v>
      </c>
      <c r="E120" s="2851">
        <v>146.63452762</v>
      </c>
      <c r="F120" s="2851">
        <v>23912.914537532401</v>
      </c>
      <c r="G120" s="2851">
        <v>339.49982999999997</v>
      </c>
      <c r="H120" s="2851">
        <v>0</v>
      </c>
      <c r="I120" s="2851">
        <v>13.66789273</v>
      </c>
      <c r="J120" s="2850">
        <v>0</v>
      </c>
      <c r="K120" s="2852">
        <v>1157.4847360000001</v>
      </c>
      <c r="L120" s="2834"/>
    </row>
    <row r="121" spans="1:12" ht="16.5" hidden="1">
      <c r="A121" s="2831"/>
      <c r="B121" s="2861" t="s">
        <v>165</v>
      </c>
      <c r="C121" s="2997">
        <v>26889.674841749998</v>
      </c>
      <c r="D121" s="2851">
        <v>25615.911385029998</v>
      </c>
      <c r="E121" s="2851">
        <v>100.40750174999999</v>
      </c>
      <c r="F121" s="2851">
        <v>25515.503883279998</v>
      </c>
      <c r="G121" s="2851">
        <v>102.152317</v>
      </c>
      <c r="H121" s="2851">
        <v>0</v>
      </c>
      <c r="I121" s="2851">
        <v>14.126403720000001</v>
      </c>
      <c r="J121" s="2850">
        <v>0</v>
      </c>
      <c r="K121" s="2852">
        <v>1157.4847360000001</v>
      </c>
      <c r="L121" s="2834"/>
    </row>
    <row r="122" spans="1:12" ht="16.5" hidden="1">
      <c r="A122" s="2831"/>
      <c r="B122" s="2861" t="s">
        <v>166</v>
      </c>
      <c r="C122" s="2997">
        <v>26267.813276629993</v>
      </c>
      <c r="D122" s="2851">
        <v>26106.709612359995</v>
      </c>
      <c r="E122" s="2851">
        <v>135.11288830000001</v>
      </c>
      <c r="F122" s="2851">
        <v>25971.596724059997</v>
      </c>
      <c r="G122" s="2851">
        <v>146.63726141000001</v>
      </c>
      <c r="H122" s="2851">
        <v>0</v>
      </c>
      <c r="I122" s="2851">
        <v>14.466402859999999</v>
      </c>
      <c r="J122" s="2850">
        <v>0</v>
      </c>
      <c r="K122" s="2852">
        <v>0</v>
      </c>
      <c r="L122" s="2834"/>
    </row>
    <row r="123" spans="1:12" ht="16.5" hidden="1">
      <c r="A123" s="2831"/>
      <c r="B123" s="2861" t="s">
        <v>167</v>
      </c>
      <c r="C123" s="2997">
        <v>26353.969386270004</v>
      </c>
      <c r="D123" s="2851">
        <v>25775.405479430003</v>
      </c>
      <c r="E123" s="2851">
        <v>83.887388299999998</v>
      </c>
      <c r="F123" s="2851">
        <v>25691.518091130001</v>
      </c>
      <c r="G123" s="2851">
        <v>563.28207642999996</v>
      </c>
      <c r="H123" s="2851">
        <v>0</v>
      </c>
      <c r="I123" s="2851">
        <v>15.28183041</v>
      </c>
      <c r="J123" s="2850">
        <v>0</v>
      </c>
      <c r="K123" s="2852">
        <v>0</v>
      </c>
      <c r="L123" s="2834"/>
    </row>
    <row r="124" spans="1:12" ht="16.5" hidden="1">
      <c r="A124" s="2831"/>
      <c r="B124" s="2861" t="s">
        <v>168</v>
      </c>
      <c r="C124" s="2997">
        <v>27236.341206059999</v>
      </c>
      <c r="D124" s="2851">
        <v>26791.970488709998</v>
      </c>
      <c r="E124" s="2851">
        <v>51.257826979999997</v>
      </c>
      <c r="F124" s="2851">
        <v>26740.712661729998</v>
      </c>
      <c r="G124" s="2851">
        <v>429.34185948999999</v>
      </c>
      <c r="H124" s="2851">
        <v>0</v>
      </c>
      <c r="I124" s="2851">
        <v>15.028857859999999</v>
      </c>
      <c r="J124" s="2850">
        <v>0</v>
      </c>
      <c r="K124" s="2852">
        <v>0</v>
      </c>
      <c r="L124" s="2834"/>
    </row>
    <row r="125" spans="1:12" ht="16.5" hidden="1">
      <c r="A125" s="2831"/>
      <c r="B125" s="2861" t="s">
        <v>169</v>
      </c>
      <c r="C125" s="2997">
        <v>31350.789718980002</v>
      </c>
      <c r="D125" s="2851">
        <v>30332.630668680002</v>
      </c>
      <c r="E125" s="2851">
        <v>1195.6360830399999</v>
      </c>
      <c r="F125" s="2851">
        <v>29136.994585640001</v>
      </c>
      <c r="G125" s="2851">
        <v>1003.02480989</v>
      </c>
      <c r="H125" s="2851">
        <v>0</v>
      </c>
      <c r="I125" s="2851">
        <v>15.13424041</v>
      </c>
      <c r="J125" s="2850">
        <v>0</v>
      </c>
      <c r="K125" s="2852">
        <v>0</v>
      </c>
      <c r="L125" s="2834"/>
    </row>
    <row r="126" spans="1:12" ht="16.5" hidden="1">
      <c r="A126" s="2831"/>
      <c r="B126" s="2861" t="s">
        <v>170</v>
      </c>
      <c r="C126" s="2997">
        <v>33284.402253319997</v>
      </c>
      <c r="D126" s="2851">
        <v>33244.382950389998</v>
      </c>
      <c r="E126" s="2851">
        <v>1688.6143387699999</v>
      </c>
      <c r="F126" s="2851">
        <v>31555.768611619998</v>
      </c>
      <c r="G126" s="2851">
        <v>24.005848520000001</v>
      </c>
      <c r="H126" s="2851">
        <v>0</v>
      </c>
      <c r="I126" s="2851">
        <v>16.013454410000001</v>
      </c>
      <c r="J126" s="2850">
        <v>0</v>
      </c>
      <c r="K126" s="2852">
        <v>0</v>
      </c>
      <c r="L126" s="2834"/>
    </row>
    <row r="127" spans="1:12" ht="16.5" hidden="1">
      <c r="A127" s="2831"/>
      <c r="B127" s="2861" t="s">
        <v>171</v>
      </c>
      <c r="C127" s="2997">
        <v>34742.788876002705</v>
      </c>
      <c r="D127" s="2851">
        <v>34673.072759772702</v>
      </c>
      <c r="E127" s="2851">
        <v>2755.74152177</v>
      </c>
      <c r="F127" s="2851">
        <v>31917.331238002702</v>
      </c>
      <c r="G127" s="2851">
        <v>53.61746582</v>
      </c>
      <c r="H127" s="2851">
        <v>0</v>
      </c>
      <c r="I127" s="2851">
        <v>16.098650410000001</v>
      </c>
      <c r="J127" s="2850">
        <v>0</v>
      </c>
      <c r="K127" s="2852">
        <v>0</v>
      </c>
      <c r="L127" s="2834"/>
    </row>
    <row r="128" spans="1:12" ht="16.5">
      <c r="A128" s="2831"/>
      <c r="B128" s="2859">
        <v>2008</v>
      </c>
      <c r="C128" s="2997">
        <v>33509.310148670003</v>
      </c>
      <c r="D128" s="2851">
        <v>33377.890746099998</v>
      </c>
      <c r="E128" s="2851">
        <v>2291.8736927700002</v>
      </c>
      <c r="F128" s="2851">
        <v>31086.017053330001</v>
      </c>
      <c r="G128" s="2851">
        <v>114.61727816</v>
      </c>
      <c r="H128" s="2851">
        <v>0</v>
      </c>
      <c r="I128" s="2851">
        <v>16.802124410000001</v>
      </c>
      <c r="J128" s="2850">
        <v>0</v>
      </c>
      <c r="K128" s="2852">
        <v>0</v>
      </c>
      <c r="L128" s="2834"/>
    </row>
    <row r="129" spans="1:12" ht="16.5" hidden="1">
      <c r="A129" s="2831"/>
      <c r="B129" s="3036">
        <v>2009</v>
      </c>
      <c r="C129" s="2998"/>
      <c r="D129" s="2857"/>
      <c r="E129" s="2857"/>
      <c r="F129" s="2857"/>
      <c r="G129" s="2857"/>
      <c r="H129" s="2857"/>
      <c r="I129" s="2857"/>
      <c r="J129" s="2857"/>
      <c r="K129" s="2852"/>
      <c r="L129" s="2834"/>
    </row>
    <row r="130" spans="1:12" ht="16.5" hidden="1">
      <c r="A130" s="2831"/>
      <c r="B130" s="2861" t="s">
        <v>161</v>
      </c>
      <c r="C130" s="2997">
        <v>33299.979038569996</v>
      </c>
      <c r="D130" s="2851">
        <v>33182.076329570002</v>
      </c>
      <c r="E130" s="2851">
        <v>1455.20073677</v>
      </c>
      <c r="F130" s="2851">
        <v>31726.875592799999</v>
      </c>
      <c r="G130" s="2851">
        <v>101.20008900000001</v>
      </c>
      <c r="H130" s="2851">
        <v>0</v>
      </c>
      <c r="I130" s="2851">
        <v>16.70262</v>
      </c>
      <c r="J130" s="2850">
        <v>0</v>
      </c>
      <c r="K130" s="2852">
        <v>0</v>
      </c>
      <c r="L130" s="2834"/>
    </row>
    <row r="131" spans="1:12" ht="16.5" hidden="1">
      <c r="A131" s="2831"/>
      <c r="B131" s="2861" t="s">
        <v>162</v>
      </c>
      <c r="C131" s="2997">
        <v>32321.010386569997</v>
      </c>
      <c r="D131" s="2851">
        <v>32217.285904569999</v>
      </c>
      <c r="E131" s="2851">
        <v>134.08991074000002</v>
      </c>
      <c r="F131" s="2851">
        <v>32083.195993829999</v>
      </c>
      <c r="G131" s="2851">
        <v>86.772349000000006</v>
      </c>
      <c r="H131" s="2851">
        <v>0</v>
      </c>
      <c r="I131" s="2851">
        <v>16.952133</v>
      </c>
      <c r="J131" s="2850">
        <v>0</v>
      </c>
      <c r="K131" s="2852">
        <v>0</v>
      </c>
      <c r="L131" s="2834"/>
    </row>
    <row r="132" spans="1:12" ht="16.5" hidden="1">
      <c r="A132" s="2831"/>
      <c r="B132" s="2861" t="s">
        <v>163</v>
      </c>
      <c r="C132" s="2997">
        <v>33558.692172569994</v>
      </c>
      <c r="D132" s="2851">
        <v>33435.341668569992</v>
      </c>
      <c r="E132" s="2851">
        <v>177.22025074000001</v>
      </c>
      <c r="F132" s="2851">
        <v>33258.121417829992</v>
      </c>
      <c r="G132" s="2851">
        <v>106.301605</v>
      </c>
      <c r="H132" s="2851">
        <v>0</v>
      </c>
      <c r="I132" s="2851">
        <v>17.048898999999999</v>
      </c>
      <c r="J132" s="2850">
        <v>0</v>
      </c>
      <c r="K132" s="2852">
        <v>0</v>
      </c>
      <c r="L132" s="2834"/>
    </row>
    <row r="133" spans="1:12" ht="16.5" hidden="1">
      <c r="A133" s="2831"/>
      <c r="B133" s="2861" t="s">
        <v>164</v>
      </c>
      <c r="C133" s="2997">
        <v>34669.887944919996</v>
      </c>
      <c r="D133" s="2851">
        <v>34615.386118919996</v>
      </c>
      <c r="E133" s="2851">
        <v>1242.9521733800002</v>
      </c>
      <c r="F133" s="2851">
        <v>33372.433945539997</v>
      </c>
      <c r="G133" s="2851">
        <v>36.568980000000003</v>
      </c>
      <c r="H133" s="2851">
        <v>0</v>
      </c>
      <c r="I133" s="2851">
        <v>17.932846000000001</v>
      </c>
      <c r="J133" s="2850">
        <v>0</v>
      </c>
      <c r="K133" s="2852">
        <v>0</v>
      </c>
      <c r="L133" s="2834"/>
    </row>
    <row r="134" spans="1:12" ht="16.5" hidden="1">
      <c r="A134" s="2831"/>
      <c r="B134" s="2861" t="s">
        <v>165</v>
      </c>
      <c r="C134" s="2997">
        <v>33489.587727320002</v>
      </c>
      <c r="D134" s="2851">
        <v>33419.655822320005</v>
      </c>
      <c r="E134" s="2851">
        <v>1242.9521733800002</v>
      </c>
      <c r="F134" s="2851">
        <v>32176.703648940002</v>
      </c>
      <c r="G134" s="2851">
        <v>52.460582000000002</v>
      </c>
      <c r="H134" s="2851">
        <v>0</v>
      </c>
      <c r="I134" s="2851">
        <v>17.471323000000002</v>
      </c>
      <c r="J134" s="2850">
        <v>0</v>
      </c>
      <c r="K134" s="2852">
        <v>0</v>
      </c>
      <c r="L134" s="2834"/>
    </row>
    <row r="135" spans="1:12" ht="16.5" hidden="1">
      <c r="A135" s="2831"/>
      <c r="B135" s="2861" t="s">
        <v>166</v>
      </c>
      <c r="C135" s="2997">
        <v>34942.825604997764</v>
      </c>
      <c r="D135" s="2851">
        <v>34881.413136997769</v>
      </c>
      <c r="E135" s="2851">
        <v>118.40260841</v>
      </c>
      <c r="F135" s="2851">
        <v>34763.010528587773</v>
      </c>
      <c r="G135" s="2851">
        <v>44.204877000000003</v>
      </c>
      <c r="H135" s="2851">
        <v>0</v>
      </c>
      <c r="I135" s="2851">
        <v>17.207591000000001</v>
      </c>
      <c r="J135" s="2850">
        <v>0</v>
      </c>
      <c r="K135" s="2852">
        <v>0</v>
      </c>
      <c r="L135" s="2834"/>
    </row>
    <row r="136" spans="1:12" ht="16.5" hidden="1">
      <c r="A136" s="2831"/>
      <c r="B136" s="2861" t="s">
        <v>167</v>
      </c>
      <c r="C136" s="2997">
        <v>35440.187483687776</v>
      </c>
      <c r="D136" s="2851">
        <v>35332.39580176778</v>
      </c>
      <c r="E136" s="2851">
        <v>426.85795040999994</v>
      </c>
      <c r="F136" s="2851">
        <v>34905.537851357782</v>
      </c>
      <c r="G136" s="2851">
        <v>90.896658739999992</v>
      </c>
      <c r="H136" s="2851">
        <v>0</v>
      </c>
      <c r="I136" s="2851">
        <v>16.895023179999999</v>
      </c>
      <c r="J136" s="2850">
        <v>0</v>
      </c>
      <c r="K136" s="2852">
        <v>0</v>
      </c>
      <c r="L136" s="2834"/>
    </row>
    <row r="137" spans="1:12" ht="16.5" hidden="1">
      <c r="A137" s="2831"/>
      <c r="B137" s="2861" t="s">
        <v>168</v>
      </c>
      <c r="C137" s="2997">
        <v>35681.331036367512</v>
      </c>
      <c r="D137" s="2851">
        <v>35545.687863987507</v>
      </c>
      <c r="E137" s="2851">
        <v>142.29372559000001</v>
      </c>
      <c r="F137" s="2851">
        <v>35403.394138397503</v>
      </c>
      <c r="G137" s="2851">
        <v>118.2171938</v>
      </c>
      <c r="H137" s="2851">
        <v>0</v>
      </c>
      <c r="I137" s="2851">
        <v>17.425978579999999</v>
      </c>
      <c r="J137" s="2850">
        <v>0</v>
      </c>
      <c r="K137" s="2852">
        <v>0</v>
      </c>
      <c r="L137" s="2834"/>
    </row>
    <row r="138" spans="1:12" ht="16.5" hidden="1">
      <c r="A138" s="2831"/>
      <c r="B138" s="2861" t="s">
        <v>169</v>
      </c>
      <c r="C138" s="2997">
        <v>37012.841268407501</v>
      </c>
      <c r="D138" s="2851">
        <v>36915.8866092975</v>
      </c>
      <c r="E138" s="2851">
        <v>1630.6314775200001</v>
      </c>
      <c r="F138" s="2851">
        <v>35285.2551317775</v>
      </c>
      <c r="G138" s="2851">
        <v>79.836699530000004</v>
      </c>
      <c r="H138" s="2851">
        <v>0</v>
      </c>
      <c r="I138" s="2851">
        <v>17.117959579999997</v>
      </c>
      <c r="J138" s="2850">
        <v>0</v>
      </c>
      <c r="K138" s="2852">
        <v>0</v>
      </c>
      <c r="L138" s="2834"/>
    </row>
    <row r="139" spans="1:12" ht="16.5" hidden="1">
      <c r="A139" s="2831"/>
      <c r="B139" s="2861" t="s">
        <v>170</v>
      </c>
      <c r="C139" s="2997">
        <v>36021.27205369751</v>
      </c>
      <c r="D139" s="2851">
        <v>35547.012451227507</v>
      </c>
      <c r="E139" s="2851">
        <v>1181.5424954100001</v>
      </c>
      <c r="F139" s="2851">
        <v>34365.469955817505</v>
      </c>
      <c r="G139" s="2851">
        <v>457.52544017000002</v>
      </c>
      <c r="H139" s="2851">
        <v>0</v>
      </c>
      <c r="I139" s="2851">
        <v>16.734162300000001</v>
      </c>
      <c r="J139" s="2850">
        <v>0</v>
      </c>
      <c r="K139" s="2852">
        <v>0</v>
      </c>
      <c r="L139" s="2834"/>
    </row>
    <row r="140" spans="1:12" ht="16.5" hidden="1">
      <c r="A140" s="2831"/>
      <c r="B140" s="2861" t="s">
        <v>171</v>
      </c>
      <c r="C140" s="2997">
        <v>38942.97696305751</v>
      </c>
      <c r="D140" s="2851">
        <v>38746.802647707511</v>
      </c>
      <c r="E140" s="2851">
        <v>3416.3865420000002</v>
      </c>
      <c r="F140" s="2851">
        <v>35330.416105707511</v>
      </c>
      <c r="G140" s="2851">
        <v>179.52256505000003</v>
      </c>
      <c r="H140" s="2851">
        <v>0</v>
      </c>
      <c r="I140" s="2851">
        <v>16.6517503</v>
      </c>
      <c r="J140" s="2850">
        <v>0</v>
      </c>
      <c r="K140" s="2852">
        <v>0</v>
      </c>
      <c r="L140" s="2834"/>
    </row>
    <row r="141" spans="1:12" ht="16.5">
      <c r="A141" s="2831"/>
      <c r="B141" s="2859">
        <v>2009</v>
      </c>
      <c r="C141" s="2997">
        <v>39114.687008727509</v>
      </c>
      <c r="D141" s="2851">
        <v>38928.062839117505</v>
      </c>
      <c r="E141" s="2851">
        <v>3830.40531741</v>
      </c>
      <c r="F141" s="2851">
        <v>35097.657521707508</v>
      </c>
      <c r="G141" s="2851">
        <v>170.81101396</v>
      </c>
      <c r="H141" s="2851">
        <v>0</v>
      </c>
      <c r="I141" s="2851">
        <v>15.813155650000001</v>
      </c>
      <c r="J141" s="2850">
        <v>0</v>
      </c>
      <c r="K141" s="2852">
        <v>0</v>
      </c>
      <c r="L141" s="2834"/>
    </row>
    <row r="142" spans="1:12" ht="16.5" hidden="1">
      <c r="A142" s="2831"/>
      <c r="B142" s="2859">
        <v>2010</v>
      </c>
      <c r="C142" s="3535"/>
      <c r="D142" s="2860"/>
      <c r="E142" s="2860"/>
      <c r="F142" s="2860"/>
      <c r="G142" s="2860"/>
      <c r="H142" s="2860"/>
      <c r="I142" s="2860"/>
      <c r="J142" s="2857"/>
      <c r="K142" s="2852"/>
      <c r="L142" s="2834"/>
    </row>
    <row r="143" spans="1:12" ht="16.5" hidden="1">
      <c r="A143" s="2831"/>
      <c r="B143" s="2861" t="s">
        <v>161</v>
      </c>
      <c r="C143" s="2862">
        <v>36138.872386477502</v>
      </c>
      <c r="D143" s="2863">
        <v>36055.785808007502</v>
      </c>
      <c r="E143" s="2863">
        <v>47.335575409999997</v>
      </c>
      <c r="F143" s="2863">
        <v>36008.450232597505</v>
      </c>
      <c r="G143" s="2863">
        <v>66.979677820000006</v>
      </c>
      <c r="H143" s="2863">
        <v>0</v>
      </c>
      <c r="I143" s="2863">
        <v>16.10690065</v>
      </c>
      <c r="J143" s="2850">
        <v>0</v>
      </c>
      <c r="K143" s="2852">
        <v>0</v>
      </c>
      <c r="L143" s="2834"/>
    </row>
    <row r="144" spans="1:12" ht="16.5" hidden="1">
      <c r="A144" s="2831"/>
      <c r="B144" s="2861" t="s">
        <v>162</v>
      </c>
      <c r="C144" s="2862">
        <v>36707.330006957505</v>
      </c>
      <c r="D144" s="2863">
        <v>36594.804311127504</v>
      </c>
      <c r="E144" s="2863">
        <v>111.57020881999999</v>
      </c>
      <c r="F144" s="2863">
        <v>36483.234102307506</v>
      </c>
      <c r="G144" s="2863">
        <v>96.237514180000005</v>
      </c>
      <c r="H144" s="2863">
        <v>0</v>
      </c>
      <c r="I144" s="2863">
        <v>16.288181650000002</v>
      </c>
      <c r="J144" s="2850">
        <v>0</v>
      </c>
      <c r="K144" s="2852">
        <v>0</v>
      </c>
      <c r="L144" s="2834"/>
    </row>
    <row r="145" spans="1:12" ht="16.5" hidden="1">
      <c r="A145" s="2831"/>
      <c r="B145" s="2861" t="s">
        <v>163</v>
      </c>
      <c r="C145" s="2862">
        <v>36795.011736247507</v>
      </c>
      <c r="D145" s="2863">
        <v>36712.895660527509</v>
      </c>
      <c r="E145" s="2863">
        <v>1085.29496182</v>
      </c>
      <c r="F145" s="2863">
        <v>35627.600698707509</v>
      </c>
      <c r="G145" s="2863">
        <v>66.150734069999999</v>
      </c>
      <c r="H145" s="2863">
        <v>0</v>
      </c>
      <c r="I145" s="2863">
        <v>15.965341650000001</v>
      </c>
      <c r="J145" s="2850">
        <v>0</v>
      </c>
      <c r="K145" s="2852">
        <v>0</v>
      </c>
      <c r="L145" s="2834"/>
    </row>
    <row r="146" spans="1:12" ht="16.5" hidden="1">
      <c r="A146" s="2831"/>
      <c r="B146" s="2861" t="s">
        <v>164</v>
      </c>
      <c r="C146" s="2862">
        <v>35155.3280972875</v>
      </c>
      <c r="D146" s="2863">
        <v>35027.151922477497</v>
      </c>
      <c r="E146" s="2863">
        <v>121.75284687</v>
      </c>
      <c r="F146" s="2863">
        <v>34905.3990756075</v>
      </c>
      <c r="G146" s="2863">
        <v>110.75046273000001</v>
      </c>
      <c r="H146" s="2863">
        <v>0</v>
      </c>
      <c r="I146" s="2863">
        <v>17.425712079999997</v>
      </c>
      <c r="J146" s="2850">
        <v>0</v>
      </c>
      <c r="K146" s="2852">
        <v>0</v>
      </c>
      <c r="L146" s="2834"/>
    </row>
    <row r="147" spans="1:12" ht="16.5" hidden="1">
      <c r="A147" s="2831"/>
      <c r="B147" s="2861" t="s">
        <v>165</v>
      </c>
      <c r="C147" s="2862">
        <v>37161.162690467507</v>
      </c>
      <c r="D147" s="2863">
        <v>36962.101496487507</v>
      </c>
      <c r="E147" s="2863">
        <v>115.68867187000001</v>
      </c>
      <c r="F147" s="2863">
        <v>36846.41282461751</v>
      </c>
      <c r="G147" s="2863">
        <v>181.30179772999998</v>
      </c>
      <c r="H147" s="2863">
        <v>0</v>
      </c>
      <c r="I147" s="2863">
        <v>17.759396250000002</v>
      </c>
      <c r="J147" s="2850">
        <v>0</v>
      </c>
      <c r="K147" s="2852">
        <v>0</v>
      </c>
      <c r="L147" s="2834"/>
    </row>
    <row r="148" spans="1:12" ht="16.5" hidden="1">
      <c r="A148" s="2831"/>
      <c r="B148" s="2861" t="s">
        <v>166</v>
      </c>
      <c r="C148" s="2862">
        <v>37610.6155076125</v>
      </c>
      <c r="D148" s="2863">
        <v>36959.344580222496</v>
      </c>
      <c r="E148" s="2863">
        <v>137.25040540999998</v>
      </c>
      <c r="F148" s="2863">
        <v>36822.094174812497</v>
      </c>
      <c r="G148" s="2863">
        <v>632.98603763999995</v>
      </c>
      <c r="H148" s="2863">
        <v>0</v>
      </c>
      <c r="I148" s="2863">
        <v>18.284889750000001</v>
      </c>
      <c r="J148" s="2850">
        <v>0</v>
      </c>
      <c r="K148" s="2852">
        <v>0</v>
      </c>
      <c r="L148" s="2834"/>
    </row>
    <row r="149" spans="1:12" ht="16.5" hidden="1">
      <c r="A149" s="2831"/>
      <c r="B149" s="2861" t="s">
        <v>167</v>
      </c>
      <c r="C149" s="2862">
        <v>38435.371449672493</v>
      </c>
      <c r="D149" s="2863">
        <v>37697.098677672489</v>
      </c>
      <c r="E149" s="2863">
        <v>138.84720540999999</v>
      </c>
      <c r="F149" s="2863">
        <v>37558.251472262491</v>
      </c>
      <c r="G149" s="2863">
        <v>718.71877874999996</v>
      </c>
      <c r="H149" s="2863">
        <v>0</v>
      </c>
      <c r="I149" s="2863">
        <v>19.553993250000001</v>
      </c>
      <c r="J149" s="2850">
        <v>0</v>
      </c>
      <c r="K149" s="2852">
        <v>0</v>
      </c>
      <c r="L149" s="2834"/>
    </row>
    <row r="150" spans="1:12" ht="16.5" hidden="1">
      <c r="A150" s="2831"/>
      <c r="B150" s="2861" t="s">
        <v>168</v>
      </c>
      <c r="C150" s="2862">
        <v>38194.511111212494</v>
      </c>
      <c r="D150" s="2863">
        <v>37723.090378362496</v>
      </c>
      <c r="E150" s="2863">
        <v>145.16970541000001</v>
      </c>
      <c r="F150" s="2863">
        <v>37577.920672952496</v>
      </c>
      <c r="G150" s="2863">
        <v>452.21036955</v>
      </c>
      <c r="H150" s="2863">
        <v>0</v>
      </c>
      <c r="I150" s="2863">
        <v>19.210363300000001</v>
      </c>
      <c r="J150" s="2850">
        <v>0</v>
      </c>
      <c r="K150" s="2852">
        <v>0</v>
      </c>
      <c r="L150" s="2834"/>
    </row>
    <row r="151" spans="1:12" ht="16.5" hidden="1">
      <c r="A151" s="2831"/>
      <c r="B151" s="2861" t="s">
        <v>169</v>
      </c>
      <c r="C151" s="2862">
        <v>41730.965145922484</v>
      </c>
      <c r="D151" s="2863">
        <v>41550.778740582486</v>
      </c>
      <c r="E151" s="2863">
        <v>4483.9360864999999</v>
      </c>
      <c r="F151" s="2863">
        <v>37066.842654082488</v>
      </c>
      <c r="G151" s="2863">
        <v>159.80480628999999</v>
      </c>
      <c r="H151" s="2863">
        <v>0</v>
      </c>
      <c r="I151" s="2863">
        <v>20.381599050000002</v>
      </c>
      <c r="J151" s="2850">
        <v>0</v>
      </c>
      <c r="K151" s="2852">
        <v>0</v>
      </c>
      <c r="L151" s="2834"/>
    </row>
    <row r="152" spans="1:12" ht="16.5" hidden="1">
      <c r="A152" s="2831"/>
      <c r="B152" s="2861" t="s">
        <v>170</v>
      </c>
      <c r="C152" s="2862">
        <v>40188.207374662503</v>
      </c>
      <c r="D152" s="2863">
        <v>39521.302575052505</v>
      </c>
      <c r="E152" s="2863">
        <v>3126.9205264099996</v>
      </c>
      <c r="F152" s="2863">
        <v>36394.382048642503</v>
      </c>
      <c r="G152" s="2863">
        <v>646.60455456</v>
      </c>
      <c r="H152" s="2863">
        <v>0</v>
      </c>
      <c r="I152" s="2863">
        <v>20.300245050000001</v>
      </c>
      <c r="J152" s="2850">
        <v>0</v>
      </c>
      <c r="K152" s="2852">
        <v>0</v>
      </c>
      <c r="L152" s="2834"/>
    </row>
    <row r="153" spans="1:12" ht="16.5" hidden="1">
      <c r="A153" s="2831"/>
      <c r="B153" s="2861" t="s">
        <v>171</v>
      </c>
      <c r="C153" s="2862">
        <v>42335.680001032495</v>
      </c>
      <c r="D153" s="2863">
        <v>42163.53193933249</v>
      </c>
      <c r="E153" s="2863">
        <v>4388.3884664099996</v>
      </c>
      <c r="F153" s="2863">
        <v>37775.143472922493</v>
      </c>
      <c r="G153" s="2863">
        <v>151.95280031999999</v>
      </c>
      <c r="H153" s="2863">
        <v>0</v>
      </c>
      <c r="I153" s="2863">
        <v>20.195261379999998</v>
      </c>
      <c r="J153" s="2850">
        <v>0</v>
      </c>
      <c r="K153" s="2852">
        <v>0</v>
      </c>
      <c r="L153" s="2834"/>
    </row>
    <row r="154" spans="1:12" ht="16.5">
      <c r="A154" s="2831"/>
      <c r="B154" s="2864">
        <v>2010</v>
      </c>
      <c r="C154" s="2862">
        <v>42963.260261242496</v>
      </c>
      <c r="D154" s="2863">
        <v>42711.5083463025</v>
      </c>
      <c r="E154" s="2863">
        <v>4919.3477864099996</v>
      </c>
      <c r="F154" s="2863">
        <v>37792.160559892502</v>
      </c>
      <c r="G154" s="2863">
        <v>232.00300305000002</v>
      </c>
      <c r="H154" s="2863">
        <v>0</v>
      </c>
      <c r="I154" s="2863">
        <v>19.748911890000002</v>
      </c>
      <c r="J154" s="2850">
        <v>0</v>
      </c>
      <c r="K154" s="2852">
        <v>0</v>
      </c>
      <c r="L154" s="2834"/>
    </row>
    <row r="155" spans="1:12" ht="16.5" hidden="1">
      <c r="A155" s="2855"/>
      <c r="B155" s="2864">
        <v>2011</v>
      </c>
      <c r="C155" s="2865"/>
      <c r="D155" s="2866"/>
      <c r="E155" s="2866"/>
      <c r="F155" s="2866"/>
      <c r="G155" s="2866"/>
      <c r="H155" s="2866"/>
      <c r="I155" s="2866"/>
      <c r="J155" s="2850"/>
      <c r="K155" s="2852"/>
      <c r="L155" s="2834"/>
    </row>
    <row r="156" spans="1:12" ht="16.5" hidden="1">
      <c r="A156" s="2855"/>
      <c r="B156" s="2867" t="s">
        <v>161</v>
      </c>
      <c r="C156" s="2862">
        <v>39462.029326282507</v>
      </c>
      <c r="D156" s="2863">
        <v>38644.374605032506</v>
      </c>
      <c r="E156" s="2863">
        <v>371.53856540999999</v>
      </c>
      <c r="F156" s="2863">
        <v>38272.836039622503</v>
      </c>
      <c r="G156" s="2863">
        <v>797.77411436</v>
      </c>
      <c r="H156" s="2863">
        <v>0</v>
      </c>
      <c r="I156" s="2863">
        <v>19.880606889999999</v>
      </c>
      <c r="J156" s="2857">
        <v>0</v>
      </c>
      <c r="K156" s="2852">
        <v>0</v>
      </c>
      <c r="L156" s="2834"/>
    </row>
    <row r="157" spans="1:12" ht="16.5" hidden="1">
      <c r="A157" s="2855"/>
      <c r="B157" s="2867" t="s">
        <v>162</v>
      </c>
      <c r="C157" s="2862">
        <v>39104.796046552503</v>
      </c>
      <c r="D157" s="2863">
        <v>38224.432232422507</v>
      </c>
      <c r="E157" s="2863">
        <v>150.50000641</v>
      </c>
      <c r="F157" s="2863">
        <v>38073.932226012505</v>
      </c>
      <c r="G157" s="2863">
        <v>860.26423648000002</v>
      </c>
      <c r="H157" s="2863">
        <v>0</v>
      </c>
      <c r="I157" s="2863">
        <v>20.099577649999997</v>
      </c>
      <c r="J157" s="2850">
        <v>0</v>
      </c>
      <c r="K157" s="2852">
        <v>0</v>
      </c>
      <c r="L157" s="2834"/>
    </row>
    <row r="158" spans="1:12" ht="16.5" hidden="1">
      <c r="A158" s="2855"/>
      <c r="B158" s="2867" t="s">
        <v>163</v>
      </c>
      <c r="C158" s="2862">
        <v>38652.379848742501</v>
      </c>
      <c r="D158" s="2863">
        <v>38252.750105532497</v>
      </c>
      <c r="E158" s="2863">
        <v>172.56190641000001</v>
      </c>
      <c r="F158" s="2863">
        <v>38080.188199122495</v>
      </c>
      <c r="G158" s="2863">
        <v>380.37469073</v>
      </c>
      <c r="H158" s="2863">
        <v>0</v>
      </c>
      <c r="I158" s="2863">
        <v>19.25505248</v>
      </c>
      <c r="J158" s="2850">
        <v>0</v>
      </c>
      <c r="K158" s="2852">
        <v>0</v>
      </c>
      <c r="L158" s="2834"/>
    </row>
    <row r="159" spans="1:12" ht="16.5" hidden="1">
      <c r="A159" s="2855"/>
      <c r="B159" s="2867" t="s">
        <v>164</v>
      </c>
      <c r="C159" s="2862">
        <v>40183.591239857487</v>
      </c>
      <c r="D159" s="2863">
        <v>38591.678739207491</v>
      </c>
      <c r="E159" s="2863">
        <v>220.24625541</v>
      </c>
      <c r="F159" s="2863">
        <v>38371.432483797493</v>
      </c>
      <c r="G159" s="2863">
        <v>1572.65505158</v>
      </c>
      <c r="H159" s="2863">
        <v>0</v>
      </c>
      <c r="I159" s="2863">
        <v>19.25744907</v>
      </c>
      <c r="J159" s="2850">
        <v>0</v>
      </c>
      <c r="K159" s="2852">
        <v>0</v>
      </c>
      <c r="L159" s="2834"/>
    </row>
    <row r="160" spans="1:12" ht="16.5" hidden="1">
      <c r="A160" s="2855"/>
      <c r="B160" s="2867" t="s">
        <v>165</v>
      </c>
      <c r="C160" s="2862">
        <v>41124.780142590003</v>
      </c>
      <c r="D160" s="2863">
        <v>40738.309317690007</v>
      </c>
      <c r="E160" s="2863">
        <v>102.06970640999999</v>
      </c>
      <c r="F160" s="2863">
        <v>40636.239611280005</v>
      </c>
      <c r="G160" s="2863">
        <v>367.08706482999997</v>
      </c>
      <c r="H160" s="2863">
        <v>0</v>
      </c>
      <c r="I160" s="2863">
        <v>19.383760070000001</v>
      </c>
      <c r="J160" s="2850">
        <v>0</v>
      </c>
      <c r="K160" s="2852">
        <v>0</v>
      </c>
      <c r="L160" s="2834"/>
    </row>
    <row r="161" spans="1:12" ht="16.5" hidden="1">
      <c r="A161" s="2855"/>
      <c r="B161" s="2867" t="s">
        <v>166</v>
      </c>
      <c r="C161" s="2862">
        <v>40681.891484719999</v>
      </c>
      <c r="D161" s="2863">
        <v>40550.231301430002</v>
      </c>
      <c r="E161" s="2863">
        <v>91.16480541</v>
      </c>
      <c r="F161" s="2863">
        <v>40459.066496020001</v>
      </c>
      <c r="G161" s="2863">
        <v>112.66717036</v>
      </c>
      <c r="H161" s="2863">
        <v>0</v>
      </c>
      <c r="I161" s="2863">
        <v>18.993012929999999</v>
      </c>
      <c r="J161" s="2850">
        <v>0</v>
      </c>
      <c r="K161" s="2852">
        <v>0</v>
      </c>
      <c r="L161" s="2834"/>
    </row>
    <row r="162" spans="1:12" ht="18" hidden="1" customHeight="1">
      <c r="A162" s="2855"/>
      <c r="B162" s="2867" t="s">
        <v>167</v>
      </c>
      <c r="C162" s="2862">
        <v>40696.883991620001</v>
      </c>
      <c r="D162" s="2863">
        <v>40134.973784350004</v>
      </c>
      <c r="E162" s="2863">
        <v>174.66210000000001</v>
      </c>
      <c r="F162" s="2863">
        <v>39960.311684350003</v>
      </c>
      <c r="G162" s="2863">
        <v>542.43007791999992</v>
      </c>
      <c r="H162" s="2863">
        <v>0</v>
      </c>
      <c r="I162" s="2863">
        <v>19.480129350000002</v>
      </c>
      <c r="J162" s="2850">
        <v>0</v>
      </c>
      <c r="K162" s="2852">
        <v>0</v>
      </c>
      <c r="L162" s="2834"/>
    </row>
    <row r="163" spans="1:12" ht="18" hidden="1" customHeight="1">
      <c r="A163" s="2855"/>
      <c r="B163" s="2867" t="s">
        <v>168</v>
      </c>
      <c r="C163" s="2862">
        <v>41959.044309390003</v>
      </c>
      <c r="D163" s="2863">
        <v>41672.689242770008</v>
      </c>
      <c r="E163" s="2863">
        <v>185.52230541</v>
      </c>
      <c r="F163" s="2863">
        <v>41487.166937360009</v>
      </c>
      <c r="G163" s="2863">
        <v>266.43991026999998</v>
      </c>
      <c r="H163" s="2863">
        <v>0</v>
      </c>
      <c r="I163" s="2863">
        <v>19.915156349999997</v>
      </c>
      <c r="J163" s="2850">
        <v>0</v>
      </c>
      <c r="K163" s="2852">
        <v>0</v>
      </c>
      <c r="L163" s="2834"/>
    </row>
    <row r="164" spans="1:12" ht="18" hidden="1" customHeight="1">
      <c r="A164" s="2855"/>
      <c r="B164" s="2861" t="s">
        <v>169</v>
      </c>
      <c r="C164" s="2862">
        <v>46552.786658889992</v>
      </c>
      <c r="D164" s="2863">
        <v>45445.248446659993</v>
      </c>
      <c r="E164" s="2863">
        <v>149.33020540999999</v>
      </c>
      <c r="F164" s="2863">
        <v>45295.918241249994</v>
      </c>
      <c r="G164" s="2863">
        <v>1087.5996171400002</v>
      </c>
      <c r="H164" s="2863">
        <v>0</v>
      </c>
      <c r="I164" s="2863">
        <v>19.93859509</v>
      </c>
      <c r="J164" s="2850">
        <v>0</v>
      </c>
      <c r="K164" s="2852">
        <v>0</v>
      </c>
      <c r="L164" s="2834"/>
    </row>
    <row r="165" spans="1:12" ht="18" hidden="1" customHeight="1">
      <c r="A165" s="2855"/>
      <c r="B165" s="2861" t="s">
        <v>170</v>
      </c>
      <c r="C165" s="2862">
        <v>46114.872871899999</v>
      </c>
      <c r="D165" s="2863">
        <v>45743.136932829999</v>
      </c>
      <c r="E165" s="2863">
        <v>198.72930540999999</v>
      </c>
      <c r="F165" s="2863">
        <v>45544.407627419998</v>
      </c>
      <c r="G165" s="2863">
        <v>352.78174820999999</v>
      </c>
      <c r="H165" s="2863">
        <v>0</v>
      </c>
      <c r="I165" s="2863">
        <v>18.954190860000001</v>
      </c>
      <c r="J165" s="2850">
        <v>0</v>
      </c>
      <c r="K165" s="2852">
        <v>0</v>
      </c>
      <c r="L165" s="2834"/>
    </row>
    <row r="166" spans="1:12" ht="18" hidden="1" customHeight="1">
      <c r="A166" s="2831"/>
      <c r="B166" s="2861" t="s">
        <v>171</v>
      </c>
      <c r="C166" s="2862">
        <v>50402.560451379999</v>
      </c>
      <c r="D166" s="2863">
        <v>48905.179517339995</v>
      </c>
      <c r="E166" s="2863">
        <v>193.58920541000001</v>
      </c>
      <c r="F166" s="2863">
        <v>48711.590311929998</v>
      </c>
      <c r="G166" s="2863">
        <v>1320.4655976600002</v>
      </c>
      <c r="H166" s="2863">
        <v>157.44090885</v>
      </c>
      <c r="I166" s="2863">
        <v>19.474427529999996</v>
      </c>
      <c r="J166" s="2850">
        <v>0</v>
      </c>
      <c r="K166" s="2852">
        <v>0</v>
      </c>
      <c r="L166" s="2834"/>
    </row>
    <row r="167" spans="1:12" ht="18" customHeight="1">
      <c r="A167" s="2831"/>
      <c r="B167" s="2864">
        <v>2011</v>
      </c>
      <c r="C167" s="2862">
        <v>40782.086382930007</v>
      </c>
      <c r="D167" s="2863">
        <v>40047.41183301001</v>
      </c>
      <c r="E167" s="2863">
        <v>273.76218838</v>
      </c>
      <c r="F167" s="2863">
        <v>39773.649644630008</v>
      </c>
      <c r="G167" s="2863">
        <v>715.28235260999998</v>
      </c>
      <c r="H167" s="2863">
        <v>0</v>
      </c>
      <c r="I167" s="2863">
        <v>19.392197310000004</v>
      </c>
      <c r="J167" s="2850">
        <v>0</v>
      </c>
      <c r="K167" s="2852">
        <v>0</v>
      </c>
      <c r="L167" s="2834"/>
    </row>
    <row r="168" spans="1:12" ht="18" hidden="1" customHeight="1">
      <c r="A168" s="2831"/>
      <c r="B168" s="2859">
        <v>2012</v>
      </c>
      <c r="C168" s="2865"/>
      <c r="D168" s="2866"/>
      <c r="E168" s="2866"/>
      <c r="F168" s="2866"/>
      <c r="G168" s="2866"/>
      <c r="H168" s="2866"/>
      <c r="I168" s="2866"/>
      <c r="J168" s="2850"/>
      <c r="K168" s="2852"/>
      <c r="L168" s="2834"/>
    </row>
    <row r="169" spans="1:12" ht="18" hidden="1" customHeight="1">
      <c r="A169" s="2831"/>
      <c r="B169" s="2861" t="s">
        <v>161</v>
      </c>
      <c r="C169" s="2862">
        <v>39052.462852009987</v>
      </c>
      <c r="D169" s="2863">
        <v>37562.699737699993</v>
      </c>
      <c r="E169" s="2863">
        <v>154.04090540999999</v>
      </c>
      <c r="F169" s="2863">
        <v>37408.658832289992</v>
      </c>
      <c r="G169" s="2863">
        <v>913.74904378999997</v>
      </c>
      <c r="H169" s="2863">
        <v>556.84138205999989</v>
      </c>
      <c r="I169" s="2863">
        <v>19.17268846</v>
      </c>
      <c r="J169" s="2857">
        <v>0</v>
      </c>
      <c r="K169" s="2852">
        <v>0</v>
      </c>
      <c r="L169" s="2834"/>
    </row>
    <row r="170" spans="1:12" ht="18" hidden="1" customHeight="1">
      <c r="A170" s="2831"/>
      <c r="B170" s="2861" t="s">
        <v>162</v>
      </c>
      <c r="C170" s="2862">
        <v>39594.643758599996</v>
      </c>
      <c r="D170" s="2863">
        <v>37171.754596219995</v>
      </c>
      <c r="E170" s="2863">
        <v>122.64940541</v>
      </c>
      <c r="F170" s="2863">
        <v>37049.105190809998</v>
      </c>
      <c r="G170" s="2863">
        <v>1088.37607968</v>
      </c>
      <c r="H170" s="2863">
        <v>1315.70000499</v>
      </c>
      <c r="I170" s="2863">
        <v>18.813077710000002</v>
      </c>
      <c r="J170" s="2850">
        <v>0</v>
      </c>
      <c r="K170" s="2852">
        <v>0</v>
      </c>
      <c r="L170" s="2834"/>
    </row>
    <row r="171" spans="1:12" ht="18" hidden="1" customHeight="1">
      <c r="A171" s="2831"/>
      <c r="B171" s="2861" t="s">
        <v>163</v>
      </c>
      <c r="C171" s="2862">
        <v>41166.138936979994</v>
      </c>
      <c r="D171" s="2863">
        <v>38781.114633839992</v>
      </c>
      <c r="E171" s="2863">
        <v>253.84975040999998</v>
      </c>
      <c r="F171" s="2863">
        <v>38527.264883429991</v>
      </c>
      <c r="G171" s="2863">
        <v>1237.14246776</v>
      </c>
      <c r="H171" s="2863">
        <v>1129.18910155</v>
      </c>
      <c r="I171" s="2863">
        <v>18.692733829999998</v>
      </c>
      <c r="J171" s="2850">
        <v>0</v>
      </c>
      <c r="K171" s="2852">
        <v>0</v>
      </c>
      <c r="L171" s="2834"/>
    </row>
    <row r="172" spans="1:12" ht="18" hidden="1" customHeight="1">
      <c r="A172" s="2831"/>
      <c r="B172" s="2861" t="s">
        <v>164</v>
      </c>
      <c r="C172" s="2862">
        <v>41098.721737639986</v>
      </c>
      <c r="D172" s="2863">
        <v>40298.413972999988</v>
      </c>
      <c r="E172" s="2863">
        <v>264.41610541</v>
      </c>
      <c r="F172" s="2863">
        <v>40033.997867589991</v>
      </c>
      <c r="G172" s="2863">
        <v>782.00569576999999</v>
      </c>
      <c r="H172" s="2863">
        <v>0</v>
      </c>
      <c r="I172" s="2863">
        <v>18.302068869999996</v>
      </c>
      <c r="J172" s="2850">
        <v>0</v>
      </c>
      <c r="K172" s="2852">
        <v>0</v>
      </c>
      <c r="L172" s="2834"/>
    </row>
    <row r="173" spans="1:12" ht="18" hidden="1" customHeight="1">
      <c r="A173" s="2831"/>
      <c r="B173" s="2861" t="s">
        <v>165</v>
      </c>
      <c r="C173" s="2862">
        <v>46830.650232219996</v>
      </c>
      <c r="D173" s="2863">
        <v>43534.445634219999</v>
      </c>
      <c r="E173" s="2863">
        <v>347.24740000000003</v>
      </c>
      <c r="F173" s="2863">
        <v>43187.198234219999</v>
      </c>
      <c r="G173" s="2863">
        <v>1851.0067253099999</v>
      </c>
      <c r="H173" s="2863">
        <v>1425.67374524</v>
      </c>
      <c r="I173" s="2863">
        <v>19.524127449999998</v>
      </c>
      <c r="J173" s="2850">
        <v>0</v>
      </c>
      <c r="K173" s="2852">
        <v>0</v>
      </c>
      <c r="L173" s="2834"/>
    </row>
    <row r="174" spans="1:12" ht="18" hidden="1" customHeight="1">
      <c r="A174" s="2831"/>
      <c r="B174" s="2861" t="s">
        <v>166</v>
      </c>
      <c r="C174" s="2862">
        <v>45053.8774232</v>
      </c>
      <c r="D174" s="2863">
        <v>43896.310490470001</v>
      </c>
      <c r="E174" s="2863">
        <v>229.88390000000001</v>
      </c>
      <c r="F174" s="2863">
        <v>43666.426590470001</v>
      </c>
      <c r="G174" s="2863">
        <v>182.22346552000002</v>
      </c>
      <c r="H174" s="2863">
        <v>956.52186075999998</v>
      </c>
      <c r="I174" s="2863">
        <v>18.821606450000004</v>
      </c>
      <c r="J174" s="2850">
        <v>0</v>
      </c>
      <c r="K174" s="2852">
        <v>0</v>
      </c>
      <c r="L174" s="2834"/>
    </row>
    <row r="175" spans="1:12" ht="18" hidden="1" customHeight="1">
      <c r="A175" s="2831"/>
      <c r="B175" s="2861" t="s">
        <v>167</v>
      </c>
      <c r="C175" s="2862">
        <v>44578.495725860012</v>
      </c>
      <c r="D175" s="2863">
        <v>43102.851119890009</v>
      </c>
      <c r="E175" s="2863">
        <v>314.54739999999998</v>
      </c>
      <c r="F175" s="2863">
        <v>42788.303719890006</v>
      </c>
      <c r="G175" s="2863">
        <v>1350.82329493</v>
      </c>
      <c r="H175" s="2863">
        <v>105.64742573000001</v>
      </c>
      <c r="I175" s="2863">
        <v>19.173885310000003</v>
      </c>
      <c r="J175" s="2850">
        <v>0</v>
      </c>
      <c r="K175" s="2852">
        <v>0</v>
      </c>
      <c r="L175" s="2834"/>
    </row>
    <row r="176" spans="1:12" ht="18" hidden="1" customHeight="1">
      <c r="A176" s="2831"/>
      <c r="B176" s="2861" t="s">
        <v>168</v>
      </c>
      <c r="C176" s="2862">
        <v>43874.98913129999</v>
      </c>
      <c r="D176" s="2863">
        <v>43142.964023839988</v>
      </c>
      <c r="E176" s="2863">
        <v>188.09889999999999</v>
      </c>
      <c r="F176" s="2863">
        <v>42954.865123839991</v>
      </c>
      <c r="G176" s="2863">
        <v>285.50959373000001</v>
      </c>
      <c r="H176" s="2863">
        <v>427.17673848999999</v>
      </c>
      <c r="I176" s="2863">
        <v>19.338775239999997</v>
      </c>
      <c r="J176" s="2850">
        <v>0</v>
      </c>
      <c r="K176" s="2852">
        <v>0</v>
      </c>
      <c r="L176" s="2834"/>
    </row>
    <row r="177" spans="1:12" ht="18" hidden="1" customHeight="1">
      <c r="A177" s="2831"/>
      <c r="B177" s="2861" t="s">
        <v>169</v>
      </c>
      <c r="C177" s="2862">
        <v>44848.946400569999</v>
      </c>
      <c r="D177" s="2863">
        <v>42582.850524139998</v>
      </c>
      <c r="E177" s="2863">
        <v>231.40270000000001</v>
      </c>
      <c r="F177" s="2863">
        <v>42351.447824139999</v>
      </c>
      <c r="G177" s="2863">
        <v>2247.5425701999998</v>
      </c>
      <c r="H177" s="2863">
        <v>0</v>
      </c>
      <c r="I177" s="2863">
        <v>18.55330623</v>
      </c>
      <c r="J177" s="2850">
        <v>0</v>
      </c>
      <c r="K177" s="2852">
        <v>0</v>
      </c>
      <c r="L177" s="2834"/>
    </row>
    <row r="178" spans="1:12" ht="18" hidden="1" customHeight="1">
      <c r="A178" s="2831"/>
      <c r="B178" s="2861" t="s">
        <v>170</v>
      </c>
      <c r="C178" s="2862">
        <v>46919.273944780005</v>
      </c>
      <c r="D178" s="2863">
        <v>43489.022558620003</v>
      </c>
      <c r="E178" s="2863">
        <v>182.3417</v>
      </c>
      <c r="F178" s="2863">
        <v>43306.680858620006</v>
      </c>
      <c r="G178" s="2863">
        <v>1669.7576430399999</v>
      </c>
      <c r="H178" s="2863">
        <v>1742.3579078900002</v>
      </c>
      <c r="I178" s="2863">
        <v>18.135835230000001</v>
      </c>
      <c r="J178" s="2850">
        <v>0</v>
      </c>
      <c r="K178" s="2852">
        <v>0</v>
      </c>
      <c r="L178" s="2834"/>
    </row>
    <row r="179" spans="1:12" ht="18" hidden="1" customHeight="1">
      <c r="A179" s="2831"/>
      <c r="B179" s="2861" t="s">
        <v>171</v>
      </c>
      <c r="C179" s="2862">
        <v>49517.313346769995</v>
      </c>
      <c r="D179" s="2863">
        <v>45854.771595630002</v>
      </c>
      <c r="E179" s="2863">
        <v>165.3194</v>
      </c>
      <c r="F179" s="2863">
        <v>45689.452195630001</v>
      </c>
      <c r="G179" s="2863">
        <v>1744.6182352999999</v>
      </c>
      <c r="H179" s="2863">
        <v>1900</v>
      </c>
      <c r="I179" s="2863">
        <v>17.92351584</v>
      </c>
      <c r="J179" s="2850">
        <v>0</v>
      </c>
      <c r="K179" s="2852">
        <v>0</v>
      </c>
      <c r="L179" s="2834"/>
    </row>
    <row r="180" spans="1:12" ht="18" customHeight="1">
      <c r="A180" s="2831"/>
      <c r="B180" s="2859">
        <v>2012</v>
      </c>
      <c r="C180" s="2862">
        <v>53286.193849250012</v>
      </c>
      <c r="D180" s="2863">
        <v>47910.872862910008</v>
      </c>
      <c r="E180" s="2863">
        <v>137.2774</v>
      </c>
      <c r="F180" s="2863">
        <v>47773.595462910009</v>
      </c>
      <c r="G180" s="2863">
        <v>3457.9021968500001</v>
      </c>
      <c r="H180" s="2863">
        <v>1900</v>
      </c>
      <c r="I180" s="2863">
        <v>17.418789489999998</v>
      </c>
      <c r="J180" s="2850">
        <v>0</v>
      </c>
      <c r="K180" s="2852">
        <v>0</v>
      </c>
      <c r="L180" s="2834"/>
    </row>
    <row r="181" spans="1:12" ht="18" customHeight="1">
      <c r="A181" s="2831"/>
      <c r="B181" s="2859">
        <v>2013</v>
      </c>
      <c r="C181" s="2862"/>
      <c r="D181" s="2863"/>
      <c r="E181" s="2863"/>
      <c r="F181" s="2863"/>
      <c r="G181" s="2863"/>
      <c r="H181" s="2863"/>
      <c r="I181" s="2863"/>
      <c r="J181" s="2863"/>
      <c r="K181" s="2863"/>
      <c r="L181" s="2834"/>
    </row>
    <row r="182" spans="1:12" ht="18" customHeight="1">
      <c r="A182" s="2831"/>
      <c r="B182" s="2861" t="s">
        <v>161</v>
      </c>
      <c r="C182" s="2862">
        <v>48847.171250300009</v>
      </c>
      <c r="D182" s="2863">
        <v>46538.048113400007</v>
      </c>
      <c r="E182" s="2863">
        <v>163.30840000000001</v>
      </c>
      <c r="F182" s="2863">
        <v>46374.739713400006</v>
      </c>
      <c r="G182" s="2863">
        <v>1425.8968936199999</v>
      </c>
      <c r="H182" s="2863">
        <v>866.23028312999998</v>
      </c>
      <c r="I182" s="2863">
        <v>16.995960149999998</v>
      </c>
      <c r="J182" s="2863">
        <v>0</v>
      </c>
      <c r="K182" s="2863">
        <v>0</v>
      </c>
      <c r="L182" s="2834"/>
    </row>
    <row r="183" spans="1:12" ht="18" customHeight="1">
      <c r="A183" s="2831"/>
      <c r="B183" s="2861" t="s">
        <v>162</v>
      </c>
      <c r="C183" s="2862">
        <v>49027.762616665001</v>
      </c>
      <c r="D183" s="2863">
        <v>47274.821200235005</v>
      </c>
      <c r="E183" s="2863">
        <v>149.88120000000001</v>
      </c>
      <c r="F183" s="2863">
        <v>47124.940000235001</v>
      </c>
      <c r="G183" s="2863">
        <v>317.58775467000004</v>
      </c>
      <c r="H183" s="2863">
        <v>1418.8061616</v>
      </c>
      <c r="I183" s="2863">
        <v>16.547500159999998</v>
      </c>
      <c r="J183" s="2863">
        <v>0</v>
      </c>
      <c r="K183" s="2863">
        <v>0</v>
      </c>
      <c r="L183" s="2834"/>
    </row>
    <row r="184" spans="1:12" ht="18" customHeight="1">
      <c r="A184" s="2834"/>
      <c r="B184" s="2868" t="s">
        <v>163</v>
      </c>
      <c r="C184" s="2862">
        <v>51183.670941560005</v>
      </c>
      <c r="D184" s="2863">
        <v>49836.182204460005</v>
      </c>
      <c r="E184" s="2863">
        <v>174.5376</v>
      </c>
      <c r="F184" s="2863">
        <v>49661.644604460002</v>
      </c>
      <c r="G184" s="2863">
        <v>1020.9985859</v>
      </c>
      <c r="H184" s="2863">
        <v>310.33776004000003</v>
      </c>
      <c r="I184" s="2863">
        <v>16.152391160000001</v>
      </c>
      <c r="J184" s="2863">
        <v>0</v>
      </c>
      <c r="K184" s="2863">
        <v>0</v>
      </c>
      <c r="L184" s="2834"/>
    </row>
    <row r="185" spans="1:12" ht="18" customHeight="1">
      <c r="A185" s="2834"/>
      <c r="B185" s="2868" t="s">
        <v>164</v>
      </c>
      <c r="C185" s="2869">
        <v>50743.79380883999</v>
      </c>
      <c r="D185" s="2870">
        <v>50562.001954919993</v>
      </c>
      <c r="E185" s="2870">
        <v>121.4893</v>
      </c>
      <c r="F185" s="2870">
        <v>50440.512654919992</v>
      </c>
      <c r="G185" s="2863">
        <v>166.13737033000001</v>
      </c>
      <c r="H185" s="2870">
        <v>0</v>
      </c>
      <c r="I185" s="2870">
        <v>15.65448359</v>
      </c>
      <c r="J185" s="2870">
        <v>0</v>
      </c>
      <c r="K185" s="2870">
        <v>0</v>
      </c>
      <c r="L185" s="2834"/>
    </row>
    <row r="186" spans="1:12" ht="18" customHeight="1">
      <c r="A186" s="2834"/>
      <c r="B186" s="2868" t="s">
        <v>165</v>
      </c>
      <c r="C186" s="2869">
        <v>53060.996683004996</v>
      </c>
      <c r="D186" s="2870">
        <v>52447.059161004996</v>
      </c>
      <c r="E186" s="2870">
        <v>221.9033</v>
      </c>
      <c r="F186" s="2870">
        <v>52225.155861004998</v>
      </c>
      <c r="G186" s="2863">
        <v>472.91013561</v>
      </c>
      <c r="H186" s="2870">
        <v>126.44884535999999</v>
      </c>
      <c r="I186" s="2870">
        <v>14.578541029999998</v>
      </c>
      <c r="J186" s="2870">
        <v>0</v>
      </c>
      <c r="K186" s="2870">
        <v>0</v>
      </c>
      <c r="L186" s="2834"/>
    </row>
    <row r="187" spans="1:12" ht="18" customHeight="1">
      <c r="A187" s="2834"/>
      <c r="B187" s="2871" t="s">
        <v>166</v>
      </c>
      <c r="C187" s="2872">
        <v>59822.576335534992</v>
      </c>
      <c r="D187" s="2873">
        <v>55665.466865404996</v>
      </c>
      <c r="E187" s="2873">
        <v>10706.431701799998</v>
      </c>
      <c r="F187" s="2873">
        <v>44959.035163604996</v>
      </c>
      <c r="G187" s="2873">
        <v>2243.5660788699997</v>
      </c>
      <c r="H187" s="2873">
        <v>1900</v>
      </c>
      <c r="I187" s="2873">
        <v>13.54339126</v>
      </c>
      <c r="J187" s="2873">
        <v>0</v>
      </c>
      <c r="K187" s="2873">
        <v>0</v>
      </c>
      <c r="L187" s="2834"/>
    </row>
    <row r="188" spans="1:12" ht="18" customHeight="1">
      <c r="A188" s="2834"/>
      <c r="B188" s="2871" t="s">
        <v>167</v>
      </c>
      <c r="C188" s="2872">
        <v>54258.952941274991</v>
      </c>
      <c r="D188" s="2873">
        <v>51938.038857194995</v>
      </c>
      <c r="E188" s="2873">
        <v>6688.1898428000004</v>
      </c>
      <c r="F188" s="2873">
        <v>45249.849014394997</v>
      </c>
      <c r="G188" s="2873">
        <v>406.64427228</v>
      </c>
      <c r="H188" s="2873">
        <v>1900</v>
      </c>
      <c r="I188" s="2873">
        <v>14.269811800000001</v>
      </c>
      <c r="J188" s="2873">
        <v>0</v>
      </c>
      <c r="K188" s="2873">
        <v>0</v>
      </c>
      <c r="L188" s="2834"/>
    </row>
    <row r="189" spans="1:12" ht="18" customHeight="1">
      <c r="A189" s="2834"/>
      <c r="B189" s="2871" t="s">
        <v>168</v>
      </c>
      <c r="C189" s="2872">
        <v>58478.169704264998</v>
      </c>
      <c r="D189" s="2873">
        <v>55742.650469194996</v>
      </c>
      <c r="E189" s="2873">
        <v>5249.8293267999998</v>
      </c>
      <c r="F189" s="2873">
        <v>50492.821142394998</v>
      </c>
      <c r="G189" s="2873">
        <v>620.88715688000002</v>
      </c>
      <c r="H189" s="2873">
        <v>2100</v>
      </c>
      <c r="I189" s="2873">
        <v>14.63207819</v>
      </c>
      <c r="J189" s="2873">
        <v>0</v>
      </c>
      <c r="K189" s="2873">
        <v>0</v>
      </c>
      <c r="L189" s="2834"/>
    </row>
    <row r="190" spans="1:12" ht="18" customHeight="1">
      <c r="A190" s="2834"/>
      <c r="B190" s="2871" t="s">
        <v>169</v>
      </c>
      <c r="C190" s="2872">
        <v>55249.11403559499</v>
      </c>
      <c r="D190" s="2873">
        <v>52835.831331424997</v>
      </c>
      <c r="E190" s="2873">
        <v>3605.1634760699999</v>
      </c>
      <c r="F190" s="2873">
        <v>49230.667855355001</v>
      </c>
      <c r="G190" s="2873">
        <v>1269.3436130799998</v>
      </c>
      <c r="H190" s="2873">
        <v>1129.6856084200001</v>
      </c>
      <c r="I190" s="2873">
        <v>14.25348267</v>
      </c>
      <c r="J190" s="2873">
        <v>0</v>
      </c>
      <c r="K190" s="2873">
        <v>0</v>
      </c>
      <c r="L190" s="2834"/>
    </row>
    <row r="191" spans="1:12" ht="18" customHeight="1">
      <c r="A191" s="2834"/>
      <c r="B191" s="2871" t="s">
        <v>170</v>
      </c>
      <c r="C191" s="2872">
        <v>57166.302653035003</v>
      </c>
      <c r="D191" s="2873">
        <v>54983.656195044998</v>
      </c>
      <c r="E191" s="2873">
        <v>5170.3899150699999</v>
      </c>
      <c r="F191" s="2873">
        <v>49813.266279974996</v>
      </c>
      <c r="G191" s="2873">
        <v>873.19856480999999</v>
      </c>
      <c r="H191" s="2873">
        <v>1295.5982055100001</v>
      </c>
      <c r="I191" s="2873">
        <v>13.84968767</v>
      </c>
      <c r="J191" s="2873">
        <v>0</v>
      </c>
      <c r="K191" s="2873">
        <v>0</v>
      </c>
      <c r="L191" s="2834"/>
    </row>
    <row r="192" spans="1:12" ht="18" customHeight="1">
      <c r="A192" s="2834"/>
      <c r="B192" s="2871" t="s">
        <v>171</v>
      </c>
      <c r="C192" s="2872">
        <v>58106.401783415</v>
      </c>
      <c r="D192" s="2873">
        <v>57847.068288235001</v>
      </c>
      <c r="E192" s="2873">
        <v>5669.1989360699999</v>
      </c>
      <c r="F192" s="2873">
        <v>52177.869352164998</v>
      </c>
      <c r="G192" s="2873">
        <v>246.37673386</v>
      </c>
      <c r="H192" s="2873">
        <v>0</v>
      </c>
      <c r="I192" s="2873">
        <v>12.956761319999998</v>
      </c>
      <c r="J192" s="2873">
        <v>0</v>
      </c>
      <c r="K192" s="2873">
        <v>0</v>
      </c>
      <c r="L192" s="2834"/>
    </row>
    <row r="193" spans="1:17" ht="18" customHeight="1">
      <c r="A193" s="2834"/>
      <c r="B193" s="2871" t="s">
        <v>148</v>
      </c>
      <c r="C193" s="2872">
        <v>59044.720474134985</v>
      </c>
      <c r="D193" s="2873">
        <v>57928.17533272499</v>
      </c>
      <c r="E193" s="2873">
        <v>5746.5170950599995</v>
      </c>
      <c r="F193" s="2873">
        <v>52181.658237664989</v>
      </c>
      <c r="G193" s="2873">
        <v>1104.0505551199999</v>
      </c>
      <c r="H193" s="2873">
        <v>0</v>
      </c>
      <c r="I193" s="2873">
        <v>12.494586289999999</v>
      </c>
      <c r="J193" s="2873">
        <v>0</v>
      </c>
      <c r="K193" s="2873">
        <v>0</v>
      </c>
      <c r="L193" s="2834"/>
    </row>
    <row r="194" spans="1:17" ht="18" customHeight="1">
      <c r="A194" s="2834"/>
      <c r="B194" s="2924">
        <v>2014</v>
      </c>
      <c r="C194" s="3536"/>
      <c r="D194" s="2925"/>
      <c r="E194" s="2925"/>
      <c r="F194" s="2925"/>
      <c r="G194" s="2925"/>
      <c r="H194" s="2925"/>
      <c r="I194" s="2925"/>
      <c r="J194" s="2925"/>
      <c r="K194" s="2925"/>
      <c r="L194" s="2834"/>
    </row>
    <row r="195" spans="1:17" ht="18" customHeight="1">
      <c r="A195" s="2834"/>
      <c r="B195" s="2871" t="s">
        <v>161</v>
      </c>
      <c r="C195" s="2872">
        <v>59209.008776724993</v>
      </c>
      <c r="D195" s="2873">
        <v>56949.349271994986</v>
      </c>
      <c r="E195" s="2873">
        <v>4890.5490250599996</v>
      </c>
      <c r="F195" s="2873">
        <v>52058.800246934989</v>
      </c>
      <c r="G195" s="2873">
        <v>1434.5699749600001</v>
      </c>
      <c r="H195" s="2873">
        <v>812.22364948000006</v>
      </c>
      <c r="I195" s="2873">
        <v>12.86588029</v>
      </c>
      <c r="J195" s="2873">
        <v>0</v>
      </c>
      <c r="K195" s="2873">
        <v>0</v>
      </c>
      <c r="L195" s="2834"/>
    </row>
    <row r="196" spans="1:17" ht="18" customHeight="1">
      <c r="A196" s="2834"/>
      <c r="B196" s="2871" t="s">
        <v>162</v>
      </c>
      <c r="C196" s="2872">
        <v>59037.247556654991</v>
      </c>
      <c r="D196" s="2873">
        <v>57491.597530064988</v>
      </c>
      <c r="E196" s="2873">
        <v>5026.8295800599999</v>
      </c>
      <c r="F196" s="2873">
        <v>52464.767950004985</v>
      </c>
      <c r="G196" s="2873">
        <v>1533.11922583</v>
      </c>
      <c r="H196" s="2873">
        <v>0</v>
      </c>
      <c r="I196" s="2873">
        <v>12.53080076</v>
      </c>
      <c r="J196" s="2873">
        <v>0</v>
      </c>
      <c r="K196" s="2873">
        <v>0</v>
      </c>
      <c r="L196" s="2834"/>
    </row>
    <row r="197" spans="1:17" ht="18" customHeight="1">
      <c r="A197" s="2834"/>
      <c r="B197" s="2871" t="s">
        <v>163</v>
      </c>
      <c r="C197" s="2872">
        <v>58597.776425924996</v>
      </c>
      <c r="D197" s="2873">
        <v>57296.192365614996</v>
      </c>
      <c r="E197" s="2873">
        <v>5076.8707070399996</v>
      </c>
      <c r="F197" s="2873">
        <v>52219.321658574998</v>
      </c>
      <c r="G197" s="2873">
        <v>1049.8607425800001</v>
      </c>
      <c r="H197" s="2873">
        <v>239.53201096999999</v>
      </c>
      <c r="I197" s="2873">
        <v>12.19130676</v>
      </c>
      <c r="J197" s="2873">
        <v>0</v>
      </c>
      <c r="K197" s="2873">
        <v>0</v>
      </c>
      <c r="L197" s="2834"/>
    </row>
    <row r="198" spans="1:17" ht="18" customHeight="1">
      <c r="A198" s="2834"/>
      <c r="B198" s="2871" t="s">
        <v>164</v>
      </c>
      <c r="C198" s="2872">
        <v>55622.784648904999</v>
      </c>
      <c r="D198" s="2873">
        <v>54457.338969575001</v>
      </c>
      <c r="E198" s="2873">
        <v>4262.5274764899996</v>
      </c>
      <c r="F198" s="2873">
        <v>50194.811493084999</v>
      </c>
      <c r="G198" s="2873">
        <v>1152.8701953299999</v>
      </c>
      <c r="H198" s="2873">
        <v>0</v>
      </c>
      <c r="I198" s="2873">
        <v>12.575483999999999</v>
      </c>
      <c r="J198" s="2873">
        <v>0</v>
      </c>
      <c r="K198" s="2873">
        <v>0</v>
      </c>
      <c r="L198" s="2834"/>
    </row>
    <row r="199" spans="1:17" ht="18" customHeight="1">
      <c r="A199" s="2834"/>
      <c r="B199" s="2871" t="s">
        <v>165</v>
      </c>
      <c r="C199" s="2872">
        <v>63044.946129337499</v>
      </c>
      <c r="D199" s="2873">
        <v>62528.751973967497</v>
      </c>
      <c r="E199" s="2873">
        <v>13436.862382490001</v>
      </c>
      <c r="F199" s="2873">
        <v>49091.889591477498</v>
      </c>
      <c r="G199" s="2873">
        <v>360.50918866000001</v>
      </c>
      <c r="H199" s="2873">
        <v>143.13445822999998</v>
      </c>
      <c r="I199" s="2873">
        <v>12.550508480000001</v>
      </c>
      <c r="J199" s="2873">
        <v>0</v>
      </c>
      <c r="K199" s="2873">
        <v>0</v>
      </c>
      <c r="L199" s="2834"/>
    </row>
    <row r="200" spans="1:17" ht="18" customHeight="1">
      <c r="A200" s="2834"/>
      <c r="B200" s="2871" t="s">
        <v>166</v>
      </c>
      <c r="C200" s="2872">
        <v>60870.456376127506</v>
      </c>
      <c r="D200" s="2873">
        <v>60575.306209877504</v>
      </c>
      <c r="E200" s="2873">
        <v>9493.073401489999</v>
      </c>
      <c r="F200" s="2873">
        <v>51082.232808387504</v>
      </c>
      <c r="G200" s="2873">
        <v>281.55063349</v>
      </c>
      <c r="H200" s="2873">
        <v>0</v>
      </c>
      <c r="I200" s="2873">
        <v>13.599532760000001</v>
      </c>
      <c r="J200" s="2873">
        <v>0</v>
      </c>
      <c r="K200" s="2873">
        <v>0</v>
      </c>
      <c r="L200" s="2834"/>
      <c r="Q200" s="2830" t="s">
        <v>143</v>
      </c>
    </row>
    <row r="201" spans="1:17" ht="18" customHeight="1">
      <c r="A201" s="2834"/>
      <c r="B201" s="2871" t="s">
        <v>167</v>
      </c>
      <c r="C201" s="2872">
        <v>61808.653134772496</v>
      </c>
      <c r="D201" s="2873">
        <v>58556.564732702493</v>
      </c>
      <c r="E201" s="2873">
        <v>6646.3214034900002</v>
      </c>
      <c r="F201" s="2873">
        <v>51910.243329212492</v>
      </c>
      <c r="G201" s="2873">
        <v>1697.47035968</v>
      </c>
      <c r="H201" s="2873">
        <v>1540.76774133</v>
      </c>
      <c r="I201" s="2873">
        <v>13.850301059999998</v>
      </c>
      <c r="J201" s="2873">
        <v>0</v>
      </c>
      <c r="K201" s="2873">
        <v>0</v>
      </c>
      <c r="L201" s="2834"/>
    </row>
    <row r="202" spans="1:17" ht="17.25" customHeight="1">
      <c r="A202" s="2834"/>
      <c r="B202" s="2871" t="s">
        <v>168</v>
      </c>
      <c r="C202" s="2872">
        <v>63460.702349532505</v>
      </c>
      <c r="D202" s="2873">
        <v>60274.699393292503</v>
      </c>
      <c r="E202" s="2873">
        <v>7051.7279924899995</v>
      </c>
      <c r="F202" s="2873">
        <v>53222.971400802504</v>
      </c>
      <c r="G202" s="2873">
        <v>3172.5172160799998</v>
      </c>
      <c r="H202" s="2873">
        <v>0</v>
      </c>
      <c r="I202" s="2873">
        <v>13.485740160000001</v>
      </c>
      <c r="J202" s="2873">
        <v>0</v>
      </c>
      <c r="K202" s="2873">
        <v>0</v>
      </c>
      <c r="L202" s="2834"/>
    </row>
    <row r="203" spans="1:17" ht="16.5">
      <c r="A203" s="2834"/>
      <c r="B203" s="2871" t="s">
        <v>169</v>
      </c>
      <c r="C203" s="2872">
        <v>67899.139461542494</v>
      </c>
      <c r="D203" s="2873">
        <v>67601.402729872498</v>
      </c>
      <c r="E203" s="2873">
        <v>12839.647976980001</v>
      </c>
      <c r="F203" s="2873">
        <v>54761.754752892499</v>
      </c>
      <c r="G203" s="2873">
        <v>284.58222847000002</v>
      </c>
      <c r="H203" s="2873">
        <v>0</v>
      </c>
      <c r="I203" s="2873">
        <v>13.154503199999999</v>
      </c>
      <c r="J203" s="2873">
        <v>0</v>
      </c>
      <c r="K203" s="2873">
        <v>0</v>
      </c>
      <c r="L203" s="2834"/>
    </row>
    <row r="204" spans="1:17" ht="16.5">
      <c r="A204" s="2834"/>
      <c r="B204" s="2871" t="s">
        <v>170</v>
      </c>
      <c r="C204" s="2872">
        <v>68973.134150592494</v>
      </c>
      <c r="D204" s="2873">
        <v>68642.764949992488</v>
      </c>
      <c r="E204" s="2873">
        <v>15038.107690980001</v>
      </c>
      <c r="F204" s="2873">
        <v>53604.657259012492</v>
      </c>
      <c r="G204" s="2873">
        <v>316.1008008</v>
      </c>
      <c r="H204" s="2873">
        <v>0</v>
      </c>
      <c r="I204" s="2873">
        <v>14.268399799999999</v>
      </c>
      <c r="J204" s="2873">
        <v>0</v>
      </c>
      <c r="K204" s="2873">
        <v>0</v>
      </c>
      <c r="L204" s="2834"/>
    </row>
    <row r="205" spans="1:17" ht="16.5">
      <c r="A205" s="2834"/>
      <c r="B205" s="2871" t="s">
        <v>171</v>
      </c>
      <c r="C205" s="2872">
        <v>74825.085528852505</v>
      </c>
      <c r="D205" s="2873">
        <v>74551.330604892501</v>
      </c>
      <c r="E205" s="2873">
        <v>19106.139342980001</v>
      </c>
      <c r="F205" s="2873">
        <v>55445.1912619125</v>
      </c>
      <c r="G205" s="2873">
        <v>257.30148879000001</v>
      </c>
      <c r="H205" s="2873">
        <v>0</v>
      </c>
      <c r="I205" s="2873">
        <v>16.453435169999999</v>
      </c>
      <c r="J205" s="2873">
        <v>0</v>
      </c>
      <c r="K205" s="2873">
        <v>0</v>
      </c>
      <c r="L205" s="2834"/>
    </row>
    <row r="206" spans="1:17" ht="16.5">
      <c r="A206" s="2834"/>
      <c r="B206" s="2871" t="s">
        <v>148</v>
      </c>
      <c r="C206" s="2872">
        <v>75684.229689742497</v>
      </c>
      <c r="D206" s="2873">
        <v>75502.071737662496</v>
      </c>
      <c r="E206" s="2873">
        <v>19731.00684998</v>
      </c>
      <c r="F206" s="2873">
        <v>55771.064887682493</v>
      </c>
      <c r="G206" s="2873">
        <v>166.09298937</v>
      </c>
      <c r="H206" s="2873">
        <v>0</v>
      </c>
      <c r="I206" s="2873">
        <v>16.06496271</v>
      </c>
      <c r="J206" s="2873">
        <v>0</v>
      </c>
      <c r="K206" s="2873">
        <v>0</v>
      </c>
      <c r="L206" s="2834"/>
    </row>
    <row r="207" spans="1:17" ht="16.5">
      <c r="A207" s="2834"/>
      <c r="B207" s="2924">
        <v>2015</v>
      </c>
      <c r="C207" s="2872"/>
      <c r="D207" s="2873"/>
      <c r="E207" s="2873"/>
      <c r="F207" s="2873"/>
      <c r="G207" s="2873"/>
      <c r="H207" s="2873"/>
      <c r="I207" s="2873"/>
      <c r="J207" s="2873"/>
      <c r="K207" s="2873"/>
      <c r="L207" s="2834"/>
    </row>
    <row r="208" spans="1:17" ht="16.5">
      <c r="A208" s="2834"/>
      <c r="B208" s="2871" t="s">
        <v>161</v>
      </c>
      <c r="C208" s="2872">
        <v>75361.011716372508</v>
      </c>
      <c r="D208" s="2873">
        <v>73656.671844312499</v>
      </c>
      <c r="E208" s="2873">
        <v>20241.608671279999</v>
      </c>
      <c r="F208" s="2873">
        <v>53415.063173032497</v>
      </c>
      <c r="G208" s="2873">
        <v>1687.50371354</v>
      </c>
      <c r="H208" s="2873">
        <v>0</v>
      </c>
      <c r="I208" s="2873">
        <v>16.836158519999998</v>
      </c>
      <c r="J208" s="2873">
        <v>0</v>
      </c>
      <c r="K208" s="2873">
        <v>0</v>
      </c>
      <c r="L208" s="2834"/>
    </row>
    <row r="209" spans="1:12" ht="16.5">
      <c r="A209" s="2834"/>
      <c r="B209" s="2871" t="s">
        <v>162</v>
      </c>
      <c r="C209" s="2872">
        <v>70953.568913692507</v>
      </c>
      <c r="D209" s="2873">
        <v>69923.017163122509</v>
      </c>
      <c r="E209" s="2873">
        <v>15948.96099028</v>
      </c>
      <c r="F209" s="2873">
        <v>53974.056172842502</v>
      </c>
      <c r="G209" s="2873">
        <v>909.31316800000002</v>
      </c>
      <c r="H209" s="2873">
        <v>104.91297627</v>
      </c>
      <c r="I209" s="2873">
        <v>16.3256063</v>
      </c>
      <c r="J209" s="2873">
        <v>0</v>
      </c>
      <c r="K209" s="2873">
        <v>0</v>
      </c>
      <c r="L209" s="2834"/>
    </row>
    <row r="210" spans="1:12" ht="16.5">
      <c r="A210" s="2834"/>
      <c r="B210" s="2871" t="s">
        <v>163</v>
      </c>
      <c r="C210" s="2872">
        <v>62924.304409262506</v>
      </c>
      <c r="D210" s="2873">
        <v>62315.407672252506</v>
      </c>
      <c r="E210" s="2873">
        <v>9693.0511642800011</v>
      </c>
      <c r="F210" s="2873">
        <v>52622.356507972501</v>
      </c>
      <c r="G210" s="2873">
        <v>592.26995679999993</v>
      </c>
      <c r="H210" s="2873">
        <v>0</v>
      </c>
      <c r="I210" s="2873">
        <v>16.62678021</v>
      </c>
      <c r="J210" s="2873">
        <v>0</v>
      </c>
      <c r="K210" s="2873">
        <v>0</v>
      </c>
      <c r="L210" s="2834"/>
    </row>
    <row r="211" spans="1:12" ht="16.5">
      <c r="A211" s="2834"/>
      <c r="B211" s="2871" t="s">
        <v>164</v>
      </c>
      <c r="C211" s="2872">
        <v>61646.261453032501</v>
      </c>
      <c r="D211" s="2873">
        <v>60995.998903912499</v>
      </c>
      <c r="E211" s="2873">
        <v>9290.1223632800011</v>
      </c>
      <c r="F211" s="2873">
        <v>51705.876540632496</v>
      </c>
      <c r="G211" s="2873">
        <v>629.64529282000001</v>
      </c>
      <c r="H211" s="2873">
        <v>0</v>
      </c>
      <c r="I211" s="2873">
        <v>20.617256300000001</v>
      </c>
      <c r="J211" s="2873">
        <v>0</v>
      </c>
      <c r="K211" s="2873">
        <v>0</v>
      </c>
      <c r="L211" s="2834"/>
    </row>
    <row r="212" spans="1:12" ht="16.5">
      <c r="A212" s="2834"/>
      <c r="B212" s="2871" t="s">
        <v>165</v>
      </c>
      <c r="C212" s="2872">
        <v>60852.701846537508</v>
      </c>
      <c r="D212" s="2873">
        <v>60397.934012367507</v>
      </c>
      <c r="E212" s="2873">
        <v>8934.5788662800005</v>
      </c>
      <c r="F212" s="2873">
        <v>51463.355146087502</v>
      </c>
      <c r="G212" s="2873">
        <v>429.33007029000004</v>
      </c>
      <c r="H212" s="2873">
        <v>0</v>
      </c>
      <c r="I212" s="2873">
        <v>25.437763879999999</v>
      </c>
      <c r="J212" s="2873">
        <v>0</v>
      </c>
      <c r="K212" s="2873">
        <v>0</v>
      </c>
      <c r="L212" s="2834"/>
    </row>
    <row r="213" spans="1:12" ht="16.5">
      <c r="A213" s="2834"/>
      <c r="B213" s="2871" t="s">
        <v>166</v>
      </c>
      <c r="C213" s="2872">
        <v>63837.725047327505</v>
      </c>
      <c r="D213" s="2873">
        <v>62112.521429147506</v>
      </c>
      <c r="E213" s="2873">
        <v>9826.5454037299987</v>
      </c>
      <c r="F213" s="2873">
        <v>52285.976025417505</v>
      </c>
      <c r="G213" s="2873">
        <v>1696.87707641</v>
      </c>
      <c r="H213" s="2873">
        <v>0</v>
      </c>
      <c r="I213" s="2873">
        <v>28.326541769999999</v>
      </c>
      <c r="J213" s="2873">
        <v>0</v>
      </c>
      <c r="K213" s="2873">
        <v>0</v>
      </c>
      <c r="L213" s="2834"/>
    </row>
    <row r="214" spans="1:12" ht="16.5">
      <c r="A214" s="2834"/>
      <c r="B214" s="2871" t="s">
        <v>167</v>
      </c>
      <c r="C214" s="2872">
        <v>62544.797480972498</v>
      </c>
      <c r="D214" s="2873">
        <v>61121.1595845825</v>
      </c>
      <c r="E214" s="2873">
        <v>9132.6738427299988</v>
      </c>
      <c r="F214" s="2873">
        <v>51988.485741852499</v>
      </c>
      <c r="G214" s="2873">
        <v>1394.04667408</v>
      </c>
      <c r="H214" s="2873">
        <v>0</v>
      </c>
      <c r="I214" s="2873">
        <v>29.591222309999999</v>
      </c>
      <c r="J214" s="2873">
        <v>0</v>
      </c>
      <c r="K214" s="2873">
        <v>0</v>
      </c>
      <c r="L214" s="2834"/>
    </row>
    <row r="215" spans="1:12" ht="16.5">
      <c r="A215" s="2834"/>
      <c r="B215" s="2871" t="s">
        <v>168</v>
      </c>
      <c r="C215" s="2872">
        <v>69649.8609768225</v>
      </c>
      <c r="D215" s="2873">
        <v>68858.150819392496</v>
      </c>
      <c r="E215" s="2873">
        <v>14045.540605729999</v>
      </c>
      <c r="F215" s="2873">
        <v>54812.610213662498</v>
      </c>
      <c r="G215" s="2873">
        <v>763.33615642999996</v>
      </c>
      <c r="H215" s="2873">
        <v>0</v>
      </c>
      <c r="I215" s="2873">
        <v>28.374001</v>
      </c>
      <c r="J215" s="2873">
        <v>0</v>
      </c>
      <c r="K215" s="2873">
        <v>0</v>
      </c>
      <c r="L215" s="2834"/>
    </row>
    <row r="216" spans="1:12" ht="16.5">
      <c r="A216" s="2834"/>
      <c r="B216" s="3222" t="s">
        <v>169</v>
      </c>
      <c r="C216" s="3223">
        <v>75158.925646562493</v>
      </c>
      <c r="D216" s="3224">
        <v>74192.844184272486</v>
      </c>
      <c r="E216" s="3224">
        <v>18205.644736729999</v>
      </c>
      <c r="F216" s="3224">
        <v>55987.199447542494</v>
      </c>
      <c r="G216" s="3224">
        <v>939.33734766999999</v>
      </c>
      <c r="H216" s="3224">
        <v>0</v>
      </c>
      <c r="I216" s="3224">
        <v>26.744114619999998</v>
      </c>
      <c r="J216" s="3224">
        <v>0</v>
      </c>
      <c r="K216" s="3224">
        <v>0</v>
      </c>
      <c r="L216" s="2834"/>
    </row>
    <row r="217" spans="1:12" ht="16.5">
      <c r="A217" s="2834"/>
      <c r="B217" s="3222" t="s">
        <v>170</v>
      </c>
      <c r="C217" s="3223">
        <v>74095.226048622513</v>
      </c>
      <c r="D217" s="3224">
        <v>72145.673349472505</v>
      </c>
      <c r="E217" s="3224">
        <v>17568.521337729999</v>
      </c>
      <c r="F217" s="3224">
        <v>54577.15201174251</v>
      </c>
      <c r="G217" s="3224">
        <v>1921.7486629100001</v>
      </c>
      <c r="H217" s="3224">
        <v>0</v>
      </c>
      <c r="I217" s="3224">
        <v>27.804036240000002</v>
      </c>
      <c r="J217" s="3224">
        <v>0</v>
      </c>
      <c r="K217" s="3224">
        <v>0</v>
      </c>
      <c r="L217" s="2834"/>
    </row>
    <row r="218" spans="1:12" ht="16.5">
      <c r="A218" s="2834"/>
      <c r="B218" s="4207" t="s">
        <v>171</v>
      </c>
      <c r="C218" s="4208">
        <v>74037.610375732489</v>
      </c>
      <c r="D218" s="4209">
        <v>71555.564327442495</v>
      </c>
      <c r="E218" s="4209">
        <v>15038.454050729999</v>
      </c>
      <c r="F218" s="4209">
        <v>56517.110276712498</v>
      </c>
      <c r="G218" s="4209">
        <v>2454.8753575100004</v>
      </c>
      <c r="H218" s="4209">
        <v>0</v>
      </c>
      <c r="I218" s="4209">
        <v>27.170690780000001</v>
      </c>
      <c r="J218" s="4209">
        <v>0</v>
      </c>
      <c r="K218" s="4209">
        <v>0</v>
      </c>
      <c r="L218" s="2834"/>
    </row>
    <row r="219" spans="1:12" ht="16.5">
      <c r="A219" s="2834"/>
      <c r="B219" s="4207" t="s">
        <v>148</v>
      </c>
      <c r="C219" s="4208">
        <v>69582.694881822492</v>
      </c>
      <c r="D219" s="4209">
        <v>68810.307950812494</v>
      </c>
      <c r="E219" s="4209">
        <v>12210.032573690001</v>
      </c>
      <c r="F219" s="4209">
        <v>56600.275377122496</v>
      </c>
      <c r="G219" s="4209">
        <v>744.50678057000005</v>
      </c>
      <c r="H219" s="4209">
        <v>0</v>
      </c>
      <c r="I219" s="4209">
        <v>27.880150440000001</v>
      </c>
      <c r="J219" s="4209">
        <v>0</v>
      </c>
      <c r="K219" s="4209">
        <v>0</v>
      </c>
      <c r="L219" s="2834"/>
    </row>
    <row r="220" spans="1:12" ht="16.5">
      <c r="A220" s="2834"/>
      <c r="B220" s="4336">
        <v>2016</v>
      </c>
      <c r="C220" s="4208"/>
      <c r="D220" s="4209"/>
      <c r="E220" s="4209"/>
      <c r="F220" s="4209"/>
      <c r="G220" s="4209"/>
      <c r="H220" s="4209"/>
      <c r="I220" s="4209"/>
      <c r="J220" s="4209"/>
      <c r="K220" s="4209"/>
      <c r="L220" s="2834"/>
    </row>
    <row r="221" spans="1:12" ht="16.5">
      <c r="A221" s="2834"/>
      <c r="B221" s="4207" t="s">
        <v>161</v>
      </c>
      <c r="C221" s="4208">
        <v>70090.353191002505</v>
      </c>
      <c r="D221" s="4209">
        <v>68490.668323142512</v>
      </c>
      <c r="E221" s="4209">
        <v>12501.126228370002</v>
      </c>
      <c r="F221" s="4209">
        <v>55989.542094772507</v>
      </c>
      <c r="G221" s="4209">
        <v>1569.6459359100002</v>
      </c>
      <c r="H221" s="4209">
        <v>0</v>
      </c>
      <c r="I221" s="4209">
        <v>30.038931949999998</v>
      </c>
      <c r="J221" s="4209">
        <v>0</v>
      </c>
      <c r="K221" s="4209">
        <v>0</v>
      </c>
      <c r="L221" s="2834"/>
    </row>
    <row r="222" spans="1:12" ht="16.5">
      <c r="A222" s="2834"/>
      <c r="B222" s="4337" t="s">
        <v>162</v>
      </c>
      <c r="C222" s="4338">
        <v>74519.541920700009</v>
      </c>
      <c r="D222" s="4339">
        <v>72555.762049680008</v>
      </c>
      <c r="E222" s="4339">
        <v>14798.932825870001</v>
      </c>
      <c r="F222" s="4339">
        <v>57756.829223810004</v>
      </c>
      <c r="G222" s="4339">
        <v>1418.2811395699998</v>
      </c>
      <c r="H222" s="4339">
        <v>515.21335361000001</v>
      </c>
      <c r="I222" s="4339">
        <v>30.285377839999999</v>
      </c>
      <c r="J222" s="4339">
        <v>0</v>
      </c>
      <c r="K222" s="4339">
        <v>0</v>
      </c>
      <c r="L222" s="2834"/>
    </row>
    <row r="223" spans="1:12">
      <c r="A223" s="2834"/>
      <c r="B223" s="4028"/>
      <c r="C223" s="4029"/>
      <c r="D223" s="4028"/>
      <c r="E223" s="4028"/>
      <c r="F223" s="4028"/>
      <c r="G223" s="4028"/>
      <c r="H223" s="4028"/>
      <c r="I223" s="4028"/>
      <c r="J223" s="4028"/>
      <c r="K223" s="4028"/>
      <c r="L223" s="2834"/>
    </row>
    <row r="224" spans="1:12">
      <c r="A224" s="2834"/>
      <c r="B224" s="4028"/>
      <c r="C224" s="4029"/>
      <c r="D224" s="4028"/>
      <c r="E224" s="4028"/>
      <c r="F224" s="4028"/>
      <c r="G224" s="4028"/>
      <c r="H224" s="4028"/>
      <c r="I224" s="4028"/>
      <c r="J224" s="4028"/>
      <c r="K224" s="4028"/>
      <c r="L224" s="2834"/>
    </row>
  </sheetData>
  <mergeCells count="5">
    <mergeCell ref="B1:K1"/>
    <mergeCell ref="J6:J11"/>
    <mergeCell ref="K6:K11"/>
    <mergeCell ref="D7:F7"/>
    <mergeCell ref="G7:G11"/>
  </mergeCells>
  <pageMargins left="0.7" right="0.7" top="0.75" bottom="0.75" header="0.3" footer="0.3"/>
  <pageSetup scale="72" orientation="portrait" r:id="rId1"/>
</worksheet>
</file>

<file path=xl/worksheets/sheet44.xml><?xml version="1.0" encoding="utf-8"?>
<worksheet xmlns="http://schemas.openxmlformats.org/spreadsheetml/2006/main" xmlns:r="http://schemas.openxmlformats.org/officeDocument/2006/relationships">
  <dimension ref="A1:M226"/>
  <sheetViews>
    <sheetView zoomScale="70" zoomScaleNormal="70" workbookViewId="0">
      <pane xSplit="2" ySplit="10" topLeftCell="C11" activePane="bottomRight" state="frozen"/>
      <selection activeCell="O92" sqref="O92"/>
      <selection pane="topRight" activeCell="O92" sqref="O92"/>
      <selection pane="bottomLeft" activeCell="O92" sqref="O92"/>
      <selection pane="bottomRight" activeCell="N219" sqref="N219"/>
    </sheetView>
  </sheetViews>
  <sheetFormatPr defaultRowHeight="12.75"/>
  <cols>
    <col min="2" max="2" width="10" bestFit="1" customWidth="1"/>
    <col min="3" max="3" width="14.85546875" style="663" customWidth="1"/>
    <col min="4" max="4" width="13.7109375" style="663" customWidth="1"/>
    <col min="5" max="5" width="14.140625" style="663" customWidth="1"/>
    <col min="6" max="6" width="12.140625" style="663" customWidth="1"/>
    <col min="7" max="7" width="11.5703125" style="663" customWidth="1"/>
    <col min="8" max="8" width="9.42578125" style="663" customWidth="1"/>
    <col min="9" max="9" width="11.7109375" style="663" customWidth="1"/>
    <col min="10" max="10" width="10.28515625" style="663" customWidth="1"/>
    <col min="11" max="11" width="12.140625" style="663" customWidth="1"/>
    <col min="12" max="12" width="12" style="663" customWidth="1"/>
    <col min="13" max="13" width="13" customWidth="1"/>
  </cols>
  <sheetData>
    <row r="1" spans="1:13" ht="18">
      <c r="A1" s="2142"/>
      <c r="B1" s="4699" t="s">
        <v>2082</v>
      </c>
      <c r="C1" s="4699"/>
      <c r="D1" s="4699"/>
      <c r="E1" s="4699"/>
      <c r="F1" s="4699"/>
      <c r="G1" s="4699"/>
      <c r="H1" s="4699"/>
      <c r="I1" s="4699"/>
      <c r="J1" s="4699"/>
      <c r="K1" s="4699"/>
      <c r="L1" s="4699"/>
      <c r="M1" s="2571"/>
    </row>
    <row r="2" spans="1:13" ht="16.5">
      <c r="A2" s="2142"/>
      <c r="B2" s="3152" t="s">
        <v>1757</v>
      </c>
      <c r="C2" s="2344"/>
      <c r="D2" s="2344"/>
      <c r="E2" s="2344"/>
      <c r="F2" s="2344"/>
      <c r="G2" s="2344"/>
      <c r="H2" s="2344"/>
      <c r="I2" s="2344"/>
      <c r="J2" s="2344"/>
      <c r="K2" s="2344"/>
      <c r="L2" s="2344"/>
      <c r="M2" s="2571"/>
    </row>
    <row r="3" spans="1:13" ht="16.5">
      <c r="A3" s="2142"/>
      <c r="B3" s="2146"/>
      <c r="C3" s="2348"/>
      <c r="D3" s="2349"/>
      <c r="E3" s="2349"/>
      <c r="F3" s="2349"/>
      <c r="G3" s="2349"/>
      <c r="H3" s="2349"/>
      <c r="I3" s="2349"/>
      <c r="J3" s="2349"/>
      <c r="K3" s="2349"/>
      <c r="L3" s="2151"/>
      <c r="M3" s="2571"/>
    </row>
    <row r="4" spans="1:13" ht="16.5">
      <c r="A4" s="2142"/>
      <c r="B4" s="2147"/>
      <c r="C4" s="2156" t="s">
        <v>188</v>
      </c>
      <c r="D4" s="2344"/>
      <c r="E4" s="2344"/>
      <c r="F4" s="2344"/>
      <c r="G4" s="2344"/>
      <c r="H4" s="2344"/>
      <c r="I4" s="2344"/>
      <c r="J4" s="2344"/>
      <c r="K4" s="2344"/>
      <c r="L4" s="2350"/>
      <c r="M4" s="2571"/>
    </row>
    <row r="5" spans="1:13" ht="16.5">
      <c r="A5" s="2142"/>
      <c r="B5" s="2147"/>
      <c r="C5" s="2148"/>
      <c r="D5" s="2152" t="s">
        <v>142</v>
      </c>
      <c r="E5" s="2151"/>
      <c r="F5" s="2152"/>
      <c r="G5" s="2349"/>
      <c r="H5" s="2151"/>
      <c r="I5" s="2148"/>
      <c r="J5" s="4691" t="s">
        <v>1595</v>
      </c>
      <c r="K5" s="2152"/>
      <c r="L5" s="2148"/>
      <c r="M5" s="2571"/>
    </row>
    <row r="6" spans="1:13" ht="16.5">
      <c r="A6" s="2142"/>
      <c r="B6" s="2147"/>
      <c r="C6" s="2148" t="s">
        <v>142</v>
      </c>
      <c r="D6" s="4694" t="s">
        <v>792</v>
      </c>
      <c r="E6" s="4695"/>
      <c r="F6" s="4694" t="s">
        <v>432</v>
      </c>
      <c r="G6" s="4696"/>
      <c r="H6" s="4695"/>
      <c r="I6" s="2148"/>
      <c r="J6" s="4692"/>
      <c r="K6" s="2152"/>
      <c r="L6" s="2148"/>
      <c r="M6" s="2571"/>
    </row>
    <row r="7" spans="1:13" ht="16.5">
      <c r="A7" s="2142"/>
      <c r="B7" s="2148"/>
      <c r="C7" s="2148"/>
      <c r="D7" s="2149"/>
      <c r="E7" s="2150" t="s">
        <v>1511</v>
      </c>
      <c r="F7" s="2151"/>
      <c r="G7" s="2148"/>
      <c r="H7" s="2148"/>
      <c r="I7" s="2148"/>
      <c r="J7" s="4692"/>
      <c r="K7" s="2152"/>
      <c r="L7" s="2148"/>
      <c r="M7" s="2571"/>
    </row>
    <row r="8" spans="1:13" ht="16.5">
      <c r="A8" s="2142"/>
      <c r="B8" s="2148"/>
      <c r="C8" s="2148"/>
      <c r="D8" s="2153"/>
      <c r="E8" s="2154" t="s">
        <v>179</v>
      </c>
      <c r="F8" s="2155"/>
      <c r="G8" s="2148"/>
      <c r="H8" s="2148"/>
      <c r="I8" s="2148"/>
      <c r="J8" s="4692"/>
      <c r="K8" s="2152"/>
      <c r="L8" s="2148" t="s">
        <v>189</v>
      </c>
      <c r="M8" s="2571"/>
    </row>
    <row r="9" spans="1:13" ht="16.5">
      <c r="A9" s="2142"/>
      <c r="B9" s="2148" t="s">
        <v>175</v>
      </c>
      <c r="C9" s="2148" t="s">
        <v>142</v>
      </c>
      <c r="D9" s="2153"/>
      <c r="E9" s="2155" t="s">
        <v>190</v>
      </c>
      <c r="F9" s="2148"/>
      <c r="G9" s="2148"/>
      <c r="H9" s="2148"/>
      <c r="I9" s="2148" t="s">
        <v>177</v>
      </c>
      <c r="J9" s="4692"/>
      <c r="K9" s="2152" t="s">
        <v>435</v>
      </c>
      <c r="L9" s="2148" t="s">
        <v>191</v>
      </c>
      <c r="M9" s="2571"/>
    </row>
    <row r="10" spans="1:13" ht="16.5">
      <c r="A10" s="2142"/>
      <c r="B10" s="2197" t="s">
        <v>140</v>
      </c>
      <c r="C10" s="2402" t="s">
        <v>152</v>
      </c>
      <c r="D10" s="2197" t="s">
        <v>152</v>
      </c>
      <c r="E10" s="2197" t="s">
        <v>187</v>
      </c>
      <c r="F10" s="2197" t="s">
        <v>152</v>
      </c>
      <c r="G10" s="2197" t="s">
        <v>141</v>
      </c>
      <c r="H10" s="2197" t="s">
        <v>431</v>
      </c>
      <c r="I10" s="2197" t="s">
        <v>192</v>
      </c>
      <c r="J10" s="4693"/>
      <c r="K10" s="2156" t="s">
        <v>1596</v>
      </c>
      <c r="L10" s="2197" t="s">
        <v>1597</v>
      </c>
      <c r="M10" s="2571"/>
    </row>
    <row r="11" spans="1:13" ht="16.5" hidden="1">
      <c r="A11" s="2142"/>
      <c r="B11" s="3037">
        <v>2000</v>
      </c>
      <c r="C11" s="3001"/>
      <c r="D11" s="2144"/>
      <c r="E11" s="2157"/>
      <c r="F11" s="2157"/>
      <c r="G11" s="2144"/>
      <c r="H11" s="2144"/>
      <c r="I11" s="2157"/>
      <c r="J11" s="2157"/>
      <c r="K11" s="2158"/>
      <c r="L11" s="2157"/>
      <c r="M11" s="2571"/>
    </row>
    <row r="12" spans="1:13" ht="16.5" hidden="1">
      <c r="A12" s="2142"/>
      <c r="B12" s="3538" t="s">
        <v>161</v>
      </c>
      <c r="C12" s="3001">
        <v>10182.540000000001</v>
      </c>
      <c r="D12" s="2144">
        <v>5021.41</v>
      </c>
      <c r="E12" s="2157">
        <v>975.65</v>
      </c>
      <c r="F12" s="2157">
        <v>0</v>
      </c>
      <c r="G12" s="2144">
        <v>0</v>
      </c>
      <c r="H12" s="2144">
        <v>0</v>
      </c>
      <c r="I12" s="2157">
        <v>1301.9100000000001</v>
      </c>
      <c r="J12" s="2157">
        <v>486.51</v>
      </c>
      <c r="K12" s="2158">
        <v>195.34</v>
      </c>
      <c r="L12" s="2157">
        <v>3177.37</v>
      </c>
      <c r="M12" s="2571"/>
    </row>
    <row r="13" spans="1:13" ht="16.5" hidden="1">
      <c r="A13" s="2142"/>
      <c r="B13" s="3538" t="s">
        <v>162</v>
      </c>
      <c r="C13" s="3001">
        <v>10407.030000000001</v>
      </c>
      <c r="D13" s="2144">
        <v>4982.66</v>
      </c>
      <c r="E13" s="2157">
        <v>977.52</v>
      </c>
      <c r="F13" s="2157">
        <v>0</v>
      </c>
      <c r="G13" s="2144">
        <v>0</v>
      </c>
      <c r="H13" s="2144">
        <v>0</v>
      </c>
      <c r="I13" s="2157">
        <v>1529.64</v>
      </c>
      <c r="J13" s="2157">
        <v>510</v>
      </c>
      <c r="K13" s="2158">
        <v>217.81</v>
      </c>
      <c r="L13" s="2157">
        <v>3166.92</v>
      </c>
      <c r="M13" s="2571"/>
    </row>
    <row r="14" spans="1:13" ht="16.5" hidden="1">
      <c r="A14" s="2142"/>
      <c r="B14" s="3538" t="s">
        <v>163</v>
      </c>
      <c r="C14" s="3001">
        <v>10349.929999999998</v>
      </c>
      <c r="D14" s="2144">
        <v>5027.41</v>
      </c>
      <c r="E14" s="2157">
        <v>1040.68</v>
      </c>
      <c r="F14" s="2157">
        <v>0</v>
      </c>
      <c r="G14" s="2144">
        <v>0</v>
      </c>
      <c r="H14" s="2144">
        <v>0</v>
      </c>
      <c r="I14" s="2157">
        <v>1420.81</v>
      </c>
      <c r="J14" s="2157">
        <v>510</v>
      </c>
      <c r="K14" s="2158">
        <v>241.24</v>
      </c>
      <c r="L14" s="2157">
        <v>3150.47</v>
      </c>
      <c r="M14" s="2571"/>
    </row>
    <row r="15" spans="1:13" ht="16.5" hidden="1">
      <c r="A15" s="2142"/>
      <c r="B15" s="3538" t="s">
        <v>164</v>
      </c>
      <c r="C15" s="3001">
        <v>10221.280000000001</v>
      </c>
      <c r="D15" s="2157">
        <v>4871.5200000000004</v>
      </c>
      <c r="E15" s="2157">
        <v>991.28</v>
      </c>
      <c r="F15" s="2157">
        <v>0</v>
      </c>
      <c r="G15" s="2144">
        <v>0</v>
      </c>
      <c r="H15" s="2144">
        <v>0</v>
      </c>
      <c r="I15" s="2157">
        <v>1449.31</v>
      </c>
      <c r="J15" s="2157">
        <v>510</v>
      </c>
      <c r="K15" s="2158">
        <v>253.13</v>
      </c>
      <c r="L15" s="2157">
        <v>3137.32</v>
      </c>
      <c r="M15" s="2571"/>
    </row>
    <row r="16" spans="1:13" ht="16.5" hidden="1">
      <c r="A16" s="2142"/>
      <c r="B16" s="3538" t="s">
        <v>165</v>
      </c>
      <c r="C16" s="3001">
        <v>9970.77</v>
      </c>
      <c r="D16" s="2157">
        <v>4918.6899999999996</v>
      </c>
      <c r="E16" s="2157">
        <v>1022.7</v>
      </c>
      <c r="F16" s="2157">
        <v>0</v>
      </c>
      <c r="G16" s="2144">
        <v>0</v>
      </c>
      <c r="H16" s="2144">
        <v>0</v>
      </c>
      <c r="I16" s="2157">
        <v>1029.8800000000001</v>
      </c>
      <c r="J16" s="2157">
        <v>510</v>
      </c>
      <c r="K16" s="2158">
        <v>326.26</v>
      </c>
      <c r="L16" s="2157">
        <v>3185.94</v>
      </c>
      <c r="M16" s="2571"/>
    </row>
    <row r="17" spans="1:13" ht="16.5" hidden="1">
      <c r="A17" s="2142"/>
      <c r="B17" s="3539" t="s">
        <v>166</v>
      </c>
      <c r="C17" s="3001">
        <v>9577.2900000000009</v>
      </c>
      <c r="D17" s="2157">
        <v>4950.93</v>
      </c>
      <c r="E17" s="2157">
        <v>1119.3900000000001</v>
      </c>
      <c r="F17" s="2157">
        <v>0</v>
      </c>
      <c r="G17" s="2157">
        <v>0</v>
      </c>
      <c r="H17" s="2157">
        <v>0</v>
      </c>
      <c r="I17" s="2157">
        <v>462.19</v>
      </c>
      <c r="J17" s="2157">
        <v>510</v>
      </c>
      <c r="K17" s="2158">
        <v>361.56</v>
      </c>
      <c r="L17" s="2157">
        <v>3292.61</v>
      </c>
      <c r="M17" s="2571"/>
    </row>
    <row r="18" spans="1:13" ht="16.5" hidden="1">
      <c r="A18" s="2142"/>
      <c r="B18" s="3539" t="s">
        <v>167</v>
      </c>
      <c r="C18" s="3001">
        <v>9989.73</v>
      </c>
      <c r="D18" s="2157">
        <v>5091.3</v>
      </c>
      <c r="E18" s="2157">
        <v>1086.93</v>
      </c>
      <c r="F18" s="2157">
        <v>0</v>
      </c>
      <c r="G18" s="2157">
        <v>0</v>
      </c>
      <c r="H18" s="2157">
        <v>0</v>
      </c>
      <c r="I18" s="2157">
        <v>777.54</v>
      </c>
      <c r="J18" s="2157">
        <v>480</v>
      </c>
      <c r="K18" s="2158">
        <v>376.93</v>
      </c>
      <c r="L18" s="2157">
        <v>3263.96</v>
      </c>
      <c r="M18" s="2571"/>
    </row>
    <row r="19" spans="1:13" ht="16.5" hidden="1">
      <c r="A19" s="2142"/>
      <c r="B19" s="3539" t="s">
        <v>168</v>
      </c>
      <c r="C19" s="3001">
        <v>10172.76</v>
      </c>
      <c r="D19" s="2157">
        <v>5271.54</v>
      </c>
      <c r="E19" s="2157">
        <v>1121.72</v>
      </c>
      <c r="F19" s="2157">
        <v>0</v>
      </c>
      <c r="G19" s="2157">
        <v>0</v>
      </c>
      <c r="H19" s="2157">
        <v>0</v>
      </c>
      <c r="I19" s="2157">
        <v>558.08000000000004</v>
      </c>
      <c r="J19" s="2157">
        <v>480</v>
      </c>
      <c r="K19" s="2158">
        <v>396.6</v>
      </c>
      <c r="L19" s="2157">
        <v>3466.54</v>
      </c>
      <c r="M19" s="2571"/>
    </row>
    <row r="20" spans="1:13" ht="16.5" hidden="1">
      <c r="A20" s="2142"/>
      <c r="B20" s="3539" t="s">
        <v>183</v>
      </c>
      <c r="C20" s="3001">
        <v>10470.98</v>
      </c>
      <c r="D20" s="2157">
        <v>5458.44</v>
      </c>
      <c r="E20" s="2157">
        <v>1205.1500000000001</v>
      </c>
      <c r="F20" s="2157">
        <v>0</v>
      </c>
      <c r="G20" s="2157">
        <v>0</v>
      </c>
      <c r="H20" s="2157">
        <v>0</v>
      </c>
      <c r="I20" s="2157">
        <v>670.51</v>
      </c>
      <c r="J20" s="2157">
        <v>410</v>
      </c>
      <c r="K20" s="2158">
        <v>400.07</v>
      </c>
      <c r="L20" s="2157">
        <v>3531.96</v>
      </c>
      <c r="M20" s="2571"/>
    </row>
    <row r="21" spans="1:13" ht="16.5" hidden="1">
      <c r="A21" s="2142"/>
      <c r="B21" s="3539" t="s">
        <v>170</v>
      </c>
      <c r="C21" s="3001">
        <v>11049.599999999999</v>
      </c>
      <c r="D21" s="2145">
        <v>5760.4</v>
      </c>
      <c r="E21" s="2145">
        <v>1384.6</v>
      </c>
      <c r="F21" s="2157">
        <v>0</v>
      </c>
      <c r="G21" s="2157">
        <v>0</v>
      </c>
      <c r="H21" s="2157">
        <v>0</v>
      </c>
      <c r="I21" s="2145">
        <v>1122</v>
      </c>
      <c r="J21" s="2157">
        <v>410</v>
      </c>
      <c r="K21" s="2159">
        <v>128.69999999999999</v>
      </c>
      <c r="L21" s="2145">
        <v>3628.5</v>
      </c>
      <c r="M21" s="2571"/>
    </row>
    <row r="22" spans="1:13" ht="16.5" hidden="1">
      <c r="A22" s="2142"/>
      <c r="B22" s="3539" t="s">
        <v>171</v>
      </c>
      <c r="C22" s="3001">
        <v>11791.5</v>
      </c>
      <c r="D22" s="2145">
        <v>6206.3</v>
      </c>
      <c r="E22" s="2145">
        <v>1208.7</v>
      </c>
      <c r="F22" s="2157">
        <v>0</v>
      </c>
      <c r="G22" s="2157">
        <v>0</v>
      </c>
      <c r="H22" s="2157">
        <v>0</v>
      </c>
      <c r="I22" s="2144">
        <v>1342.1</v>
      </c>
      <c r="J22" s="2157">
        <v>410</v>
      </c>
      <c r="K22" s="2158">
        <v>204.7</v>
      </c>
      <c r="L22" s="2157">
        <v>3628.4</v>
      </c>
      <c r="M22" s="2571"/>
    </row>
    <row r="23" spans="1:13" ht="16.5" hidden="1">
      <c r="A23" s="2143"/>
      <c r="B23" s="3037">
        <v>2000</v>
      </c>
      <c r="C23" s="3001">
        <v>11253.900000000001</v>
      </c>
      <c r="D23" s="2157">
        <v>6021.6</v>
      </c>
      <c r="E23" s="2157">
        <v>1269.5999999999999</v>
      </c>
      <c r="F23" s="2157">
        <v>0</v>
      </c>
      <c r="G23" s="2157">
        <v>0</v>
      </c>
      <c r="H23" s="2157">
        <v>0</v>
      </c>
      <c r="I23" s="2157">
        <v>918.2</v>
      </c>
      <c r="J23" s="2157">
        <v>410</v>
      </c>
      <c r="K23" s="2158">
        <v>220.6</v>
      </c>
      <c r="L23" s="2157">
        <v>3683.5</v>
      </c>
      <c r="M23" s="2571"/>
    </row>
    <row r="24" spans="1:13" ht="16.5" hidden="1">
      <c r="A24" s="2142"/>
      <c r="B24" s="3038">
        <v>2001</v>
      </c>
      <c r="C24" s="3001"/>
      <c r="D24" s="2145"/>
      <c r="E24" s="2145"/>
      <c r="F24" s="2157"/>
      <c r="G24" s="2145"/>
      <c r="H24" s="2145"/>
      <c r="I24" s="2145"/>
      <c r="J24" s="2145"/>
      <c r="K24" s="2159"/>
      <c r="L24" s="2145"/>
      <c r="M24" s="2571"/>
    </row>
    <row r="25" spans="1:13" ht="16.5" hidden="1">
      <c r="A25" s="2142"/>
      <c r="B25" s="3539" t="s">
        <v>161</v>
      </c>
      <c r="C25" s="3001">
        <v>10556.76</v>
      </c>
      <c r="D25" s="2157">
        <v>5277.92</v>
      </c>
      <c r="E25" s="2157">
        <v>1276.1199999999999</v>
      </c>
      <c r="F25" s="2157">
        <v>0</v>
      </c>
      <c r="G25" s="2157">
        <v>0</v>
      </c>
      <c r="H25" s="2157">
        <v>0</v>
      </c>
      <c r="I25" s="2157">
        <v>1022.59</v>
      </c>
      <c r="J25" s="2157">
        <v>410</v>
      </c>
      <c r="K25" s="2158">
        <v>241.8</v>
      </c>
      <c r="L25" s="2157">
        <v>3604.45</v>
      </c>
      <c r="M25" s="2571"/>
    </row>
    <row r="26" spans="1:13" ht="16.5" hidden="1">
      <c r="A26" s="2142"/>
      <c r="B26" s="3539" t="s">
        <v>162</v>
      </c>
      <c r="C26" s="3001">
        <v>9987.7999999999993</v>
      </c>
      <c r="D26" s="2157">
        <v>4872.5200000000004</v>
      </c>
      <c r="E26" s="2157">
        <v>1318.54</v>
      </c>
      <c r="F26" s="2157">
        <v>0</v>
      </c>
      <c r="G26" s="2157">
        <v>0</v>
      </c>
      <c r="H26" s="2157">
        <v>0</v>
      </c>
      <c r="I26" s="2157">
        <v>827.36</v>
      </c>
      <c r="J26" s="2157">
        <v>410</v>
      </c>
      <c r="K26" s="2158">
        <v>264.5</v>
      </c>
      <c r="L26" s="2157">
        <v>3613.42</v>
      </c>
      <c r="M26" s="2571"/>
    </row>
    <row r="27" spans="1:13" ht="16.5" hidden="1">
      <c r="A27" s="2142"/>
      <c r="B27" s="3539" t="s">
        <v>163</v>
      </c>
      <c r="C27" s="3001">
        <v>9608.64</v>
      </c>
      <c r="D27" s="2157">
        <v>4572.1499999999996</v>
      </c>
      <c r="E27" s="2157">
        <v>1346.36</v>
      </c>
      <c r="F27" s="2157">
        <v>0</v>
      </c>
      <c r="G27" s="2157">
        <v>0</v>
      </c>
      <c r="H27" s="2157">
        <v>0</v>
      </c>
      <c r="I27" s="2157">
        <v>713.78</v>
      </c>
      <c r="J27" s="2157">
        <v>410</v>
      </c>
      <c r="K27" s="2158">
        <v>326.32</v>
      </c>
      <c r="L27" s="2157">
        <v>3586.39</v>
      </c>
      <c r="M27" s="2571"/>
    </row>
    <row r="28" spans="1:13" ht="16.5" hidden="1">
      <c r="A28" s="2142"/>
      <c r="B28" s="3539" t="s">
        <v>164</v>
      </c>
      <c r="C28" s="3001">
        <v>9221.64</v>
      </c>
      <c r="D28" s="2157">
        <v>4598.83</v>
      </c>
      <c r="E28" s="2157">
        <v>1346.77</v>
      </c>
      <c r="F28" s="2157">
        <v>0</v>
      </c>
      <c r="G28" s="2157">
        <v>0</v>
      </c>
      <c r="H28" s="2157">
        <v>0</v>
      </c>
      <c r="I28" s="2157">
        <v>229.99</v>
      </c>
      <c r="J28" s="2157">
        <v>410</v>
      </c>
      <c r="K28" s="2158">
        <v>348.26</v>
      </c>
      <c r="L28" s="2157">
        <v>3634.56</v>
      </c>
      <c r="M28" s="2571"/>
    </row>
    <row r="29" spans="1:13" ht="16.5" hidden="1">
      <c r="A29" s="2142"/>
      <c r="B29" s="3538" t="s">
        <v>165</v>
      </c>
      <c r="C29" s="3001">
        <v>9080.27</v>
      </c>
      <c r="D29" s="2145">
        <v>4553.8</v>
      </c>
      <c r="E29" s="2145">
        <v>1349.43</v>
      </c>
      <c r="F29" s="2157">
        <v>0</v>
      </c>
      <c r="G29" s="2157">
        <v>0</v>
      </c>
      <c r="H29" s="2157">
        <v>0</v>
      </c>
      <c r="I29" s="2145">
        <v>58.75</v>
      </c>
      <c r="J29" s="2157">
        <v>410</v>
      </c>
      <c r="K29" s="2159">
        <v>424.3</v>
      </c>
      <c r="L29" s="2145">
        <v>3633.42</v>
      </c>
      <c r="M29" s="2571"/>
    </row>
    <row r="30" spans="1:13" ht="16.5" hidden="1">
      <c r="A30" s="2142"/>
      <c r="B30" s="3539" t="s">
        <v>166</v>
      </c>
      <c r="C30" s="3001">
        <v>9352.7200000000012</v>
      </c>
      <c r="D30" s="2157">
        <v>4710.8500000000004</v>
      </c>
      <c r="E30" s="2157">
        <v>1483.09</v>
      </c>
      <c r="F30" s="2157">
        <v>0</v>
      </c>
      <c r="G30" s="2157">
        <v>0</v>
      </c>
      <c r="H30" s="2157">
        <v>0</v>
      </c>
      <c r="I30" s="2157">
        <v>60.5</v>
      </c>
      <c r="J30" s="2157">
        <v>410</v>
      </c>
      <c r="K30" s="2158">
        <v>449.68</v>
      </c>
      <c r="L30" s="2157">
        <v>3721.69</v>
      </c>
      <c r="M30" s="2571"/>
    </row>
    <row r="31" spans="1:13" ht="16.5" hidden="1">
      <c r="A31" s="2142"/>
      <c r="B31" s="3539" t="s">
        <v>167</v>
      </c>
      <c r="C31" s="3001">
        <v>9418.5300000000007</v>
      </c>
      <c r="D31" s="2157">
        <v>4908.59</v>
      </c>
      <c r="E31" s="2157">
        <v>1432.59</v>
      </c>
      <c r="F31" s="2157">
        <v>0</v>
      </c>
      <c r="G31" s="2157">
        <v>0</v>
      </c>
      <c r="H31" s="2157">
        <v>0</v>
      </c>
      <c r="I31" s="2157">
        <v>60.5</v>
      </c>
      <c r="J31" s="2157">
        <v>260</v>
      </c>
      <c r="K31" s="2158">
        <v>459.84</v>
      </c>
      <c r="L31" s="2157">
        <v>3729.6</v>
      </c>
      <c r="M31" s="2571"/>
    </row>
    <row r="32" spans="1:13" ht="16.5" hidden="1">
      <c r="A32" s="2142"/>
      <c r="B32" s="3539" t="s">
        <v>168</v>
      </c>
      <c r="C32" s="3001">
        <v>9734.130000000001</v>
      </c>
      <c r="D32" s="2157">
        <v>5033.5600000000004</v>
      </c>
      <c r="E32" s="2157">
        <v>1408.25</v>
      </c>
      <c r="F32" s="2157">
        <v>0</v>
      </c>
      <c r="G32" s="2157">
        <v>0</v>
      </c>
      <c r="H32" s="2157">
        <v>0</v>
      </c>
      <c r="I32" s="2157">
        <v>60.5</v>
      </c>
      <c r="J32" s="2157">
        <v>410</v>
      </c>
      <c r="K32" s="2158">
        <v>455.51</v>
      </c>
      <c r="L32" s="2157">
        <v>3774.56</v>
      </c>
      <c r="M32" s="2571"/>
    </row>
    <row r="33" spans="1:13" ht="16.5" hidden="1">
      <c r="A33" s="2143"/>
      <c r="B33" s="3539" t="s">
        <v>169</v>
      </c>
      <c r="C33" s="3001">
        <v>9952.619999999999</v>
      </c>
      <c r="D33" s="2157">
        <v>5090.62</v>
      </c>
      <c r="E33" s="2157">
        <v>1407.53</v>
      </c>
      <c r="F33" s="2157">
        <v>0</v>
      </c>
      <c r="G33" s="2157">
        <v>0</v>
      </c>
      <c r="H33" s="2157">
        <v>0</v>
      </c>
      <c r="I33" s="2157">
        <v>60.5</v>
      </c>
      <c r="J33" s="2157">
        <v>410</v>
      </c>
      <c r="K33" s="2158">
        <v>459.9</v>
      </c>
      <c r="L33" s="2157">
        <v>3931.6</v>
      </c>
      <c r="M33" s="2571"/>
    </row>
    <row r="34" spans="1:13" ht="16.5" hidden="1">
      <c r="A34" s="2142"/>
      <c r="B34" s="3539" t="s">
        <v>170</v>
      </c>
      <c r="C34" s="3001">
        <v>10212.57</v>
      </c>
      <c r="D34" s="2157">
        <v>5499.89</v>
      </c>
      <c r="E34" s="2157">
        <v>1441.23</v>
      </c>
      <c r="F34" s="2157">
        <v>0</v>
      </c>
      <c r="G34" s="2157">
        <v>0</v>
      </c>
      <c r="H34" s="2157">
        <v>0</v>
      </c>
      <c r="I34" s="2157">
        <v>272.74</v>
      </c>
      <c r="J34" s="2157">
        <v>410</v>
      </c>
      <c r="K34" s="2158">
        <v>109.98</v>
      </c>
      <c r="L34" s="2157">
        <v>3919.96</v>
      </c>
      <c r="M34" s="2571"/>
    </row>
    <row r="35" spans="1:13" ht="16.5" hidden="1">
      <c r="A35" s="2142"/>
      <c r="B35" s="3539" t="s">
        <v>171</v>
      </c>
      <c r="C35" s="3001">
        <v>10604.82</v>
      </c>
      <c r="D35" s="2145">
        <v>5715.18</v>
      </c>
      <c r="E35" s="2145">
        <v>1596.94</v>
      </c>
      <c r="F35" s="2157">
        <v>0</v>
      </c>
      <c r="G35" s="2145">
        <v>0</v>
      </c>
      <c r="H35" s="2145">
        <v>0</v>
      </c>
      <c r="I35" s="2145">
        <v>429.81</v>
      </c>
      <c r="J35" s="2145">
        <v>410</v>
      </c>
      <c r="K35" s="2159">
        <v>157.74</v>
      </c>
      <c r="L35" s="2145">
        <v>3892.09</v>
      </c>
      <c r="M35" s="2571"/>
    </row>
    <row r="36" spans="1:13" ht="16.5" hidden="1">
      <c r="A36" s="2142"/>
      <c r="B36" s="3037">
        <v>2001</v>
      </c>
      <c r="C36" s="3001">
        <v>11011.18</v>
      </c>
      <c r="D36" s="2157">
        <v>6160.68</v>
      </c>
      <c r="E36" s="2157">
        <v>1609.85</v>
      </c>
      <c r="F36" s="2157">
        <v>0</v>
      </c>
      <c r="G36" s="2157">
        <v>0</v>
      </c>
      <c r="H36" s="2157">
        <v>0</v>
      </c>
      <c r="I36" s="2157">
        <v>337.86</v>
      </c>
      <c r="J36" s="2157">
        <v>410</v>
      </c>
      <c r="K36" s="2158">
        <v>160.99</v>
      </c>
      <c r="L36" s="2157">
        <v>3941.65</v>
      </c>
      <c r="M36" s="2571"/>
    </row>
    <row r="37" spans="1:13" ht="16.5" hidden="1">
      <c r="A37" s="2142"/>
      <c r="B37" s="3039">
        <v>2002</v>
      </c>
      <c r="C37" s="3003"/>
      <c r="D37" s="2999"/>
      <c r="E37" s="2999"/>
      <c r="F37" s="2999"/>
      <c r="G37" s="2999"/>
      <c r="H37" s="2999"/>
      <c r="I37" s="2999"/>
      <c r="J37" s="2999"/>
      <c r="K37" s="2999"/>
      <c r="L37" s="2999"/>
      <c r="M37" s="2571"/>
    </row>
    <row r="38" spans="1:13" ht="16.5" hidden="1">
      <c r="A38" s="2142"/>
      <c r="B38" s="3040" t="s">
        <v>161</v>
      </c>
      <c r="C38" s="3003">
        <v>11437.62</v>
      </c>
      <c r="D38" s="2999">
        <v>6460.6</v>
      </c>
      <c r="E38" s="2999">
        <v>1623.71</v>
      </c>
      <c r="F38" s="2999">
        <v>0</v>
      </c>
      <c r="G38" s="2999">
        <v>0</v>
      </c>
      <c r="H38" s="2999">
        <v>0</v>
      </c>
      <c r="I38" s="2999">
        <v>464.38</v>
      </c>
      <c r="J38" s="2999">
        <v>910</v>
      </c>
      <c r="K38" s="2999">
        <v>152.80000000000001</v>
      </c>
      <c r="L38" s="2999">
        <v>3449.84</v>
      </c>
      <c r="M38" s="2571"/>
    </row>
    <row r="39" spans="1:13" ht="16.5" hidden="1">
      <c r="A39" s="2142"/>
      <c r="B39" s="3040" t="s">
        <v>162</v>
      </c>
      <c r="C39" s="3003">
        <v>10854.19</v>
      </c>
      <c r="D39" s="2999">
        <v>6003.05</v>
      </c>
      <c r="E39" s="2999">
        <v>1615.46</v>
      </c>
      <c r="F39" s="2999">
        <v>0</v>
      </c>
      <c r="G39" s="2999">
        <v>0</v>
      </c>
      <c r="H39" s="2999">
        <v>0</v>
      </c>
      <c r="I39" s="2999">
        <v>256.83999999999997</v>
      </c>
      <c r="J39" s="2999">
        <v>910</v>
      </c>
      <c r="K39" s="2999">
        <v>164.11</v>
      </c>
      <c r="L39" s="2999">
        <v>3520.19</v>
      </c>
      <c r="M39" s="2571"/>
    </row>
    <row r="40" spans="1:13" ht="16.5" hidden="1">
      <c r="A40" s="2142"/>
      <c r="B40" s="3040" t="s">
        <v>163</v>
      </c>
      <c r="C40" s="3003">
        <v>11112.95</v>
      </c>
      <c r="D40" s="2999">
        <v>6420.31</v>
      </c>
      <c r="E40" s="2999">
        <v>1614.65</v>
      </c>
      <c r="F40" s="2999">
        <v>0</v>
      </c>
      <c r="G40" s="2999">
        <v>0</v>
      </c>
      <c r="H40" s="2999">
        <v>0</v>
      </c>
      <c r="I40" s="2999">
        <v>90.67</v>
      </c>
      <c r="J40" s="2999">
        <v>910</v>
      </c>
      <c r="K40" s="2999">
        <v>164.89</v>
      </c>
      <c r="L40" s="2999">
        <v>3527.08</v>
      </c>
      <c r="M40" s="2571"/>
    </row>
    <row r="41" spans="1:13" ht="16.5" hidden="1">
      <c r="A41" s="2142"/>
      <c r="B41" s="3040" t="s">
        <v>164</v>
      </c>
      <c r="C41" s="3003">
        <v>11838.929999999998</v>
      </c>
      <c r="D41" s="2999">
        <v>6636.9</v>
      </c>
      <c r="E41" s="2999">
        <v>1494.23</v>
      </c>
      <c r="F41" s="2999">
        <v>0</v>
      </c>
      <c r="G41" s="2999">
        <v>0</v>
      </c>
      <c r="H41" s="2999">
        <v>0</v>
      </c>
      <c r="I41" s="2999">
        <v>534</v>
      </c>
      <c r="J41" s="2999">
        <v>910</v>
      </c>
      <c r="K41" s="2999">
        <v>168.38</v>
      </c>
      <c r="L41" s="2999">
        <v>3589.65</v>
      </c>
      <c r="M41" s="2571"/>
    </row>
    <row r="42" spans="1:13" ht="16.5" hidden="1">
      <c r="A42" s="2142"/>
      <c r="B42" s="3040" t="s">
        <v>165</v>
      </c>
      <c r="C42" s="3003">
        <v>10718.789999999999</v>
      </c>
      <c r="D42" s="2999">
        <v>5871.94</v>
      </c>
      <c r="E42" s="2999">
        <v>1512.41</v>
      </c>
      <c r="F42" s="2999">
        <v>0</v>
      </c>
      <c r="G42" s="2999">
        <v>0</v>
      </c>
      <c r="H42" s="2999">
        <v>0</v>
      </c>
      <c r="I42" s="2999">
        <v>99.07</v>
      </c>
      <c r="J42" s="2999">
        <v>910</v>
      </c>
      <c r="K42" s="2999">
        <v>210.91</v>
      </c>
      <c r="L42" s="2999">
        <v>3626.87</v>
      </c>
      <c r="M42" s="2571"/>
    </row>
    <row r="43" spans="1:13" ht="16.5" hidden="1">
      <c r="A43" s="2142"/>
      <c r="B43" s="3040" t="s">
        <v>166</v>
      </c>
      <c r="C43" s="3003">
        <v>11006.24</v>
      </c>
      <c r="D43" s="2999">
        <v>6022.99</v>
      </c>
      <c r="E43" s="2999">
        <v>1600.19</v>
      </c>
      <c r="F43" s="2999">
        <v>0</v>
      </c>
      <c r="G43" s="2999">
        <v>0</v>
      </c>
      <c r="H43" s="2999">
        <v>0</v>
      </c>
      <c r="I43" s="2999">
        <v>114.44</v>
      </c>
      <c r="J43" s="2999">
        <v>910</v>
      </c>
      <c r="K43" s="2999">
        <v>254.12</v>
      </c>
      <c r="L43" s="2999">
        <v>3704.69</v>
      </c>
      <c r="M43" s="2571"/>
    </row>
    <row r="44" spans="1:13" ht="16.5" hidden="1">
      <c r="A44" s="2142"/>
      <c r="B44" s="3041" t="s">
        <v>167</v>
      </c>
      <c r="C44" s="3005">
        <v>11233.14</v>
      </c>
      <c r="D44" s="3004">
        <v>6217.21</v>
      </c>
      <c r="E44" s="3004">
        <v>1583.55</v>
      </c>
      <c r="F44" s="2999">
        <v>0</v>
      </c>
      <c r="G44" s="2999">
        <v>0</v>
      </c>
      <c r="H44" s="2999">
        <v>0</v>
      </c>
      <c r="I44" s="3004">
        <v>170.25</v>
      </c>
      <c r="J44" s="3004">
        <v>925</v>
      </c>
      <c r="K44" s="3004">
        <v>253.33</v>
      </c>
      <c r="L44" s="3004">
        <v>3667.35</v>
      </c>
      <c r="M44" s="2571"/>
    </row>
    <row r="45" spans="1:13" ht="16.5" hidden="1">
      <c r="A45" s="2142"/>
      <c r="B45" s="3040" t="s">
        <v>168</v>
      </c>
      <c r="C45" s="3000">
        <v>11448.44</v>
      </c>
      <c r="D45" s="2999">
        <v>6484.59</v>
      </c>
      <c r="E45" s="2999">
        <v>1538.42</v>
      </c>
      <c r="F45" s="2999">
        <v>0</v>
      </c>
      <c r="G45" s="2999">
        <v>0</v>
      </c>
      <c r="H45" s="2999">
        <v>0</v>
      </c>
      <c r="I45" s="2999">
        <v>161.66999999999999</v>
      </c>
      <c r="J45" s="3004">
        <v>925</v>
      </c>
      <c r="K45" s="2999">
        <v>216.45</v>
      </c>
      <c r="L45" s="2999">
        <v>3660.73</v>
      </c>
      <c r="M45" s="2571"/>
    </row>
    <row r="46" spans="1:13" ht="16.5" hidden="1">
      <c r="A46" s="2142"/>
      <c r="B46" s="3040" t="s">
        <v>169</v>
      </c>
      <c r="C46" s="3000">
        <v>10978.26</v>
      </c>
      <c r="D46" s="2999">
        <v>6010.92</v>
      </c>
      <c r="E46" s="2999">
        <v>1546.19</v>
      </c>
      <c r="F46" s="2999">
        <v>0</v>
      </c>
      <c r="G46" s="2999">
        <v>0</v>
      </c>
      <c r="H46" s="2999">
        <v>0</v>
      </c>
      <c r="I46" s="2999">
        <v>163.31</v>
      </c>
      <c r="J46" s="3004">
        <v>925</v>
      </c>
      <c r="K46" s="2999">
        <v>223.28</v>
      </c>
      <c r="L46" s="2999">
        <v>3655.75</v>
      </c>
      <c r="M46" s="2571"/>
    </row>
    <row r="47" spans="1:13" ht="16.5" hidden="1">
      <c r="A47" s="2142"/>
      <c r="B47" s="3040" t="s">
        <v>170</v>
      </c>
      <c r="C47" s="3000">
        <v>10994.37</v>
      </c>
      <c r="D47" s="3004">
        <v>6200.55</v>
      </c>
      <c r="E47" s="3004">
        <v>1585.69</v>
      </c>
      <c r="F47" s="2999">
        <v>0</v>
      </c>
      <c r="G47" s="3004">
        <v>0</v>
      </c>
      <c r="H47" s="3004">
        <v>0</v>
      </c>
      <c r="I47" s="3004">
        <v>140.79</v>
      </c>
      <c r="J47" s="3004">
        <v>760</v>
      </c>
      <c r="K47" s="3004">
        <v>261.89</v>
      </c>
      <c r="L47" s="3004">
        <v>3631.14</v>
      </c>
      <c r="M47" s="2571"/>
    </row>
    <row r="48" spans="1:13" ht="16.5" hidden="1">
      <c r="A48" s="2142"/>
      <c r="B48" s="3040" t="s">
        <v>171</v>
      </c>
      <c r="C48" s="3000">
        <v>11474.48</v>
      </c>
      <c r="D48" s="2999">
        <v>6652.91</v>
      </c>
      <c r="E48" s="2999">
        <v>1570.66</v>
      </c>
      <c r="F48" s="2999">
        <v>0</v>
      </c>
      <c r="G48" s="2999">
        <v>0</v>
      </c>
      <c r="H48" s="2999">
        <v>0</v>
      </c>
      <c r="I48" s="2999">
        <v>139.88999999999999</v>
      </c>
      <c r="J48" s="2999">
        <v>760</v>
      </c>
      <c r="K48" s="2999">
        <v>283.48</v>
      </c>
      <c r="L48" s="2999">
        <v>3638.2</v>
      </c>
      <c r="M48" s="2571"/>
    </row>
    <row r="49" spans="1:13" ht="16.5" hidden="1">
      <c r="A49" s="2142"/>
      <c r="B49" s="3039">
        <v>2002</v>
      </c>
      <c r="C49" s="3000">
        <v>12321.86</v>
      </c>
      <c r="D49" s="2999">
        <v>6982.08</v>
      </c>
      <c r="E49" s="3004">
        <v>1652.1</v>
      </c>
      <c r="F49" s="2999">
        <v>0</v>
      </c>
      <c r="G49" s="2999">
        <v>0</v>
      </c>
      <c r="H49" s="2999">
        <v>0</v>
      </c>
      <c r="I49" s="3004">
        <v>141.26</v>
      </c>
      <c r="J49" s="3004">
        <v>1100</v>
      </c>
      <c r="K49" s="3004">
        <v>277.82</v>
      </c>
      <c r="L49" s="3004">
        <v>3820.7</v>
      </c>
      <c r="M49" s="2571"/>
    </row>
    <row r="50" spans="1:13" ht="16.5" hidden="1">
      <c r="A50" s="2142"/>
      <c r="B50" s="3042">
        <v>2003</v>
      </c>
      <c r="C50" s="3000"/>
      <c r="D50" s="3004"/>
      <c r="E50" s="3004"/>
      <c r="F50" s="2999"/>
      <c r="G50" s="2999"/>
      <c r="H50" s="2999"/>
      <c r="I50" s="3004"/>
      <c r="J50" s="3004"/>
      <c r="K50" s="3004"/>
      <c r="L50" s="3004"/>
      <c r="M50" s="2571"/>
    </row>
    <row r="51" spans="1:13" ht="16.5" hidden="1">
      <c r="A51" s="2142"/>
      <c r="B51" s="3040" t="s">
        <v>161</v>
      </c>
      <c r="C51" s="3000">
        <v>12402.710000000001</v>
      </c>
      <c r="D51" s="3004">
        <v>6941.47</v>
      </c>
      <c r="E51" s="3004">
        <v>1651.5371685300001</v>
      </c>
      <c r="F51" s="2999">
        <v>0</v>
      </c>
      <c r="G51" s="2999">
        <v>0</v>
      </c>
      <c r="H51" s="2999">
        <v>0</v>
      </c>
      <c r="I51" s="3004">
        <v>276.27999999999997</v>
      </c>
      <c r="J51" s="3004">
        <v>1100</v>
      </c>
      <c r="K51" s="3004">
        <v>280.31</v>
      </c>
      <c r="L51" s="3004">
        <v>3804.6500000000015</v>
      </c>
      <c r="M51" s="2571"/>
    </row>
    <row r="52" spans="1:13" ht="16.5" hidden="1">
      <c r="A52" s="2142"/>
      <c r="B52" s="3040" t="s">
        <v>162</v>
      </c>
      <c r="C52" s="3000">
        <v>12208.73</v>
      </c>
      <c r="D52" s="3004">
        <v>7024.32</v>
      </c>
      <c r="E52" s="3004">
        <v>1750.19737007</v>
      </c>
      <c r="F52" s="2999">
        <v>0</v>
      </c>
      <c r="G52" s="2999">
        <v>0</v>
      </c>
      <c r="H52" s="2999">
        <v>0</v>
      </c>
      <c r="I52" s="3004">
        <v>286.41000000000003</v>
      </c>
      <c r="J52" s="3004">
        <v>1100</v>
      </c>
      <c r="K52" s="3004">
        <v>127.6</v>
      </c>
      <c r="L52" s="3004">
        <v>3670.3999999999996</v>
      </c>
      <c r="M52" s="2571"/>
    </row>
    <row r="53" spans="1:13" ht="16.5" hidden="1">
      <c r="A53" s="2142"/>
      <c r="B53" s="3040" t="s">
        <v>163</v>
      </c>
      <c r="C53" s="3000">
        <v>12190.199999999999</v>
      </c>
      <c r="D53" s="3004">
        <v>7250.56</v>
      </c>
      <c r="E53" s="3004">
        <v>1711.39276473</v>
      </c>
      <c r="F53" s="2999">
        <v>0</v>
      </c>
      <c r="G53" s="2999">
        <v>0</v>
      </c>
      <c r="H53" s="2999">
        <v>0</v>
      </c>
      <c r="I53" s="3004">
        <v>281.85000000000002</v>
      </c>
      <c r="J53" s="3004">
        <v>900</v>
      </c>
      <c r="K53" s="3004">
        <v>132.6</v>
      </c>
      <c r="L53" s="3004">
        <v>3625.1899999999987</v>
      </c>
      <c r="M53" s="2571"/>
    </row>
    <row r="54" spans="1:13" ht="16.5" hidden="1">
      <c r="A54" s="2142"/>
      <c r="B54" s="3040" t="s">
        <v>164</v>
      </c>
      <c r="C54" s="3000">
        <v>12918.23</v>
      </c>
      <c r="D54" s="3004">
        <v>8507.4599999999991</v>
      </c>
      <c r="E54" s="3004">
        <v>1613.7985066000001</v>
      </c>
      <c r="F54" s="2999">
        <v>0</v>
      </c>
      <c r="G54" s="2999">
        <v>0</v>
      </c>
      <c r="H54" s="2999">
        <v>0</v>
      </c>
      <c r="I54" s="3004">
        <v>253.51</v>
      </c>
      <c r="J54" s="3004">
        <v>400</v>
      </c>
      <c r="K54" s="3004">
        <v>146.19</v>
      </c>
      <c r="L54" s="3004">
        <v>3611.0699999999997</v>
      </c>
      <c r="M54" s="2571"/>
    </row>
    <row r="55" spans="1:13" ht="16.5" hidden="1">
      <c r="A55" s="2142"/>
      <c r="B55" s="3040" t="s">
        <v>165</v>
      </c>
      <c r="C55" s="3000">
        <v>12829.59</v>
      </c>
      <c r="D55" s="3004">
        <v>7893.42</v>
      </c>
      <c r="E55" s="3004">
        <v>1607.90494367</v>
      </c>
      <c r="F55" s="2999">
        <v>0</v>
      </c>
      <c r="G55" s="2999">
        <v>0</v>
      </c>
      <c r="H55" s="2999">
        <v>0</v>
      </c>
      <c r="I55" s="3004">
        <v>269.68</v>
      </c>
      <c r="J55" s="3004">
        <v>900</v>
      </c>
      <c r="K55" s="3004">
        <v>153.77999999999997</v>
      </c>
      <c r="L55" s="3004">
        <v>3612.7099999999991</v>
      </c>
      <c r="M55" s="2571"/>
    </row>
    <row r="56" spans="1:13" ht="16.5" hidden="1">
      <c r="A56" s="2142"/>
      <c r="B56" s="3040" t="s">
        <v>166</v>
      </c>
      <c r="C56" s="3000">
        <v>12539.119999999999</v>
      </c>
      <c r="D56" s="3004">
        <v>8008.01</v>
      </c>
      <c r="E56" s="3004">
        <v>1699.00336236</v>
      </c>
      <c r="F56" s="2999">
        <v>0</v>
      </c>
      <c r="G56" s="2999">
        <v>0</v>
      </c>
      <c r="H56" s="2999">
        <v>0</v>
      </c>
      <c r="I56" s="3004">
        <v>281.7</v>
      </c>
      <c r="J56" s="3004">
        <v>700</v>
      </c>
      <c r="K56" s="3004">
        <v>93.449999999999989</v>
      </c>
      <c r="L56" s="3004">
        <v>3455.9599999999973</v>
      </c>
      <c r="M56" s="2571"/>
    </row>
    <row r="57" spans="1:13" ht="16.5" hidden="1">
      <c r="A57" s="2142"/>
      <c r="B57" s="3040" t="s">
        <v>167</v>
      </c>
      <c r="C57" s="3000">
        <v>12557.5</v>
      </c>
      <c r="D57" s="3004">
        <v>8135.85</v>
      </c>
      <c r="E57" s="3004">
        <v>1688.1594045200002</v>
      </c>
      <c r="F57" s="2999">
        <v>0</v>
      </c>
      <c r="G57" s="2999">
        <v>0</v>
      </c>
      <c r="H57" s="2999">
        <v>0</v>
      </c>
      <c r="I57" s="3004">
        <v>334.12</v>
      </c>
      <c r="J57" s="3004">
        <v>600</v>
      </c>
      <c r="K57" s="3004">
        <v>93.449999999999989</v>
      </c>
      <c r="L57" s="3004">
        <v>3394.0799999999981</v>
      </c>
      <c r="M57" s="2571"/>
    </row>
    <row r="58" spans="1:13" ht="16.5" hidden="1">
      <c r="A58" s="2142"/>
      <c r="B58" s="3040" t="s">
        <v>168</v>
      </c>
      <c r="C58" s="3000">
        <v>12559.51</v>
      </c>
      <c r="D58" s="3004">
        <v>8308.61</v>
      </c>
      <c r="E58" s="3004">
        <v>1566.9731435800002</v>
      </c>
      <c r="F58" s="2999">
        <v>0</v>
      </c>
      <c r="G58" s="2999">
        <v>0</v>
      </c>
      <c r="H58" s="2999">
        <v>0</v>
      </c>
      <c r="I58" s="3004">
        <v>280.74</v>
      </c>
      <c r="J58" s="3004">
        <v>600</v>
      </c>
      <c r="K58" s="3004">
        <v>149.54</v>
      </c>
      <c r="L58" s="3004">
        <v>3220.619999999999</v>
      </c>
      <c r="M58" s="2571"/>
    </row>
    <row r="59" spans="1:13" ht="16.5" hidden="1">
      <c r="A59" s="2142"/>
      <c r="B59" s="3040" t="s">
        <v>169</v>
      </c>
      <c r="C59" s="3000">
        <v>12307.74</v>
      </c>
      <c r="D59" s="3004">
        <v>8102</v>
      </c>
      <c r="E59" s="3004">
        <v>1678.7375259600001</v>
      </c>
      <c r="F59" s="2999">
        <v>0</v>
      </c>
      <c r="G59" s="2999">
        <v>0</v>
      </c>
      <c r="H59" s="2999">
        <v>0</v>
      </c>
      <c r="I59" s="3004">
        <v>274.76</v>
      </c>
      <c r="J59" s="3004">
        <v>500</v>
      </c>
      <c r="K59" s="3004">
        <v>148.26999999999998</v>
      </c>
      <c r="L59" s="3004">
        <v>3282.7099999999991</v>
      </c>
      <c r="M59" s="2571"/>
    </row>
    <row r="60" spans="1:13" ht="16.5" hidden="1">
      <c r="A60" s="2142"/>
      <c r="B60" s="3040" t="s">
        <v>170</v>
      </c>
      <c r="C60" s="3000">
        <v>11532.539999999999</v>
      </c>
      <c r="D60" s="3004">
        <v>7603.96</v>
      </c>
      <c r="E60" s="3004">
        <v>1671.6179934499999</v>
      </c>
      <c r="F60" s="2999">
        <v>0</v>
      </c>
      <c r="G60" s="2999">
        <v>0</v>
      </c>
      <c r="H60" s="2999">
        <v>0</v>
      </c>
      <c r="I60" s="3004">
        <v>255.06</v>
      </c>
      <c r="J60" s="3004">
        <v>300</v>
      </c>
      <c r="K60" s="3004">
        <v>166.25</v>
      </c>
      <c r="L60" s="3004">
        <v>3207.2699999999986</v>
      </c>
      <c r="M60" s="2571"/>
    </row>
    <row r="61" spans="1:13" ht="16.5" hidden="1">
      <c r="A61" s="2142"/>
      <c r="B61" s="3040" t="s">
        <v>171</v>
      </c>
      <c r="C61" s="3000">
        <v>11776.65</v>
      </c>
      <c r="D61" s="3004">
        <v>7922.29</v>
      </c>
      <c r="E61" s="3004">
        <v>1691.3288987999999</v>
      </c>
      <c r="F61" s="2999">
        <v>0</v>
      </c>
      <c r="G61" s="2999">
        <v>0</v>
      </c>
      <c r="H61" s="2999">
        <v>0</v>
      </c>
      <c r="I61" s="3004">
        <v>260.94</v>
      </c>
      <c r="J61" s="3004">
        <v>100</v>
      </c>
      <c r="K61" s="3004">
        <v>177.73</v>
      </c>
      <c r="L61" s="3004">
        <v>3315.6900000000005</v>
      </c>
      <c r="M61" s="2571"/>
    </row>
    <row r="62" spans="1:13" ht="16.5">
      <c r="A62" s="2142"/>
      <c r="B62" s="3039">
        <v>2003</v>
      </c>
      <c r="C62" s="3000">
        <v>12260.210000000001</v>
      </c>
      <c r="D62" s="3004">
        <v>8280.98</v>
      </c>
      <c r="E62" s="3004">
        <v>1802.3129809499999</v>
      </c>
      <c r="F62" s="2999">
        <v>0</v>
      </c>
      <c r="G62" s="2999">
        <v>0</v>
      </c>
      <c r="H62" s="2999">
        <v>0</v>
      </c>
      <c r="I62" s="3004">
        <v>461.96</v>
      </c>
      <c r="J62" s="3004">
        <v>0</v>
      </c>
      <c r="K62" s="3004">
        <v>174.33999999999997</v>
      </c>
      <c r="L62" s="3004">
        <v>3342.9300000000021</v>
      </c>
      <c r="M62" s="2745"/>
    </row>
    <row r="63" spans="1:13" ht="16.5" hidden="1">
      <c r="A63" s="2142"/>
      <c r="B63" s="3542">
        <v>2004</v>
      </c>
      <c r="C63" s="3002"/>
      <c r="D63" s="2746"/>
      <c r="E63" s="2746"/>
      <c r="F63" s="2746"/>
      <c r="G63" s="2746"/>
      <c r="H63" s="2746"/>
      <c r="I63" s="2746"/>
      <c r="J63" s="2746"/>
      <c r="K63" s="2746"/>
      <c r="L63" s="2746"/>
      <c r="M63" s="2745"/>
    </row>
    <row r="64" spans="1:13" ht="16.5" hidden="1">
      <c r="A64" s="2142"/>
      <c r="B64" s="3540" t="s">
        <v>161</v>
      </c>
      <c r="C64" s="2154">
        <v>13548.95</v>
      </c>
      <c r="D64" s="2346">
        <v>9116.8700000000008</v>
      </c>
      <c r="E64" s="2346">
        <v>1786.1975058200001</v>
      </c>
      <c r="F64" s="2345">
        <v>0</v>
      </c>
      <c r="G64" s="2345">
        <v>0</v>
      </c>
      <c r="H64" s="2345">
        <v>0</v>
      </c>
      <c r="I64" s="2346">
        <v>820.97</v>
      </c>
      <c r="J64" s="2346">
        <v>100</v>
      </c>
      <c r="K64" s="2346">
        <v>181.10999999999999</v>
      </c>
      <c r="L64" s="2346">
        <v>3330</v>
      </c>
      <c r="M64" s="2745"/>
    </row>
    <row r="65" spans="1:13" ht="16.5" hidden="1">
      <c r="A65" s="2142"/>
      <c r="B65" s="3540" t="s">
        <v>162</v>
      </c>
      <c r="C65" s="2154">
        <v>14390.259999999998</v>
      </c>
      <c r="D65" s="2346">
        <v>9431.14</v>
      </c>
      <c r="E65" s="2346">
        <v>1811.5375903199999</v>
      </c>
      <c r="F65" s="2345">
        <v>0</v>
      </c>
      <c r="G65" s="2345">
        <v>0</v>
      </c>
      <c r="H65" s="2345">
        <v>0</v>
      </c>
      <c r="I65" s="2346">
        <v>1440.5499999999997</v>
      </c>
      <c r="J65" s="2346">
        <v>100</v>
      </c>
      <c r="K65" s="2346">
        <v>177.43</v>
      </c>
      <c r="L65" s="2346">
        <v>3241.1399999999994</v>
      </c>
      <c r="M65" s="2745"/>
    </row>
    <row r="66" spans="1:13" ht="16.5" hidden="1">
      <c r="A66" s="2142"/>
      <c r="B66" s="3540" t="s">
        <v>163</v>
      </c>
      <c r="C66" s="2154">
        <v>13874.52</v>
      </c>
      <c r="D66" s="2346">
        <v>9249.43</v>
      </c>
      <c r="E66" s="2346">
        <v>1865.3454459100001</v>
      </c>
      <c r="F66" s="2345">
        <v>0</v>
      </c>
      <c r="G66" s="2345">
        <v>0</v>
      </c>
      <c r="H66" s="2345">
        <v>0</v>
      </c>
      <c r="I66" s="2346">
        <v>1277.8899999999999</v>
      </c>
      <c r="J66" s="2346">
        <v>100</v>
      </c>
      <c r="K66" s="2346">
        <v>108.68999999999998</v>
      </c>
      <c r="L66" s="2346">
        <v>3138.51</v>
      </c>
      <c r="M66" s="2745"/>
    </row>
    <row r="67" spans="1:13" ht="16.5" hidden="1">
      <c r="A67" s="2142"/>
      <c r="B67" s="3541" t="s">
        <v>164</v>
      </c>
      <c r="C67" s="2154">
        <v>14517.630000000001</v>
      </c>
      <c r="D67" s="2346">
        <v>10277.59</v>
      </c>
      <c r="E67" s="2346">
        <v>1830.4324098100001</v>
      </c>
      <c r="F67" s="2345">
        <v>0</v>
      </c>
      <c r="G67" s="2345">
        <v>0</v>
      </c>
      <c r="H67" s="2345">
        <v>0</v>
      </c>
      <c r="I67" s="2346">
        <v>946.00000000000011</v>
      </c>
      <c r="J67" s="2346">
        <v>200</v>
      </c>
      <c r="K67" s="2346">
        <v>124.78999999999999</v>
      </c>
      <c r="L67" s="2346">
        <v>2969.25</v>
      </c>
      <c r="M67" s="2745"/>
    </row>
    <row r="68" spans="1:13" ht="16.5" hidden="1">
      <c r="A68" s="2142"/>
      <c r="B68" s="3541" t="s">
        <v>165</v>
      </c>
      <c r="C68" s="2154">
        <v>13974.39</v>
      </c>
      <c r="D68" s="2346">
        <v>9659.1299999999992</v>
      </c>
      <c r="E68" s="2346">
        <v>1901.33244193</v>
      </c>
      <c r="F68" s="2345">
        <v>0</v>
      </c>
      <c r="G68" s="2345">
        <v>0</v>
      </c>
      <c r="H68" s="2345">
        <v>0</v>
      </c>
      <c r="I68" s="2346">
        <v>692.93000000000006</v>
      </c>
      <c r="J68" s="2346">
        <v>200</v>
      </c>
      <c r="K68" s="2346">
        <v>130.92999999999998</v>
      </c>
      <c r="L68" s="2346">
        <v>3291.3999999999996</v>
      </c>
      <c r="M68" s="2745"/>
    </row>
    <row r="69" spans="1:13" ht="16.5" hidden="1">
      <c r="A69" s="2142"/>
      <c r="B69" s="3541" t="s">
        <v>166</v>
      </c>
      <c r="C69" s="2154">
        <v>13486.16</v>
      </c>
      <c r="D69" s="2346">
        <v>9370.25</v>
      </c>
      <c r="E69" s="2346">
        <v>2015.2190587100001</v>
      </c>
      <c r="F69" s="2345">
        <v>0</v>
      </c>
      <c r="G69" s="2345">
        <v>0</v>
      </c>
      <c r="H69" s="2345">
        <v>0</v>
      </c>
      <c r="I69" s="2346">
        <v>414.86</v>
      </c>
      <c r="J69" s="2346">
        <v>200</v>
      </c>
      <c r="K69" s="2346">
        <v>144.91</v>
      </c>
      <c r="L69" s="2346">
        <v>3356.1399999999994</v>
      </c>
      <c r="M69" s="2745"/>
    </row>
    <row r="70" spans="1:13" ht="16.5" hidden="1">
      <c r="A70" s="2142"/>
      <c r="B70" s="3541" t="s">
        <v>167</v>
      </c>
      <c r="C70" s="2154">
        <v>12584.240000000002</v>
      </c>
      <c r="D70" s="2346">
        <v>8554.25</v>
      </c>
      <c r="E70" s="2346">
        <v>1898.2921826700001</v>
      </c>
      <c r="F70" s="2345">
        <v>0</v>
      </c>
      <c r="G70" s="2345">
        <v>0</v>
      </c>
      <c r="H70" s="2345">
        <v>0</v>
      </c>
      <c r="I70" s="2346">
        <v>356.07</v>
      </c>
      <c r="J70" s="2346">
        <v>100</v>
      </c>
      <c r="K70" s="2346">
        <v>167.64999999999998</v>
      </c>
      <c r="L70" s="2346">
        <v>3406.2700000000023</v>
      </c>
      <c r="M70" s="2745"/>
    </row>
    <row r="71" spans="1:13" ht="16.5" hidden="1">
      <c r="A71" s="2142"/>
      <c r="B71" s="3541" t="s">
        <v>168</v>
      </c>
      <c r="C71" s="2154">
        <v>12751.569999999998</v>
      </c>
      <c r="D71" s="2346">
        <v>8642.42</v>
      </c>
      <c r="E71" s="2346">
        <v>1877.1259997000002</v>
      </c>
      <c r="F71" s="2345">
        <v>0</v>
      </c>
      <c r="G71" s="2345">
        <v>0</v>
      </c>
      <c r="H71" s="2345">
        <v>0</v>
      </c>
      <c r="I71" s="2346">
        <v>334.98</v>
      </c>
      <c r="J71" s="2346">
        <v>200</v>
      </c>
      <c r="K71" s="2346">
        <v>151.39999999999998</v>
      </c>
      <c r="L71" s="2346">
        <v>3422.7699999999986</v>
      </c>
      <c r="M71" s="2745"/>
    </row>
    <row r="72" spans="1:13" ht="16.5" hidden="1">
      <c r="A72" s="2142"/>
      <c r="B72" s="3541" t="s">
        <v>169</v>
      </c>
      <c r="C72" s="2154">
        <v>12747.730000000001</v>
      </c>
      <c r="D72" s="2346">
        <v>8665.2999999999993</v>
      </c>
      <c r="E72" s="2346">
        <v>1877.16377874</v>
      </c>
      <c r="F72" s="2345">
        <v>0</v>
      </c>
      <c r="G72" s="2345">
        <v>0</v>
      </c>
      <c r="H72" s="2345">
        <v>0</v>
      </c>
      <c r="I72" s="2346">
        <v>342.41999999999996</v>
      </c>
      <c r="J72" s="2346">
        <v>200</v>
      </c>
      <c r="K72" s="2346">
        <v>155.39999999999998</v>
      </c>
      <c r="L72" s="2346">
        <v>3384.6100000000024</v>
      </c>
      <c r="M72" s="2745"/>
    </row>
    <row r="73" spans="1:13" ht="16.5" hidden="1">
      <c r="A73" s="2142"/>
      <c r="B73" s="3541" t="s">
        <v>170</v>
      </c>
      <c r="C73" s="2154">
        <v>13462.56</v>
      </c>
      <c r="D73" s="2346">
        <v>8948.92</v>
      </c>
      <c r="E73" s="2346">
        <v>1930.0046202100002</v>
      </c>
      <c r="F73" s="2345">
        <v>0</v>
      </c>
      <c r="G73" s="2345">
        <v>0</v>
      </c>
      <c r="H73" s="2345">
        <v>0</v>
      </c>
      <c r="I73" s="2346">
        <v>762.53</v>
      </c>
      <c r="J73" s="2346">
        <v>200</v>
      </c>
      <c r="K73" s="2346">
        <v>166.32</v>
      </c>
      <c r="L73" s="2346">
        <v>3384.7899999999991</v>
      </c>
      <c r="M73" s="2745"/>
    </row>
    <row r="74" spans="1:13" ht="16.5" hidden="1">
      <c r="A74" s="2142"/>
      <c r="B74" s="3541" t="s">
        <v>171</v>
      </c>
      <c r="C74" s="2154">
        <v>13993.09</v>
      </c>
      <c r="D74" s="2346">
        <v>9161.880000000001</v>
      </c>
      <c r="E74" s="2346">
        <v>2000.3480705999998</v>
      </c>
      <c r="F74" s="2345">
        <v>0</v>
      </c>
      <c r="G74" s="2345">
        <v>0</v>
      </c>
      <c r="H74" s="2345">
        <v>0</v>
      </c>
      <c r="I74" s="2346">
        <v>1086.6999999999998</v>
      </c>
      <c r="J74" s="2346">
        <v>200</v>
      </c>
      <c r="K74" s="2346">
        <v>202.76999999999998</v>
      </c>
      <c r="L74" s="2346">
        <v>3341.739999999998</v>
      </c>
      <c r="M74" s="2745"/>
    </row>
    <row r="75" spans="1:13" ht="16.5">
      <c r="A75" s="2142"/>
      <c r="B75" s="3043">
        <v>2004</v>
      </c>
      <c r="C75" s="2154">
        <v>13933.619999999999</v>
      </c>
      <c r="D75" s="2346">
        <v>9222.57</v>
      </c>
      <c r="E75" s="2346">
        <v>2070.6814472700003</v>
      </c>
      <c r="F75" s="2345">
        <v>0</v>
      </c>
      <c r="G75" s="2345">
        <v>0</v>
      </c>
      <c r="H75" s="2345">
        <v>0</v>
      </c>
      <c r="I75" s="2346">
        <v>1087.6200000000001</v>
      </c>
      <c r="J75" s="2346">
        <v>200</v>
      </c>
      <c r="K75" s="2346">
        <v>205.79</v>
      </c>
      <c r="L75" s="2346">
        <v>3217.6399999999976</v>
      </c>
      <c r="M75" s="2745"/>
    </row>
    <row r="76" spans="1:13" ht="16.5" hidden="1">
      <c r="A76" s="2142"/>
      <c r="B76" s="3544">
        <v>2005</v>
      </c>
      <c r="C76" s="3002"/>
      <c r="D76" s="2746"/>
      <c r="E76" s="2746"/>
      <c r="F76" s="2746"/>
      <c r="G76" s="2746"/>
      <c r="H76" s="2746"/>
      <c r="I76" s="2746"/>
      <c r="J76" s="2746"/>
      <c r="K76" s="2746"/>
      <c r="L76" s="2746"/>
      <c r="M76" s="2745"/>
    </row>
    <row r="77" spans="1:13" ht="16.5" hidden="1">
      <c r="A77" s="2142"/>
      <c r="B77" s="3541" t="s">
        <v>161</v>
      </c>
      <c r="C77" s="2154">
        <v>14333.349999999999</v>
      </c>
      <c r="D77" s="2346">
        <v>9152.91</v>
      </c>
      <c r="E77" s="2346">
        <v>2019.5036517200001</v>
      </c>
      <c r="F77" s="2345">
        <v>0</v>
      </c>
      <c r="G77" s="2345">
        <v>0</v>
      </c>
      <c r="H77" s="2345">
        <v>0</v>
      </c>
      <c r="I77" s="2346">
        <v>1617.7200000000003</v>
      </c>
      <c r="J77" s="2346">
        <v>200</v>
      </c>
      <c r="K77" s="2346">
        <v>239.45</v>
      </c>
      <c r="L77" s="2346">
        <v>3123.2699999999968</v>
      </c>
      <c r="M77" s="2745"/>
    </row>
    <row r="78" spans="1:13" ht="16.5" hidden="1">
      <c r="A78" s="2142"/>
      <c r="B78" s="3541" t="s">
        <v>162</v>
      </c>
      <c r="C78" s="2154">
        <v>16410.64</v>
      </c>
      <c r="D78" s="2346">
        <v>9249.57</v>
      </c>
      <c r="E78" s="2346">
        <v>2171.2586620500001</v>
      </c>
      <c r="F78" s="2345">
        <v>0</v>
      </c>
      <c r="G78" s="2345">
        <v>0</v>
      </c>
      <c r="H78" s="2345">
        <v>0</v>
      </c>
      <c r="I78" s="2346">
        <v>1577.7</v>
      </c>
      <c r="J78" s="2346">
        <v>200</v>
      </c>
      <c r="K78" s="2346">
        <v>246.76</v>
      </c>
      <c r="L78" s="2346">
        <v>5136.6099999999988</v>
      </c>
      <c r="M78" s="2745"/>
    </row>
    <row r="79" spans="1:13" ht="16.5" hidden="1">
      <c r="A79" s="2142"/>
      <c r="B79" s="3540" t="s">
        <v>163</v>
      </c>
      <c r="C79" s="2154">
        <v>15988.930000000002</v>
      </c>
      <c r="D79" s="2346">
        <v>9043.0299999999988</v>
      </c>
      <c r="E79" s="2346">
        <v>2177.5256963499996</v>
      </c>
      <c r="F79" s="2345">
        <v>152.16</v>
      </c>
      <c r="G79" s="2345">
        <v>152.16</v>
      </c>
      <c r="H79" s="2345">
        <v>0</v>
      </c>
      <c r="I79" s="2346">
        <v>1078.28</v>
      </c>
      <c r="J79" s="2346">
        <v>200</v>
      </c>
      <c r="K79" s="2346">
        <v>265.52</v>
      </c>
      <c r="L79" s="2346">
        <v>5249.9400000000023</v>
      </c>
      <c r="M79" s="2745"/>
    </row>
    <row r="80" spans="1:13" ht="16.5" hidden="1">
      <c r="A80" s="2142"/>
      <c r="B80" s="3540" t="s">
        <v>164</v>
      </c>
      <c r="C80" s="2154">
        <v>16088.560000000001</v>
      </c>
      <c r="D80" s="2346">
        <v>8944.7000000000007</v>
      </c>
      <c r="E80" s="2346">
        <v>2074.21988951</v>
      </c>
      <c r="F80" s="2345">
        <v>0</v>
      </c>
      <c r="G80" s="2345">
        <v>0</v>
      </c>
      <c r="H80" s="2345">
        <v>0</v>
      </c>
      <c r="I80" s="2346">
        <v>1597.7700000000002</v>
      </c>
      <c r="J80" s="2346">
        <v>100</v>
      </c>
      <c r="K80" s="2346">
        <v>246.48</v>
      </c>
      <c r="L80" s="2346">
        <v>5199.6100000000006</v>
      </c>
      <c r="M80" s="2745"/>
    </row>
    <row r="81" spans="1:13" ht="16.5" hidden="1">
      <c r="A81" s="2142"/>
      <c r="B81" s="3540" t="s">
        <v>165</v>
      </c>
      <c r="C81" s="2154">
        <v>13297.571344000002</v>
      </c>
      <c r="D81" s="2346">
        <v>9143.9500000000007</v>
      </c>
      <c r="E81" s="2346">
        <v>2099.93105156</v>
      </c>
      <c r="F81" s="2345">
        <v>0</v>
      </c>
      <c r="G81" s="2345">
        <v>0</v>
      </c>
      <c r="H81" s="2345">
        <v>0</v>
      </c>
      <c r="I81" s="2346">
        <v>909.06999999999994</v>
      </c>
      <c r="J81" s="2346">
        <v>100</v>
      </c>
      <c r="K81" s="2346">
        <v>278.47000000000003</v>
      </c>
      <c r="L81" s="2346">
        <v>2866.081344000002</v>
      </c>
      <c r="M81" s="2745"/>
    </row>
    <row r="82" spans="1:13" ht="16.5" hidden="1">
      <c r="A82" s="2142"/>
      <c r="B82" s="3540" t="s">
        <v>166</v>
      </c>
      <c r="C82" s="2154">
        <v>14317.862844000001</v>
      </c>
      <c r="D82" s="2346">
        <v>9340.07</v>
      </c>
      <c r="E82" s="2346">
        <v>2303.3597982299998</v>
      </c>
      <c r="F82" s="2345">
        <v>0</v>
      </c>
      <c r="G82" s="2345">
        <v>0</v>
      </c>
      <c r="H82" s="2345">
        <v>0</v>
      </c>
      <c r="I82" s="2346">
        <v>778.95999999999992</v>
      </c>
      <c r="J82" s="2346">
        <v>200</v>
      </c>
      <c r="K82" s="2346">
        <v>878.97</v>
      </c>
      <c r="L82" s="2346">
        <v>3119.862844000003</v>
      </c>
      <c r="M82" s="2745"/>
    </row>
    <row r="83" spans="1:13" ht="16.5" hidden="1">
      <c r="A83" s="2142"/>
      <c r="B83" s="3540" t="s">
        <v>167</v>
      </c>
      <c r="C83" s="2154">
        <v>15338.471389</v>
      </c>
      <c r="D83" s="2346">
        <v>10548.349999999999</v>
      </c>
      <c r="E83" s="2346">
        <v>2118.0679180799998</v>
      </c>
      <c r="F83" s="2345">
        <v>303.45</v>
      </c>
      <c r="G83" s="2345">
        <v>303.45</v>
      </c>
      <c r="H83" s="2345">
        <v>0</v>
      </c>
      <c r="I83" s="2346">
        <v>300.75</v>
      </c>
      <c r="J83" s="2346">
        <v>200</v>
      </c>
      <c r="K83" s="2346">
        <v>896.18000000000006</v>
      </c>
      <c r="L83" s="2346">
        <v>3089.7413890000007</v>
      </c>
      <c r="M83" s="2745"/>
    </row>
    <row r="84" spans="1:13" ht="16.5" hidden="1">
      <c r="A84" s="2142"/>
      <c r="B84" s="3540" t="s">
        <v>168</v>
      </c>
      <c r="C84" s="2154">
        <v>14605.363389000002</v>
      </c>
      <c r="D84" s="2346">
        <v>10043.530000000001</v>
      </c>
      <c r="E84" s="2346">
        <v>2193.0799375000001</v>
      </c>
      <c r="F84" s="2345">
        <v>0</v>
      </c>
      <c r="G84" s="2345">
        <v>0</v>
      </c>
      <c r="H84" s="2345">
        <v>0</v>
      </c>
      <c r="I84" s="2346">
        <v>310.83</v>
      </c>
      <c r="J84" s="2346">
        <v>100</v>
      </c>
      <c r="K84" s="2346">
        <v>918.73</v>
      </c>
      <c r="L84" s="2346">
        <v>3232.2733890000018</v>
      </c>
      <c r="M84" s="2745"/>
    </row>
    <row r="85" spans="1:13" ht="16.5" hidden="1">
      <c r="A85" s="2142"/>
      <c r="B85" s="3540" t="s">
        <v>169</v>
      </c>
      <c r="C85" s="2154">
        <v>14950.093389000001</v>
      </c>
      <c r="D85" s="2346">
        <v>10003.89</v>
      </c>
      <c r="E85" s="2346">
        <v>2167.9642688400004</v>
      </c>
      <c r="F85" s="2345">
        <v>0</v>
      </c>
      <c r="G85" s="2345">
        <v>0</v>
      </c>
      <c r="H85" s="2345">
        <v>0</v>
      </c>
      <c r="I85" s="2346">
        <v>722.99</v>
      </c>
      <c r="J85" s="2346">
        <v>100</v>
      </c>
      <c r="K85" s="2346">
        <v>932.88</v>
      </c>
      <c r="L85" s="2346">
        <v>3190.3333890000031</v>
      </c>
      <c r="M85" s="2745"/>
    </row>
    <row r="86" spans="1:13" ht="16.5" hidden="1">
      <c r="A86" s="2142"/>
      <c r="B86" s="3540" t="s">
        <v>170</v>
      </c>
      <c r="C86" s="2154">
        <v>15995.346889</v>
      </c>
      <c r="D86" s="2346">
        <v>10285.82</v>
      </c>
      <c r="E86" s="2346">
        <v>2346.6934075500003</v>
      </c>
      <c r="F86" s="2345">
        <v>0</v>
      </c>
      <c r="G86" s="2345">
        <v>0</v>
      </c>
      <c r="H86" s="2345">
        <v>0</v>
      </c>
      <c r="I86" s="2346">
        <v>1159.3399999999999</v>
      </c>
      <c r="J86" s="2346">
        <v>100</v>
      </c>
      <c r="K86" s="2346">
        <v>961.49</v>
      </c>
      <c r="L86" s="2346">
        <v>3488.6968890000007</v>
      </c>
      <c r="M86" s="2745"/>
    </row>
    <row r="87" spans="1:13" ht="16.5" hidden="1">
      <c r="A87" s="2142"/>
      <c r="B87" s="3540" t="s">
        <v>171</v>
      </c>
      <c r="C87" s="2154">
        <v>18374.129889</v>
      </c>
      <c r="D87" s="2346">
        <v>12419.62</v>
      </c>
      <c r="E87" s="2346">
        <v>2284.9616578499999</v>
      </c>
      <c r="F87" s="2345">
        <v>0</v>
      </c>
      <c r="G87" s="2345">
        <v>0</v>
      </c>
      <c r="H87" s="2345">
        <v>0</v>
      </c>
      <c r="I87" s="2346">
        <v>1161.47</v>
      </c>
      <c r="J87" s="2346">
        <v>100</v>
      </c>
      <c r="K87" s="2346">
        <v>1025.98</v>
      </c>
      <c r="L87" s="2346">
        <v>3667.0598890000001</v>
      </c>
      <c r="M87" s="2745"/>
    </row>
    <row r="88" spans="1:13" ht="16.5">
      <c r="A88" s="2142"/>
      <c r="B88" s="3044">
        <v>2005</v>
      </c>
      <c r="C88" s="2154">
        <v>18220.374888999999</v>
      </c>
      <c r="D88" s="2346">
        <v>12732.89</v>
      </c>
      <c r="E88" s="2346">
        <v>2404.4104927999997</v>
      </c>
      <c r="F88" s="2345">
        <v>0</v>
      </c>
      <c r="G88" s="2345">
        <v>0</v>
      </c>
      <c r="H88" s="2345">
        <v>0</v>
      </c>
      <c r="I88" s="2346">
        <v>835.21999999999991</v>
      </c>
      <c r="J88" s="2346">
        <v>100</v>
      </c>
      <c r="K88" s="2346">
        <v>1058.17</v>
      </c>
      <c r="L88" s="2346">
        <v>3494.094889</v>
      </c>
      <c r="M88" s="2745"/>
    </row>
    <row r="89" spans="1:13" ht="16.5" hidden="1">
      <c r="A89" s="2142"/>
      <c r="B89" s="3542">
        <v>2006</v>
      </c>
      <c r="C89" s="3002"/>
      <c r="D89" s="2746"/>
      <c r="E89" s="2746"/>
      <c r="F89" s="2746"/>
      <c r="G89" s="2746"/>
      <c r="H89" s="2746"/>
      <c r="I89" s="2746"/>
      <c r="J89" s="2746"/>
      <c r="K89" s="2746"/>
      <c r="L89" s="2746"/>
      <c r="M89" s="2745"/>
    </row>
    <row r="90" spans="1:13" ht="16.5" hidden="1">
      <c r="A90" s="2142"/>
      <c r="B90" s="3543" t="s">
        <v>161</v>
      </c>
      <c r="C90" s="2154">
        <v>19098.843889</v>
      </c>
      <c r="D90" s="2346">
        <v>13240.130000000001</v>
      </c>
      <c r="E90" s="2346">
        <v>2376.7920547399999</v>
      </c>
      <c r="F90" s="2345">
        <v>0</v>
      </c>
      <c r="G90" s="2345">
        <v>0</v>
      </c>
      <c r="H90" s="2345">
        <v>0</v>
      </c>
      <c r="I90" s="2346">
        <v>1425.9</v>
      </c>
      <c r="J90" s="2346">
        <v>100</v>
      </c>
      <c r="K90" s="2346">
        <v>1108.9199999999998</v>
      </c>
      <c r="L90" s="2346">
        <v>3223.893888999999</v>
      </c>
      <c r="M90" s="2745"/>
    </row>
    <row r="91" spans="1:13" ht="16.5" hidden="1">
      <c r="A91" s="2142"/>
      <c r="B91" s="3543" t="s">
        <v>162</v>
      </c>
      <c r="C91" s="2154">
        <v>18624.677388999997</v>
      </c>
      <c r="D91" s="2346">
        <v>12953.2</v>
      </c>
      <c r="E91" s="2346">
        <v>2398.7306136299994</v>
      </c>
      <c r="F91" s="2345">
        <v>0</v>
      </c>
      <c r="G91" s="2345">
        <v>0</v>
      </c>
      <c r="H91" s="2345">
        <v>0</v>
      </c>
      <c r="I91" s="2346">
        <v>1272.79</v>
      </c>
      <c r="J91" s="2346">
        <v>200</v>
      </c>
      <c r="K91" s="2346">
        <v>921.39</v>
      </c>
      <c r="L91" s="2346">
        <v>3277.2973889999957</v>
      </c>
      <c r="M91" s="2745"/>
    </row>
    <row r="92" spans="1:13" ht="16.5" hidden="1">
      <c r="A92" s="2142"/>
      <c r="B92" s="3543" t="s">
        <v>163</v>
      </c>
      <c r="C92" s="2154">
        <v>16872.701389000002</v>
      </c>
      <c r="D92" s="2346">
        <v>11843.39</v>
      </c>
      <c r="E92" s="2346">
        <v>2270.0232655599998</v>
      </c>
      <c r="F92" s="2345">
        <v>0</v>
      </c>
      <c r="G92" s="2345">
        <v>0</v>
      </c>
      <c r="H92" s="2345">
        <v>0</v>
      </c>
      <c r="I92" s="2346">
        <v>554.42999999999995</v>
      </c>
      <c r="J92" s="2346">
        <v>100.39</v>
      </c>
      <c r="K92" s="2346">
        <v>999.06999999999994</v>
      </c>
      <c r="L92" s="2346">
        <v>3375.4213890000028</v>
      </c>
      <c r="M92" s="2745"/>
    </row>
    <row r="93" spans="1:13" ht="16.5" hidden="1">
      <c r="A93" s="2142"/>
      <c r="B93" s="3543" t="s">
        <v>164</v>
      </c>
      <c r="C93" s="2154">
        <v>16701.589689</v>
      </c>
      <c r="D93" s="2346">
        <v>13175.88</v>
      </c>
      <c r="E93" s="2346">
        <v>2324.1714184699999</v>
      </c>
      <c r="F93" s="2345">
        <v>0</v>
      </c>
      <c r="G93" s="2345">
        <v>0</v>
      </c>
      <c r="H93" s="2345">
        <v>0</v>
      </c>
      <c r="I93" s="2346">
        <v>1173.3399999999999</v>
      </c>
      <c r="J93" s="2346">
        <v>199.99</v>
      </c>
      <c r="K93" s="2346">
        <v>1039.23</v>
      </c>
      <c r="L93" s="2346">
        <v>1113.1496890000017</v>
      </c>
      <c r="M93" s="2745"/>
    </row>
    <row r="94" spans="1:13" ht="16.5" hidden="1">
      <c r="A94" s="2142"/>
      <c r="B94" s="3543" t="s">
        <v>165</v>
      </c>
      <c r="C94" s="2154">
        <v>18642.896000000001</v>
      </c>
      <c r="D94" s="2346">
        <v>13069.18</v>
      </c>
      <c r="E94" s="2346">
        <v>2327.4908968</v>
      </c>
      <c r="F94" s="2345">
        <v>0</v>
      </c>
      <c r="G94" s="2345">
        <v>0</v>
      </c>
      <c r="H94" s="2345">
        <v>0</v>
      </c>
      <c r="I94" s="2346">
        <v>420.21</v>
      </c>
      <c r="J94" s="2346">
        <v>99.99</v>
      </c>
      <c r="K94" s="2346">
        <v>1090.96</v>
      </c>
      <c r="L94" s="2346">
        <v>3962.5560000000005</v>
      </c>
      <c r="M94" s="2745"/>
    </row>
    <row r="95" spans="1:13" ht="16.5" hidden="1">
      <c r="A95" s="2142"/>
      <c r="B95" s="3543" t="s">
        <v>166</v>
      </c>
      <c r="C95" s="2154">
        <v>19296.752688999997</v>
      </c>
      <c r="D95" s="2346">
        <v>13474.67</v>
      </c>
      <c r="E95" s="2346">
        <v>2614.9272281399999</v>
      </c>
      <c r="F95" s="2345">
        <v>0</v>
      </c>
      <c r="G95" s="2345">
        <v>0</v>
      </c>
      <c r="H95" s="2345">
        <v>0</v>
      </c>
      <c r="I95" s="2346">
        <v>648.41999999999996</v>
      </c>
      <c r="J95" s="2346">
        <v>199.99</v>
      </c>
      <c r="K95" s="2346">
        <v>1004.26</v>
      </c>
      <c r="L95" s="2346">
        <v>3969.412688999997</v>
      </c>
      <c r="M95" s="2745"/>
    </row>
    <row r="96" spans="1:13" ht="16.5" hidden="1">
      <c r="A96" s="2142"/>
      <c r="B96" s="3543" t="s">
        <v>167</v>
      </c>
      <c r="C96" s="2154">
        <v>19074.420000000006</v>
      </c>
      <c r="D96" s="2346">
        <v>13191.050000000001</v>
      </c>
      <c r="E96" s="2346">
        <v>2439.35021603</v>
      </c>
      <c r="F96" s="2345">
        <v>253.39</v>
      </c>
      <c r="G96" s="2345">
        <v>253.39</v>
      </c>
      <c r="H96" s="2345">
        <v>0</v>
      </c>
      <c r="I96" s="2346">
        <v>360.94</v>
      </c>
      <c r="J96" s="2346">
        <v>100</v>
      </c>
      <c r="K96" s="2346">
        <v>1059.82</v>
      </c>
      <c r="L96" s="2346">
        <v>4109.2200000000048</v>
      </c>
      <c r="M96" s="2745"/>
    </row>
    <row r="97" spans="1:13" ht="16.5" hidden="1">
      <c r="A97" s="2142"/>
      <c r="B97" s="3543" t="s">
        <v>168</v>
      </c>
      <c r="C97" s="2154">
        <v>18560.680000000004</v>
      </c>
      <c r="D97" s="2346">
        <v>12727.6</v>
      </c>
      <c r="E97" s="2346">
        <v>2463.8162628</v>
      </c>
      <c r="F97" s="2345">
        <v>0</v>
      </c>
      <c r="G97" s="2345">
        <v>0</v>
      </c>
      <c r="H97" s="2345">
        <v>0</v>
      </c>
      <c r="I97" s="2346">
        <v>351.59000000000003</v>
      </c>
      <c r="J97" s="2346">
        <v>200</v>
      </c>
      <c r="K97" s="2346">
        <v>1108.49</v>
      </c>
      <c r="L97" s="2346">
        <v>4173.0000000000036</v>
      </c>
      <c r="M97" s="2745"/>
    </row>
    <row r="98" spans="1:13" ht="16.5" hidden="1">
      <c r="A98" s="2142"/>
      <c r="B98" s="3543" t="s">
        <v>169</v>
      </c>
      <c r="C98" s="2154">
        <v>17790.730000000003</v>
      </c>
      <c r="D98" s="2346">
        <v>12214.21</v>
      </c>
      <c r="E98" s="2346">
        <v>2547.0088977300002</v>
      </c>
      <c r="F98" s="2345">
        <v>0</v>
      </c>
      <c r="G98" s="2345">
        <v>0</v>
      </c>
      <c r="H98" s="2345">
        <v>0</v>
      </c>
      <c r="I98" s="2346">
        <v>351.3</v>
      </c>
      <c r="J98" s="2346">
        <v>200</v>
      </c>
      <c r="K98" s="2346">
        <v>1132.78</v>
      </c>
      <c r="L98" s="2346">
        <v>3892.4400000000041</v>
      </c>
      <c r="M98" s="2745"/>
    </row>
    <row r="99" spans="1:13" ht="16.5" hidden="1">
      <c r="A99" s="2142"/>
      <c r="B99" s="3543" t="s">
        <v>170</v>
      </c>
      <c r="C99" s="2154">
        <v>17666.618999999999</v>
      </c>
      <c r="D99" s="2346">
        <v>12678.380000000001</v>
      </c>
      <c r="E99" s="2346">
        <v>2543.98572947</v>
      </c>
      <c r="F99" s="2345">
        <v>0</v>
      </c>
      <c r="G99" s="2345">
        <v>0</v>
      </c>
      <c r="H99" s="2345">
        <v>0</v>
      </c>
      <c r="I99" s="2346">
        <v>295.44</v>
      </c>
      <c r="J99" s="2346">
        <v>199.99</v>
      </c>
      <c r="K99" s="2346">
        <v>854.3</v>
      </c>
      <c r="L99" s="2346">
        <v>3638.5089999999982</v>
      </c>
      <c r="M99" s="2745"/>
    </row>
    <row r="100" spans="1:13" ht="16.5" hidden="1">
      <c r="A100" s="2142"/>
      <c r="B100" s="3543" t="s">
        <v>171</v>
      </c>
      <c r="C100" s="2154">
        <v>18045.572339210001</v>
      </c>
      <c r="D100" s="2346">
        <v>12443.105847119999</v>
      </c>
      <c r="E100" s="2346">
        <v>2571.6920613100001</v>
      </c>
      <c r="F100" s="2345">
        <v>0</v>
      </c>
      <c r="G100" s="2345">
        <v>0</v>
      </c>
      <c r="H100" s="2345">
        <v>0</v>
      </c>
      <c r="I100" s="2346">
        <v>911.47045248999996</v>
      </c>
      <c r="J100" s="2346">
        <v>99.99</v>
      </c>
      <c r="K100" s="2346">
        <v>974.07362261999992</v>
      </c>
      <c r="L100" s="2346">
        <v>3616.9324169800002</v>
      </c>
      <c r="M100" s="2745"/>
    </row>
    <row r="101" spans="1:13" ht="16.5">
      <c r="A101" s="2142"/>
      <c r="B101" s="3044">
        <v>2006</v>
      </c>
      <c r="C101" s="2154">
        <v>18510.70107408</v>
      </c>
      <c r="D101" s="2346">
        <v>12284.81945241</v>
      </c>
      <c r="E101" s="2346">
        <v>2762.5270715399997</v>
      </c>
      <c r="F101" s="2345">
        <v>0</v>
      </c>
      <c r="G101" s="2345">
        <v>0</v>
      </c>
      <c r="H101" s="2345">
        <v>0</v>
      </c>
      <c r="I101" s="2346">
        <v>1495.7274123699999</v>
      </c>
      <c r="J101" s="2346">
        <v>99.99</v>
      </c>
      <c r="K101" s="2346">
        <v>1039.87942247</v>
      </c>
      <c r="L101" s="2346">
        <v>3590.2847868299996</v>
      </c>
      <c r="M101" s="2745"/>
    </row>
    <row r="102" spans="1:13" ht="16.5" hidden="1">
      <c r="A102" s="2142"/>
      <c r="B102" s="3542">
        <v>2007</v>
      </c>
      <c r="C102" s="3002"/>
      <c r="D102" s="2746"/>
      <c r="E102" s="2746"/>
      <c r="F102" s="2746"/>
      <c r="G102" s="2746"/>
      <c r="H102" s="2746"/>
      <c r="I102" s="2746"/>
      <c r="J102" s="2746"/>
      <c r="K102" s="2746"/>
      <c r="L102" s="2746"/>
      <c r="M102" s="2745"/>
    </row>
    <row r="103" spans="1:13" ht="16.5" hidden="1">
      <c r="A103" s="2142"/>
      <c r="B103" s="3540" t="s">
        <v>161</v>
      </c>
      <c r="C103" s="2154">
        <v>22325.14741809</v>
      </c>
      <c r="D103" s="2346">
        <v>14919.005255170001</v>
      </c>
      <c r="E103" s="2346">
        <v>2782.0653314900001</v>
      </c>
      <c r="F103" s="2345">
        <v>0</v>
      </c>
      <c r="G103" s="2345">
        <v>0</v>
      </c>
      <c r="H103" s="2345">
        <v>0</v>
      </c>
      <c r="I103" s="2346">
        <v>393.78202160999996</v>
      </c>
      <c r="J103" s="2346">
        <v>0</v>
      </c>
      <c r="K103" s="2346">
        <v>1069.6136484199999</v>
      </c>
      <c r="L103" s="2346">
        <v>5942.746492889999</v>
      </c>
      <c r="M103" s="2745"/>
    </row>
    <row r="104" spans="1:13" ht="16.5" hidden="1">
      <c r="A104" s="2142"/>
      <c r="B104" s="3540" t="s">
        <v>162</v>
      </c>
      <c r="C104" s="2154">
        <v>22443.470340690001</v>
      </c>
      <c r="D104" s="2346">
        <v>13262.032695959999</v>
      </c>
      <c r="E104" s="2346">
        <v>2770.4242928599997</v>
      </c>
      <c r="F104" s="2345">
        <v>0</v>
      </c>
      <c r="G104" s="2345">
        <v>0</v>
      </c>
      <c r="H104" s="2345">
        <v>0</v>
      </c>
      <c r="I104" s="2346">
        <v>1900.87658498</v>
      </c>
      <c r="J104" s="2346">
        <v>99.99</v>
      </c>
      <c r="K104" s="2346">
        <v>1127.5196020999999</v>
      </c>
      <c r="L104" s="2346">
        <v>6053.0514576500027</v>
      </c>
      <c r="M104" s="2745"/>
    </row>
    <row r="105" spans="1:13" ht="16.5" hidden="1">
      <c r="A105" s="2142"/>
      <c r="B105" s="3540" t="s">
        <v>163</v>
      </c>
      <c r="C105" s="2154">
        <v>22131.506780610001</v>
      </c>
      <c r="D105" s="2346">
        <v>12853.357126949999</v>
      </c>
      <c r="E105" s="2346">
        <v>2812.4673354900001</v>
      </c>
      <c r="F105" s="2345">
        <v>700</v>
      </c>
      <c r="G105" s="2345">
        <v>700</v>
      </c>
      <c r="H105" s="2345">
        <v>0</v>
      </c>
      <c r="I105" s="2346">
        <v>1541.69294427</v>
      </c>
      <c r="J105" s="2346">
        <v>99.99</v>
      </c>
      <c r="K105" s="2346">
        <v>1229.26075191</v>
      </c>
      <c r="L105" s="2346">
        <v>5707.2059574800041</v>
      </c>
      <c r="M105" s="2745"/>
    </row>
    <row r="106" spans="1:13" ht="16.5" hidden="1">
      <c r="A106" s="2142"/>
      <c r="B106" s="3540" t="s">
        <v>164</v>
      </c>
      <c r="C106" s="2154">
        <v>19786.143214870001</v>
      </c>
      <c r="D106" s="2346">
        <v>12158.482957</v>
      </c>
      <c r="E106" s="2346">
        <v>2770.0277284200001</v>
      </c>
      <c r="F106" s="2345">
        <v>0</v>
      </c>
      <c r="G106" s="2345">
        <v>0</v>
      </c>
      <c r="H106" s="2345">
        <v>0</v>
      </c>
      <c r="I106" s="2346">
        <v>1872.143219</v>
      </c>
      <c r="J106" s="2346">
        <v>199.98</v>
      </c>
      <c r="K106" s="2346">
        <v>1296.3143559199998</v>
      </c>
      <c r="L106" s="2346">
        <v>4259.2226829500014</v>
      </c>
      <c r="M106" s="2745"/>
    </row>
    <row r="107" spans="1:13" ht="16.5" hidden="1">
      <c r="A107" s="2142"/>
      <c r="B107" s="3540" t="s">
        <v>165</v>
      </c>
      <c r="C107" s="2154">
        <v>20159.145640999999</v>
      </c>
      <c r="D107" s="2346">
        <v>12886.869751760001</v>
      </c>
      <c r="E107" s="2346">
        <v>3116.9635571399999</v>
      </c>
      <c r="F107" s="2345">
        <v>0</v>
      </c>
      <c r="G107" s="2345">
        <v>0</v>
      </c>
      <c r="H107" s="2345">
        <v>0</v>
      </c>
      <c r="I107" s="2346">
        <v>1400.84536746</v>
      </c>
      <c r="J107" s="2346">
        <v>99.99</v>
      </c>
      <c r="K107" s="2346">
        <v>1396.8487875299998</v>
      </c>
      <c r="L107" s="2346">
        <v>4374.5917342499979</v>
      </c>
      <c r="M107" s="2745"/>
    </row>
    <row r="108" spans="1:13" ht="16.5" hidden="1">
      <c r="A108" s="2142"/>
      <c r="B108" s="3540" t="s">
        <v>166</v>
      </c>
      <c r="C108" s="2154">
        <v>22178.544665999998</v>
      </c>
      <c r="D108" s="2346">
        <v>13319.309000000001</v>
      </c>
      <c r="E108" s="2346">
        <v>3165.7750044499999</v>
      </c>
      <c r="F108" s="2345">
        <v>0</v>
      </c>
      <c r="G108" s="2345">
        <v>0</v>
      </c>
      <c r="H108" s="2345">
        <v>0</v>
      </c>
      <c r="I108" s="2346">
        <v>2009.6100000000001</v>
      </c>
      <c r="J108" s="2346">
        <v>199.96</v>
      </c>
      <c r="K108" s="2346">
        <v>1023.4285219199999</v>
      </c>
      <c r="L108" s="2346">
        <v>5626.237144079998</v>
      </c>
      <c r="M108" s="2745"/>
    </row>
    <row r="109" spans="1:13" ht="16.5" hidden="1">
      <c r="A109" s="2142"/>
      <c r="B109" s="3540" t="s">
        <v>167</v>
      </c>
      <c r="C109" s="2154">
        <v>22073.052607919992</v>
      </c>
      <c r="D109" s="2346">
        <v>13542.621075629999</v>
      </c>
      <c r="E109" s="2346">
        <v>2816.6000058899999</v>
      </c>
      <c r="F109" s="2345">
        <v>1000</v>
      </c>
      <c r="G109" s="2345">
        <v>1000</v>
      </c>
      <c r="H109" s="2345">
        <v>0</v>
      </c>
      <c r="I109" s="2346">
        <v>1101.9421921999999</v>
      </c>
      <c r="J109" s="2346">
        <v>118.90145367</v>
      </c>
      <c r="K109" s="2346">
        <v>1118.0569340999998</v>
      </c>
      <c r="L109" s="2346">
        <v>5191.530952319994</v>
      </c>
      <c r="M109" s="2745"/>
    </row>
    <row r="110" spans="1:13" ht="16.5" hidden="1">
      <c r="A110" s="2142"/>
      <c r="B110" s="3540" t="s">
        <v>168</v>
      </c>
      <c r="C110" s="2154">
        <v>22419.03063931</v>
      </c>
      <c r="D110" s="2346">
        <v>13452.223382639999</v>
      </c>
      <c r="E110" s="2346">
        <v>2873.0853143200002</v>
      </c>
      <c r="F110" s="2345">
        <v>1300</v>
      </c>
      <c r="G110" s="2345">
        <v>1300</v>
      </c>
      <c r="H110" s="2345">
        <v>0</v>
      </c>
      <c r="I110" s="2346">
        <v>1823.46608954</v>
      </c>
      <c r="J110" s="2346">
        <v>118.90145367</v>
      </c>
      <c r="K110" s="2346">
        <v>1072.8144393499997</v>
      </c>
      <c r="L110" s="2346">
        <v>4651.6252741099997</v>
      </c>
      <c r="M110" s="2745"/>
    </row>
    <row r="111" spans="1:13" ht="16.5" hidden="1">
      <c r="A111" s="2142"/>
      <c r="B111" s="3540" t="s">
        <v>169</v>
      </c>
      <c r="C111" s="2154">
        <v>22610.939290959999</v>
      </c>
      <c r="D111" s="2346">
        <v>13051.254520969998</v>
      </c>
      <c r="E111" s="2346">
        <v>2992.1266404700004</v>
      </c>
      <c r="F111" s="2345">
        <v>150</v>
      </c>
      <c r="G111" s="2345">
        <v>150</v>
      </c>
      <c r="H111" s="2345">
        <v>0</v>
      </c>
      <c r="I111" s="2346">
        <v>1245.22409866</v>
      </c>
      <c r="J111" s="2346">
        <v>2018.9214536700001</v>
      </c>
      <c r="K111" s="2346">
        <v>1072.8144393499997</v>
      </c>
      <c r="L111" s="2346">
        <v>5072.7247783099992</v>
      </c>
      <c r="M111" s="2745"/>
    </row>
    <row r="112" spans="1:13" ht="16.5" hidden="1">
      <c r="A112" s="2142"/>
      <c r="B112" s="3540" t="s">
        <v>170</v>
      </c>
      <c r="C112" s="2154">
        <v>23113.137362900001</v>
      </c>
      <c r="D112" s="2346">
        <v>12986.98585707</v>
      </c>
      <c r="E112" s="2346">
        <v>2848.5221016999999</v>
      </c>
      <c r="F112" s="2345">
        <v>0</v>
      </c>
      <c r="G112" s="2345">
        <v>0</v>
      </c>
      <c r="H112" s="2345">
        <v>0</v>
      </c>
      <c r="I112" s="2346">
        <v>1772.9952685600001</v>
      </c>
      <c r="J112" s="2346">
        <v>2027.7468253499999</v>
      </c>
      <c r="K112" s="2346">
        <v>1072.8144393499999</v>
      </c>
      <c r="L112" s="2346">
        <v>5252.5949725700011</v>
      </c>
      <c r="M112" s="2745"/>
    </row>
    <row r="113" spans="1:13" ht="16.5" hidden="1">
      <c r="A113" s="2142"/>
      <c r="B113" s="3540" t="s">
        <v>171</v>
      </c>
      <c r="C113" s="2154">
        <v>25323.822066680001</v>
      </c>
      <c r="D113" s="2346">
        <v>14771.031039610001</v>
      </c>
      <c r="E113" s="2346">
        <v>3062.79298432</v>
      </c>
      <c r="F113" s="2345">
        <v>0</v>
      </c>
      <c r="G113" s="2345">
        <v>0</v>
      </c>
      <c r="H113" s="2345">
        <v>0</v>
      </c>
      <c r="I113" s="2346">
        <v>2155.8534540199998</v>
      </c>
      <c r="J113" s="2346">
        <v>2000</v>
      </c>
      <c r="K113" s="2346">
        <v>1072.8144393499997</v>
      </c>
      <c r="L113" s="2346">
        <v>5324.123133699999</v>
      </c>
      <c r="M113" s="2745"/>
    </row>
    <row r="114" spans="1:13" ht="16.5">
      <c r="A114" s="2142"/>
      <c r="B114" s="3044">
        <v>2007</v>
      </c>
      <c r="C114" s="2154">
        <v>25812.639919149991</v>
      </c>
      <c r="D114" s="2346">
        <v>14933.295699589999</v>
      </c>
      <c r="E114" s="2346">
        <v>3246.00582833</v>
      </c>
      <c r="F114" s="2345">
        <v>0</v>
      </c>
      <c r="G114" s="2345">
        <v>0</v>
      </c>
      <c r="H114" s="2345">
        <v>0</v>
      </c>
      <c r="I114" s="2346">
        <v>2578.8267682999999</v>
      </c>
      <c r="J114" s="2346">
        <v>2000.0058566199998</v>
      </c>
      <c r="K114" s="2346">
        <v>1072.8144393499997</v>
      </c>
      <c r="L114" s="2346">
        <v>5227.6971552899922</v>
      </c>
      <c r="M114" s="2745"/>
    </row>
    <row r="115" spans="1:13" ht="16.5" hidden="1">
      <c r="A115" s="2142"/>
      <c r="B115" s="2492">
        <v>2008</v>
      </c>
      <c r="C115" s="3002"/>
      <c r="D115" s="2746"/>
      <c r="E115" s="2746"/>
      <c r="F115" s="2746"/>
      <c r="G115" s="2746"/>
      <c r="H115" s="2746"/>
      <c r="I115" s="2746"/>
      <c r="J115" s="2746"/>
      <c r="K115" s="2746"/>
      <c r="L115" s="2746"/>
      <c r="M115" s="2745"/>
    </row>
    <row r="116" spans="1:13" ht="16.5" hidden="1">
      <c r="A116" s="2142"/>
      <c r="B116" s="3540" t="s">
        <v>161</v>
      </c>
      <c r="C116" s="2154">
        <v>23741.102025579996</v>
      </c>
      <c r="D116" s="2346">
        <v>13156.64975362</v>
      </c>
      <c r="E116" s="2346">
        <v>3690.9589685699998</v>
      </c>
      <c r="F116" s="2345">
        <v>0</v>
      </c>
      <c r="G116" s="2345">
        <v>0</v>
      </c>
      <c r="H116" s="2345">
        <v>0</v>
      </c>
      <c r="I116" s="2346">
        <v>2563.73212263</v>
      </c>
      <c r="J116" s="2346">
        <v>2000</v>
      </c>
      <c r="K116" s="2346">
        <v>1167.8591845799999</v>
      </c>
      <c r="L116" s="2346">
        <v>4852.8609647499943</v>
      </c>
      <c r="M116" s="2745"/>
    </row>
    <row r="117" spans="1:13" ht="16.5" hidden="1">
      <c r="A117" s="2142"/>
      <c r="B117" s="3540" t="s">
        <v>162</v>
      </c>
      <c r="C117" s="2154">
        <v>24497.574092900002</v>
      </c>
      <c r="D117" s="2346">
        <v>13378.834711649999</v>
      </c>
      <c r="E117" s="2346">
        <v>3330.7269784700002</v>
      </c>
      <c r="F117" s="2345">
        <v>0</v>
      </c>
      <c r="G117" s="2345">
        <v>0</v>
      </c>
      <c r="H117" s="2345">
        <v>0</v>
      </c>
      <c r="I117" s="2346">
        <v>2692.5471254400004</v>
      </c>
      <c r="J117" s="2346">
        <v>2000.0158566199998</v>
      </c>
      <c r="K117" s="2346">
        <v>1286.99907321</v>
      </c>
      <c r="L117" s="2346">
        <v>5139.1773259800029</v>
      </c>
      <c r="M117" s="2745"/>
    </row>
    <row r="118" spans="1:13" ht="16.5" hidden="1">
      <c r="A118" s="2142"/>
      <c r="B118" s="3540" t="s">
        <v>163</v>
      </c>
      <c r="C118" s="2154">
        <v>25222.05968599</v>
      </c>
      <c r="D118" s="2346">
        <v>14167.27782245</v>
      </c>
      <c r="E118" s="2346">
        <v>3493.4330811099999</v>
      </c>
      <c r="F118" s="2345">
        <v>500</v>
      </c>
      <c r="G118" s="2345">
        <v>500</v>
      </c>
      <c r="H118" s="2345">
        <v>0</v>
      </c>
      <c r="I118" s="2346">
        <v>1784.40049873</v>
      </c>
      <c r="J118" s="2346">
        <v>2000.0158566199998</v>
      </c>
      <c r="K118" s="2346">
        <v>1329.4116147899999</v>
      </c>
      <c r="L118" s="2346">
        <v>5440.9538934000011</v>
      </c>
      <c r="M118" s="2745"/>
    </row>
    <row r="119" spans="1:13" ht="16.5" hidden="1">
      <c r="A119" s="2142"/>
      <c r="B119" s="3540" t="s">
        <v>164</v>
      </c>
      <c r="C119" s="2154">
        <v>25570.201523882402</v>
      </c>
      <c r="D119" s="2346">
        <v>14129.13933699</v>
      </c>
      <c r="E119" s="2346">
        <v>3326.44913688</v>
      </c>
      <c r="F119" s="2345">
        <v>1000</v>
      </c>
      <c r="G119" s="2345">
        <v>1000</v>
      </c>
      <c r="H119" s="2345">
        <v>0</v>
      </c>
      <c r="I119" s="2346">
        <v>1731.0015564299999</v>
      </c>
      <c r="J119" s="2346">
        <v>2009.7354214700001</v>
      </c>
      <c r="K119" s="2346">
        <v>1291.97532469</v>
      </c>
      <c r="L119" s="2346">
        <v>5408.3498843024026</v>
      </c>
      <c r="M119" s="2745"/>
    </row>
    <row r="120" spans="1:13" ht="16.5" hidden="1">
      <c r="A120" s="2142"/>
      <c r="B120" s="3540" t="s">
        <v>165</v>
      </c>
      <c r="C120" s="2154">
        <v>26889.674841749998</v>
      </c>
      <c r="D120" s="2346">
        <v>13868.29568119</v>
      </c>
      <c r="E120" s="2346">
        <v>3374.23913881</v>
      </c>
      <c r="F120" s="2345">
        <v>1400</v>
      </c>
      <c r="G120" s="2345">
        <v>1400</v>
      </c>
      <c r="H120" s="2345">
        <v>0</v>
      </c>
      <c r="I120" s="2346">
        <v>1433.57214325</v>
      </c>
      <c r="J120" s="2346">
        <v>2016.7239319600001</v>
      </c>
      <c r="K120" s="2346">
        <v>1362.5869211499999</v>
      </c>
      <c r="L120" s="2346">
        <v>6808.496164199998</v>
      </c>
      <c r="M120" s="2745"/>
    </row>
    <row r="121" spans="1:13" ht="16.5" hidden="1">
      <c r="A121" s="2142"/>
      <c r="B121" s="3540" t="s">
        <v>166</v>
      </c>
      <c r="C121" s="2154">
        <v>26267.813276629993</v>
      </c>
      <c r="D121" s="2346">
        <v>12871.80483427</v>
      </c>
      <c r="E121" s="2346">
        <v>3641.6401117199998</v>
      </c>
      <c r="F121" s="2345">
        <v>1800</v>
      </c>
      <c r="G121" s="2345">
        <v>1800</v>
      </c>
      <c r="H121" s="2345">
        <v>0</v>
      </c>
      <c r="I121" s="2346">
        <v>2264.5285806299999</v>
      </c>
      <c r="J121" s="2346">
        <v>2019.9266033800002</v>
      </c>
      <c r="K121" s="2346">
        <v>1430.0496715499999</v>
      </c>
      <c r="L121" s="2346">
        <v>5881.5035867999904</v>
      </c>
      <c r="M121" s="2745"/>
    </row>
    <row r="122" spans="1:13" ht="16.5" hidden="1">
      <c r="A122" s="2142"/>
      <c r="B122" s="3540" t="s">
        <v>167</v>
      </c>
      <c r="C122" s="2154">
        <v>26353.969386270004</v>
      </c>
      <c r="D122" s="2346">
        <v>13614.758282219998</v>
      </c>
      <c r="E122" s="2346">
        <v>3560.6352515499998</v>
      </c>
      <c r="F122" s="2345">
        <v>2300</v>
      </c>
      <c r="G122" s="2345">
        <v>2300</v>
      </c>
      <c r="H122" s="2345">
        <v>0</v>
      </c>
      <c r="I122" s="2346">
        <v>1504.29377187</v>
      </c>
      <c r="J122" s="2346">
        <v>2019.9266033800002</v>
      </c>
      <c r="K122" s="2346">
        <v>1406.8612001399999</v>
      </c>
      <c r="L122" s="2346">
        <v>5508.1295286600034</v>
      </c>
      <c r="M122" s="2745"/>
    </row>
    <row r="123" spans="1:13" ht="16.5" hidden="1">
      <c r="A123" s="2142"/>
      <c r="B123" s="3540" t="s">
        <v>168</v>
      </c>
      <c r="C123" s="2154">
        <v>27236.341206059999</v>
      </c>
      <c r="D123" s="2346">
        <v>12792.32332109</v>
      </c>
      <c r="E123" s="2346">
        <v>3348.0005742099997</v>
      </c>
      <c r="F123" s="2345">
        <v>2450</v>
      </c>
      <c r="G123" s="2345">
        <v>2450</v>
      </c>
      <c r="H123" s="2345">
        <v>0</v>
      </c>
      <c r="I123" s="2346">
        <v>1590.1278429699998</v>
      </c>
      <c r="J123" s="2346">
        <v>3019.92660338</v>
      </c>
      <c r="K123" s="2346">
        <v>1411.89148942</v>
      </c>
      <c r="L123" s="2346">
        <v>5972.0719491999989</v>
      </c>
      <c r="M123" s="2745"/>
    </row>
    <row r="124" spans="1:13" ht="16.5" hidden="1">
      <c r="A124" s="2142"/>
      <c r="B124" s="3540" t="s">
        <v>169</v>
      </c>
      <c r="C124" s="2154">
        <v>31350.789718980002</v>
      </c>
      <c r="D124" s="2346">
        <v>13618.83773906</v>
      </c>
      <c r="E124" s="2346">
        <v>3518.6205505999997</v>
      </c>
      <c r="F124" s="2345">
        <v>2400</v>
      </c>
      <c r="G124" s="2345">
        <v>2400</v>
      </c>
      <c r="H124" s="2345">
        <v>0</v>
      </c>
      <c r="I124" s="2346">
        <v>3166.84481134</v>
      </c>
      <c r="J124" s="2346">
        <v>3019.92660338</v>
      </c>
      <c r="K124" s="2346">
        <v>1432.1576703799999</v>
      </c>
      <c r="L124" s="2346">
        <v>7713.022894820002</v>
      </c>
      <c r="M124" s="2745"/>
    </row>
    <row r="125" spans="1:13" ht="16.5" hidden="1">
      <c r="A125" s="2142"/>
      <c r="B125" s="3540" t="s">
        <v>170</v>
      </c>
      <c r="C125" s="2154">
        <v>33284.402253319997</v>
      </c>
      <c r="D125" s="2346">
        <v>15843.607495819999</v>
      </c>
      <c r="E125" s="2346">
        <v>3709.3112831999997</v>
      </c>
      <c r="F125" s="2345">
        <v>0</v>
      </c>
      <c r="G125" s="2345">
        <v>0</v>
      </c>
      <c r="H125" s="2345">
        <v>0</v>
      </c>
      <c r="I125" s="2346">
        <v>4599.6413067599997</v>
      </c>
      <c r="J125" s="2346">
        <v>2019.9266033800002</v>
      </c>
      <c r="K125" s="2346">
        <v>1471.5701465899999</v>
      </c>
      <c r="L125" s="2346">
        <v>9349.6567007699996</v>
      </c>
      <c r="M125" s="2745"/>
    </row>
    <row r="126" spans="1:13" ht="16.5" hidden="1">
      <c r="A126" s="2142"/>
      <c r="B126" s="3540" t="s">
        <v>171</v>
      </c>
      <c r="C126" s="2154">
        <v>34742.788876002705</v>
      </c>
      <c r="D126" s="2346">
        <v>17517.677925370001</v>
      </c>
      <c r="E126" s="2346">
        <v>3781.4940742200001</v>
      </c>
      <c r="F126" s="2345">
        <v>0</v>
      </c>
      <c r="G126" s="2345">
        <v>0</v>
      </c>
      <c r="H126" s="2345">
        <v>0</v>
      </c>
      <c r="I126" s="2346">
        <v>4196.0538865999997</v>
      </c>
      <c r="J126" s="2346">
        <v>2019.9166033800002</v>
      </c>
      <c r="K126" s="2346">
        <v>1615.4751987999998</v>
      </c>
      <c r="L126" s="2346">
        <v>9393.6652618527078</v>
      </c>
      <c r="M126" s="2745"/>
    </row>
    <row r="127" spans="1:13" ht="16.5">
      <c r="A127" s="2142"/>
      <c r="B127" s="3044">
        <v>2008</v>
      </c>
      <c r="C127" s="2154">
        <v>33509.310148670003</v>
      </c>
      <c r="D127" s="2346">
        <v>15528.363217200002</v>
      </c>
      <c r="E127" s="2346">
        <v>3842.1772539100002</v>
      </c>
      <c r="F127" s="2345">
        <v>0</v>
      </c>
      <c r="G127" s="2345">
        <v>0</v>
      </c>
      <c r="H127" s="2345">
        <v>0</v>
      </c>
      <c r="I127" s="2346">
        <v>7477.2004073299995</v>
      </c>
      <c r="J127" s="2346">
        <v>1019.91660338</v>
      </c>
      <c r="K127" s="2346">
        <v>1076.2490413199998</v>
      </c>
      <c r="L127" s="2346">
        <v>8407.5808794400036</v>
      </c>
      <c r="M127" s="2745"/>
    </row>
    <row r="128" spans="1:13" ht="16.5" hidden="1">
      <c r="A128" s="2142"/>
      <c r="B128" s="2492">
        <v>2009</v>
      </c>
      <c r="C128" s="3002"/>
      <c r="D128" s="2746"/>
      <c r="E128" s="2746"/>
      <c r="F128" s="2746"/>
      <c r="G128" s="2746"/>
      <c r="H128" s="2746"/>
      <c r="I128" s="2746"/>
      <c r="J128" s="2746"/>
      <c r="K128" s="2746"/>
      <c r="L128" s="2746"/>
      <c r="M128" s="2745"/>
    </row>
    <row r="129" spans="1:13" ht="16.5" hidden="1">
      <c r="A129" s="2142"/>
      <c r="B129" s="2493" t="s">
        <v>161</v>
      </c>
      <c r="C129" s="2154">
        <v>33299.979038569996</v>
      </c>
      <c r="D129" s="2346">
        <v>16084.928785</v>
      </c>
      <c r="E129" s="2346">
        <v>3824.9202869599999</v>
      </c>
      <c r="F129" s="2345">
        <v>636.73783800000001</v>
      </c>
      <c r="G129" s="2345">
        <v>636.73783800000001</v>
      </c>
      <c r="H129" s="2345">
        <v>0</v>
      </c>
      <c r="I129" s="2346">
        <v>4578.3157895300001</v>
      </c>
      <c r="J129" s="2346">
        <v>1999.99</v>
      </c>
      <c r="K129" s="2346">
        <v>956.57427591999999</v>
      </c>
      <c r="L129" s="2346">
        <v>9043.4323501199942</v>
      </c>
      <c r="M129" s="2745"/>
    </row>
    <row r="130" spans="1:13" ht="16.5" hidden="1">
      <c r="A130" s="2142"/>
      <c r="B130" s="2493" t="s">
        <v>162</v>
      </c>
      <c r="C130" s="2154">
        <v>32321.010386569997</v>
      </c>
      <c r="D130" s="2346">
        <v>14969.834290999999</v>
      </c>
      <c r="E130" s="2346">
        <v>3847.9981762100006</v>
      </c>
      <c r="F130" s="2345">
        <v>0</v>
      </c>
      <c r="G130" s="2345">
        <v>0</v>
      </c>
      <c r="H130" s="2345">
        <v>0</v>
      </c>
      <c r="I130" s="2346">
        <v>5929.2267939900003</v>
      </c>
      <c r="J130" s="2346">
        <v>1000</v>
      </c>
      <c r="K130" s="2346">
        <v>1071.55190492</v>
      </c>
      <c r="L130" s="2346">
        <v>9350.3973966599951</v>
      </c>
      <c r="M130" s="2745"/>
    </row>
    <row r="131" spans="1:13" ht="16.5" hidden="1">
      <c r="A131" s="2142"/>
      <c r="B131" s="2493" t="s">
        <v>163</v>
      </c>
      <c r="C131" s="2154">
        <v>33558.692172569994</v>
      </c>
      <c r="D131" s="2346">
        <v>15284.450444999999</v>
      </c>
      <c r="E131" s="2346">
        <v>3947.85483488</v>
      </c>
      <c r="F131" s="2345">
        <v>750</v>
      </c>
      <c r="G131" s="2345">
        <v>750</v>
      </c>
      <c r="H131" s="2345">
        <v>0</v>
      </c>
      <c r="I131" s="2346">
        <v>5555.7496084799996</v>
      </c>
      <c r="J131" s="2346">
        <v>1000</v>
      </c>
      <c r="K131" s="2346">
        <v>1124.7929199199998</v>
      </c>
      <c r="L131" s="2346">
        <v>9843.6991991699942</v>
      </c>
      <c r="M131" s="2745"/>
    </row>
    <row r="132" spans="1:13" ht="16.5" hidden="1">
      <c r="A132" s="2142"/>
      <c r="B132" s="2493" t="s">
        <v>164</v>
      </c>
      <c r="C132" s="2154">
        <v>34669.887944919996</v>
      </c>
      <c r="D132" s="2346">
        <v>14471.284520000001</v>
      </c>
      <c r="E132" s="2346">
        <v>4073.5839133000004</v>
      </c>
      <c r="F132" s="2345">
        <v>3000</v>
      </c>
      <c r="G132" s="2345">
        <v>3000</v>
      </c>
      <c r="H132" s="2345">
        <v>0</v>
      </c>
      <c r="I132" s="2346">
        <v>5513.8707518399997</v>
      </c>
      <c r="J132" s="2346">
        <v>1000</v>
      </c>
      <c r="K132" s="2346">
        <v>1144.5633479199998</v>
      </c>
      <c r="L132" s="2346">
        <v>9540.1693251599936</v>
      </c>
      <c r="M132" s="2745"/>
    </row>
    <row r="133" spans="1:13" ht="16.5" hidden="1">
      <c r="A133" s="2142"/>
      <c r="B133" s="2493" t="s">
        <v>165</v>
      </c>
      <c r="C133" s="2154">
        <v>33489.587727319995</v>
      </c>
      <c r="D133" s="2346">
        <v>15247.644189000001</v>
      </c>
      <c r="E133" s="2346">
        <v>4168.5947464700012</v>
      </c>
      <c r="F133" s="2345">
        <v>3000</v>
      </c>
      <c r="G133" s="2345">
        <v>3000</v>
      </c>
      <c r="H133" s="2345">
        <v>0</v>
      </c>
      <c r="I133" s="2346">
        <v>4490.0773233899999</v>
      </c>
      <c r="J133" s="2346">
        <v>1000</v>
      </c>
      <c r="K133" s="2346">
        <v>1258.4537999199999</v>
      </c>
      <c r="L133" s="2346">
        <v>8493.412415009996</v>
      </c>
      <c r="M133" s="2745"/>
    </row>
    <row r="134" spans="1:13" ht="16.5" hidden="1">
      <c r="A134" s="2142"/>
      <c r="B134" s="2493" t="s">
        <v>166</v>
      </c>
      <c r="C134" s="2154">
        <v>34942.825604997764</v>
      </c>
      <c r="D134" s="2346">
        <v>14697.905847999999</v>
      </c>
      <c r="E134" s="2346">
        <v>4541.8124188700003</v>
      </c>
      <c r="F134" s="2345">
        <v>3917.3210399999998</v>
      </c>
      <c r="G134" s="2345">
        <v>3917.3210399999998</v>
      </c>
      <c r="H134" s="2345">
        <v>0</v>
      </c>
      <c r="I134" s="2346">
        <v>4204.2783200100002</v>
      </c>
      <c r="J134" s="2346">
        <v>2000</v>
      </c>
      <c r="K134" s="2346">
        <v>1133.52662392</v>
      </c>
      <c r="L134" s="2346">
        <v>8989.7937730677659</v>
      </c>
      <c r="M134" s="2745"/>
    </row>
    <row r="135" spans="1:13" ht="16.5" hidden="1">
      <c r="A135" s="2142"/>
      <c r="B135" s="2493" t="s">
        <v>167</v>
      </c>
      <c r="C135" s="2154">
        <v>35440.187483687776</v>
      </c>
      <c r="D135" s="2346">
        <v>15313.91677313</v>
      </c>
      <c r="E135" s="2346">
        <v>4349.8251350299997</v>
      </c>
      <c r="F135" s="2345">
        <v>5267.3210394999996</v>
      </c>
      <c r="G135" s="2345">
        <v>5267.3210394999996</v>
      </c>
      <c r="H135" s="2345">
        <v>0</v>
      </c>
      <c r="I135" s="2346">
        <v>3633.8355912400002</v>
      </c>
      <c r="J135" s="2346">
        <v>1000</v>
      </c>
      <c r="K135" s="2346">
        <v>1172.39201114</v>
      </c>
      <c r="L135" s="2346">
        <v>9052.7220686777764</v>
      </c>
      <c r="M135" s="2745"/>
    </row>
    <row r="136" spans="1:13" ht="16.5" hidden="1">
      <c r="A136" s="2142"/>
      <c r="B136" s="2493" t="s">
        <v>168</v>
      </c>
      <c r="C136" s="2154">
        <v>35681.331036367512</v>
      </c>
      <c r="D136" s="2346">
        <v>15963.998035780001</v>
      </c>
      <c r="E136" s="2346">
        <v>4454.9271976099999</v>
      </c>
      <c r="F136" s="2345">
        <v>4993.6684354999998</v>
      </c>
      <c r="G136" s="2345">
        <v>4993.6684354999998</v>
      </c>
      <c r="H136" s="2345">
        <v>0</v>
      </c>
      <c r="I136" s="2346">
        <v>3166.07065027</v>
      </c>
      <c r="J136" s="2346">
        <v>1000</v>
      </c>
      <c r="K136" s="2346">
        <v>1183.1990416399999</v>
      </c>
      <c r="L136" s="2346">
        <v>9374.394873177509</v>
      </c>
      <c r="M136" s="2745"/>
    </row>
    <row r="137" spans="1:13" ht="16.5" hidden="1">
      <c r="A137" s="2142"/>
      <c r="B137" s="2493" t="s">
        <v>169</v>
      </c>
      <c r="C137" s="2154">
        <v>37012.841268407501</v>
      </c>
      <c r="D137" s="2346">
        <v>17946.049524369999</v>
      </c>
      <c r="E137" s="2346">
        <v>4579.9208999099992</v>
      </c>
      <c r="F137" s="2345">
        <v>4798.1482990900004</v>
      </c>
      <c r="G137" s="2345">
        <v>4798.1482990900004</v>
      </c>
      <c r="H137" s="2345">
        <v>0</v>
      </c>
      <c r="I137" s="2346">
        <v>3071.37111061</v>
      </c>
      <c r="J137" s="2346">
        <v>1000</v>
      </c>
      <c r="K137" s="2346">
        <v>1205.8065099</v>
      </c>
      <c r="L137" s="2346">
        <v>8991.4658244375023</v>
      </c>
      <c r="M137" s="2745"/>
    </row>
    <row r="138" spans="1:13" ht="16.5" hidden="1">
      <c r="A138" s="2142"/>
      <c r="B138" s="2493" t="s">
        <v>170</v>
      </c>
      <c r="C138" s="2154">
        <v>36021.27205369751</v>
      </c>
      <c r="D138" s="2346">
        <v>20037.392324749999</v>
      </c>
      <c r="E138" s="2346">
        <v>4854.9813736200003</v>
      </c>
      <c r="F138" s="2345">
        <v>3000</v>
      </c>
      <c r="G138" s="2345">
        <v>3000</v>
      </c>
      <c r="H138" s="2345">
        <v>0</v>
      </c>
      <c r="I138" s="2346">
        <v>3417.6270066299999</v>
      </c>
      <c r="J138" s="2346">
        <v>1022.32322264</v>
      </c>
      <c r="K138" s="2346">
        <v>935.89544195999997</v>
      </c>
      <c r="L138" s="2346">
        <v>7608.034057717512</v>
      </c>
      <c r="M138" s="2745"/>
    </row>
    <row r="139" spans="1:13" ht="16.5" hidden="1">
      <c r="A139" s="2142"/>
      <c r="B139" s="2493" t="s">
        <v>171</v>
      </c>
      <c r="C139" s="2154">
        <v>38942.97696305751</v>
      </c>
      <c r="D139" s="2346">
        <v>22755.60089935</v>
      </c>
      <c r="E139" s="2346">
        <v>4879.6974047100002</v>
      </c>
      <c r="F139" s="2345">
        <v>3000</v>
      </c>
      <c r="G139" s="2345">
        <v>3000</v>
      </c>
      <c r="H139" s="2345">
        <v>0</v>
      </c>
      <c r="I139" s="2346">
        <v>3850.2442873299997</v>
      </c>
      <c r="J139" s="2346">
        <v>22.323222640000001</v>
      </c>
      <c r="K139" s="2346">
        <v>1002.8931682699999</v>
      </c>
      <c r="L139" s="2346">
        <v>8311.9153854675133</v>
      </c>
      <c r="M139" s="2745"/>
    </row>
    <row r="140" spans="1:13" ht="16.5">
      <c r="A140" s="2142"/>
      <c r="B140" s="3045">
        <v>2009</v>
      </c>
      <c r="C140" s="2154">
        <v>39114.687008727509</v>
      </c>
      <c r="D140" s="2346">
        <v>21741.212056049997</v>
      </c>
      <c r="E140" s="2346">
        <v>4980.1189340800001</v>
      </c>
      <c r="F140" s="2345">
        <v>3000</v>
      </c>
      <c r="G140" s="2345">
        <v>3000</v>
      </c>
      <c r="H140" s="2345">
        <v>0</v>
      </c>
      <c r="I140" s="2346">
        <v>3239.2684379000002</v>
      </c>
      <c r="J140" s="2346">
        <v>2022.32322264</v>
      </c>
      <c r="K140" s="2346">
        <v>1006.47568597</v>
      </c>
      <c r="L140" s="2346">
        <v>8105.407606167515</v>
      </c>
      <c r="M140" s="2745"/>
    </row>
    <row r="141" spans="1:13" ht="16.5" hidden="1">
      <c r="A141" s="2142"/>
      <c r="B141" s="2492">
        <v>2010</v>
      </c>
      <c r="C141" s="2747"/>
      <c r="D141" s="2747"/>
      <c r="E141" s="2747"/>
      <c r="F141" s="2747"/>
      <c r="G141" s="2747"/>
      <c r="H141" s="2747"/>
      <c r="I141" s="2747"/>
      <c r="J141" s="2747"/>
      <c r="K141" s="2747"/>
      <c r="L141" s="2747"/>
      <c r="M141" s="2745"/>
    </row>
    <row r="142" spans="1:13" ht="16.5" hidden="1">
      <c r="A142" s="2142"/>
      <c r="B142" s="2493" t="s">
        <v>161</v>
      </c>
      <c r="C142" s="2708">
        <v>36138.872386477502</v>
      </c>
      <c r="D142" s="2709">
        <v>20221.203052469999</v>
      </c>
      <c r="E142" s="2709">
        <v>5103.3481168499993</v>
      </c>
      <c r="F142" s="2710">
        <v>3000</v>
      </c>
      <c r="G142" s="2710">
        <v>3000</v>
      </c>
      <c r="H142" s="2710">
        <v>0</v>
      </c>
      <c r="I142" s="2709">
        <v>2251.5659747899999</v>
      </c>
      <c r="J142" s="2709">
        <v>2022.32322264</v>
      </c>
      <c r="K142" s="2709">
        <v>1039.5040464599999</v>
      </c>
      <c r="L142" s="2709">
        <v>7604.2760901175061</v>
      </c>
      <c r="M142" s="2745"/>
    </row>
    <row r="143" spans="1:13" ht="16.5" hidden="1">
      <c r="A143" s="2142"/>
      <c r="B143" s="2493" t="s">
        <v>162</v>
      </c>
      <c r="C143" s="2708">
        <v>36707.330006957505</v>
      </c>
      <c r="D143" s="2709">
        <v>20366.049487780001</v>
      </c>
      <c r="E143" s="2709">
        <v>5355.9527071700004</v>
      </c>
      <c r="F143" s="2710">
        <v>3324.8472230000002</v>
      </c>
      <c r="G143" s="2710">
        <v>3324.8472230000002</v>
      </c>
      <c r="H143" s="2710">
        <v>0</v>
      </c>
      <c r="I143" s="2709">
        <v>2232.5692888699996</v>
      </c>
      <c r="J143" s="2709">
        <v>2022.32322264</v>
      </c>
      <c r="K143" s="2709">
        <v>1074.5338995499999</v>
      </c>
      <c r="L143" s="2709">
        <v>7687.0068851175056</v>
      </c>
      <c r="M143" s="2745"/>
    </row>
    <row r="144" spans="1:13" ht="16.5" hidden="1">
      <c r="A144" s="2142"/>
      <c r="B144" s="2493" t="s">
        <v>163</v>
      </c>
      <c r="C144" s="2708">
        <v>36795.011736247507</v>
      </c>
      <c r="D144" s="2709">
        <v>22349.737831959996</v>
      </c>
      <c r="E144" s="2709">
        <v>5058.9221453100008</v>
      </c>
      <c r="F144" s="2710">
        <v>3000</v>
      </c>
      <c r="G144" s="2710">
        <v>3000</v>
      </c>
      <c r="H144" s="2710">
        <v>0</v>
      </c>
      <c r="I144" s="2709">
        <v>2612.8096509899997</v>
      </c>
      <c r="J144" s="2709">
        <v>1022.32322264</v>
      </c>
      <c r="K144" s="2709">
        <v>1052.27282343</v>
      </c>
      <c r="L144" s="2709">
        <v>6757.8682072275114</v>
      </c>
      <c r="M144" s="2745"/>
    </row>
    <row r="145" spans="1:13" ht="16.5" hidden="1">
      <c r="A145" s="2142"/>
      <c r="B145" s="2493" t="s">
        <v>164</v>
      </c>
      <c r="C145" s="2708">
        <v>35155.3280972875</v>
      </c>
      <c r="D145" s="2709">
        <v>19350.07223994</v>
      </c>
      <c r="E145" s="2709">
        <v>5066.5994275099993</v>
      </c>
      <c r="F145" s="2710">
        <v>3000</v>
      </c>
      <c r="G145" s="2710">
        <v>3000</v>
      </c>
      <c r="H145" s="2710">
        <v>0</v>
      </c>
      <c r="I145" s="2709">
        <v>4581.2364702300001</v>
      </c>
      <c r="J145" s="2709">
        <v>1022.32322264</v>
      </c>
      <c r="K145" s="2709">
        <v>1083.68222337</v>
      </c>
      <c r="L145" s="2709">
        <v>6118.0139411074997</v>
      </c>
      <c r="M145" s="2745"/>
    </row>
    <row r="146" spans="1:13" ht="16.5" hidden="1">
      <c r="A146" s="2142"/>
      <c r="B146" s="2493" t="s">
        <v>165</v>
      </c>
      <c r="C146" s="2708">
        <v>37161.162690467507</v>
      </c>
      <c r="D146" s="2709">
        <v>19603.821543620001</v>
      </c>
      <c r="E146" s="2709">
        <v>4920.1107167600003</v>
      </c>
      <c r="F146" s="2710">
        <v>3841.627391</v>
      </c>
      <c r="G146" s="2710">
        <v>3841.627391</v>
      </c>
      <c r="H146" s="2710">
        <v>0</v>
      </c>
      <c r="I146" s="2709">
        <v>4193.8019966299998</v>
      </c>
      <c r="J146" s="2709">
        <v>1022.32322264</v>
      </c>
      <c r="K146" s="2709">
        <v>1166.2305669699999</v>
      </c>
      <c r="L146" s="2709">
        <v>7333.3579696075103</v>
      </c>
      <c r="M146" s="2745"/>
    </row>
    <row r="147" spans="1:13" ht="16.5" hidden="1">
      <c r="A147" s="2142"/>
      <c r="B147" s="2493" t="s">
        <v>166</v>
      </c>
      <c r="C147" s="2708">
        <v>37610.6155076125</v>
      </c>
      <c r="D147" s="2709">
        <v>20574.672478370001</v>
      </c>
      <c r="E147" s="2709">
        <v>5386.5066145799992</v>
      </c>
      <c r="F147" s="2710">
        <v>4500.3387874300006</v>
      </c>
      <c r="G147" s="2710">
        <v>4500.3387874300006</v>
      </c>
      <c r="H147" s="2710">
        <v>0</v>
      </c>
      <c r="I147" s="2709">
        <v>4047.2466753800004</v>
      </c>
      <c r="J147" s="2709">
        <v>21.4084</v>
      </c>
      <c r="K147" s="2709">
        <v>1097.6588016400001</v>
      </c>
      <c r="L147" s="2709">
        <v>7369.2903647924977</v>
      </c>
      <c r="M147" s="2745"/>
    </row>
    <row r="148" spans="1:13" ht="16.5" hidden="1">
      <c r="A148" s="2142"/>
      <c r="B148" s="2493" t="s">
        <v>167</v>
      </c>
      <c r="C148" s="2708">
        <v>38435.371449672493</v>
      </c>
      <c r="D148" s="2709">
        <v>19872.191743570002</v>
      </c>
      <c r="E148" s="2709">
        <v>5655.4179226599999</v>
      </c>
      <c r="F148" s="2710">
        <v>5872.6330394300003</v>
      </c>
      <c r="G148" s="2710">
        <v>5872.6330394300003</v>
      </c>
      <c r="H148" s="2710">
        <v>0</v>
      </c>
      <c r="I148" s="2709">
        <v>2668.5302191999995</v>
      </c>
      <c r="J148" s="2709">
        <v>1021.4084</v>
      </c>
      <c r="K148" s="2709">
        <v>3233.6558069999996</v>
      </c>
      <c r="L148" s="2709">
        <v>5766.9522404724921</v>
      </c>
      <c r="M148" s="2745"/>
    </row>
    <row r="149" spans="1:13" ht="16.5" hidden="1">
      <c r="A149" s="2142"/>
      <c r="B149" s="2493" t="s">
        <v>168</v>
      </c>
      <c r="C149" s="2708">
        <v>38194.511111212494</v>
      </c>
      <c r="D149" s="2709">
        <v>20706.735700100002</v>
      </c>
      <c r="E149" s="2709">
        <v>5155.5735006599998</v>
      </c>
      <c r="F149" s="2710">
        <v>5480.3712943500004</v>
      </c>
      <c r="G149" s="2710">
        <v>5480.3712943500004</v>
      </c>
      <c r="H149" s="2710">
        <v>0</v>
      </c>
      <c r="I149" s="2709">
        <v>2194.9009409</v>
      </c>
      <c r="J149" s="2709">
        <v>1021.4084</v>
      </c>
      <c r="K149" s="2709">
        <v>3239.2468330699994</v>
      </c>
      <c r="L149" s="2709">
        <v>5551.847942792494</v>
      </c>
      <c r="M149" s="2745"/>
    </row>
    <row r="150" spans="1:13" ht="16.5" hidden="1">
      <c r="A150" s="2142"/>
      <c r="B150" s="2493" t="s">
        <v>169</v>
      </c>
      <c r="C150" s="2708">
        <v>41730.965145922484</v>
      </c>
      <c r="D150" s="2709">
        <v>28215.93383342</v>
      </c>
      <c r="E150" s="2709">
        <v>5575.7302482300001</v>
      </c>
      <c r="F150" s="2710">
        <v>3000</v>
      </c>
      <c r="G150" s="2710">
        <v>3000</v>
      </c>
      <c r="H150" s="2710">
        <v>0</v>
      </c>
      <c r="I150" s="2709">
        <v>2473.5538090099999</v>
      </c>
      <c r="J150" s="2709">
        <v>21.4084</v>
      </c>
      <c r="K150" s="2709">
        <v>3239.7252954499995</v>
      </c>
      <c r="L150" s="2709">
        <v>4780.3438080424821</v>
      </c>
      <c r="M150" s="2745"/>
    </row>
    <row r="151" spans="1:13" ht="16.5" hidden="1">
      <c r="A151" s="2142"/>
      <c r="B151" s="2493" t="s">
        <v>170</v>
      </c>
      <c r="C151" s="2708">
        <v>40188.207374662503</v>
      </c>
      <c r="D151" s="2709">
        <v>26362.286438810002</v>
      </c>
      <c r="E151" s="2709">
        <v>5366.1484857300011</v>
      </c>
      <c r="F151" s="2710">
        <v>3000</v>
      </c>
      <c r="G151" s="2710">
        <v>3000</v>
      </c>
      <c r="H151" s="2710">
        <v>0</v>
      </c>
      <c r="I151" s="2709">
        <v>2666.0739600400002</v>
      </c>
      <c r="J151" s="2709">
        <v>1021.4084</v>
      </c>
      <c r="K151" s="2709">
        <v>3097.0892609099997</v>
      </c>
      <c r="L151" s="2709">
        <v>4041.3493149025016</v>
      </c>
      <c r="M151" s="2745"/>
    </row>
    <row r="152" spans="1:13" ht="16.5" hidden="1">
      <c r="A152" s="2142"/>
      <c r="B152" s="2493" t="s">
        <v>171</v>
      </c>
      <c r="C152" s="2708">
        <v>42335.680001032495</v>
      </c>
      <c r="D152" s="2709">
        <v>29906.267028900002</v>
      </c>
      <c r="E152" s="2709">
        <v>5586.7826288800006</v>
      </c>
      <c r="F152" s="2710">
        <v>3000</v>
      </c>
      <c r="G152" s="2710">
        <v>3000</v>
      </c>
      <c r="H152" s="2710">
        <v>0</v>
      </c>
      <c r="I152" s="2709">
        <v>430.96580261999998</v>
      </c>
      <c r="J152" s="2709">
        <v>1021.4084</v>
      </c>
      <c r="K152" s="2709">
        <v>3130.5121972599995</v>
      </c>
      <c r="L152" s="2709">
        <v>4846.5265722524928</v>
      </c>
      <c r="M152" s="2745"/>
    </row>
    <row r="153" spans="1:13" ht="16.5">
      <c r="A153" s="2142"/>
      <c r="B153" s="3045">
        <v>2010</v>
      </c>
      <c r="C153" s="2708">
        <v>42963.260261242496</v>
      </c>
      <c r="D153" s="2709">
        <v>27248.625281810004</v>
      </c>
      <c r="E153" s="2709">
        <v>5608.5268061100005</v>
      </c>
      <c r="F153" s="2710">
        <v>3000</v>
      </c>
      <c r="G153" s="2710">
        <v>3000</v>
      </c>
      <c r="H153" s="2710">
        <v>0</v>
      </c>
      <c r="I153" s="2709">
        <v>4110.76118864</v>
      </c>
      <c r="J153" s="2709">
        <v>1021.4084</v>
      </c>
      <c r="K153" s="2709">
        <v>3183.09237373</v>
      </c>
      <c r="L153" s="2709">
        <v>4399.3730170624913</v>
      </c>
      <c r="M153" s="2745"/>
    </row>
    <row r="154" spans="1:13" ht="16.5" hidden="1">
      <c r="A154" s="2143"/>
      <c r="B154" s="2492">
        <v>2011</v>
      </c>
      <c r="C154" s="2748"/>
      <c r="D154" s="2749"/>
      <c r="E154" s="2749"/>
      <c r="F154" s="2749"/>
      <c r="G154" s="2749"/>
      <c r="H154" s="2749"/>
      <c r="I154" s="2749"/>
      <c r="J154" s="2749"/>
      <c r="K154" s="2749"/>
      <c r="L154" s="2749"/>
      <c r="M154" s="2745"/>
    </row>
    <row r="155" spans="1:13" ht="16.5" hidden="1">
      <c r="A155" s="2143"/>
      <c r="B155" s="2493" t="s">
        <v>161</v>
      </c>
      <c r="C155" s="2708">
        <v>39462.029326282507</v>
      </c>
      <c r="D155" s="2709">
        <v>23562.912957029999</v>
      </c>
      <c r="E155" s="2709">
        <v>5727.0635296199998</v>
      </c>
      <c r="F155" s="2710">
        <v>3000</v>
      </c>
      <c r="G155" s="2710">
        <v>3000</v>
      </c>
      <c r="H155" s="2710">
        <v>0</v>
      </c>
      <c r="I155" s="2709">
        <v>4708.2493784400003</v>
      </c>
      <c r="J155" s="2709">
        <v>21.4084</v>
      </c>
      <c r="K155" s="2709">
        <v>3297.7483164599998</v>
      </c>
      <c r="L155" s="2709">
        <v>4871.7102743525102</v>
      </c>
      <c r="M155" s="2745"/>
    </row>
    <row r="156" spans="1:13" ht="16.5" hidden="1">
      <c r="A156" s="2143"/>
      <c r="B156" s="2493" t="s">
        <v>162</v>
      </c>
      <c r="C156" s="2708">
        <v>39104.796046552503</v>
      </c>
      <c r="D156" s="2709">
        <v>21989.975859229999</v>
      </c>
      <c r="E156" s="2709">
        <v>5767.9076162900001</v>
      </c>
      <c r="F156" s="2710">
        <v>4227.7545440000004</v>
      </c>
      <c r="G156" s="2710">
        <v>4227.7545440000004</v>
      </c>
      <c r="H156" s="2710">
        <v>0</v>
      </c>
      <c r="I156" s="2709">
        <v>4828.2736250500002</v>
      </c>
      <c r="J156" s="2709">
        <v>21.4084</v>
      </c>
      <c r="K156" s="2709">
        <v>3337.0821011799999</v>
      </c>
      <c r="L156" s="2709">
        <v>4700.3015170925064</v>
      </c>
      <c r="M156" s="2745"/>
    </row>
    <row r="157" spans="1:13" ht="16.5" hidden="1">
      <c r="A157" s="2143"/>
      <c r="B157" s="2493" t="s">
        <v>163</v>
      </c>
      <c r="C157" s="2708">
        <v>38652.379848742501</v>
      </c>
      <c r="D157" s="2709">
        <v>20795.926013349999</v>
      </c>
      <c r="E157" s="2709">
        <v>5812.2907691700002</v>
      </c>
      <c r="F157" s="2710">
        <v>6385.8686409400007</v>
      </c>
      <c r="G157" s="2710">
        <v>6385.8686409400007</v>
      </c>
      <c r="H157" s="2710">
        <v>0</v>
      </c>
      <c r="I157" s="2709">
        <v>3886.0442498900002</v>
      </c>
      <c r="J157" s="2709">
        <v>21.4084</v>
      </c>
      <c r="K157" s="2709">
        <v>3363.5530910100001</v>
      </c>
      <c r="L157" s="2709">
        <v>4199.5794535524983</v>
      </c>
      <c r="M157" s="2745"/>
    </row>
    <row r="158" spans="1:13" ht="16.5" hidden="1">
      <c r="A158" s="2143"/>
      <c r="B158" s="2493" t="s">
        <v>164</v>
      </c>
      <c r="C158" s="2708">
        <v>40183.591239857487</v>
      </c>
      <c r="D158" s="2709">
        <v>20798.655667710002</v>
      </c>
      <c r="E158" s="2709">
        <v>5933.1392216699996</v>
      </c>
      <c r="F158" s="2710">
        <v>6828.46654012</v>
      </c>
      <c r="G158" s="2710">
        <v>6828.46654012</v>
      </c>
      <c r="H158" s="2710">
        <v>0</v>
      </c>
      <c r="I158" s="2709">
        <v>5179.4161095499994</v>
      </c>
      <c r="J158" s="2709">
        <v>21.4084</v>
      </c>
      <c r="K158" s="2709">
        <v>3334.0139230099999</v>
      </c>
      <c r="L158" s="2709">
        <v>4021.630599467484</v>
      </c>
      <c r="M158" s="2745"/>
    </row>
    <row r="159" spans="1:13" ht="16.5" hidden="1">
      <c r="A159" s="2143"/>
      <c r="B159" s="2493" t="s">
        <v>165</v>
      </c>
      <c r="C159" s="2708">
        <v>41124.780142590003</v>
      </c>
      <c r="D159" s="2709">
        <v>19010.18471207</v>
      </c>
      <c r="E159" s="2709">
        <v>6172.8198462700002</v>
      </c>
      <c r="F159" s="2710">
        <v>7442.75908041</v>
      </c>
      <c r="G159" s="2710">
        <v>7442.75908041</v>
      </c>
      <c r="H159" s="2710">
        <v>0</v>
      </c>
      <c r="I159" s="2709">
        <v>6513.6076765600001</v>
      </c>
      <c r="J159" s="2709">
        <v>21.4084</v>
      </c>
      <c r="K159" s="2709">
        <v>3373.88747616</v>
      </c>
      <c r="L159" s="2709">
        <v>4762.9327973899999</v>
      </c>
      <c r="M159" s="2745"/>
    </row>
    <row r="160" spans="1:13" ht="16.5" hidden="1">
      <c r="A160" s="2143"/>
      <c r="B160" s="2493" t="s">
        <v>166</v>
      </c>
      <c r="C160" s="2708">
        <v>40681.891484719999</v>
      </c>
      <c r="D160" s="2709">
        <v>19727.626879979998</v>
      </c>
      <c r="E160" s="2709">
        <v>6893.6794676700001</v>
      </c>
      <c r="F160" s="2710">
        <v>7914.7547290100001</v>
      </c>
      <c r="G160" s="2710">
        <v>7914.7547290100001</v>
      </c>
      <c r="H160" s="2710">
        <v>0</v>
      </c>
      <c r="I160" s="2709">
        <v>5074.3838297300008</v>
      </c>
      <c r="J160" s="2709">
        <v>20.745999999999999</v>
      </c>
      <c r="K160" s="2709">
        <v>3256.0055649599999</v>
      </c>
      <c r="L160" s="2709">
        <v>4688.3744810400021</v>
      </c>
      <c r="M160" s="2745"/>
    </row>
    <row r="161" spans="1:13" ht="18" hidden="1" customHeight="1">
      <c r="A161" s="2143"/>
      <c r="B161" s="2493" t="s">
        <v>167</v>
      </c>
      <c r="C161" s="2708">
        <v>40696.883991620001</v>
      </c>
      <c r="D161" s="2709">
        <v>23062.867973690001</v>
      </c>
      <c r="E161" s="2709">
        <v>6243.2952758199999</v>
      </c>
      <c r="F161" s="2710">
        <v>8081.9309820100007</v>
      </c>
      <c r="G161" s="2710">
        <v>8081.9309820100007</v>
      </c>
      <c r="H161" s="2710">
        <v>0</v>
      </c>
      <c r="I161" s="2709">
        <v>2163.47454745</v>
      </c>
      <c r="J161" s="2709">
        <v>20.745999999999999</v>
      </c>
      <c r="K161" s="2709">
        <v>3300.2800888000002</v>
      </c>
      <c r="L161" s="2709">
        <v>4067.5843996699987</v>
      </c>
      <c r="M161" s="2745"/>
    </row>
    <row r="162" spans="1:13" ht="18" hidden="1" customHeight="1">
      <c r="A162" s="2143"/>
      <c r="B162" s="2493" t="s">
        <v>168</v>
      </c>
      <c r="C162" s="2708">
        <v>41959.044309390003</v>
      </c>
      <c r="D162" s="2709">
        <v>22533.131057990002</v>
      </c>
      <c r="E162" s="2709">
        <v>6389.6482520199997</v>
      </c>
      <c r="F162" s="2710">
        <v>8458.4719505499997</v>
      </c>
      <c r="G162" s="2710">
        <v>8458.4719505499997</v>
      </c>
      <c r="H162" s="2710">
        <v>0</v>
      </c>
      <c r="I162" s="2709">
        <v>2145.6304825699999</v>
      </c>
      <c r="J162" s="2709">
        <v>20.745999999999999</v>
      </c>
      <c r="K162" s="2709">
        <v>3294.0866200400001</v>
      </c>
      <c r="L162" s="2709">
        <v>5506.9781982400018</v>
      </c>
      <c r="M162" s="2745"/>
    </row>
    <row r="163" spans="1:13" ht="18" hidden="1" customHeight="1">
      <c r="A163" s="2143"/>
      <c r="B163" s="2493" t="s">
        <v>169</v>
      </c>
      <c r="C163" s="2708">
        <v>46552.786658889992</v>
      </c>
      <c r="D163" s="2709">
        <v>22198.503766690003</v>
      </c>
      <c r="E163" s="2709">
        <v>6496.5274114599997</v>
      </c>
      <c r="F163" s="2710">
        <v>10017.09254686</v>
      </c>
      <c r="G163" s="2710">
        <v>10017.09254686</v>
      </c>
      <c r="H163" s="2710">
        <v>0</v>
      </c>
      <c r="I163" s="2709">
        <v>2846.0606562999997</v>
      </c>
      <c r="J163" s="2709">
        <v>28.322472000000001</v>
      </c>
      <c r="K163" s="2709">
        <v>3096.9543961199997</v>
      </c>
      <c r="L163" s="2709">
        <v>8365.8528209199867</v>
      </c>
      <c r="M163" s="2745"/>
    </row>
    <row r="164" spans="1:13" ht="18" hidden="1" customHeight="1">
      <c r="A164" s="2143"/>
      <c r="B164" s="2493" t="s">
        <v>170</v>
      </c>
      <c r="C164" s="2708">
        <v>46114.872871899999</v>
      </c>
      <c r="D164" s="2709">
        <v>23393.19300802</v>
      </c>
      <c r="E164" s="2709">
        <v>6659.2044008399998</v>
      </c>
      <c r="F164" s="2710">
        <v>10527.056666889999</v>
      </c>
      <c r="G164" s="2710">
        <v>10527.056666889999</v>
      </c>
      <c r="H164" s="2710">
        <v>0</v>
      </c>
      <c r="I164" s="2709">
        <v>1468.97377734</v>
      </c>
      <c r="J164" s="2709">
        <v>28.322472000000001</v>
      </c>
      <c r="K164" s="2709">
        <v>3034.1675545500002</v>
      </c>
      <c r="L164" s="2709">
        <v>7663.1593931000025</v>
      </c>
      <c r="M164" s="2745"/>
    </row>
    <row r="165" spans="1:13" ht="18" hidden="1" customHeight="1">
      <c r="A165" s="2143"/>
      <c r="B165" s="2493" t="s">
        <v>171</v>
      </c>
      <c r="C165" s="2708">
        <v>50402.560451379999</v>
      </c>
      <c r="D165" s="2709">
        <v>25128.03857257</v>
      </c>
      <c r="E165" s="2709">
        <v>6637.2708337399999</v>
      </c>
      <c r="F165" s="2710">
        <v>10818.478817020001</v>
      </c>
      <c r="G165" s="2710">
        <v>10818.478817020001</v>
      </c>
      <c r="H165" s="2710">
        <v>0</v>
      </c>
      <c r="I165" s="2709">
        <v>980.34424515000001</v>
      </c>
      <c r="J165" s="2709">
        <v>28.322472000000001</v>
      </c>
      <c r="K165" s="2709">
        <v>2974.6714510500001</v>
      </c>
      <c r="L165" s="2709">
        <v>10472.704893589995</v>
      </c>
      <c r="M165" s="2745"/>
    </row>
    <row r="166" spans="1:13" ht="18" customHeight="1">
      <c r="A166" s="2143"/>
      <c r="B166" s="3045">
        <v>2011</v>
      </c>
      <c r="C166" s="2708">
        <v>40782.086382930007</v>
      </c>
      <c r="D166" s="2709">
        <v>21173.432464139998</v>
      </c>
      <c r="E166" s="2709">
        <v>6910.5581546700005</v>
      </c>
      <c r="F166" s="2710">
        <v>3000</v>
      </c>
      <c r="G166" s="2710">
        <v>3000</v>
      </c>
      <c r="H166" s="2710">
        <v>0</v>
      </c>
      <c r="I166" s="2709">
        <v>2782.7728679000002</v>
      </c>
      <c r="J166" s="2709">
        <v>43.950276250000002</v>
      </c>
      <c r="K166" s="2709">
        <v>3096.4334807600003</v>
      </c>
      <c r="L166" s="2709">
        <v>10685.497293880009</v>
      </c>
      <c r="M166" s="2745"/>
    </row>
    <row r="167" spans="1:13" ht="18" hidden="1" customHeight="1">
      <c r="A167" s="2143"/>
      <c r="B167" s="3045">
        <v>2012</v>
      </c>
      <c r="C167" s="2748"/>
      <c r="D167" s="2749"/>
      <c r="E167" s="2749"/>
      <c r="F167" s="2749"/>
      <c r="G167" s="2749"/>
      <c r="H167" s="2749"/>
      <c r="I167" s="2749"/>
      <c r="J167" s="2749"/>
      <c r="K167" s="2749"/>
      <c r="L167" s="2749"/>
      <c r="M167" s="2745"/>
    </row>
    <row r="168" spans="1:13" ht="18" hidden="1" customHeight="1">
      <c r="A168" s="2143"/>
      <c r="B168" s="3046" t="s">
        <v>161</v>
      </c>
      <c r="C168" s="2708">
        <v>39052.462852009987</v>
      </c>
      <c r="D168" s="2709">
        <v>23854.15888658</v>
      </c>
      <c r="E168" s="2709">
        <v>6703.7533909499998</v>
      </c>
      <c r="F168" s="2710">
        <v>2761.8045649200003</v>
      </c>
      <c r="G168" s="2710">
        <v>2761.8045649200003</v>
      </c>
      <c r="H168" s="2710">
        <v>0</v>
      </c>
      <c r="I168" s="2709">
        <v>792.48495248999996</v>
      </c>
      <c r="J168" s="2709">
        <v>0</v>
      </c>
      <c r="K168" s="2709">
        <v>3194.9380614199999</v>
      </c>
      <c r="L168" s="2709">
        <v>8449.0763865999907</v>
      </c>
      <c r="M168" s="2745"/>
    </row>
    <row r="169" spans="1:13" ht="18" hidden="1" customHeight="1">
      <c r="A169" s="2143"/>
      <c r="B169" s="3046" t="s">
        <v>162</v>
      </c>
      <c r="C169" s="2708">
        <v>39594.643758599996</v>
      </c>
      <c r="D169" s="2709">
        <v>20490.87190921</v>
      </c>
      <c r="E169" s="2709">
        <v>6616.90191495</v>
      </c>
      <c r="F169" s="2710">
        <v>5048.0523969200003</v>
      </c>
      <c r="G169" s="2710">
        <v>5048.0523969200003</v>
      </c>
      <c r="H169" s="2710">
        <v>0</v>
      </c>
      <c r="I169" s="2709">
        <v>2674.05849455</v>
      </c>
      <c r="J169" s="2709">
        <v>4.2085497300000005</v>
      </c>
      <c r="K169" s="2709">
        <v>3191.3966636</v>
      </c>
      <c r="L169" s="2709">
        <v>8186.055744589994</v>
      </c>
      <c r="M169" s="2745"/>
    </row>
    <row r="170" spans="1:13" ht="18" hidden="1" customHeight="1">
      <c r="A170" s="2143"/>
      <c r="B170" s="3046" t="s">
        <v>163</v>
      </c>
      <c r="C170" s="2708">
        <v>41166.138936979994</v>
      </c>
      <c r="D170" s="2709">
        <v>18161.416223649998</v>
      </c>
      <c r="E170" s="2709">
        <v>6597.8271072300004</v>
      </c>
      <c r="F170" s="2710">
        <v>8892.3368239200008</v>
      </c>
      <c r="G170" s="2710">
        <v>8892.3368239200008</v>
      </c>
      <c r="H170" s="2710">
        <v>0</v>
      </c>
      <c r="I170" s="2709">
        <v>1411.7294761200001</v>
      </c>
      <c r="J170" s="2709">
        <v>7.7066234600000003</v>
      </c>
      <c r="K170" s="2709">
        <v>3223.21239203</v>
      </c>
      <c r="L170" s="2709">
        <v>9469.7373977999996</v>
      </c>
      <c r="M170" s="2745"/>
    </row>
    <row r="171" spans="1:13" ht="18" hidden="1" customHeight="1">
      <c r="A171" s="2143"/>
      <c r="B171" s="3046" t="s">
        <v>164</v>
      </c>
      <c r="C171" s="2708">
        <v>41098.721737639986</v>
      </c>
      <c r="D171" s="2709">
        <v>14675.70913164</v>
      </c>
      <c r="E171" s="2709">
        <v>6078.1732863200004</v>
      </c>
      <c r="F171" s="2710">
        <v>10809.338122069999</v>
      </c>
      <c r="G171" s="2710">
        <v>10809.338122069999</v>
      </c>
      <c r="H171" s="2710">
        <v>0</v>
      </c>
      <c r="I171" s="2709">
        <v>1750.0423666500001</v>
      </c>
      <c r="J171" s="2709">
        <v>11.930107269999999</v>
      </c>
      <c r="K171" s="2709">
        <v>3184.9444020999999</v>
      </c>
      <c r="L171" s="2709">
        <v>10666.757607909989</v>
      </c>
      <c r="M171" s="2745"/>
    </row>
    <row r="172" spans="1:13" ht="18" hidden="1" customHeight="1">
      <c r="A172" s="2143"/>
      <c r="B172" s="3046" t="s">
        <v>165</v>
      </c>
      <c r="C172" s="2708">
        <v>46830.650232219996</v>
      </c>
      <c r="D172" s="2709">
        <v>17614.515461479998</v>
      </c>
      <c r="E172" s="2709">
        <v>5932.50641455</v>
      </c>
      <c r="F172" s="2710">
        <v>12693.55082176</v>
      </c>
      <c r="G172" s="2710">
        <v>12693.55082176</v>
      </c>
      <c r="H172" s="2710">
        <v>0</v>
      </c>
      <c r="I172" s="2709">
        <v>454.31964627000002</v>
      </c>
      <c r="J172" s="2709">
        <v>16.28658223</v>
      </c>
      <c r="K172" s="2709">
        <v>3273.6441932500002</v>
      </c>
      <c r="L172" s="2709">
        <v>12778.333527229996</v>
      </c>
      <c r="M172" s="2745"/>
    </row>
    <row r="173" spans="1:13" ht="18" hidden="1" customHeight="1">
      <c r="A173" s="2143"/>
      <c r="B173" s="3046" t="s">
        <v>166</v>
      </c>
      <c r="C173" s="2708">
        <v>45053.8774232</v>
      </c>
      <c r="D173" s="2709">
        <v>16743.109754600002</v>
      </c>
      <c r="E173" s="2709">
        <v>6390.6904204000002</v>
      </c>
      <c r="F173" s="2710">
        <v>11173.294184369999</v>
      </c>
      <c r="G173" s="2710">
        <v>11173.294184369999</v>
      </c>
      <c r="H173" s="2710">
        <v>0</v>
      </c>
      <c r="I173" s="2709">
        <v>783.68957639999996</v>
      </c>
      <c r="J173" s="2709">
        <v>26.0429125</v>
      </c>
      <c r="K173" s="2709">
        <v>3014.2261056399998</v>
      </c>
      <c r="L173" s="2709">
        <v>13313.514889689999</v>
      </c>
      <c r="M173" s="2745"/>
    </row>
    <row r="174" spans="1:13" ht="18" hidden="1" customHeight="1">
      <c r="A174" s="2143"/>
      <c r="B174" s="3046" t="s">
        <v>167</v>
      </c>
      <c r="C174" s="2708">
        <v>44578.495725860012</v>
      </c>
      <c r="D174" s="2709">
        <v>13709.251968050001</v>
      </c>
      <c r="E174" s="2709">
        <v>5973.0539820900003</v>
      </c>
      <c r="F174" s="2710">
        <v>14192.006062369999</v>
      </c>
      <c r="G174" s="2710">
        <v>14192.006062369999</v>
      </c>
      <c r="H174" s="2710">
        <v>0</v>
      </c>
      <c r="I174" s="2709">
        <v>1107.3427222799999</v>
      </c>
      <c r="J174" s="2709">
        <v>26.0429125</v>
      </c>
      <c r="K174" s="2709">
        <v>3036.3327167099997</v>
      </c>
      <c r="L174" s="2709">
        <v>12507.519343950011</v>
      </c>
      <c r="M174" s="2745"/>
    </row>
    <row r="175" spans="1:13" ht="18" hidden="1" customHeight="1">
      <c r="A175" s="2143"/>
      <c r="B175" s="3046" t="s">
        <v>168</v>
      </c>
      <c r="C175" s="2708">
        <v>43874.98913129999</v>
      </c>
      <c r="D175" s="2709">
        <v>16657.497515529998</v>
      </c>
      <c r="E175" s="2709">
        <v>6094.8314282499996</v>
      </c>
      <c r="F175" s="2710">
        <v>11444.43249411</v>
      </c>
      <c r="G175" s="2710">
        <v>11444.43249411</v>
      </c>
      <c r="H175" s="2710">
        <v>0</v>
      </c>
      <c r="I175" s="2709">
        <v>200.02155416000002</v>
      </c>
      <c r="J175" s="2709">
        <v>29.923020000000001</v>
      </c>
      <c r="K175" s="2709">
        <v>3086.5799499</v>
      </c>
      <c r="L175" s="2709">
        <v>12456.534597599995</v>
      </c>
      <c r="M175" s="2745"/>
    </row>
    <row r="176" spans="1:13" ht="18" hidden="1" customHeight="1">
      <c r="A176" s="2143"/>
      <c r="B176" s="3046" t="s">
        <v>169</v>
      </c>
      <c r="C176" s="2708">
        <v>44848.946400569999</v>
      </c>
      <c r="D176" s="2709">
        <v>17091.218757629998</v>
      </c>
      <c r="E176" s="2709">
        <v>5776.5738686499999</v>
      </c>
      <c r="F176" s="2710">
        <v>12303.810045549999</v>
      </c>
      <c r="G176" s="2710">
        <v>12303.810045549999</v>
      </c>
      <c r="H176" s="2710">
        <v>0</v>
      </c>
      <c r="I176" s="2709">
        <v>695.58495526000002</v>
      </c>
      <c r="J176" s="2709">
        <v>29.923020000000001</v>
      </c>
      <c r="K176" s="2709">
        <v>3101.6095945199995</v>
      </c>
      <c r="L176" s="2709">
        <v>11626.800027610007</v>
      </c>
      <c r="M176" s="2745"/>
    </row>
    <row r="177" spans="1:13" ht="18" hidden="1" customHeight="1">
      <c r="A177" s="2143"/>
      <c r="B177" s="3046" t="s">
        <v>170</v>
      </c>
      <c r="C177" s="2708">
        <v>46919.273944780005</v>
      </c>
      <c r="D177" s="2709">
        <v>19066.239797629998</v>
      </c>
      <c r="E177" s="2709">
        <v>6022.5665554000007</v>
      </c>
      <c r="F177" s="2710">
        <v>13221.441974119998</v>
      </c>
      <c r="G177" s="2710">
        <v>13221.441974119998</v>
      </c>
      <c r="H177" s="2710">
        <v>0</v>
      </c>
      <c r="I177" s="2709">
        <v>212.00169711000001</v>
      </c>
      <c r="J177" s="2709">
        <v>29.923020000000001</v>
      </c>
      <c r="K177" s="2709">
        <v>2967.0901092099998</v>
      </c>
      <c r="L177" s="2709">
        <v>11422.577346710008</v>
      </c>
      <c r="M177" s="2745"/>
    </row>
    <row r="178" spans="1:13" ht="18" hidden="1" customHeight="1">
      <c r="A178" s="2143"/>
      <c r="B178" s="3046" t="s">
        <v>171</v>
      </c>
      <c r="C178" s="2708">
        <v>49517.313346769995</v>
      </c>
      <c r="D178" s="2709">
        <v>19621.745831749999</v>
      </c>
      <c r="E178" s="2709">
        <v>5358.4568095699997</v>
      </c>
      <c r="F178" s="2710">
        <v>13853.243147790001</v>
      </c>
      <c r="G178" s="2710">
        <v>13853.243147790001</v>
      </c>
      <c r="H178" s="2710">
        <v>0</v>
      </c>
      <c r="I178" s="2709">
        <v>288.03461988999999</v>
      </c>
      <c r="J178" s="2709">
        <v>29.923020000000001</v>
      </c>
      <c r="K178" s="2709">
        <v>2940.0113420600001</v>
      </c>
      <c r="L178" s="2709">
        <v>12784.355385279989</v>
      </c>
      <c r="M178" s="2745"/>
    </row>
    <row r="179" spans="1:13" ht="18" customHeight="1">
      <c r="A179" s="2143"/>
      <c r="B179" s="3045">
        <v>2012</v>
      </c>
      <c r="C179" s="2708">
        <v>53286.193849250012</v>
      </c>
      <c r="D179" s="2709">
        <v>19148.35155684</v>
      </c>
      <c r="E179" s="2709">
        <v>5254.4310823799997</v>
      </c>
      <c r="F179" s="2710">
        <v>16363.475569709999</v>
      </c>
      <c r="G179" s="2710">
        <v>16363.475569709999</v>
      </c>
      <c r="H179" s="2710">
        <v>0</v>
      </c>
      <c r="I179" s="2709">
        <v>2322.4126814800002</v>
      </c>
      <c r="J179" s="2709">
        <v>29.923020000000001</v>
      </c>
      <c r="K179" s="2709">
        <v>2878.66187868</v>
      </c>
      <c r="L179" s="2709">
        <v>12543.369142540003</v>
      </c>
      <c r="M179" s="2745"/>
    </row>
    <row r="180" spans="1:13" s="2199" customFormat="1" ht="18" customHeight="1">
      <c r="A180" s="2143"/>
      <c r="B180" s="3045">
        <v>2013</v>
      </c>
      <c r="C180" s="2708"/>
      <c r="D180" s="2709"/>
      <c r="E180" s="2709"/>
      <c r="F180" s="2710"/>
      <c r="G180" s="2710"/>
      <c r="H180" s="2710"/>
      <c r="I180" s="2709"/>
      <c r="J180" s="2709"/>
      <c r="K180" s="2709"/>
      <c r="L180" s="2709"/>
      <c r="M180" s="2745"/>
    </row>
    <row r="181" spans="1:13" s="2199" customFormat="1" ht="18" customHeight="1">
      <c r="A181" s="2143"/>
      <c r="B181" s="2493" t="s">
        <v>161</v>
      </c>
      <c r="C181" s="2708">
        <v>48847.171250300002</v>
      </c>
      <c r="D181" s="2709">
        <v>16548.573789089998</v>
      </c>
      <c r="E181" s="2709">
        <v>5343.0634243699988</v>
      </c>
      <c r="F181" s="2710">
        <v>17264.010736779997</v>
      </c>
      <c r="G181" s="2710">
        <v>17264.010736779997</v>
      </c>
      <c r="H181" s="2710">
        <v>0</v>
      </c>
      <c r="I181" s="2709">
        <v>337.80250038999998</v>
      </c>
      <c r="J181" s="2709">
        <v>0</v>
      </c>
      <c r="K181" s="2709">
        <v>3045.8646342299999</v>
      </c>
      <c r="L181" s="2709">
        <v>11650.919589810008</v>
      </c>
      <c r="M181" s="2745"/>
    </row>
    <row r="182" spans="1:13" s="2199" customFormat="1" ht="18" customHeight="1">
      <c r="A182" s="2143"/>
      <c r="B182" s="2493" t="s">
        <v>162</v>
      </c>
      <c r="C182" s="2708">
        <v>49027.762616665001</v>
      </c>
      <c r="D182" s="2709">
        <v>14346.697509869999</v>
      </c>
      <c r="E182" s="2709">
        <v>5234.6838467999996</v>
      </c>
      <c r="F182" s="2710">
        <v>18940.38860396</v>
      </c>
      <c r="G182" s="2710">
        <v>18940.38860396</v>
      </c>
      <c r="H182" s="2710">
        <v>0</v>
      </c>
      <c r="I182" s="2709">
        <v>412.42597162999999</v>
      </c>
      <c r="J182" s="2709">
        <v>0</v>
      </c>
      <c r="K182" s="2709">
        <v>3084.3892161399999</v>
      </c>
      <c r="L182" s="2709">
        <v>12243.861315065005</v>
      </c>
      <c r="M182" s="2745"/>
    </row>
    <row r="183" spans="1:13" s="2199" customFormat="1" ht="18" customHeight="1">
      <c r="A183" s="2143"/>
      <c r="B183" s="2493" t="s">
        <v>163</v>
      </c>
      <c r="C183" s="2708">
        <v>51183.670941560005</v>
      </c>
      <c r="D183" s="2709">
        <v>17043.014115850001</v>
      </c>
      <c r="E183" s="2709">
        <v>5180.00788405</v>
      </c>
      <c r="F183" s="2710">
        <v>12786.70636052</v>
      </c>
      <c r="G183" s="2710">
        <v>12786.70636052</v>
      </c>
      <c r="H183" s="2710">
        <v>0</v>
      </c>
      <c r="I183" s="2709">
        <v>882.21032975000003</v>
      </c>
      <c r="J183" s="2709">
        <v>0</v>
      </c>
      <c r="K183" s="2709">
        <v>3032.3762149999998</v>
      </c>
      <c r="L183" s="2709">
        <v>17439.36392044001</v>
      </c>
      <c r="M183" s="2745"/>
    </row>
    <row r="184" spans="1:13" s="2390" customFormat="1" ht="18" customHeight="1">
      <c r="A184" s="2143"/>
      <c r="B184" s="2404" t="s">
        <v>164</v>
      </c>
      <c r="C184" s="2708">
        <v>50743.79380883999</v>
      </c>
      <c r="D184" s="2709">
        <v>12494.34213691</v>
      </c>
      <c r="E184" s="2709">
        <v>5217.3251906999994</v>
      </c>
      <c r="F184" s="2710">
        <v>16017.981421310002</v>
      </c>
      <c r="G184" s="2710">
        <v>16017.981421310002</v>
      </c>
      <c r="H184" s="2710">
        <v>0</v>
      </c>
      <c r="I184" s="2709">
        <v>2161.0929440499999</v>
      </c>
      <c r="J184" s="2709">
        <v>0</v>
      </c>
      <c r="K184" s="2709">
        <v>2881.2208319499996</v>
      </c>
      <c r="L184" s="2709">
        <v>17189.156474619987</v>
      </c>
      <c r="M184" s="2745"/>
    </row>
    <row r="185" spans="1:13" s="2506" customFormat="1" ht="18" customHeight="1">
      <c r="A185" s="2143"/>
      <c r="B185" s="2404" t="s">
        <v>165</v>
      </c>
      <c r="C185" s="2711">
        <v>53060.996683004996</v>
      </c>
      <c r="D185" s="2578">
        <v>14132.605129939999</v>
      </c>
      <c r="E185" s="2578">
        <v>5118.2492997200006</v>
      </c>
      <c r="F185" s="2712">
        <v>16776.809337440001</v>
      </c>
      <c r="G185" s="2712">
        <v>16776.809337440001</v>
      </c>
      <c r="H185" s="2712">
        <v>0</v>
      </c>
      <c r="I185" s="2578">
        <v>730.81273510000005</v>
      </c>
      <c r="J185" s="2578">
        <v>0</v>
      </c>
      <c r="K185" s="2578">
        <v>2755.4604759899998</v>
      </c>
      <c r="L185" s="2713">
        <v>18665.309004534996</v>
      </c>
      <c r="M185" s="2745"/>
    </row>
    <row r="186" spans="1:13" s="2507" customFormat="1" ht="18" customHeight="1">
      <c r="A186" s="2143"/>
      <c r="B186" s="2788" t="s">
        <v>166</v>
      </c>
      <c r="C186" s="2789">
        <v>59822.576335534992</v>
      </c>
      <c r="D186" s="2776">
        <v>23997.376380819998</v>
      </c>
      <c r="E186" s="2776">
        <v>5681.242274180001</v>
      </c>
      <c r="F186" s="2790">
        <v>10031.97004781</v>
      </c>
      <c r="G186" s="2790">
        <v>10031.97004781</v>
      </c>
      <c r="H186" s="2790">
        <v>0</v>
      </c>
      <c r="I186" s="2776">
        <v>736.86089342000002</v>
      </c>
      <c r="J186" s="2776">
        <v>0</v>
      </c>
      <c r="K186" s="2776">
        <v>2726.3876617199999</v>
      </c>
      <c r="L186" s="2776">
        <v>22329.981351764989</v>
      </c>
      <c r="M186" s="2745"/>
    </row>
    <row r="187" spans="1:13" s="2783" customFormat="1" ht="18" customHeight="1">
      <c r="A187" s="2143"/>
      <c r="B187" s="2788" t="s">
        <v>167</v>
      </c>
      <c r="C187" s="2789">
        <v>54258.952941274991</v>
      </c>
      <c r="D187" s="2776">
        <v>17100.387367440002</v>
      </c>
      <c r="E187" s="2776">
        <v>5675.0139389200003</v>
      </c>
      <c r="F187" s="2790">
        <v>10100.945596670001</v>
      </c>
      <c r="G187" s="2790">
        <v>10100.945596670001</v>
      </c>
      <c r="H187" s="2790">
        <v>0</v>
      </c>
      <c r="I187" s="2776">
        <v>2226.4740008399999</v>
      </c>
      <c r="J187" s="2776">
        <v>0</v>
      </c>
      <c r="K187" s="2776">
        <v>2672.1880295199999</v>
      </c>
      <c r="L187" s="2776">
        <v>22158.957946804989</v>
      </c>
      <c r="M187" s="2745"/>
    </row>
    <row r="188" spans="1:13" s="2818" customFormat="1" ht="18" customHeight="1">
      <c r="A188" s="2143"/>
      <c r="B188" s="2788" t="s">
        <v>168</v>
      </c>
      <c r="C188" s="2789">
        <v>58478.169704264998</v>
      </c>
      <c r="D188" s="2776">
        <v>17596.358176049998</v>
      </c>
      <c r="E188" s="2776">
        <v>5303.5019730499998</v>
      </c>
      <c r="F188" s="2790">
        <v>10176.575629719999</v>
      </c>
      <c r="G188" s="2790">
        <v>10176.575629719999</v>
      </c>
      <c r="H188" s="2790">
        <v>0</v>
      </c>
      <c r="I188" s="2776">
        <v>1730.1543984799998</v>
      </c>
      <c r="J188" s="2776">
        <v>0</v>
      </c>
      <c r="K188" s="2776">
        <v>2738.1124022099998</v>
      </c>
      <c r="L188" s="2776">
        <v>26236.969097804998</v>
      </c>
      <c r="M188" s="2745"/>
    </row>
    <row r="189" spans="1:13" s="2881" customFormat="1" ht="18" customHeight="1">
      <c r="A189" s="2143"/>
      <c r="B189" s="2788" t="s">
        <v>169</v>
      </c>
      <c r="C189" s="2789">
        <v>55249.11403559499</v>
      </c>
      <c r="D189" s="2776">
        <v>21925.125441640001</v>
      </c>
      <c r="E189" s="2776">
        <v>5072.4837481199993</v>
      </c>
      <c r="F189" s="2790">
        <v>10042.64959001</v>
      </c>
      <c r="G189" s="2790">
        <v>10042.64959001</v>
      </c>
      <c r="H189" s="2790">
        <v>0</v>
      </c>
      <c r="I189" s="2776">
        <v>1805.9382607300001</v>
      </c>
      <c r="J189" s="2776">
        <v>0</v>
      </c>
      <c r="K189" s="2776">
        <v>2856.5817407899999</v>
      </c>
      <c r="L189" s="2776">
        <v>18618.819002424985</v>
      </c>
      <c r="M189" s="2745"/>
    </row>
    <row r="190" spans="1:13" s="2881" customFormat="1" ht="18" customHeight="1">
      <c r="A190" s="2143"/>
      <c r="B190" s="2788" t="s">
        <v>170</v>
      </c>
      <c r="C190" s="2789">
        <v>57166.302653035003</v>
      </c>
      <c r="D190" s="2776">
        <v>24796.0213974</v>
      </c>
      <c r="E190" s="2776">
        <v>5346.6112386899995</v>
      </c>
      <c r="F190" s="2790">
        <v>10088.963854170001</v>
      </c>
      <c r="G190" s="2790">
        <v>10088.963854170001</v>
      </c>
      <c r="H190" s="2790">
        <v>0</v>
      </c>
      <c r="I190" s="2776">
        <v>919.34201063</v>
      </c>
      <c r="J190" s="2776">
        <v>0</v>
      </c>
      <c r="K190" s="2776">
        <v>2802.4139639</v>
      </c>
      <c r="L190" s="2776">
        <v>18559.561426934997</v>
      </c>
      <c r="M190" s="2745"/>
    </row>
    <row r="191" spans="1:13" s="2884" customFormat="1" ht="18" customHeight="1">
      <c r="A191" s="2143"/>
      <c r="B191" s="2788" t="s">
        <v>171</v>
      </c>
      <c r="C191" s="2789">
        <v>58106.401783415</v>
      </c>
      <c r="D191" s="2776">
        <v>24275.053103419999</v>
      </c>
      <c r="E191" s="2776">
        <v>5704.7942354700008</v>
      </c>
      <c r="F191" s="2790">
        <v>10136.43071633</v>
      </c>
      <c r="G191" s="2790">
        <v>10136.43071633</v>
      </c>
      <c r="H191" s="2790">
        <v>0</v>
      </c>
      <c r="I191" s="2776">
        <v>1317.1484613800001</v>
      </c>
      <c r="J191" s="2776">
        <v>0</v>
      </c>
      <c r="K191" s="2776">
        <v>2834.5767694299998</v>
      </c>
      <c r="L191" s="2776">
        <v>19543.192732855001</v>
      </c>
      <c r="M191" s="2745"/>
    </row>
    <row r="192" spans="1:13" s="2887" customFormat="1" ht="18" customHeight="1">
      <c r="A192" s="2143"/>
      <c r="B192" s="2788" t="s">
        <v>148</v>
      </c>
      <c r="C192" s="2789">
        <v>59044.720474134985</v>
      </c>
      <c r="D192" s="2776">
        <v>21953.069251109999</v>
      </c>
      <c r="E192" s="2776">
        <v>5406.2038292899997</v>
      </c>
      <c r="F192" s="2790">
        <v>10136.43071633</v>
      </c>
      <c r="G192" s="2790">
        <v>10136.43071633</v>
      </c>
      <c r="H192" s="2790">
        <v>0</v>
      </c>
      <c r="I192" s="2776">
        <v>5279.4240021100004</v>
      </c>
      <c r="J192" s="2776">
        <v>0</v>
      </c>
      <c r="K192" s="2776">
        <v>2834.8715824699998</v>
      </c>
      <c r="L192" s="2776">
        <v>18840.924922114988</v>
      </c>
      <c r="M192" s="2745"/>
    </row>
    <row r="193" spans="1:13" s="2914" customFormat="1" ht="18" customHeight="1">
      <c r="A193" s="2143"/>
      <c r="B193" s="2492">
        <v>2014</v>
      </c>
      <c r="C193" s="2789"/>
      <c r="D193" s="2776"/>
      <c r="E193" s="2776"/>
      <c r="F193" s="2790"/>
      <c r="G193" s="2790"/>
      <c r="H193" s="2790"/>
      <c r="I193" s="2776"/>
      <c r="J193" s="2776"/>
      <c r="K193" s="2776"/>
      <c r="L193" s="2776"/>
      <c r="M193" s="2745"/>
    </row>
    <row r="194" spans="1:13" s="2914" customFormat="1" ht="18" customHeight="1">
      <c r="A194" s="2143"/>
      <c r="B194" s="2788" t="s">
        <v>161</v>
      </c>
      <c r="C194" s="2789">
        <v>59209.008776724993</v>
      </c>
      <c r="D194" s="2776">
        <v>23044.79960423</v>
      </c>
      <c r="E194" s="2776">
        <v>5675.5816557000007</v>
      </c>
      <c r="F194" s="2790">
        <v>10099.84437927</v>
      </c>
      <c r="G194" s="2790">
        <v>10099.84437927</v>
      </c>
      <c r="H194" s="2790">
        <v>0</v>
      </c>
      <c r="I194" s="2776">
        <v>4284.4322490300001</v>
      </c>
      <c r="J194" s="2776">
        <v>0</v>
      </c>
      <c r="K194" s="2776">
        <v>2868.4839874199997</v>
      </c>
      <c r="L194" s="2776">
        <v>18911.448556774994</v>
      </c>
      <c r="M194" s="2745"/>
    </row>
    <row r="195" spans="1:13" s="2914" customFormat="1" ht="18" customHeight="1">
      <c r="A195" s="2143"/>
      <c r="B195" s="2788" t="s">
        <v>162</v>
      </c>
      <c r="C195" s="2789">
        <v>59037.247556654991</v>
      </c>
      <c r="D195" s="2776">
        <v>22703.002585300001</v>
      </c>
      <c r="E195" s="2776">
        <v>5324.4082323499997</v>
      </c>
      <c r="F195" s="2790">
        <v>10143.192756040002</v>
      </c>
      <c r="G195" s="2790">
        <v>10143.192756040002</v>
      </c>
      <c r="H195" s="2790">
        <v>0</v>
      </c>
      <c r="I195" s="2776">
        <v>4551.8718621999997</v>
      </c>
      <c r="J195" s="2776">
        <v>0</v>
      </c>
      <c r="K195" s="2776">
        <v>2875.6206134999998</v>
      </c>
      <c r="L195" s="2776">
        <v>18763.559739614982</v>
      </c>
      <c r="M195" s="2745"/>
    </row>
    <row r="196" spans="1:13" s="2914" customFormat="1" ht="18" customHeight="1">
      <c r="A196" s="2143"/>
      <c r="B196" s="2788" t="s">
        <v>163</v>
      </c>
      <c r="C196" s="2789">
        <v>58597.776425924996</v>
      </c>
      <c r="D196" s="2776">
        <v>24727.894005919999</v>
      </c>
      <c r="E196" s="2776">
        <v>5246.6353732600001</v>
      </c>
      <c r="F196" s="2790">
        <v>10143.192756040002</v>
      </c>
      <c r="G196" s="2790">
        <v>10143.192756040002</v>
      </c>
      <c r="H196" s="2790">
        <v>0</v>
      </c>
      <c r="I196" s="2776">
        <v>3516.5745895199998</v>
      </c>
      <c r="J196" s="2776">
        <v>0</v>
      </c>
      <c r="K196" s="2776">
        <v>3007.1485353499997</v>
      </c>
      <c r="L196" s="2776">
        <v>17202.966539094989</v>
      </c>
      <c r="M196" s="2745"/>
    </row>
    <row r="197" spans="1:13" s="2914" customFormat="1" ht="18" customHeight="1">
      <c r="A197" s="2143"/>
      <c r="B197" s="2788" t="s">
        <v>164</v>
      </c>
      <c r="C197" s="2789">
        <v>55622.784648904999</v>
      </c>
      <c r="D197" s="2776">
        <v>22040.425175349999</v>
      </c>
      <c r="E197" s="2776">
        <v>4802.1724037699996</v>
      </c>
      <c r="F197" s="2790">
        <v>10059.110561950001</v>
      </c>
      <c r="G197" s="2790">
        <v>10059.110561950001</v>
      </c>
      <c r="H197" s="2790">
        <v>0</v>
      </c>
      <c r="I197" s="2776">
        <v>2738.1048164100002</v>
      </c>
      <c r="J197" s="2776">
        <v>0</v>
      </c>
      <c r="K197" s="2776">
        <v>3004.6686314999997</v>
      </c>
      <c r="L197" s="2776">
        <v>17780.475463695002</v>
      </c>
      <c r="M197" s="2745"/>
    </row>
    <row r="198" spans="1:13" s="2914" customFormat="1" ht="18" customHeight="1">
      <c r="A198" s="2143"/>
      <c r="B198" s="2788" t="s">
        <v>165</v>
      </c>
      <c r="C198" s="2789">
        <v>63044.946129337499</v>
      </c>
      <c r="D198" s="2776">
        <v>27861.582883439998</v>
      </c>
      <c r="E198" s="2776">
        <v>5249.2904999699995</v>
      </c>
      <c r="F198" s="2790">
        <v>10106.20436369</v>
      </c>
      <c r="G198" s="2790">
        <v>10106.20436369</v>
      </c>
      <c r="H198" s="2790">
        <v>0</v>
      </c>
      <c r="I198" s="2776">
        <v>6135.6819417999995</v>
      </c>
      <c r="J198" s="2776">
        <v>0</v>
      </c>
      <c r="K198" s="2776">
        <v>3047.8055378599997</v>
      </c>
      <c r="L198" s="2776">
        <v>15893.671402547501</v>
      </c>
      <c r="M198" s="2745"/>
    </row>
    <row r="199" spans="1:13" s="2914" customFormat="1" ht="18" customHeight="1">
      <c r="A199" s="2143"/>
      <c r="B199" s="2788" t="s">
        <v>166</v>
      </c>
      <c r="C199" s="2789">
        <v>60870.456376127506</v>
      </c>
      <c r="D199" s="2776">
        <v>26638.205917209998</v>
      </c>
      <c r="E199" s="2776">
        <v>5704.5772202399994</v>
      </c>
      <c r="F199" s="2790">
        <v>10000</v>
      </c>
      <c r="G199" s="2790">
        <v>10000</v>
      </c>
      <c r="H199" s="2790">
        <v>0</v>
      </c>
      <c r="I199" s="2776">
        <v>3854.8416375500001</v>
      </c>
      <c r="J199" s="2776">
        <v>0</v>
      </c>
      <c r="K199" s="2776">
        <v>3013.6045189900001</v>
      </c>
      <c r="L199" s="2776">
        <v>17363.804302377503</v>
      </c>
      <c r="M199" s="2745"/>
    </row>
    <row r="200" spans="1:13" s="2914" customFormat="1" ht="18" customHeight="1">
      <c r="A200" s="2143"/>
      <c r="B200" s="2788" t="s">
        <v>167</v>
      </c>
      <c r="C200" s="2789">
        <v>61808.653134772496</v>
      </c>
      <c r="D200" s="2776">
        <v>28380.055625699999</v>
      </c>
      <c r="E200" s="2776">
        <v>5063.0691069199993</v>
      </c>
      <c r="F200" s="2790">
        <v>10074.384859549999</v>
      </c>
      <c r="G200" s="2790">
        <v>10074.384859549999</v>
      </c>
      <c r="H200" s="2790">
        <v>0</v>
      </c>
      <c r="I200" s="2776">
        <v>3248.7945400099998</v>
      </c>
      <c r="J200" s="2776">
        <v>0</v>
      </c>
      <c r="K200" s="2776">
        <v>2818.16706634</v>
      </c>
      <c r="L200" s="2776">
        <v>17287.251043172495</v>
      </c>
      <c r="M200" s="2745"/>
    </row>
    <row r="201" spans="1:13" s="2914" customFormat="1" ht="18" customHeight="1">
      <c r="A201" s="2143"/>
      <c r="B201" s="2788" t="s">
        <v>168</v>
      </c>
      <c r="C201" s="2789">
        <v>63460.702349532505</v>
      </c>
      <c r="D201" s="2776">
        <v>29068.649435860003</v>
      </c>
      <c r="E201" s="2776">
        <v>5186.9516517700004</v>
      </c>
      <c r="F201" s="2790">
        <v>10122.11444266</v>
      </c>
      <c r="G201" s="2790">
        <v>10122.11444266</v>
      </c>
      <c r="H201" s="2790">
        <v>0</v>
      </c>
      <c r="I201" s="2776">
        <v>4004.8413447399998</v>
      </c>
      <c r="J201" s="2776">
        <v>0</v>
      </c>
      <c r="K201" s="2776">
        <v>2852.3402804100001</v>
      </c>
      <c r="L201" s="2776">
        <v>17412.756845862503</v>
      </c>
      <c r="M201" s="2745"/>
    </row>
    <row r="202" spans="1:13" s="2914" customFormat="1" ht="18" customHeight="1">
      <c r="A202" s="2143"/>
      <c r="B202" s="2788" t="s">
        <v>169</v>
      </c>
      <c r="C202" s="2789">
        <v>67899.139461542509</v>
      </c>
      <c r="D202" s="2776">
        <v>30275.783763029998</v>
      </c>
      <c r="E202" s="2776">
        <v>5663.1958273199998</v>
      </c>
      <c r="F202" s="2790">
        <v>10041.915472909999</v>
      </c>
      <c r="G202" s="2790">
        <v>10041.915472909999</v>
      </c>
      <c r="H202" s="2790">
        <v>0</v>
      </c>
      <c r="I202" s="2776">
        <v>6539.7226961599999</v>
      </c>
      <c r="J202" s="2776">
        <v>0</v>
      </c>
      <c r="K202" s="2776">
        <v>2945.6274224200001</v>
      </c>
      <c r="L202" s="2776">
        <v>18096.090107022508</v>
      </c>
      <c r="M202" s="2745"/>
    </row>
    <row r="203" spans="1:13" s="2914" customFormat="1" ht="18" customHeight="1">
      <c r="A203" s="2143"/>
      <c r="B203" s="2788" t="s">
        <v>170</v>
      </c>
      <c r="C203" s="2789">
        <v>68973.134150592508</v>
      </c>
      <c r="D203" s="2776">
        <v>31181.403106240003</v>
      </c>
      <c r="E203" s="2776">
        <v>5566.4989545099988</v>
      </c>
      <c r="F203" s="2790">
        <v>10041.66666667</v>
      </c>
      <c r="G203" s="2790">
        <v>10041.66666667</v>
      </c>
      <c r="H203" s="2790">
        <v>0</v>
      </c>
      <c r="I203" s="2776">
        <v>6807.3252394199999</v>
      </c>
      <c r="J203" s="2776">
        <v>0</v>
      </c>
      <c r="K203" s="2776">
        <v>3033.2568291799998</v>
      </c>
      <c r="L203" s="2776">
        <v>17909.482309082501</v>
      </c>
      <c r="M203" s="2745"/>
    </row>
    <row r="204" spans="1:13" s="2914" customFormat="1" ht="18" customHeight="1">
      <c r="A204" s="2143"/>
      <c r="B204" s="2788" t="s">
        <v>171</v>
      </c>
      <c r="C204" s="2789">
        <v>74825.08552885252</v>
      </c>
      <c r="D204" s="2776">
        <v>34770.538571159996</v>
      </c>
      <c r="E204" s="2776">
        <v>5561.2558928300004</v>
      </c>
      <c r="F204" s="2790">
        <v>10083.33333333</v>
      </c>
      <c r="G204" s="2790">
        <v>10083.33333333</v>
      </c>
      <c r="H204" s="2790">
        <v>0</v>
      </c>
      <c r="I204" s="2776">
        <v>8509.8813933599995</v>
      </c>
      <c r="J204" s="2776">
        <v>0</v>
      </c>
      <c r="K204" s="2776">
        <v>3154.9732751999995</v>
      </c>
      <c r="L204" s="2776">
        <v>18306.358955802527</v>
      </c>
      <c r="M204" s="2745"/>
    </row>
    <row r="205" spans="1:13" s="2914" customFormat="1" ht="18" customHeight="1">
      <c r="A205" s="2143"/>
      <c r="B205" s="2788" t="s">
        <v>148</v>
      </c>
      <c r="C205" s="2789">
        <v>75684.229689742497</v>
      </c>
      <c r="D205" s="2776">
        <v>34746.437412349995</v>
      </c>
      <c r="E205" s="2776">
        <v>5671.5871542699988</v>
      </c>
      <c r="F205" s="2790">
        <v>10000</v>
      </c>
      <c r="G205" s="2790">
        <v>10000</v>
      </c>
      <c r="H205" s="2790">
        <v>0</v>
      </c>
      <c r="I205" s="2776">
        <v>8049.9773581599993</v>
      </c>
      <c r="J205" s="2776">
        <v>0</v>
      </c>
      <c r="K205" s="2776">
        <v>3261.2239573199995</v>
      </c>
      <c r="L205" s="2776">
        <v>19626.590961912501</v>
      </c>
      <c r="M205" s="2745"/>
    </row>
    <row r="206" spans="1:13" s="2914" customFormat="1" ht="18" customHeight="1">
      <c r="A206" s="2143"/>
      <c r="B206" s="3168">
        <v>2015</v>
      </c>
      <c r="C206" s="2789"/>
      <c r="D206" s="2776"/>
      <c r="E206" s="2776"/>
      <c r="F206" s="2790"/>
      <c r="G206" s="2790"/>
      <c r="H206" s="2790"/>
      <c r="I206" s="2776"/>
      <c r="J206" s="2776"/>
      <c r="K206" s="2776"/>
      <c r="L206" s="2776"/>
      <c r="M206" s="2745"/>
    </row>
    <row r="207" spans="1:13" s="2914" customFormat="1" ht="18" customHeight="1">
      <c r="A207" s="2143"/>
      <c r="B207" s="2788" t="s">
        <v>161</v>
      </c>
      <c r="C207" s="2789">
        <v>75361.011716372508</v>
      </c>
      <c r="D207" s="2776">
        <v>39097.281142890002</v>
      </c>
      <c r="E207" s="2776">
        <v>5715.2913110999989</v>
      </c>
      <c r="F207" s="2790">
        <v>10043.05555556</v>
      </c>
      <c r="G207" s="2790">
        <v>10043.05555556</v>
      </c>
      <c r="H207" s="2790">
        <v>0</v>
      </c>
      <c r="I207" s="2776">
        <v>5409.8262750100002</v>
      </c>
      <c r="J207" s="2776">
        <v>0</v>
      </c>
      <c r="K207" s="2776">
        <v>3380.2350371399998</v>
      </c>
      <c r="L207" s="2776">
        <v>17430.613705772506</v>
      </c>
      <c r="M207" s="2745"/>
    </row>
    <row r="208" spans="1:13" s="2914" customFormat="1" ht="18" customHeight="1">
      <c r="A208" s="2143"/>
      <c r="B208" s="2788" t="s">
        <v>162</v>
      </c>
      <c r="C208" s="2789">
        <v>70953.568913692507</v>
      </c>
      <c r="D208" s="2776">
        <v>31849.42298222</v>
      </c>
      <c r="E208" s="2776">
        <v>5576.0504592199995</v>
      </c>
      <c r="F208" s="2790">
        <v>10081.94444444</v>
      </c>
      <c r="G208" s="2790">
        <v>10081.94444444</v>
      </c>
      <c r="H208" s="2790">
        <v>0</v>
      </c>
      <c r="I208" s="2776">
        <v>7439.4081270700008</v>
      </c>
      <c r="J208" s="2776">
        <v>0</v>
      </c>
      <c r="K208" s="2776">
        <v>3477.7584602399997</v>
      </c>
      <c r="L208" s="2776">
        <v>18105.034899722508</v>
      </c>
      <c r="M208" s="2745"/>
    </row>
    <row r="209" spans="1:13" s="2914" customFormat="1" ht="18" customHeight="1">
      <c r="A209" s="2143"/>
      <c r="B209" s="2788" t="s">
        <v>163</v>
      </c>
      <c r="C209" s="2789">
        <v>62924.304409262499</v>
      </c>
      <c r="D209" s="2776">
        <v>26311.6914158</v>
      </c>
      <c r="E209" s="2776">
        <v>5767.1698622600006</v>
      </c>
      <c r="F209" s="2790">
        <v>7000</v>
      </c>
      <c r="G209" s="2790">
        <v>7000</v>
      </c>
      <c r="H209" s="2790">
        <v>0</v>
      </c>
      <c r="I209" s="2776">
        <v>8006.7645248999997</v>
      </c>
      <c r="J209" s="2776">
        <v>0</v>
      </c>
      <c r="K209" s="2776">
        <v>3678.1869960799995</v>
      </c>
      <c r="L209" s="2776">
        <v>17927.661472482498</v>
      </c>
      <c r="M209" s="2745"/>
    </row>
    <row r="210" spans="1:13" s="2914" customFormat="1" ht="18" customHeight="1">
      <c r="A210" s="2143"/>
      <c r="B210" s="2788" t="s">
        <v>164</v>
      </c>
      <c r="C210" s="2789">
        <v>61646.261453032501</v>
      </c>
      <c r="D210" s="2776">
        <v>25643.020027549999</v>
      </c>
      <c r="E210" s="2776">
        <v>5334.374375374734</v>
      </c>
      <c r="F210" s="2790">
        <v>7029.1666666700003</v>
      </c>
      <c r="G210" s="2790">
        <v>7029.1666666700003</v>
      </c>
      <c r="H210" s="2790">
        <v>0</v>
      </c>
      <c r="I210" s="2776">
        <v>6556.4664057999998</v>
      </c>
      <c r="J210" s="2776">
        <v>0</v>
      </c>
      <c r="K210" s="2776">
        <v>3596.0096661999996</v>
      </c>
      <c r="L210" s="2776">
        <v>18821.598686812504</v>
      </c>
      <c r="M210" s="2745"/>
    </row>
    <row r="211" spans="1:13" s="2914" customFormat="1" ht="18" customHeight="1">
      <c r="A211" s="2143"/>
      <c r="B211" s="2788" t="s">
        <v>165</v>
      </c>
      <c r="C211" s="2789">
        <v>60852.7018465375</v>
      </c>
      <c r="D211" s="2776">
        <v>27536.263506389998</v>
      </c>
      <c r="E211" s="2776">
        <v>5676.9168509599995</v>
      </c>
      <c r="F211" s="2790">
        <v>7059.3055555600004</v>
      </c>
      <c r="G211" s="2790">
        <v>7059.3055555600004</v>
      </c>
      <c r="H211" s="2790">
        <v>0</v>
      </c>
      <c r="I211" s="2776">
        <v>3590.66603816</v>
      </c>
      <c r="J211" s="2776">
        <v>0</v>
      </c>
      <c r="K211" s="2776">
        <v>3679.2004534599996</v>
      </c>
      <c r="L211" s="2776">
        <v>18987.266292967506</v>
      </c>
      <c r="M211" s="2745"/>
    </row>
    <row r="212" spans="1:13" s="2914" customFormat="1" ht="18" customHeight="1">
      <c r="A212" s="2143"/>
      <c r="B212" s="2788" t="s">
        <v>166</v>
      </c>
      <c r="C212" s="2789">
        <v>63837.725047327505</v>
      </c>
      <c r="D212" s="2776">
        <v>26248.806551450001</v>
      </c>
      <c r="E212" s="2776">
        <v>5946.0605407500007</v>
      </c>
      <c r="F212" s="2790">
        <v>7000</v>
      </c>
      <c r="G212" s="2790">
        <v>7000</v>
      </c>
      <c r="H212" s="2790">
        <v>0</v>
      </c>
      <c r="I212" s="2776">
        <v>7779.69887784</v>
      </c>
      <c r="J212" s="2776">
        <v>0</v>
      </c>
      <c r="K212" s="2776">
        <v>3597.0982613599999</v>
      </c>
      <c r="L212" s="2776">
        <v>19212.121356677504</v>
      </c>
      <c r="M212" s="2745"/>
    </row>
    <row r="213" spans="1:13" s="2914" customFormat="1" ht="18" customHeight="1">
      <c r="A213" s="2143"/>
      <c r="B213" s="2788" t="s">
        <v>167</v>
      </c>
      <c r="C213" s="2789">
        <v>62544.797480972498</v>
      </c>
      <c r="D213" s="2776">
        <v>25153.671050780002</v>
      </c>
      <c r="E213" s="2776">
        <v>5939.8874044200002</v>
      </c>
      <c r="F213" s="2790">
        <v>7030.1388888900001</v>
      </c>
      <c r="G213" s="2790">
        <v>7030.1388888900001</v>
      </c>
      <c r="H213" s="2790">
        <v>0</v>
      </c>
      <c r="I213" s="2776">
        <v>7620.5313120600003</v>
      </c>
      <c r="J213" s="2776">
        <v>0</v>
      </c>
      <c r="K213" s="2776">
        <v>3660.37568736</v>
      </c>
      <c r="L213" s="2776">
        <v>19080.080541882497</v>
      </c>
      <c r="M213" s="2745"/>
    </row>
    <row r="214" spans="1:13" s="2914" customFormat="1" ht="18" customHeight="1">
      <c r="A214" s="2143"/>
      <c r="B214" s="2788" t="s">
        <v>168</v>
      </c>
      <c r="C214" s="2789">
        <v>69649.8609768225</v>
      </c>
      <c r="D214" s="2776">
        <v>25883.027036949999</v>
      </c>
      <c r="E214" s="2776">
        <v>5570.9200334099987</v>
      </c>
      <c r="F214" s="2790">
        <v>7060.2777777800002</v>
      </c>
      <c r="G214" s="2790">
        <v>7060.2777777800002</v>
      </c>
      <c r="H214" s="2790">
        <v>0</v>
      </c>
      <c r="I214" s="2776">
        <v>11837.046594059999</v>
      </c>
      <c r="J214" s="2776">
        <v>0</v>
      </c>
      <c r="K214" s="2776">
        <v>3729.4357198799999</v>
      </c>
      <c r="L214" s="2776">
        <v>21140.073848152504</v>
      </c>
      <c r="M214" s="2745"/>
    </row>
    <row r="215" spans="1:13" s="2914" customFormat="1" ht="18" customHeight="1">
      <c r="A215" s="2143"/>
      <c r="B215" s="3225" t="s">
        <v>169</v>
      </c>
      <c r="C215" s="3226">
        <v>75158.925646562508</v>
      </c>
      <c r="D215" s="3227">
        <v>28958.523549689999</v>
      </c>
      <c r="E215" s="3227">
        <v>5626.4818728700011</v>
      </c>
      <c r="F215" s="3228">
        <v>7000</v>
      </c>
      <c r="G215" s="3228">
        <v>7000</v>
      </c>
      <c r="H215" s="3228">
        <v>0</v>
      </c>
      <c r="I215" s="3227">
        <v>14114.665452120002</v>
      </c>
      <c r="J215" s="3227">
        <v>0</v>
      </c>
      <c r="K215" s="3227">
        <v>3907.1628837099997</v>
      </c>
      <c r="L215" s="3227">
        <v>21178.573761042506</v>
      </c>
      <c r="M215" s="2745"/>
    </row>
    <row r="216" spans="1:13" s="2914" customFormat="1" ht="18" customHeight="1">
      <c r="A216" s="2143"/>
      <c r="B216" s="3225" t="s">
        <v>170</v>
      </c>
      <c r="C216" s="3226">
        <v>74095.226048622513</v>
      </c>
      <c r="D216" s="3227">
        <v>29210.969076519999</v>
      </c>
      <c r="E216" s="3227">
        <v>6038.8423139099996</v>
      </c>
      <c r="F216" s="3228">
        <v>7030.1388888900001</v>
      </c>
      <c r="G216" s="3228">
        <v>7030.1388888900001</v>
      </c>
      <c r="H216" s="3228">
        <v>0</v>
      </c>
      <c r="I216" s="3227">
        <v>13827.083043210001</v>
      </c>
      <c r="J216" s="3227">
        <v>0</v>
      </c>
      <c r="K216" s="3227">
        <v>3897.6335224200002</v>
      </c>
      <c r="L216" s="3227">
        <v>20129.401517582504</v>
      </c>
      <c r="M216" s="2745"/>
    </row>
    <row r="217" spans="1:13" s="2914" customFormat="1" ht="18" customHeight="1">
      <c r="A217" s="2143"/>
      <c r="B217" s="4210" t="s">
        <v>171</v>
      </c>
      <c r="C217" s="4211">
        <v>74037.610375732489</v>
      </c>
      <c r="D217" s="4178">
        <v>27463.83254318</v>
      </c>
      <c r="E217" s="4178">
        <v>5936.0107423100008</v>
      </c>
      <c r="F217" s="4212">
        <v>7059.3055555600004</v>
      </c>
      <c r="G217" s="4212">
        <v>7059.3055555600004</v>
      </c>
      <c r="H217" s="4212">
        <v>0</v>
      </c>
      <c r="I217" s="4178">
        <v>14083.20531397</v>
      </c>
      <c r="J217" s="4178">
        <v>0</v>
      </c>
      <c r="K217" s="4178">
        <v>3986.32578702</v>
      </c>
      <c r="L217" s="4178">
        <v>21444.941176002481</v>
      </c>
      <c r="M217" s="2745"/>
    </row>
    <row r="218" spans="1:13" s="2914" customFormat="1" ht="18" customHeight="1">
      <c r="A218" s="2143"/>
      <c r="B218" s="4210" t="s">
        <v>148</v>
      </c>
      <c r="C218" s="4211">
        <v>69582.694881822492</v>
      </c>
      <c r="D218" s="4178">
        <v>25801.066254100002</v>
      </c>
      <c r="E218" s="4178">
        <v>6587.1604448499993</v>
      </c>
      <c r="F218" s="4212">
        <v>7000</v>
      </c>
      <c r="G218" s="4212">
        <v>7000</v>
      </c>
      <c r="H218" s="4212">
        <v>0</v>
      </c>
      <c r="I218" s="4178">
        <v>11628.322741440001</v>
      </c>
      <c r="J218" s="4178">
        <v>0</v>
      </c>
      <c r="K218" s="4178">
        <v>4057.6768306399999</v>
      </c>
      <c r="L218" s="4178">
        <v>21095.629055642486</v>
      </c>
      <c r="M218" s="2745"/>
    </row>
    <row r="219" spans="1:13" s="2914" customFormat="1" ht="18" customHeight="1">
      <c r="A219" s="2143"/>
      <c r="B219" s="4340">
        <v>2016</v>
      </c>
      <c r="C219" s="4211"/>
      <c r="D219" s="4178"/>
      <c r="E219" s="4178"/>
      <c r="F219" s="4212"/>
      <c r="G219" s="4212"/>
      <c r="H219" s="4212"/>
      <c r="I219" s="4178"/>
      <c r="J219" s="4178"/>
      <c r="K219" s="4178"/>
      <c r="L219" s="4178"/>
      <c r="M219" s="2745"/>
    </row>
    <row r="220" spans="1:13" s="2914" customFormat="1" ht="18" customHeight="1">
      <c r="A220" s="2143"/>
      <c r="B220" s="4210" t="s">
        <v>161</v>
      </c>
      <c r="C220" s="4211">
        <v>70090.353191002505</v>
      </c>
      <c r="D220" s="4178">
        <v>26074.823604310001</v>
      </c>
      <c r="E220" s="4178">
        <v>6647.6765424000005</v>
      </c>
      <c r="F220" s="4212">
        <v>7030.1388888900001</v>
      </c>
      <c r="G220" s="4212">
        <v>7030.1388888900001</v>
      </c>
      <c r="H220" s="4212">
        <v>0</v>
      </c>
      <c r="I220" s="4178">
        <v>11345.215687169999</v>
      </c>
      <c r="J220" s="4178">
        <v>0</v>
      </c>
      <c r="K220" s="4178">
        <v>3352.4207944499999</v>
      </c>
      <c r="L220" s="4178">
        <v>22287.754216182504</v>
      </c>
      <c r="M220" s="2745"/>
    </row>
    <row r="221" spans="1:13" s="2914" customFormat="1" ht="18" customHeight="1">
      <c r="A221" s="2143"/>
      <c r="B221" s="4341" t="s">
        <v>162</v>
      </c>
      <c r="C221" s="4342">
        <v>74519.541920700009</v>
      </c>
      <c r="D221" s="4292">
        <v>28909.097796149999</v>
      </c>
      <c r="E221" s="4292">
        <v>6610.1923321199993</v>
      </c>
      <c r="F221" s="4343">
        <v>7058.3333333299997</v>
      </c>
      <c r="G221" s="4343">
        <v>7058.3333333299997</v>
      </c>
      <c r="H221" s="4343">
        <v>0</v>
      </c>
      <c r="I221" s="4292">
        <v>11951.044572570001</v>
      </c>
      <c r="J221" s="4292">
        <v>0</v>
      </c>
      <c r="K221" s="4292">
        <v>3433.3676003099999</v>
      </c>
      <c r="L221" s="4292">
        <v>23167.698618340015</v>
      </c>
      <c r="M221" s="2745"/>
    </row>
    <row r="222" spans="1:13" ht="34.5" customHeight="1">
      <c r="A222" s="2142"/>
      <c r="B222" s="4697" t="s">
        <v>1645</v>
      </c>
      <c r="C222" s="4698"/>
      <c r="D222" s="4698"/>
      <c r="E222" s="4698"/>
      <c r="F222" s="4698"/>
      <c r="G222" s="4698"/>
      <c r="H222" s="4698"/>
      <c r="I222" s="4698"/>
      <c r="J222" s="4698"/>
      <c r="K222" s="4698"/>
      <c r="L222" s="4698"/>
      <c r="M222" s="2571"/>
    </row>
    <row r="223" spans="1:13" ht="16.5">
      <c r="A223" s="2142"/>
      <c r="B223" s="2571"/>
      <c r="C223" s="2347"/>
      <c r="D223" s="2347"/>
      <c r="E223" s="2347"/>
      <c r="F223" s="2347"/>
      <c r="G223" s="2347"/>
      <c r="H223" s="2347"/>
      <c r="I223" s="2347"/>
      <c r="J223" s="2347"/>
      <c r="K223" s="2347"/>
      <c r="L223" s="2347"/>
      <c r="M223" s="2571"/>
    </row>
    <row r="224" spans="1:13" ht="16.5">
      <c r="A224" s="2142"/>
      <c r="B224" s="4072"/>
      <c r="C224" s="2341"/>
      <c r="D224" s="2341"/>
      <c r="E224" s="2341"/>
      <c r="F224" s="2341"/>
      <c r="G224" s="2341"/>
      <c r="H224" s="2341"/>
      <c r="I224" s="2341"/>
      <c r="J224" s="2341"/>
      <c r="K224" s="2341"/>
      <c r="L224" s="2341"/>
      <c r="M224" s="4077"/>
    </row>
    <row r="225" spans="1:13">
      <c r="A225" s="4072"/>
      <c r="B225" s="4072"/>
      <c r="C225" s="1926"/>
      <c r="D225" s="1926"/>
      <c r="E225" s="1926"/>
      <c r="F225" s="1926"/>
      <c r="G225" s="1926"/>
      <c r="H225" s="1926"/>
      <c r="I225" s="1926"/>
      <c r="J225" s="1926"/>
      <c r="K225" s="1926"/>
      <c r="L225" s="1926"/>
      <c r="M225" s="4072"/>
    </row>
    <row r="226" spans="1:13">
      <c r="C226" s="2378"/>
    </row>
  </sheetData>
  <mergeCells count="5">
    <mergeCell ref="J5:J10"/>
    <mergeCell ref="D6:E6"/>
    <mergeCell ref="F6:H6"/>
    <mergeCell ref="B222:L222"/>
    <mergeCell ref="B1:L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Sheet35"/>
  <dimension ref="A1:N193"/>
  <sheetViews>
    <sheetView zoomScale="85" zoomScaleNormal="85" workbookViewId="0">
      <pane xSplit="2" ySplit="4" topLeftCell="C5" activePane="bottomRight" state="frozen"/>
      <selection activeCell="O92" sqref="O92"/>
      <selection pane="topRight" activeCell="O92" sqref="O92"/>
      <selection pane="bottomLeft" activeCell="O92" sqref="O92"/>
      <selection pane="bottomRight" activeCell="K195" sqref="K195"/>
    </sheetView>
  </sheetViews>
  <sheetFormatPr defaultRowHeight="12.75"/>
  <cols>
    <col min="1" max="1" width="9.140625" style="700"/>
    <col min="2" max="2" width="8.140625" style="4030" customWidth="1"/>
    <col min="3" max="3" width="11" style="132" customWidth="1"/>
    <col min="4" max="5" width="9.28515625" style="700" bestFit="1" customWidth="1"/>
    <col min="6" max="6" width="7.5703125" style="700" customWidth="1"/>
    <col min="7" max="7" width="9.28515625" style="700" bestFit="1" customWidth="1"/>
    <col min="8" max="8" width="8.42578125" style="700" customWidth="1"/>
    <col min="9" max="9" width="8.85546875" style="700" customWidth="1"/>
    <col min="10" max="10" width="6.85546875" style="700" customWidth="1"/>
    <col min="11" max="11" width="9.28515625" style="700" bestFit="1" customWidth="1"/>
    <col min="12" max="12" width="9.140625" style="700"/>
  </cols>
  <sheetData>
    <row r="1" spans="1:13" ht="18">
      <c r="A1" s="3989"/>
      <c r="B1" s="4708" t="s">
        <v>2027</v>
      </c>
      <c r="C1" s="4708"/>
      <c r="D1" s="4708"/>
      <c r="E1" s="4708"/>
      <c r="F1" s="4708"/>
      <c r="G1" s="4708"/>
      <c r="H1" s="4708"/>
      <c r="I1" s="4708"/>
      <c r="J1" s="4708"/>
      <c r="K1" s="4708"/>
      <c r="L1" s="3989"/>
    </row>
    <row r="2" spans="1:13" s="1935" customFormat="1" ht="16.5" customHeight="1">
      <c r="A2" s="3989"/>
      <c r="B2" s="3164" t="s">
        <v>1757</v>
      </c>
      <c r="C2" s="2926"/>
      <c r="D2" s="3989"/>
      <c r="E2" s="3989"/>
      <c r="F2" s="3989"/>
      <c r="G2" s="3989"/>
      <c r="H2" s="3989"/>
      <c r="I2" s="3989"/>
      <c r="J2" s="3989"/>
      <c r="K2" s="3989"/>
      <c r="L2" s="3989"/>
    </row>
    <row r="3" spans="1:13" s="1935" customFormat="1">
      <c r="A3" s="3989"/>
      <c r="B3" s="4700" t="s">
        <v>227</v>
      </c>
      <c r="C3" s="4700" t="s">
        <v>630</v>
      </c>
      <c r="D3" s="4702" t="s">
        <v>1511</v>
      </c>
      <c r="E3" s="4703"/>
      <c r="F3" s="4703"/>
      <c r="G3" s="4704"/>
      <c r="H3" s="4705" t="s">
        <v>1512</v>
      </c>
      <c r="I3" s="4706"/>
      <c r="J3" s="4706"/>
      <c r="K3" s="4707"/>
      <c r="L3" s="3989"/>
    </row>
    <row r="4" spans="1:13" ht="25.5">
      <c r="A4" s="3989"/>
      <c r="B4" s="4701"/>
      <c r="C4" s="4701"/>
      <c r="D4" s="3094" t="s">
        <v>623</v>
      </c>
      <c r="E4" s="3094" t="s">
        <v>624</v>
      </c>
      <c r="F4" s="3094" t="s">
        <v>1640</v>
      </c>
      <c r="G4" s="3094" t="s">
        <v>625</v>
      </c>
      <c r="H4" s="3094" t="s">
        <v>623</v>
      </c>
      <c r="I4" s="3094" t="s">
        <v>624</v>
      </c>
      <c r="J4" s="3094" t="s">
        <v>1640</v>
      </c>
      <c r="K4" s="3094" t="s">
        <v>625</v>
      </c>
      <c r="L4" s="3989"/>
    </row>
    <row r="5" spans="1:13" hidden="1">
      <c r="A5" s="3989"/>
      <c r="B5" s="1936">
        <v>2000</v>
      </c>
      <c r="C5" s="2714">
        <v>4669.46</v>
      </c>
      <c r="D5" s="2715">
        <v>28.16</v>
      </c>
      <c r="E5" s="2715">
        <v>942.72</v>
      </c>
      <c r="F5" s="2715">
        <v>294.73</v>
      </c>
      <c r="G5" s="2715">
        <v>3403.85</v>
      </c>
      <c r="H5" s="1985">
        <v>0.60306759239826446</v>
      </c>
      <c r="I5" s="1985">
        <v>20.189058263696445</v>
      </c>
      <c r="J5" s="1985">
        <v>6.3118647552393643</v>
      </c>
      <c r="K5" s="1985">
        <v>72.896009388665931</v>
      </c>
      <c r="L5" s="2883"/>
      <c r="M5" s="1934"/>
    </row>
    <row r="6" spans="1:13" hidden="1">
      <c r="A6" s="3989"/>
      <c r="B6" s="1936">
        <v>2001</v>
      </c>
      <c r="C6" s="2714">
        <v>4923.62</v>
      </c>
      <c r="D6" s="2715">
        <v>54.57</v>
      </c>
      <c r="E6" s="2715">
        <v>985.49</v>
      </c>
      <c r="F6" s="2715">
        <v>904.83999999999992</v>
      </c>
      <c r="G6" s="2715">
        <v>2978.72</v>
      </c>
      <c r="H6" s="1985">
        <v>1.108330862251758</v>
      </c>
      <c r="I6" s="1985">
        <v>20.015557658795764</v>
      </c>
      <c r="J6" s="1985">
        <v>18.377535228145145</v>
      </c>
      <c r="K6" s="1985">
        <v>60.498576250807332</v>
      </c>
      <c r="L6" s="2883"/>
      <c r="M6" s="1934"/>
    </row>
    <row r="7" spans="1:13" s="1935" customFormat="1" hidden="1">
      <c r="A7" s="3989"/>
      <c r="B7" s="1936">
        <v>2002</v>
      </c>
      <c r="C7" s="2714"/>
      <c r="D7" s="2715"/>
      <c r="E7" s="2715"/>
      <c r="F7" s="2715"/>
      <c r="G7" s="2715"/>
      <c r="H7" s="1985"/>
      <c r="I7" s="1985"/>
      <c r="J7" s="1985"/>
      <c r="K7" s="1985"/>
      <c r="L7" s="2883"/>
      <c r="M7" s="1934"/>
    </row>
    <row r="8" spans="1:13" hidden="1">
      <c r="A8" s="3989"/>
      <c r="B8" s="1937" t="s">
        <v>161</v>
      </c>
      <c r="C8" s="2714">
        <v>5399.99</v>
      </c>
      <c r="D8" s="2715">
        <v>89.66</v>
      </c>
      <c r="E8" s="2715">
        <v>952.63</v>
      </c>
      <c r="F8" s="2715">
        <v>898.52</v>
      </c>
      <c r="G8" s="2715">
        <v>3459.18</v>
      </c>
      <c r="H8" s="1985">
        <v>1.6603734451360093</v>
      </c>
      <c r="I8" s="1985">
        <v>17.641328965424012</v>
      </c>
      <c r="J8" s="1985">
        <v>16.639290072759394</v>
      </c>
      <c r="K8" s="1985">
        <v>64.059007516680595</v>
      </c>
      <c r="L8" s="2883"/>
      <c r="M8" s="1934"/>
    </row>
    <row r="9" spans="1:13" hidden="1">
      <c r="A9" s="3989"/>
      <c r="B9" s="1937" t="s">
        <v>162</v>
      </c>
      <c r="C9" s="2714">
        <v>5053.75</v>
      </c>
      <c r="D9" s="2715">
        <v>72.28</v>
      </c>
      <c r="E9" s="2715">
        <v>1033.45</v>
      </c>
      <c r="F9" s="2715">
        <v>898.52</v>
      </c>
      <c r="G9" s="2715">
        <v>3049.5</v>
      </c>
      <c r="H9" s="1985">
        <v>1.4302250803858521</v>
      </c>
      <c r="I9" s="1985">
        <v>20.449171407370763</v>
      </c>
      <c r="J9" s="1985">
        <v>17.779272817214938</v>
      </c>
      <c r="K9" s="1985">
        <v>60.341330695028439</v>
      </c>
      <c r="L9" s="2883"/>
      <c r="M9" s="1934"/>
    </row>
    <row r="10" spans="1:13" hidden="1">
      <c r="A10" s="3989"/>
      <c r="B10" s="1937" t="s">
        <v>163</v>
      </c>
      <c r="C10" s="2714">
        <v>5661.11</v>
      </c>
      <c r="D10" s="2715">
        <v>102.05</v>
      </c>
      <c r="E10" s="2715">
        <v>952.99</v>
      </c>
      <c r="F10" s="2715">
        <v>934.45</v>
      </c>
      <c r="G10" s="2715">
        <v>3671.62</v>
      </c>
      <c r="H10" s="1985">
        <v>1.8026500103336625</v>
      </c>
      <c r="I10" s="1985">
        <v>16.833977788808202</v>
      </c>
      <c r="J10" s="1985">
        <v>16.506480177915638</v>
      </c>
      <c r="K10" s="1985">
        <v>64.856892022942503</v>
      </c>
      <c r="L10" s="2883"/>
      <c r="M10" s="1934"/>
    </row>
    <row r="11" spans="1:13" hidden="1">
      <c r="A11" s="3989"/>
      <c r="B11" s="1938" t="s">
        <v>164</v>
      </c>
      <c r="C11" s="2714">
        <v>5528.24</v>
      </c>
      <c r="D11" s="2715">
        <v>108.1</v>
      </c>
      <c r="E11" s="2715">
        <v>1024.95</v>
      </c>
      <c r="F11" s="2715">
        <v>899.3</v>
      </c>
      <c r="G11" s="2715">
        <v>3495.89</v>
      </c>
      <c r="H11" s="1985">
        <v>1.9554143814306182</v>
      </c>
      <c r="I11" s="1985">
        <v>18.540258744193451</v>
      </c>
      <c r="J11" s="1985">
        <v>16.267383471050461</v>
      </c>
      <c r="K11" s="1985">
        <v>63.236943403325476</v>
      </c>
      <c r="L11" s="2883"/>
      <c r="M11" s="1934"/>
    </row>
    <row r="12" spans="1:13" hidden="1">
      <c r="A12" s="3989"/>
      <c r="B12" s="1938" t="s">
        <v>165</v>
      </c>
      <c r="C12" s="2714">
        <v>5220.49</v>
      </c>
      <c r="D12" s="2715">
        <v>100.37</v>
      </c>
      <c r="E12" s="2715">
        <v>1060.7</v>
      </c>
      <c r="F12" s="2715">
        <v>899.3</v>
      </c>
      <c r="G12" s="2715">
        <v>3160.12</v>
      </c>
      <c r="H12" s="1985">
        <v>1.9226164593745032</v>
      </c>
      <c r="I12" s="1985">
        <v>20.31801612492314</v>
      </c>
      <c r="J12" s="1985">
        <v>17.226352315587235</v>
      </c>
      <c r="K12" s="1985">
        <v>60.533015100115129</v>
      </c>
      <c r="L12" s="2883"/>
      <c r="M12" s="1934"/>
    </row>
    <row r="13" spans="1:13" hidden="1">
      <c r="A13" s="3989"/>
      <c r="B13" s="1938" t="s">
        <v>166</v>
      </c>
      <c r="C13" s="2714">
        <v>5129.24</v>
      </c>
      <c r="D13" s="2715">
        <v>94.26</v>
      </c>
      <c r="E13" s="2715">
        <v>1029.9100000000001</v>
      </c>
      <c r="F13" s="2715">
        <v>899.61</v>
      </c>
      <c r="G13" s="2715">
        <v>3105.46</v>
      </c>
      <c r="H13" s="1985">
        <v>1.8376991523110637</v>
      </c>
      <c r="I13" s="1985">
        <v>20.079193018848798</v>
      </c>
      <c r="J13" s="1985">
        <v>17.538855658928028</v>
      </c>
      <c r="K13" s="1985">
        <v>60.544252169912113</v>
      </c>
      <c r="L13" s="2883"/>
      <c r="M13" s="1934"/>
    </row>
    <row r="14" spans="1:13" hidden="1">
      <c r="A14" s="3989"/>
      <c r="B14" s="1938" t="s">
        <v>167</v>
      </c>
      <c r="C14" s="2714">
        <v>5515.73</v>
      </c>
      <c r="D14" s="2715">
        <v>107.81</v>
      </c>
      <c r="E14" s="2715">
        <v>1089.73</v>
      </c>
      <c r="F14" s="2715">
        <v>914.36</v>
      </c>
      <c r="G14" s="2715">
        <v>3403.83</v>
      </c>
      <c r="H14" s="1985">
        <v>1.9545916859599728</v>
      </c>
      <c r="I14" s="1985">
        <v>19.756768369735287</v>
      </c>
      <c r="J14" s="1985">
        <v>16.577316148542444</v>
      </c>
      <c r="K14" s="1985">
        <v>61.711323795762304</v>
      </c>
      <c r="L14" s="2883"/>
      <c r="M14" s="1934"/>
    </row>
    <row r="15" spans="1:13" hidden="1">
      <c r="A15" s="3989"/>
      <c r="B15" s="1938" t="s">
        <v>168</v>
      </c>
      <c r="C15" s="2714">
        <v>5761.58</v>
      </c>
      <c r="D15" s="2715">
        <v>90.72</v>
      </c>
      <c r="E15" s="2715">
        <v>1086.18</v>
      </c>
      <c r="F15" s="2715">
        <v>914.36</v>
      </c>
      <c r="G15" s="2715">
        <v>3670.32</v>
      </c>
      <c r="H15" s="1985">
        <v>1.5745680872260734</v>
      </c>
      <c r="I15" s="1985">
        <v>18.852120425300008</v>
      </c>
      <c r="J15" s="1985">
        <v>15.86995233946244</v>
      </c>
      <c r="K15" s="1985">
        <v>63.703359148011486</v>
      </c>
      <c r="L15" s="2883"/>
      <c r="M15" s="1934"/>
    </row>
    <row r="16" spans="1:13" hidden="1">
      <c r="A16" s="3989"/>
      <c r="B16" s="1938" t="s">
        <v>169</v>
      </c>
      <c r="C16" s="2714">
        <v>5036.4799999999996</v>
      </c>
      <c r="D16" s="2715">
        <v>94.39</v>
      </c>
      <c r="E16" s="2715">
        <v>2000.57</v>
      </c>
      <c r="F16" s="2715">
        <v>914.58</v>
      </c>
      <c r="G16" s="2715">
        <v>2026.94</v>
      </c>
      <c r="H16" s="1985">
        <v>1.8741263739754752</v>
      </c>
      <c r="I16" s="1985">
        <v>39.721591270093398</v>
      </c>
      <c r="J16" s="1985">
        <v>18.159111125230325</v>
      </c>
      <c r="K16" s="1985">
        <v>40.245171230700812</v>
      </c>
      <c r="L16" s="2883"/>
      <c r="M16" s="1934"/>
    </row>
    <row r="17" spans="1:13" hidden="1">
      <c r="A17" s="3989"/>
      <c r="B17" s="1938" t="s">
        <v>170</v>
      </c>
      <c r="C17" s="2714">
        <v>5343.3099999999995</v>
      </c>
      <c r="D17" s="2715">
        <v>97.94</v>
      </c>
      <c r="E17" s="2715">
        <v>1968.16</v>
      </c>
      <c r="F17" s="2715">
        <v>752.18</v>
      </c>
      <c r="G17" s="2715">
        <v>2525.0300000000002</v>
      </c>
      <c r="H17" s="1985">
        <v>1.8329462449305767</v>
      </c>
      <c r="I17" s="1985">
        <v>36.834097216893653</v>
      </c>
      <c r="J17" s="1985">
        <v>14.077042133059845</v>
      </c>
      <c r="K17" s="1985">
        <v>47.255914405115938</v>
      </c>
      <c r="L17" s="2883"/>
      <c r="M17" s="1934"/>
    </row>
    <row r="18" spans="1:13" hidden="1">
      <c r="A18" s="3989"/>
      <c r="B18" s="1938" t="s">
        <v>171</v>
      </c>
      <c r="C18" s="2714">
        <v>5871.52</v>
      </c>
      <c r="D18" s="2715">
        <v>94.81</v>
      </c>
      <c r="E18" s="2715">
        <v>1919.11</v>
      </c>
      <c r="F18" s="2715">
        <v>752.18</v>
      </c>
      <c r="G18" s="2715">
        <v>3105.42</v>
      </c>
      <c r="H18" s="1985">
        <v>1.6147437120200563</v>
      </c>
      <c r="I18" s="1985">
        <v>32.685062811673973</v>
      </c>
      <c r="J18" s="1985">
        <v>12.810652096901654</v>
      </c>
      <c r="K18" s="1985">
        <v>52.889541379404307</v>
      </c>
      <c r="L18" s="2883"/>
      <c r="M18" s="1934"/>
    </row>
    <row r="19" spans="1:13" hidden="1">
      <c r="A19" s="3989"/>
      <c r="B19" s="1936">
        <v>2002</v>
      </c>
      <c r="C19" s="2714">
        <v>6473.41</v>
      </c>
      <c r="D19" s="2715">
        <v>57.05</v>
      </c>
      <c r="E19" s="2715">
        <v>2531.69</v>
      </c>
      <c r="F19" s="2715">
        <v>1088.8800000000001</v>
      </c>
      <c r="G19" s="2715">
        <v>2795.79</v>
      </c>
      <c r="H19" s="1985">
        <v>0.88129749235719645</v>
      </c>
      <c r="I19" s="1985">
        <v>39.109063074948139</v>
      </c>
      <c r="J19" s="1985">
        <v>16.820810052198148</v>
      </c>
      <c r="K19" s="1985">
        <v>43.188829380496522</v>
      </c>
      <c r="L19" s="2883"/>
      <c r="M19" s="1934"/>
    </row>
    <row r="20" spans="1:13" s="1935" customFormat="1" hidden="1">
      <c r="A20" s="3989"/>
      <c r="B20" s="1936">
        <v>2003</v>
      </c>
      <c r="C20" s="2714"/>
      <c r="D20" s="2715"/>
      <c r="E20" s="2715"/>
      <c r="F20" s="2715"/>
      <c r="G20" s="2715"/>
      <c r="H20" s="1985"/>
      <c r="I20" s="1985"/>
      <c r="J20" s="1985"/>
      <c r="K20" s="1985"/>
      <c r="L20" s="2883"/>
      <c r="M20" s="1934"/>
    </row>
    <row r="21" spans="1:13" hidden="1">
      <c r="A21" s="3989"/>
      <c r="B21" s="1937" t="s">
        <v>161</v>
      </c>
      <c r="C21" s="2714">
        <v>6393.14</v>
      </c>
      <c r="D21" s="2715">
        <v>107.42</v>
      </c>
      <c r="E21" s="2715">
        <v>2482.3200000000002</v>
      </c>
      <c r="F21" s="2715">
        <v>1088.8800000000001</v>
      </c>
      <c r="G21" s="2715">
        <v>2714.52</v>
      </c>
      <c r="H21" s="1985">
        <v>1.6802385056482416</v>
      </c>
      <c r="I21" s="1985">
        <v>38.82786862167886</v>
      </c>
      <c r="J21" s="1985">
        <v>17.032006181625931</v>
      </c>
      <c r="K21" s="1985">
        <v>42.459886691046961</v>
      </c>
      <c r="L21" s="2883"/>
      <c r="M21" s="1934"/>
    </row>
    <row r="22" spans="1:13" hidden="1">
      <c r="A22" s="3989"/>
      <c r="B22" s="1937" t="s">
        <v>162</v>
      </c>
      <c r="C22" s="2714">
        <v>6369.1299999999992</v>
      </c>
      <c r="D22" s="2715">
        <v>14.43</v>
      </c>
      <c r="E22" s="2715">
        <v>2643.33</v>
      </c>
      <c r="F22" s="2715">
        <v>1088.8800000000001</v>
      </c>
      <c r="G22" s="2715">
        <v>2622.49</v>
      </c>
      <c r="H22" s="1985">
        <v>0.22656155550287091</v>
      </c>
      <c r="I22" s="1985">
        <v>41.502214588177665</v>
      </c>
      <c r="J22" s="1985">
        <v>17.096212512540962</v>
      </c>
      <c r="K22" s="1985">
        <v>41.175011343778507</v>
      </c>
      <c r="L22" s="2883"/>
      <c r="M22" s="1934"/>
    </row>
    <row r="23" spans="1:13" hidden="1">
      <c r="A23" s="3989"/>
      <c r="B23" s="1937" t="s">
        <v>163</v>
      </c>
      <c r="C23" s="2714">
        <v>6428.16</v>
      </c>
      <c r="D23" s="2715">
        <v>18.34</v>
      </c>
      <c r="E23" s="2715">
        <v>2075.41</v>
      </c>
      <c r="F23" s="2715">
        <v>890.9</v>
      </c>
      <c r="G23" s="2715">
        <v>3443.51</v>
      </c>
      <c r="H23" s="1985">
        <v>0.28530714854639583</v>
      </c>
      <c r="I23" s="1985">
        <v>32.286221873755473</v>
      </c>
      <c r="J23" s="1985">
        <v>13.85933144165671</v>
      </c>
      <c r="K23" s="1985">
        <v>53.569139536041419</v>
      </c>
      <c r="L23" s="2883"/>
      <c r="M23" s="1934"/>
    </row>
    <row r="24" spans="1:13" hidden="1">
      <c r="A24" s="3989"/>
      <c r="B24" s="1938" t="s">
        <v>164</v>
      </c>
      <c r="C24" s="2714">
        <v>7283.66</v>
      </c>
      <c r="D24" s="2715">
        <v>115.89</v>
      </c>
      <c r="E24" s="2715">
        <v>1983.44</v>
      </c>
      <c r="F24" s="2715">
        <v>643.42999999999995</v>
      </c>
      <c r="G24" s="2715">
        <v>4540.8999999999996</v>
      </c>
      <c r="H24" s="1985">
        <v>1.5910956854109062</v>
      </c>
      <c r="I24" s="1985">
        <v>27.231364451388451</v>
      </c>
      <c r="J24" s="1985">
        <v>8.8338829654322133</v>
      </c>
      <c r="K24" s="1985">
        <v>62.343656897768426</v>
      </c>
      <c r="L24" s="2883"/>
      <c r="M24" s="1934"/>
    </row>
    <row r="25" spans="1:13" hidden="1">
      <c r="A25" s="3989"/>
      <c r="B25" s="1938" t="s">
        <v>165</v>
      </c>
      <c r="C25" s="2714">
        <v>7212</v>
      </c>
      <c r="D25" s="2715">
        <v>95.77</v>
      </c>
      <c r="E25" s="2715">
        <v>2499.14</v>
      </c>
      <c r="F25" s="2715">
        <v>891.15</v>
      </c>
      <c r="G25" s="2715">
        <v>3725.94</v>
      </c>
      <c r="H25" s="1985">
        <v>1.3279256794231835</v>
      </c>
      <c r="I25" s="1985">
        <v>34.65252357182473</v>
      </c>
      <c r="J25" s="1985">
        <v>12.35648918469218</v>
      </c>
      <c r="K25" s="1985">
        <v>51.663061564059895</v>
      </c>
      <c r="L25" s="2883"/>
      <c r="M25" s="1934"/>
    </row>
    <row r="26" spans="1:13" hidden="1">
      <c r="A26" s="3989"/>
      <c r="B26" s="1938" t="s">
        <v>166</v>
      </c>
      <c r="C26" s="2714">
        <v>6857.21</v>
      </c>
      <c r="D26" s="2715">
        <v>66.069999999999993</v>
      </c>
      <c r="E26" s="2715">
        <v>2801.16</v>
      </c>
      <c r="F26" s="2715">
        <v>693.43</v>
      </c>
      <c r="G26" s="2715">
        <v>3296.55</v>
      </c>
      <c r="H26" s="1985">
        <v>0.96351139895088522</v>
      </c>
      <c r="I26" s="1985">
        <v>40.849850011885295</v>
      </c>
      <c r="J26" s="1985">
        <v>10.112421815869718</v>
      </c>
      <c r="K26" s="1985">
        <v>48.074216773294097</v>
      </c>
      <c r="L26" s="2883"/>
      <c r="M26" s="1934"/>
    </row>
    <row r="27" spans="1:13" hidden="1">
      <c r="A27" s="3989"/>
      <c r="B27" s="1938" t="s">
        <v>167</v>
      </c>
      <c r="C27" s="2714">
        <v>7028.04</v>
      </c>
      <c r="D27" s="2715">
        <v>20.48</v>
      </c>
      <c r="E27" s="2715">
        <v>2831.15</v>
      </c>
      <c r="F27" s="2715">
        <v>594.69000000000005</v>
      </c>
      <c r="G27" s="2715">
        <v>3581.72</v>
      </c>
      <c r="H27" s="1985">
        <v>0.2914041468176049</v>
      </c>
      <c r="I27" s="1985">
        <v>40.283635266731551</v>
      </c>
      <c r="J27" s="1985">
        <v>8.4616763706524161</v>
      </c>
      <c r="K27" s="1985">
        <v>50.963284215798431</v>
      </c>
      <c r="L27" s="2883"/>
      <c r="M27" s="1934"/>
    </row>
    <row r="28" spans="1:13" hidden="1">
      <c r="A28" s="3989"/>
      <c r="B28" s="1938" t="s">
        <v>168</v>
      </c>
      <c r="C28" s="2714">
        <v>7290.08</v>
      </c>
      <c r="D28" s="2715">
        <v>101.44</v>
      </c>
      <c r="E28" s="2715">
        <v>2911.87</v>
      </c>
      <c r="F28" s="2715">
        <v>594.69000000000005</v>
      </c>
      <c r="G28" s="2715">
        <v>3682.08</v>
      </c>
      <c r="H28" s="1985">
        <v>1.3914799288896691</v>
      </c>
      <c r="I28" s="1985">
        <v>39.942908719794566</v>
      </c>
      <c r="J28" s="1985">
        <v>8.157523648574502</v>
      </c>
      <c r="K28" s="1985">
        <v>50.508087702741257</v>
      </c>
      <c r="L28" s="2883"/>
      <c r="M28" s="1934"/>
    </row>
    <row r="29" spans="1:13" hidden="1">
      <c r="A29" s="3989"/>
      <c r="B29" s="1938" t="s">
        <v>169</v>
      </c>
      <c r="C29" s="2714">
        <v>6944.1100000000006</v>
      </c>
      <c r="D29" s="2715">
        <v>104.3</v>
      </c>
      <c r="E29" s="2715">
        <v>3200.45</v>
      </c>
      <c r="F29" s="2715">
        <v>495.58</v>
      </c>
      <c r="G29" s="2715">
        <v>3143.78</v>
      </c>
      <c r="H29" s="1985">
        <v>1.5019923359508993</v>
      </c>
      <c r="I29" s="1985">
        <v>46.088699631774261</v>
      </c>
      <c r="J29" s="1985">
        <v>7.136695703265068</v>
      </c>
      <c r="K29" s="1985">
        <v>45.272612329009768</v>
      </c>
      <c r="L29" s="2883"/>
      <c r="M29" s="1934"/>
    </row>
    <row r="30" spans="1:13" hidden="1">
      <c r="A30" s="3989"/>
      <c r="B30" s="1938" t="s">
        <v>170</v>
      </c>
      <c r="C30" s="2714">
        <v>6257.75</v>
      </c>
      <c r="D30" s="2715">
        <v>97.49</v>
      </c>
      <c r="E30" s="2715">
        <v>3061.06</v>
      </c>
      <c r="F30" s="2715">
        <v>297.35000000000002</v>
      </c>
      <c r="G30" s="2715">
        <v>2801.85</v>
      </c>
      <c r="H30" s="1985">
        <v>1.5579081938396389</v>
      </c>
      <c r="I30" s="1985">
        <v>48.916303783308699</v>
      </c>
      <c r="J30" s="1985">
        <v>4.7517078822260403</v>
      </c>
      <c r="K30" s="1985">
        <v>44.774080140625621</v>
      </c>
      <c r="L30" s="2883"/>
      <c r="M30" s="1934"/>
    </row>
    <row r="31" spans="1:13" hidden="1">
      <c r="A31" s="3989"/>
      <c r="B31" s="1938" t="s">
        <v>171</v>
      </c>
      <c r="C31" s="2714">
        <v>6436.59</v>
      </c>
      <c r="D31" s="2715">
        <v>127.69</v>
      </c>
      <c r="E31" s="2715">
        <v>3002.59</v>
      </c>
      <c r="F31" s="2715">
        <v>99.12</v>
      </c>
      <c r="G31" s="2715">
        <v>3207.19</v>
      </c>
      <c r="H31" s="1985">
        <v>1.9838144110468432</v>
      </c>
      <c r="I31" s="1985">
        <v>46.648768991034075</v>
      </c>
      <c r="J31" s="1985">
        <v>1.5399458408877993</v>
      </c>
      <c r="K31" s="1985">
        <v>49.827470757031286</v>
      </c>
      <c r="L31" s="2883"/>
      <c r="M31" s="1934"/>
    </row>
    <row r="32" spans="1:13">
      <c r="A32" s="3989"/>
      <c r="B32" s="1939">
        <v>2003</v>
      </c>
      <c r="C32" s="2714">
        <v>6342.42</v>
      </c>
      <c r="D32" s="2715">
        <v>62.73</v>
      </c>
      <c r="E32" s="2715">
        <v>3142.09</v>
      </c>
      <c r="F32" s="2715">
        <v>0</v>
      </c>
      <c r="G32" s="2715">
        <v>3137.6</v>
      </c>
      <c r="H32" s="1985">
        <v>0.98905465106378954</v>
      </c>
      <c r="I32" s="1985">
        <v>49.540869258106532</v>
      </c>
      <c r="J32" s="1985">
        <v>0</v>
      </c>
      <c r="K32" s="1985">
        <v>49.470076090829679</v>
      </c>
      <c r="L32" s="2883"/>
      <c r="M32" s="1934"/>
    </row>
    <row r="33" spans="1:13" s="1935" customFormat="1" hidden="1">
      <c r="A33" s="3989"/>
      <c r="B33" s="1939">
        <v>2004</v>
      </c>
      <c r="C33" s="2714"/>
      <c r="D33" s="2715"/>
      <c r="E33" s="2715"/>
      <c r="F33" s="2715"/>
      <c r="G33" s="2715"/>
      <c r="H33" s="1985"/>
      <c r="I33" s="1985"/>
      <c r="J33" s="1985"/>
      <c r="K33" s="1985"/>
      <c r="L33" s="2883"/>
      <c r="M33" s="1934"/>
    </row>
    <row r="34" spans="1:13" hidden="1">
      <c r="A34" s="3989"/>
      <c r="B34" s="1937" t="s">
        <v>161</v>
      </c>
      <c r="C34" s="2714">
        <v>7224.2800000000007</v>
      </c>
      <c r="D34" s="2715">
        <v>101.01</v>
      </c>
      <c r="E34" s="2715">
        <v>3021.61</v>
      </c>
      <c r="F34" s="2715">
        <v>99.12</v>
      </c>
      <c r="G34" s="2715">
        <v>4002.54</v>
      </c>
      <c r="H34" s="1985">
        <v>1.3982016200922442</v>
      </c>
      <c r="I34" s="1985">
        <v>41.825759798900378</v>
      </c>
      <c r="J34" s="1985">
        <v>1.3720398434169219</v>
      </c>
      <c r="K34" s="1985">
        <v>55.403998737590456</v>
      </c>
      <c r="L34" s="2883"/>
      <c r="M34" s="1934"/>
    </row>
    <row r="35" spans="1:13" hidden="1">
      <c r="A35" s="3989"/>
      <c r="B35" s="1937" t="s">
        <v>162</v>
      </c>
      <c r="C35" s="2714">
        <v>6622.0300000000007</v>
      </c>
      <c r="D35" s="2715">
        <v>89.81</v>
      </c>
      <c r="E35" s="2715">
        <v>2925.01</v>
      </c>
      <c r="F35" s="2715">
        <v>99.12</v>
      </c>
      <c r="G35" s="2715">
        <v>3508.09</v>
      </c>
      <c r="H35" s="1985">
        <v>1.356230642265287</v>
      </c>
      <c r="I35" s="1985">
        <v>44.17089623574644</v>
      </c>
      <c r="J35" s="1985">
        <v>1.4968219715102469</v>
      </c>
      <c r="K35" s="1985">
        <v>52.976051150478021</v>
      </c>
      <c r="L35" s="2883"/>
      <c r="M35" s="1934"/>
    </row>
    <row r="36" spans="1:13" hidden="1">
      <c r="A36" s="3989"/>
      <c r="B36" s="1937" t="s">
        <v>163</v>
      </c>
      <c r="C36" s="2714">
        <v>6564.0300000000007</v>
      </c>
      <c r="D36" s="2715">
        <v>94.31</v>
      </c>
      <c r="E36" s="2715">
        <v>1992.09</v>
      </c>
      <c r="F36" s="2715">
        <v>99.12</v>
      </c>
      <c r="G36" s="2715">
        <v>4378.51</v>
      </c>
      <c r="H36" s="1985">
        <v>1.4367697892910301</v>
      </c>
      <c r="I36" s="1985">
        <v>30.348581587835515</v>
      </c>
      <c r="J36" s="1985">
        <v>1.5100479431081211</v>
      </c>
      <c r="K36" s="1985">
        <v>66.704600679765321</v>
      </c>
      <c r="L36" s="2883"/>
      <c r="M36" s="1934"/>
    </row>
    <row r="37" spans="1:13" hidden="1">
      <c r="A37" s="3989"/>
      <c r="B37" s="1938" t="s">
        <v>164</v>
      </c>
      <c r="C37" s="2714">
        <v>8192.5299999999988</v>
      </c>
      <c r="D37" s="2715">
        <v>120.25</v>
      </c>
      <c r="E37" s="2715">
        <v>1980.4</v>
      </c>
      <c r="F37" s="2715">
        <v>198.23</v>
      </c>
      <c r="G37" s="2715">
        <v>5893.65</v>
      </c>
      <c r="H37" s="1985">
        <v>1.4678005451307474</v>
      </c>
      <c r="I37" s="1985">
        <v>24.173240744922513</v>
      </c>
      <c r="J37" s="1985">
        <v>2.4196432603847651</v>
      </c>
      <c r="K37" s="1985">
        <v>71.939315449561974</v>
      </c>
      <c r="L37" s="2883"/>
      <c r="M37" s="1934"/>
    </row>
    <row r="38" spans="1:13" hidden="1">
      <c r="A38" s="3989"/>
      <c r="B38" s="1938" t="s">
        <v>165</v>
      </c>
      <c r="C38" s="2714">
        <v>7692.44</v>
      </c>
      <c r="D38" s="2715">
        <v>126.21</v>
      </c>
      <c r="E38" s="2715">
        <v>1894.34</v>
      </c>
      <c r="F38" s="2715">
        <v>198.23</v>
      </c>
      <c r="G38" s="2715">
        <v>5473.66</v>
      </c>
      <c r="H38" s="1985">
        <v>1.6407017799293853</v>
      </c>
      <c r="I38" s="1985">
        <v>24.625996432861356</v>
      </c>
      <c r="J38" s="1985">
        <v>2.5769456765343635</v>
      </c>
      <c r="K38" s="1985">
        <v>71.156356110674906</v>
      </c>
      <c r="L38" s="2883"/>
      <c r="M38" s="1934"/>
    </row>
    <row r="39" spans="1:13" hidden="1">
      <c r="A39" s="3989"/>
      <c r="B39" s="1938" t="s">
        <v>166</v>
      </c>
      <c r="C39" s="2714">
        <v>7072.82</v>
      </c>
      <c r="D39" s="2715">
        <v>93.31</v>
      </c>
      <c r="E39" s="2715">
        <v>2210.91</v>
      </c>
      <c r="F39" s="2715">
        <v>198.23</v>
      </c>
      <c r="G39" s="2715">
        <v>4570.37</v>
      </c>
      <c r="H39" s="1985">
        <v>1.3192757627085094</v>
      </c>
      <c r="I39" s="1985">
        <v>31.259243130745585</v>
      </c>
      <c r="J39" s="1985">
        <v>2.8027010442793681</v>
      </c>
      <c r="K39" s="1985">
        <v>64.618780062266538</v>
      </c>
      <c r="L39" s="2883"/>
      <c r="M39" s="1934"/>
    </row>
    <row r="40" spans="1:13" hidden="1">
      <c r="A40" s="3989"/>
      <c r="B40" s="1938" t="s">
        <v>167</v>
      </c>
      <c r="C40" s="2714">
        <v>6664.0599999999995</v>
      </c>
      <c r="D40" s="2715">
        <v>158.83000000000001</v>
      </c>
      <c r="E40" s="2715">
        <v>2038.12</v>
      </c>
      <c r="F40" s="2715">
        <v>99.12</v>
      </c>
      <c r="G40" s="2715">
        <v>4367.99</v>
      </c>
      <c r="H40" s="1985">
        <v>2.383381902323809</v>
      </c>
      <c r="I40" s="1985">
        <v>30.583758249475544</v>
      </c>
      <c r="J40" s="1985">
        <v>1.4873815661923815</v>
      </c>
      <c r="K40" s="1985">
        <v>65.545478282008261</v>
      </c>
      <c r="L40" s="2883"/>
      <c r="M40" s="1934"/>
    </row>
    <row r="41" spans="1:13" hidden="1">
      <c r="A41" s="3989"/>
      <c r="B41" s="1938" t="s">
        <v>168</v>
      </c>
      <c r="C41" s="2714">
        <v>6866</v>
      </c>
      <c r="D41" s="2715">
        <v>120.74</v>
      </c>
      <c r="E41" s="2715">
        <v>1951.41</v>
      </c>
      <c r="F41" s="2715">
        <v>198.23</v>
      </c>
      <c r="G41" s="2715">
        <v>4595.62</v>
      </c>
      <c r="H41" s="1985">
        <v>1.7585202446839496</v>
      </c>
      <c r="I41" s="1985">
        <v>28.421351587532772</v>
      </c>
      <c r="J41" s="1985">
        <v>2.8871249635886977</v>
      </c>
      <c r="K41" s="1985">
        <v>66.933003204194591</v>
      </c>
      <c r="L41" s="2883"/>
      <c r="M41" s="1934"/>
    </row>
    <row r="42" spans="1:13" hidden="1">
      <c r="A42" s="3989"/>
      <c r="B42" s="1938" t="s">
        <v>169</v>
      </c>
      <c r="C42" s="2714">
        <v>6225.5599999999995</v>
      </c>
      <c r="D42" s="2715">
        <v>120.84</v>
      </c>
      <c r="E42" s="2715">
        <v>1850.43</v>
      </c>
      <c r="F42" s="2715">
        <v>198.23</v>
      </c>
      <c r="G42" s="2715">
        <v>4056.06</v>
      </c>
      <c r="H42" s="1985">
        <v>1.9410302045117229</v>
      </c>
      <c r="I42" s="1985">
        <v>29.723109246397115</v>
      </c>
      <c r="J42" s="1985">
        <v>3.1841312267490798</v>
      </c>
      <c r="K42" s="1985">
        <v>65.151729322342092</v>
      </c>
      <c r="L42" s="2883"/>
      <c r="M42" s="1934"/>
    </row>
    <row r="43" spans="1:13" hidden="1">
      <c r="A43" s="3989"/>
      <c r="B43" s="1938" t="s">
        <v>170</v>
      </c>
      <c r="C43" s="2714">
        <v>6750.7899999999991</v>
      </c>
      <c r="D43" s="2715">
        <v>152.13</v>
      </c>
      <c r="E43" s="2715">
        <v>1899.11</v>
      </c>
      <c r="F43" s="2715">
        <v>198.23</v>
      </c>
      <c r="G43" s="2715">
        <v>4501.32</v>
      </c>
      <c r="H43" s="1985">
        <v>2.2535140331724142</v>
      </c>
      <c r="I43" s="1985">
        <v>28.131670515598916</v>
      </c>
      <c r="J43" s="1985">
        <v>2.936397073527691</v>
      </c>
      <c r="K43" s="1985">
        <v>66.678418377700993</v>
      </c>
      <c r="L43" s="2883"/>
      <c r="M43" s="1934"/>
    </row>
    <row r="44" spans="1:13" hidden="1">
      <c r="A44" s="3989"/>
      <c r="B44" s="1938" t="s">
        <v>171</v>
      </c>
      <c r="C44" s="2714">
        <v>7796.7</v>
      </c>
      <c r="D44" s="2715">
        <v>141.43</v>
      </c>
      <c r="E44" s="2715">
        <v>1924.63</v>
      </c>
      <c r="F44" s="2715">
        <v>198.23</v>
      </c>
      <c r="G44" s="2715">
        <v>5532.41</v>
      </c>
      <c r="H44" s="1985">
        <v>1.8139725781420348</v>
      </c>
      <c r="I44" s="1985">
        <v>24.685187322841717</v>
      </c>
      <c r="J44" s="1985">
        <v>2.5424859235317507</v>
      </c>
      <c r="K44" s="1985">
        <v>70.958354175484502</v>
      </c>
      <c r="L44" s="2883"/>
      <c r="M44" s="1934"/>
    </row>
    <row r="45" spans="1:13">
      <c r="A45" s="3989"/>
      <c r="B45" s="1939">
        <v>2004</v>
      </c>
      <c r="C45" s="2714">
        <v>6608.1</v>
      </c>
      <c r="D45" s="2715">
        <v>70.510000000000005</v>
      </c>
      <c r="E45" s="2715">
        <v>2121.1999999999998</v>
      </c>
      <c r="F45" s="2715">
        <v>198.23</v>
      </c>
      <c r="G45" s="2715">
        <v>4218.16</v>
      </c>
      <c r="H45" s="1985">
        <v>1.0670238041191871</v>
      </c>
      <c r="I45" s="1985">
        <v>32.099998486705708</v>
      </c>
      <c r="J45" s="1985">
        <v>2.9998032717422554</v>
      </c>
      <c r="K45" s="1985">
        <v>63.833174437432838</v>
      </c>
      <c r="L45" s="2883"/>
      <c r="M45" s="1934"/>
    </row>
    <row r="46" spans="1:13" s="1935" customFormat="1" hidden="1">
      <c r="A46" s="3989"/>
      <c r="B46" s="1939">
        <v>2005</v>
      </c>
      <c r="C46" s="2714"/>
      <c r="D46" s="2715"/>
      <c r="E46" s="2715"/>
      <c r="F46" s="2715"/>
      <c r="G46" s="2715"/>
      <c r="H46" s="1985"/>
      <c r="I46" s="1985"/>
      <c r="J46" s="1985"/>
      <c r="K46" s="1985"/>
      <c r="L46" s="2883"/>
      <c r="M46" s="1934"/>
    </row>
    <row r="47" spans="1:13" hidden="1">
      <c r="A47" s="3989"/>
      <c r="B47" s="1937" t="s">
        <v>161</v>
      </c>
      <c r="C47" s="2714">
        <v>6049.8099999999995</v>
      </c>
      <c r="D47" s="2715">
        <v>122.81</v>
      </c>
      <c r="E47" s="2715">
        <v>2264.12</v>
      </c>
      <c r="F47" s="2715">
        <v>198.23</v>
      </c>
      <c r="G47" s="2715">
        <v>3464.65</v>
      </c>
      <c r="H47" s="1985">
        <v>2.0299811068446783</v>
      </c>
      <c r="I47" s="1985">
        <v>37.424646393853692</v>
      </c>
      <c r="J47" s="1985">
        <v>3.2766318281069982</v>
      </c>
      <c r="K47" s="1985">
        <v>57.268740671194642</v>
      </c>
      <c r="L47" s="2883"/>
      <c r="M47" s="1934"/>
    </row>
    <row r="48" spans="1:13" hidden="1">
      <c r="A48" s="3989"/>
      <c r="B48" s="1937" t="s">
        <v>162</v>
      </c>
      <c r="C48" s="2714">
        <v>6084.37</v>
      </c>
      <c r="D48" s="2715">
        <v>24.22</v>
      </c>
      <c r="E48" s="2715">
        <v>2227.14</v>
      </c>
      <c r="F48" s="2715">
        <v>198.23</v>
      </c>
      <c r="G48" s="2715">
        <v>3634.78</v>
      </c>
      <c r="H48" s="1985">
        <v>0.39806915095564532</v>
      </c>
      <c r="I48" s="1985">
        <v>36.604282777017175</v>
      </c>
      <c r="J48" s="1985">
        <v>3.258020140129545</v>
      </c>
      <c r="K48" s="1985">
        <v>59.73962793189763</v>
      </c>
      <c r="L48" s="2883"/>
      <c r="M48" s="1934"/>
    </row>
    <row r="49" spans="1:13" hidden="1">
      <c r="A49" s="3989"/>
      <c r="B49" s="1937" t="s">
        <v>163</v>
      </c>
      <c r="C49" s="2714">
        <v>6351.84</v>
      </c>
      <c r="D49" s="2715">
        <v>127.56</v>
      </c>
      <c r="E49" s="2715">
        <v>2128.19</v>
      </c>
      <c r="F49" s="2715">
        <v>198.23</v>
      </c>
      <c r="G49" s="2715">
        <v>3897.86</v>
      </c>
      <c r="H49" s="1985">
        <v>2.0082369832993274</v>
      </c>
      <c r="I49" s="1985">
        <v>33.505094586765409</v>
      </c>
      <c r="J49" s="1985">
        <v>3.1208279805536661</v>
      </c>
      <c r="K49" s="1985">
        <v>61.365840449381594</v>
      </c>
      <c r="L49" s="2883"/>
      <c r="M49" s="1934"/>
    </row>
    <row r="50" spans="1:13" hidden="1">
      <c r="A50" s="3989"/>
      <c r="B50" s="1938" t="s">
        <v>164</v>
      </c>
      <c r="C50" s="2714">
        <v>5654.65</v>
      </c>
      <c r="D50" s="2715">
        <v>123.24</v>
      </c>
      <c r="E50" s="2715">
        <v>2120.65</v>
      </c>
      <c r="F50" s="2715">
        <v>99.12</v>
      </c>
      <c r="G50" s="2715">
        <v>3311.64</v>
      </c>
      <c r="H50" s="1985">
        <v>2.1794452353372891</v>
      </c>
      <c r="I50" s="1985">
        <v>37.502763212577264</v>
      </c>
      <c r="J50" s="1985">
        <v>1.7528936362109064</v>
      </c>
      <c r="K50" s="1985">
        <v>58.564897915874546</v>
      </c>
      <c r="L50" s="2883"/>
      <c r="M50" s="1934"/>
    </row>
    <row r="51" spans="1:13" hidden="1">
      <c r="A51" s="3989"/>
      <c r="B51" s="1938" t="s">
        <v>165</v>
      </c>
      <c r="C51" s="2714">
        <v>6584.7599999999993</v>
      </c>
      <c r="D51" s="2715">
        <v>147.56</v>
      </c>
      <c r="E51" s="2715">
        <v>2102.9299999999998</v>
      </c>
      <c r="F51" s="2715">
        <v>99.12</v>
      </c>
      <c r="G51" s="2715">
        <v>4235.1499999999996</v>
      </c>
      <c r="H51" s="1985">
        <v>2.2409320916783608</v>
      </c>
      <c r="I51" s="1985">
        <v>31.936319622886788</v>
      </c>
      <c r="J51" s="1985">
        <v>1.5052940426074757</v>
      </c>
      <c r="K51" s="1985">
        <v>64.317454242827381</v>
      </c>
      <c r="L51" s="2883"/>
      <c r="M51" s="1934"/>
    </row>
    <row r="52" spans="1:13" hidden="1">
      <c r="A52" s="3989"/>
      <c r="B52" s="1938" t="s">
        <v>166</v>
      </c>
      <c r="C52" s="2714">
        <v>6655.5500000000011</v>
      </c>
      <c r="D52" s="2715">
        <v>106.82</v>
      </c>
      <c r="E52" s="2715">
        <v>2024.71</v>
      </c>
      <c r="F52" s="2715">
        <v>248.67</v>
      </c>
      <c r="G52" s="2715">
        <v>4275.3500000000004</v>
      </c>
      <c r="H52" s="1985">
        <v>1.6049762979768762</v>
      </c>
      <c r="I52" s="1985">
        <v>30.421377647226745</v>
      </c>
      <c r="J52" s="1985">
        <v>3.7362802473123931</v>
      </c>
      <c r="K52" s="1985">
        <v>64.237365807483968</v>
      </c>
      <c r="L52" s="2883"/>
      <c r="M52" s="1934"/>
    </row>
    <row r="53" spans="1:13" hidden="1">
      <c r="A53" s="3989"/>
      <c r="B53" s="1938" t="s">
        <v>167</v>
      </c>
      <c r="C53" s="2714">
        <v>8452.0770861199999</v>
      </c>
      <c r="D53" s="2715">
        <v>155.71208192</v>
      </c>
      <c r="E53" s="2715">
        <v>2141.442</v>
      </c>
      <c r="F53" s="2715">
        <v>198.23259999999999</v>
      </c>
      <c r="G53" s="2715">
        <v>5956.6904042000006</v>
      </c>
      <c r="H53" s="1985">
        <v>1.8422936792153775</v>
      </c>
      <c r="I53" s="1985">
        <v>25.336280989635977</v>
      </c>
      <c r="J53" s="1985">
        <v>2.3453714155723633</v>
      </c>
      <c r="K53" s="1985">
        <v>70.476053915576287</v>
      </c>
      <c r="L53" s="2883"/>
      <c r="M53" s="1934"/>
    </row>
    <row r="54" spans="1:13" hidden="1">
      <c r="A54" s="3989"/>
      <c r="B54" s="1938" t="s">
        <v>168</v>
      </c>
      <c r="C54" s="2714">
        <v>7342.368409929999</v>
      </c>
      <c r="D54" s="2715">
        <v>138.40006249999999</v>
      </c>
      <c r="E54" s="2715">
        <v>2205.7809999999999</v>
      </c>
      <c r="F54" s="2715">
        <v>99.115300000000005</v>
      </c>
      <c r="G54" s="2715">
        <v>4899.0720474299997</v>
      </c>
      <c r="H54" s="1985">
        <v>1.8849512142815439</v>
      </c>
      <c r="I54" s="1985">
        <v>30.04181861832005</v>
      </c>
      <c r="J54" s="1985">
        <v>1.349909109245377</v>
      </c>
      <c r="K54" s="1985">
        <v>66.723321058153033</v>
      </c>
      <c r="L54" s="2883"/>
      <c r="M54" s="1934"/>
    </row>
    <row r="55" spans="1:13" hidden="1">
      <c r="A55" s="3989"/>
      <c r="B55" s="1938" t="s">
        <v>169</v>
      </c>
      <c r="C55" s="2714">
        <v>7367.00318014</v>
      </c>
      <c r="D55" s="2715">
        <v>141.50573115999998</v>
      </c>
      <c r="E55" s="2715">
        <v>2189.7550000000001</v>
      </c>
      <c r="F55" s="2715">
        <v>99.115300000000005</v>
      </c>
      <c r="G55" s="2715">
        <v>4936.6271489800001</v>
      </c>
      <c r="H55" s="1985">
        <v>1.9208045347594225</v>
      </c>
      <c r="I55" s="1985">
        <v>29.723823194527071</v>
      </c>
      <c r="J55" s="1985">
        <v>1.3453951026815827</v>
      </c>
      <c r="K55" s="1985">
        <v>67.009977168031938</v>
      </c>
      <c r="L55" s="2883"/>
      <c r="M55" s="1934"/>
    </row>
    <row r="56" spans="1:13" hidden="1">
      <c r="A56" s="3989"/>
      <c r="B56" s="1938" t="s">
        <v>170</v>
      </c>
      <c r="C56" s="2714">
        <v>7224.7245869800008</v>
      </c>
      <c r="D56" s="2715">
        <v>136.33659245000001</v>
      </c>
      <c r="E56" s="2715">
        <v>2199.6990000000001</v>
      </c>
      <c r="F56" s="2715">
        <v>99.115300000000005</v>
      </c>
      <c r="G56" s="2715">
        <v>4789.5736945300005</v>
      </c>
      <c r="H56" s="1985">
        <v>1.8870835947947175</v>
      </c>
      <c r="I56" s="1985">
        <v>30.446821515718064</v>
      </c>
      <c r="J56" s="1985">
        <v>1.3718903579884569</v>
      </c>
      <c r="K56" s="1985">
        <v>66.294204531498764</v>
      </c>
      <c r="L56" s="2883"/>
      <c r="M56" s="1934"/>
    </row>
    <row r="57" spans="1:13" hidden="1">
      <c r="A57" s="3989"/>
      <c r="B57" s="1938" t="s">
        <v>171</v>
      </c>
      <c r="C57" s="2714">
        <v>9302.3671261399995</v>
      </c>
      <c r="D57" s="2715">
        <v>169.38834215</v>
      </c>
      <c r="E57" s="2715">
        <v>2173.1489999999999</v>
      </c>
      <c r="F57" s="2715">
        <v>99.115300000000005</v>
      </c>
      <c r="G57" s="2715">
        <v>6860.7144839899993</v>
      </c>
      <c r="H57" s="1985">
        <v>1.8209165457898604</v>
      </c>
      <c r="I57" s="1985">
        <v>23.361247417266192</v>
      </c>
      <c r="J57" s="1985">
        <v>1.065484716481274</v>
      </c>
      <c r="K57" s="1985">
        <v>73.752351320462679</v>
      </c>
      <c r="L57" s="2883"/>
      <c r="M57" s="1934"/>
    </row>
    <row r="58" spans="1:13">
      <c r="A58" s="3989"/>
      <c r="B58" s="1939">
        <v>2005</v>
      </c>
      <c r="C58" s="2714">
        <v>9423.7923352399994</v>
      </c>
      <c r="D58" s="2715">
        <v>114.45950719999999</v>
      </c>
      <c r="E58" s="2715">
        <v>2207.2469999999998</v>
      </c>
      <c r="F58" s="2715">
        <v>99.115300000000005</v>
      </c>
      <c r="G58" s="2715">
        <v>7002.9705280400003</v>
      </c>
      <c r="H58" s="1985">
        <v>1.2145801088165109</v>
      </c>
      <c r="I58" s="1985">
        <v>23.422067480689947</v>
      </c>
      <c r="J58" s="1985">
        <v>1.0517559860626513</v>
      </c>
      <c r="K58" s="1985">
        <v>74.311596424430888</v>
      </c>
      <c r="L58" s="2883"/>
      <c r="M58" s="1934"/>
    </row>
    <row r="59" spans="1:13" s="1935" customFormat="1" hidden="1">
      <c r="A59" s="3989"/>
      <c r="B59" s="1939">
        <v>2006</v>
      </c>
      <c r="C59" s="2714"/>
      <c r="D59" s="2715"/>
      <c r="E59" s="2715"/>
      <c r="F59" s="2715"/>
      <c r="G59" s="2715"/>
      <c r="H59" s="1985"/>
      <c r="I59" s="1985"/>
      <c r="J59" s="1985"/>
      <c r="K59" s="1985"/>
      <c r="L59" s="2883"/>
      <c r="M59" s="1934"/>
    </row>
    <row r="60" spans="1:13" hidden="1">
      <c r="A60" s="3989"/>
      <c r="B60" s="1937" t="s">
        <v>161</v>
      </c>
      <c r="C60" s="2714">
        <v>9403.3802313699998</v>
      </c>
      <c r="D60" s="2715">
        <v>205.19794526000001</v>
      </c>
      <c r="E60" s="2715">
        <v>2597.1149999999998</v>
      </c>
      <c r="F60" s="2715">
        <v>99.115300000000005</v>
      </c>
      <c r="G60" s="2715">
        <v>6501.9519861099998</v>
      </c>
      <c r="H60" s="1985">
        <v>2.1821721573637172</v>
      </c>
      <c r="I60" s="1985">
        <v>27.618951229217924</v>
      </c>
      <c r="J60" s="1985">
        <v>1.0540390536303952</v>
      </c>
      <c r="K60" s="1985">
        <v>69.144837559787959</v>
      </c>
      <c r="L60" s="2883"/>
      <c r="M60" s="1934"/>
    </row>
    <row r="61" spans="1:13" hidden="1">
      <c r="A61" s="3989"/>
      <c r="B61" s="1937" t="s">
        <v>162</v>
      </c>
      <c r="C61" s="2714">
        <v>9304.2939898900004</v>
      </c>
      <c r="D61" s="2715">
        <v>181.43938636999999</v>
      </c>
      <c r="E61" s="2715">
        <v>2586.8469999999998</v>
      </c>
      <c r="F61" s="2715">
        <v>198.23060000000001</v>
      </c>
      <c r="G61" s="2715">
        <v>6337.7770035200001</v>
      </c>
      <c r="H61" s="1985">
        <v>1.9500607629891222</v>
      </c>
      <c r="I61" s="1985">
        <v>27.802722085209847</v>
      </c>
      <c r="J61" s="1985">
        <v>2.130528121912274</v>
      </c>
      <c r="K61" s="1985">
        <v>68.116689029888747</v>
      </c>
      <c r="L61" s="2883"/>
      <c r="M61" s="1934"/>
    </row>
    <row r="62" spans="1:13" hidden="1">
      <c r="A62" s="3989"/>
      <c r="B62" s="1937" t="s">
        <v>163</v>
      </c>
      <c r="C62" s="2714">
        <v>9262.912889180001</v>
      </c>
      <c r="D62" s="2715">
        <v>317.10673443999997</v>
      </c>
      <c r="E62" s="2715">
        <v>2490.4960000000001</v>
      </c>
      <c r="F62" s="2715">
        <v>99.115300000000005</v>
      </c>
      <c r="G62" s="2715">
        <v>6356.1948547400007</v>
      </c>
      <c r="H62" s="1985">
        <v>3.4234018848478218</v>
      </c>
      <c r="I62" s="1985">
        <v>26.886747503683704</v>
      </c>
      <c r="J62" s="1985">
        <v>1.0700230174438592</v>
      </c>
      <c r="K62" s="1985">
        <v>68.619827594024613</v>
      </c>
      <c r="L62" s="2883"/>
      <c r="M62" s="1934"/>
    </row>
    <row r="63" spans="1:13" hidden="1">
      <c r="A63" s="3989"/>
      <c r="B63" s="1938" t="s">
        <v>164</v>
      </c>
      <c r="C63" s="2714">
        <v>10147.17127438</v>
      </c>
      <c r="D63" s="2715">
        <v>218.43858153000002</v>
      </c>
      <c r="E63" s="2715">
        <v>2526.5439999999999</v>
      </c>
      <c r="F63" s="2715">
        <v>165.18555898</v>
      </c>
      <c r="G63" s="2715">
        <v>7237.0031338700001</v>
      </c>
      <c r="H63" s="1985">
        <v>2.1527041933501492</v>
      </c>
      <c r="I63" s="1985">
        <v>24.89899826939083</v>
      </c>
      <c r="J63" s="1985">
        <v>1.6278976131709471</v>
      </c>
      <c r="K63" s="1985">
        <v>71.320399924088079</v>
      </c>
      <c r="L63" s="2883"/>
      <c r="M63" s="1934"/>
    </row>
    <row r="64" spans="1:13" hidden="1">
      <c r="A64" s="3989"/>
      <c r="B64" s="1938" t="s">
        <v>165</v>
      </c>
      <c r="C64" s="2714">
        <v>10410.14120661</v>
      </c>
      <c r="D64" s="2715">
        <v>226.51910319999999</v>
      </c>
      <c r="E64" s="2715">
        <v>2579.0680000000002</v>
      </c>
      <c r="F64" s="2715">
        <v>66.070258979999991</v>
      </c>
      <c r="G64" s="2715">
        <v>7538.4838444300003</v>
      </c>
      <c r="H64" s="1985">
        <v>2.1759464997090521</v>
      </c>
      <c r="I64" s="1985">
        <v>24.774572686510734</v>
      </c>
      <c r="J64" s="1985">
        <v>0.63467207282498883</v>
      </c>
      <c r="K64" s="1985">
        <v>72.414808740955223</v>
      </c>
      <c r="L64" s="2883"/>
      <c r="M64" s="1934"/>
    </row>
    <row r="65" spans="1:13" hidden="1">
      <c r="A65" s="3989"/>
      <c r="B65" s="1938" t="s">
        <v>166</v>
      </c>
      <c r="C65" s="2714">
        <v>10788.83339673</v>
      </c>
      <c r="D65" s="2715">
        <v>156.76277185999999</v>
      </c>
      <c r="E65" s="2715">
        <v>2862.2849999999999</v>
      </c>
      <c r="F65" s="2715">
        <v>165.18555898</v>
      </c>
      <c r="G65" s="2715">
        <v>7604.6000658900002</v>
      </c>
      <c r="H65" s="1985">
        <v>1.4530094783696761</v>
      </c>
      <c r="I65" s="1985">
        <v>26.530069514907268</v>
      </c>
      <c r="J65" s="1985">
        <v>1.5310789675375494</v>
      </c>
      <c r="K65" s="1985">
        <v>70.485842039185513</v>
      </c>
      <c r="L65" s="2883"/>
      <c r="M65" s="1934"/>
    </row>
    <row r="66" spans="1:13" hidden="1">
      <c r="A66" s="3989"/>
      <c r="B66" s="1938" t="s">
        <v>167</v>
      </c>
      <c r="C66" s="2714">
        <v>10511.48273317</v>
      </c>
      <c r="D66" s="2715">
        <v>244.62978397000001</v>
      </c>
      <c r="E66" s="2715">
        <v>2750.6129999999998</v>
      </c>
      <c r="F66" s="2715">
        <v>99.115300000000005</v>
      </c>
      <c r="G66" s="2715">
        <v>7417.1246491999991</v>
      </c>
      <c r="H66" s="1985">
        <v>2.3272623870469489</v>
      </c>
      <c r="I66" s="1985">
        <v>26.167697458325023</v>
      </c>
      <c r="J66" s="1985">
        <v>0.94292406234214798</v>
      </c>
      <c r="K66" s="1985">
        <v>70.562116092285876</v>
      </c>
      <c r="L66" s="2883"/>
      <c r="M66" s="1934"/>
    </row>
    <row r="67" spans="1:13" hidden="1">
      <c r="A67" s="3989"/>
      <c r="B67" s="1938" t="s">
        <v>168</v>
      </c>
      <c r="C67" s="2714">
        <v>10303.56902809</v>
      </c>
      <c r="D67" s="2715">
        <v>192.63373719999998</v>
      </c>
      <c r="E67" s="2715">
        <v>2720.7750000000001</v>
      </c>
      <c r="F67" s="2715">
        <v>148.67295000000001</v>
      </c>
      <c r="G67" s="2715">
        <v>7241.4873408900003</v>
      </c>
      <c r="H67" s="1985">
        <v>1.8695826336955108</v>
      </c>
      <c r="I67" s="1985">
        <v>26.406141333964133</v>
      </c>
      <c r="J67" s="1985">
        <v>1.4429267139831055</v>
      </c>
      <c r="K67" s="1985">
        <v>70.281349318357258</v>
      </c>
      <c r="L67" s="2883"/>
      <c r="M67" s="1934"/>
    </row>
    <row r="68" spans="1:13" hidden="1">
      <c r="A68" s="3989"/>
      <c r="B68" s="1938" t="s">
        <v>169</v>
      </c>
      <c r="C68" s="2714">
        <v>9871.9013467200002</v>
      </c>
      <c r="D68" s="2715">
        <v>196.72110226999999</v>
      </c>
      <c r="E68" s="2715">
        <v>2724.4480000000003</v>
      </c>
      <c r="F68" s="2715">
        <v>99.115300000000005</v>
      </c>
      <c r="G68" s="2715">
        <v>6851.6169444500001</v>
      </c>
      <c r="H68" s="1985">
        <v>1.9927377245859714</v>
      </c>
      <c r="I68" s="1985">
        <v>27.598006749785998</v>
      </c>
      <c r="J68" s="1985">
        <v>1.0040142878142888</v>
      </c>
      <c r="K68" s="1985">
        <v>69.40524123781374</v>
      </c>
      <c r="L68" s="2883"/>
      <c r="M68" s="1934"/>
    </row>
    <row r="69" spans="1:13" hidden="1">
      <c r="A69" s="3989"/>
      <c r="B69" s="1938" t="s">
        <v>170</v>
      </c>
      <c r="C69" s="2714">
        <v>10318.64310012</v>
      </c>
      <c r="D69" s="2715">
        <v>227.99427052999999</v>
      </c>
      <c r="E69" s="2715">
        <v>2803.201</v>
      </c>
      <c r="F69" s="2715">
        <v>165.18555898</v>
      </c>
      <c r="G69" s="2715">
        <v>7122.2622706100001</v>
      </c>
      <c r="H69" s="1985">
        <v>2.2095373230550881</v>
      </c>
      <c r="I69" s="1985">
        <v>27.166372291405256</v>
      </c>
      <c r="J69" s="1985">
        <v>1.6008457447091951</v>
      </c>
      <c r="K69" s="1985">
        <v>69.023244640830455</v>
      </c>
      <c r="L69" s="2883"/>
      <c r="M69" s="1934"/>
    </row>
    <row r="70" spans="1:13" hidden="1">
      <c r="A70" s="3989"/>
      <c r="B70" s="1938" t="s">
        <v>171</v>
      </c>
      <c r="C70" s="2714">
        <v>9781.4207146799999</v>
      </c>
      <c r="D70" s="2715">
        <v>199.31912968999998</v>
      </c>
      <c r="E70" s="2715">
        <v>2835.9949999999999</v>
      </c>
      <c r="F70" s="2715">
        <v>66.070258979999991</v>
      </c>
      <c r="G70" s="2715">
        <v>6680.0363260100003</v>
      </c>
      <c r="H70" s="1985">
        <v>2.0377318950289189</v>
      </c>
      <c r="I70" s="1985">
        <v>28.993692048678838</v>
      </c>
      <c r="J70" s="1985">
        <v>0.67546689695947193</v>
      </c>
      <c r="K70" s="1985">
        <v>68.293109159332772</v>
      </c>
      <c r="L70" s="2883"/>
      <c r="M70" s="1934"/>
    </row>
    <row r="71" spans="1:13">
      <c r="A71" s="3989"/>
      <c r="B71" s="1939">
        <v>2006</v>
      </c>
      <c r="C71" s="2714">
        <v>9858.4067916900003</v>
      </c>
      <c r="D71" s="2715">
        <v>145.46503645999999</v>
      </c>
      <c r="E71" s="2715">
        <v>2861.6809999999996</v>
      </c>
      <c r="F71" s="2715">
        <v>66.070258979999991</v>
      </c>
      <c r="G71" s="2715">
        <v>6785.1904962500003</v>
      </c>
      <c r="H71" s="1985">
        <v>1.4755430520742725</v>
      </c>
      <c r="I71" s="1985">
        <v>29.027824276963411</v>
      </c>
      <c r="J71" s="1985">
        <v>0.67019205411256666</v>
      </c>
      <c r="K71" s="1985">
        <v>68.826440616849752</v>
      </c>
      <c r="L71" s="2883"/>
      <c r="M71" s="1934"/>
    </row>
    <row r="72" spans="1:13" s="1935" customFormat="1" hidden="1">
      <c r="A72" s="3989"/>
      <c r="B72" s="1939">
        <v>2007</v>
      </c>
      <c r="C72" s="2714"/>
      <c r="D72" s="2715"/>
      <c r="E72" s="2715"/>
      <c r="F72" s="2715"/>
      <c r="G72" s="2715"/>
      <c r="H72" s="1985"/>
      <c r="I72" s="1985"/>
      <c r="J72" s="1985"/>
      <c r="K72" s="1985"/>
      <c r="L72" s="2883"/>
      <c r="M72" s="1934"/>
    </row>
    <row r="73" spans="1:13" hidden="1">
      <c r="A73" s="3989"/>
      <c r="B73" s="1937" t="s">
        <v>161</v>
      </c>
      <c r="C73" s="2714">
        <v>10847.83504984</v>
      </c>
      <c r="D73" s="2715">
        <v>235.25330350999997</v>
      </c>
      <c r="E73" s="2715">
        <v>2854.944</v>
      </c>
      <c r="F73" s="2715">
        <v>0</v>
      </c>
      <c r="G73" s="2715">
        <v>7757.6377463299996</v>
      </c>
      <c r="H73" s="1985">
        <v>2.1686659359138196</v>
      </c>
      <c r="I73" s="1985">
        <v>26.318099297076873</v>
      </c>
      <c r="J73" s="1985">
        <v>0</v>
      </c>
      <c r="K73" s="1985">
        <v>71.513234767009308</v>
      </c>
      <c r="L73" s="2883"/>
      <c r="M73" s="1934"/>
    </row>
    <row r="74" spans="1:13" hidden="1">
      <c r="A74" s="3989"/>
      <c r="B74" s="1937" t="s">
        <v>162</v>
      </c>
      <c r="C74" s="2714">
        <v>10572.515027270001</v>
      </c>
      <c r="D74" s="2715">
        <v>231.93958713999999</v>
      </c>
      <c r="E74" s="2715">
        <v>2964.163</v>
      </c>
      <c r="F74" s="2715">
        <v>66.070258979999991</v>
      </c>
      <c r="G74" s="2715">
        <v>7310.3421811500002</v>
      </c>
      <c r="H74" s="1985">
        <v>2.1937976587571772</v>
      </c>
      <c r="I74" s="1985">
        <v>28.036498338895203</v>
      </c>
      <c r="J74" s="1985">
        <v>0.62492471100379632</v>
      </c>
      <c r="K74" s="1985">
        <v>69.144779291343809</v>
      </c>
      <c r="L74" s="2883"/>
      <c r="M74" s="1934"/>
    </row>
    <row r="75" spans="1:13" hidden="1">
      <c r="A75" s="3989"/>
      <c r="B75" s="1937" t="s">
        <v>163</v>
      </c>
      <c r="C75" s="2714">
        <v>10121.145546939999</v>
      </c>
      <c r="D75" s="2715">
        <v>179.52696950999999</v>
      </c>
      <c r="E75" s="2715">
        <v>3008.5609999999997</v>
      </c>
      <c r="F75" s="2715">
        <v>66.070258979999991</v>
      </c>
      <c r="G75" s="2715">
        <v>6866.9873184500002</v>
      </c>
      <c r="H75" s="1985">
        <v>1.7737811266263008</v>
      </c>
      <c r="I75" s="1985">
        <v>29.725498818753778</v>
      </c>
      <c r="J75" s="1985">
        <v>0.65279427781745025</v>
      </c>
      <c r="K75" s="1985">
        <v>67.847925776802484</v>
      </c>
      <c r="L75" s="2883"/>
      <c r="M75" s="1934"/>
    </row>
    <row r="76" spans="1:13" hidden="1">
      <c r="A76" s="3989"/>
      <c r="B76" s="1938" t="s">
        <v>164</v>
      </c>
      <c r="C76" s="2714">
        <v>11027.318316540001</v>
      </c>
      <c r="D76" s="2715">
        <v>212.01351457999999</v>
      </c>
      <c r="E76" s="2715">
        <v>2971.6860000000001</v>
      </c>
      <c r="F76" s="2715">
        <v>132.14051795999998</v>
      </c>
      <c r="G76" s="2715">
        <v>7711.4782839999998</v>
      </c>
      <c r="H76" s="1985">
        <v>1.9226207904237107</v>
      </c>
      <c r="I76" s="1985">
        <v>26.94840136738172</v>
      </c>
      <c r="J76" s="1985">
        <v>1.19830147427413</v>
      </c>
      <c r="K76" s="1985">
        <v>69.930676367920441</v>
      </c>
      <c r="L76" s="2883"/>
      <c r="M76" s="1934"/>
    </row>
    <row r="77" spans="1:13" hidden="1">
      <c r="A77" s="3989"/>
      <c r="B77" s="1938" t="s">
        <v>165</v>
      </c>
      <c r="C77" s="2714">
        <v>10041.806305819999</v>
      </c>
      <c r="D77" s="2715">
        <v>159.12760186</v>
      </c>
      <c r="E77" s="2715">
        <v>2914.299</v>
      </c>
      <c r="F77" s="2715">
        <v>66.070258979999991</v>
      </c>
      <c r="G77" s="2715">
        <v>6902.3094449799992</v>
      </c>
      <c r="H77" s="1985">
        <v>1.5846511774258512</v>
      </c>
      <c r="I77" s="1985">
        <v>29.021661155831492</v>
      </c>
      <c r="J77" s="1985">
        <v>0.65795193581564304</v>
      </c>
      <c r="K77" s="1985">
        <v>68.735735730927018</v>
      </c>
      <c r="L77" s="2883"/>
      <c r="M77" s="1934"/>
    </row>
    <row r="78" spans="1:13" hidden="1">
      <c r="A78" s="3989"/>
      <c r="B78" s="1938" t="s">
        <v>166</v>
      </c>
      <c r="C78" s="2714">
        <v>10553.171049500001</v>
      </c>
      <c r="D78" s="2715">
        <v>170.92399555</v>
      </c>
      <c r="E78" s="2715">
        <v>2889.3140000000003</v>
      </c>
      <c r="F78" s="2715">
        <v>121.1188966</v>
      </c>
      <c r="G78" s="2715">
        <v>7371.8141573500006</v>
      </c>
      <c r="H78" s="1985">
        <v>1.6196458367657955</v>
      </c>
      <c r="I78" s="1985">
        <v>27.378633270015019</v>
      </c>
      <c r="J78" s="1985">
        <v>1.1477014447305722</v>
      </c>
      <c r="K78" s="1985">
        <v>69.854019448488614</v>
      </c>
      <c r="L78" s="2883"/>
      <c r="M78" s="1934"/>
    </row>
    <row r="79" spans="1:13" hidden="1">
      <c r="A79" s="3989"/>
      <c r="B79" s="1938" t="s">
        <v>167</v>
      </c>
      <c r="C79" s="2714">
        <v>10878.57451934</v>
      </c>
      <c r="D79" s="2715">
        <v>277.44145551000003</v>
      </c>
      <c r="E79" s="2715">
        <v>2887.9920000000002</v>
      </c>
      <c r="F79" s="2715">
        <v>55.048637619999994</v>
      </c>
      <c r="G79" s="2715">
        <v>7658.0924262099988</v>
      </c>
      <c r="H79" s="1985">
        <v>2.5503475204105355</v>
      </c>
      <c r="I79" s="1985">
        <v>26.547522332688988</v>
      </c>
      <c r="J79" s="1985">
        <v>0.50602804183704553</v>
      </c>
      <c r="K79" s="1985">
        <v>70.39610210506342</v>
      </c>
      <c r="L79" s="2883"/>
      <c r="M79" s="1934"/>
    </row>
    <row r="80" spans="1:13" hidden="1">
      <c r="A80" s="3989"/>
      <c r="B80" s="1938" t="s">
        <v>168</v>
      </c>
      <c r="C80" s="2714">
        <v>10822.644540149999</v>
      </c>
      <c r="D80" s="2715">
        <v>187.32776708</v>
      </c>
      <c r="E80" s="2715">
        <v>2890.75</v>
      </c>
      <c r="F80" s="2715">
        <v>55.048637619999994</v>
      </c>
      <c r="G80" s="2715">
        <v>7689.5181354499991</v>
      </c>
      <c r="H80" s="1985">
        <v>1.7308871818255585</v>
      </c>
      <c r="I80" s="1985">
        <v>26.710199981860764</v>
      </c>
      <c r="J80" s="1985">
        <v>0.50864312706362835</v>
      </c>
      <c r="K80" s="1985">
        <v>71.05026970925006</v>
      </c>
      <c r="L80" s="2883"/>
      <c r="M80" s="1934"/>
    </row>
    <row r="81" spans="1:13" hidden="1">
      <c r="A81" s="3989"/>
      <c r="B81" s="1938" t="s">
        <v>169</v>
      </c>
      <c r="C81" s="2714">
        <v>10816.85769302</v>
      </c>
      <c r="D81" s="2715">
        <v>512.08286452999994</v>
      </c>
      <c r="E81" s="2715">
        <v>3441.14</v>
      </c>
      <c r="F81" s="2715">
        <v>996.52391115</v>
      </c>
      <c r="G81" s="2715">
        <v>5867.11091734</v>
      </c>
      <c r="H81" s="1985">
        <v>4.7341185311187131</v>
      </c>
      <c r="I81" s="1985">
        <v>31.812750963900822</v>
      </c>
      <c r="J81" s="1985">
        <v>9.2126931816163768</v>
      </c>
      <c r="K81" s="1985">
        <v>54.240437323364091</v>
      </c>
      <c r="L81" s="2883"/>
      <c r="M81" s="1934"/>
    </row>
    <row r="82" spans="1:13" hidden="1">
      <c r="A82" s="3989"/>
      <c r="B82" s="1938" t="s">
        <v>170</v>
      </c>
      <c r="C82" s="2714">
        <v>11719.975910950001</v>
      </c>
      <c r="D82" s="2715">
        <v>753.25293430000011</v>
      </c>
      <c r="E82" s="2715">
        <v>3472.3739999999998</v>
      </c>
      <c r="F82" s="2715">
        <v>891.58302961000004</v>
      </c>
      <c r="G82" s="2715">
        <v>6602.7659470400004</v>
      </c>
      <c r="H82" s="1985">
        <v>6.4270860283614919</v>
      </c>
      <c r="I82" s="1985">
        <v>29.627825401550123</v>
      </c>
      <c r="J82" s="1985">
        <v>7.6073793699267922</v>
      </c>
      <c r="K82" s="1985">
        <v>56.337709200161591</v>
      </c>
      <c r="L82" s="2883"/>
      <c r="M82" s="1934"/>
    </row>
    <row r="83" spans="1:13" hidden="1">
      <c r="A83" s="3989"/>
      <c r="B83" s="1938" t="s">
        <v>171</v>
      </c>
      <c r="C83" s="2714">
        <v>12991.588993450001</v>
      </c>
      <c r="D83" s="2715">
        <v>808.27101768</v>
      </c>
      <c r="E83" s="2715">
        <v>3583.268</v>
      </c>
      <c r="F83" s="2715">
        <v>545.03314561000002</v>
      </c>
      <c r="G83" s="2715">
        <v>8055.0168301599997</v>
      </c>
      <c r="H83" s="1985">
        <v>6.2214946769598996</v>
      </c>
      <c r="I83" s="1985">
        <v>27.581445208946992</v>
      </c>
      <c r="J83" s="1985">
        <v>4.1952770048743888</v>
      </c>
      <c r="K83" s="1985">
        <v>62.001783109218714</v>
      </c>
      <c r="L83" s="2883"/>
      <c r="M83" s="1934"/>
    </row>
    <row r="84" spans="1:13">
      <c r="A84" s="3989"/>
      <c r="B84" s="1939">
        <v>2007</v>
      </c>
      <c r="C84" s="2714">
        <v>11734.736455509999</v>
      </c>
      <c r="D84" s="2715">
        <v>840.90928867000002</v>
      </c>
      <c r="E84" s="2715">
        <v>3818.3230000000003</v>
      </c>
      <c r="F84" s="2715">
        <v>234.65621525999998</v>
      </c>
      <c r="G84" s="2715">
        <v>6840.84795158</v>
      </c>
      <c r="H84" s="1985">
        <v>7.1659835894751129</v>
      </c>
      <c r="I84" s="1985">
        <v>32.538634459124317</v>
      </c>
      <c r="J84" s="1985">
        <v>1.9996717962065358</v>
      </c>
      <c r="K84" s="1985">
        <v>58.295710155194037</v>
      </c>
      <c r="L84" s="2883"/>
      <c r="M84" s="1934"/>
    </row>
    <row r="85" spans="1:13" s="1935" customFormat="1" hidden="1">
      <c r="A85" s="3989"/>
      <c r="B85" s="1939">
        <v>2008</v>
      </c>
      <c r="C85" s="2714"/>
      <c r="D85" s="2715"/>
      <c r="E85" s="2715"/>
      <c r="F85" s="2715"/>
      <c r="G85" s="2715"/>
      <c r="H85" s="1985"/>
      <c r="I85" s="1985"/>
      <c r="J85" s="1985"/>
      <c r="K85" s="1985"/>
      <c r="L85" s="2883"/>
      <c r="M85" s="1934"/>
    </row>
    <row r="86" spans="1:13" hidden="1">
      <c r="A86" s="3989"/>
      <c r="B86" s="1937" t="s">
        <v>161</v>
      </c>
      <c r="C86" s="2714">
        <v>10106.892184159999</v>
      </c>
      <c r="D86" s="2715">
        <v>263.71480543000001</v>
      </c>
      <c r="E86" s="2715">
        <v>3946.6419999999998</v>
      </c>
      <c r="F86" s="2715">
        <v>234.65621525999998</v>
      </c>
      <c r="G86" s="2715">
        <v>5661.8791634700001</v>
      </c>
      <c r="H86" s="1985">
        <v>2.609257134881743</v>
      </c>
      <c r="I86" s="1985">
        <v>39.049016533345082</v>
      </c>
      <c r="J86" s="1985">
        <v>2.3217445183373417</v>
      </c>
      <c r="K86" s="1985">
        <v>56.019981813435848</v>
      </c>
      <c r="L86" s="2883"/>
      <c r="M86" s="1934"/>
    </row>
    <row r="87" spans="1:13" hidden="1">
      <c r="A87" s="3989"/>
      <c r="B87" s="1937" t="s">
        <v>162</v>
      </c>
      <c r="C87" s="2714">
        <v>10106.892184159999</v>
      </c>
      <c r="D87" s="2715">
        <v>263.71480543000001</v>
      </c>
      <c r="E87" s="2715">
        <v>3946.6419999999998</v>
      </c>
      <c r="F87" s="2715">
        <v>234.65621525999998</v>
      </c>
      <c r="G87" s="2715">
        <v>5661.8791634700001</v>
      </c>
      <c r="H87" s="1985">
        <v>2.609257134881743</v>
      </c>
      <c r="I87" s="1985">
        <v>39.049016533345082</v>
      </c>
      <c r="J87" s="1985">
        <v>2.3217445183373417</v>
      </c>
      <c r="K87" s="1985">
        <v>56.019981813435848</v>
      </c>
      <c r="L87" s="2883"/>
      <c r="M87" s="1934"/>
    </row>
    <row r="88" spans="1:13" hidden="1">
      <c r="A88" s="3989"/>
      <c r="B88" s="1937" t="s">
        <v>163</v>
      </c>
      <c r="C88" s="2714">
        <v>11252.62279625</v>
      </c>
      <c r="D88" s="2715">
        <v>333.54741588999997</v>
      </c>
      <c r="E88" s="2715">
        <v>3681.9430000000002</v>
      </c>
      <c r="F88" s="2715">
        <v>0</v>
      </c>
      <c r="G88" s="2715">
        <v>7237.1323803599998</v>
      </c>
      <c r="H88" s="1985">
        <v>2.9641748588707384</v>
      </c>
      <c r="I88" s="1985">
        <v>32.720753789303494</v>
      </c>
      <c r="J88" s="1985">
        <v>0</v>
      </c>
      <c r="K88" s="1985">
        <v>64.315071351825765</v>
      </c>
      <c r="L88" s="2883"/>
      <c r="M88" s="1934"/>
    </row>
    <row r="89" spans="1:13" hidden="1">
      <c r="A89" s="3989"/>
      <c r="B89" s="1938" t="s">
        <v>164</v>
      </c>
      <c r="C89" s="2714">
        <v>11323.133220149999</v>
      </c>
      <c r="D89" s="2715">
        <v>654.79941112000006</v>
      </c>
      <c r="E89" s="2715">
        <v>3691.2429999999999</v>
      </c>
      <c r="F89" s="2715">
        <v>86.9</v>
      </c>
      <c r="G89" s="2715">
        <v>6890.1908090299994</v>
      </c>
      <c r="H89" s="1985">
        <v>5.7828464824096262</v>
      </c>
      <c r="I89" s="1985">
        <v>32.599130719678151</v>
      </c>
      <c r="J89" s="1985">
        <v>0.7674554234278349</v>
      </c>
      <c r="K89" s="1985">
        <v>60.850567374484385</v>
      </c>
      <c r="L89" s="2883"/>
      <c r="M89" s="1934"/>
    </row>
    <row r="90" spans="1:13" hidden="1">
      <c r="A90" s="3989"/>
      <c r="B90" s="1938" t="s">
        <v>165</v>
      </c>
      <c r="C90" s="2714">
        <v>10723.045099179999</v>
      </c>
      <c r="D90" s="2715">
        <v>589.34045219000006</v>
      </c>
      <c r="E90" s="2715">
        <v>3731.0970000000002</v>
      </c>
      <c r="F90" s="2715">
        <v>86.9</v>
      </c>
      <c r="G90" s="2715">
        <v>6315.7076469900003</v>
      </c>
      <c r="H90" s="1985">
        <v>5.4960176585946412</v>
      </c>
      <c r="I90" s="1985">
        <v>34.79512550297229</v>
      </c>
      <c r="J90" s="1985">
        <v>0.81040412677780616</v>
      </c>
      <c r="K90" s="1985">
        <v>58.898452711655281</v>
      </c>
      <c r="L90" s="2883"/>
      <c r="M90" s="1934"/>
    </row>
    <row r="91" spans="1:13" hidden="1">
      <c r="A91" s="3989"/>
      <c r="B91" s="1938" t="s">
        <v>166</v>
      </c>
      <c r="C91" s="2714">
        <v>9873.2095999600006</v>
      </c>
      <c r="D91" s="2715">
        <v>543.62331927999992</v>
      </c>
      <c r="E91" s="2715">
        <v>3734.634</v>
      </c>
      <c r="F91" s="2715">
        <v>414.15750000000003</v>
      </c>
      <c r="G91" s="2715">
        <v>5180.7947806800003</v>
      </c>
      <c r="H91" s="1985">
        <v>5.5060445519378245</v>
      </c>
      <c r="I91" s="1985">
        <v>37.82593656286938</v>
      </c>
      <c r="J91" s="1985">
        <v>4.1947605366514038</v>
      </c>
      <c r="K91" s="1985">
        <v>52.473258348541385</v>
      </c>
      <c r="L91" s="2883"/>
      <c r="M91" s="1934"/>
    </row>
    <row r="92" spans="1:13" hidden="1">
      <c r="A92" s="3989"/>
      <c r="B92" s="1938" t="s">
        <v>167</v>
      </c>
      <c r="C92" s="2714">
        <v>11239.053651800001</v>
      </c>
      <c r="D92" s="2715">
        <v>642.07149845000004</v>
      </c>
      <c r="E92" s="2715">
        <v>3672.7070000000003</v>
      </c>
      <c r="F92" s="2715">
        <v>1253.4337499999999</v>
      </c>
      <c r="G92" s="2715">
        <v>5670.8414033500003</v>
      </c>
      <c r="H92" s="1985">
        <v>5.7128608719397702</v>
      </c>
      <c r="I92" s="1985">
        <v>32.678080502016236</v>
      </c>
      <c r="J92" s="1985">
        <v>11.152484798390967</v>
      </c>
      <c r="K92" s="1985">
        <v>50.456573827653017</v>
      </c>
      <c r="L92" s="2883"/>
      <c r="M92" s="1934"/>
    </row>
    <row r="93" spans="1:13" hidden="1">
      <c r="A93" s="3989"/>
      <c r="B93" s="1938" t="s">
        <v>168</v>
      </c>
      <c r="C93" s="2714">
        <v>11898.078668149999</v>
      </c>
      <c r="D93" s="2715">
        <v>812.68876979000004</v>
      </c>
      <c r="E93" s="2715">
        <v>3566.973</v>
      </c>
      <c r="F93" s="2715">
        <v>2049.1167500000001</v>
      </c>
      <c r="G93" s="2715">
        <v>5469.3001483600001</v>
      </c>
      <c r="H93" s="1985">
        <v>6.8304202086467019</v>
      </c>
      <c r="I93" s="1985">
        <v>29.979403393494447</v>
      </c>
      <c r="J93" s="1985">
        <v>17.222249130738113</v>
      </c>
      <c r="K93" s="1985">
        <v>45.967927267120743</v>
      </c>
      <c r="L93" s="2883"/>
      <c r="M93" s="1934"/>
    </row>
    <row r="94" spans="1:13" hidden="1">
      <c r="A94" s="3989"/>
      <c r="B94" s="1938" t="s">
        <v>169</v>
      </c>
      <c r="C94" s="2714">
        <v>12112.35450657</v>
      </c>
      <c r="D94" s="2715">
        <v>597.23039740000002</v>
      </c>
      <c r="E94" s="2715">
        <v>4571.9762000000001</v>
      </c>
      <c r="F94" s="2715">
        <v>1721.85925</v>
      </c>
      <c r="G94" s="2715">
        <v>5221.2886591700008</v>
      </c>
      <c r="H94" s="1985">
        <v>4.9307539428114451</v>
      </c>
      <c r="I94" s="1985">
        <v>37.74638694334832</v>
      </c>
      <c r="J94" s="1985">
        <v>14.215727000609391</v>
      </c>
      <c r="K94" s="1985">
        <v>43.107132113230847</v>
      </c>
      <c r="L94" s="2883"/>
      <c r="M94" s="1934"/>
    </row>
    <row r="95" spans="1:13" hidden="1">
      <c r="A95" s="3989"/>
      <c r="B95" s="1938" t="s">
        <v>170</v>
      </c>
      <c r="C95" s="2714">
        <v>13418.22538949</v>
      </c>
      <c r="D95" s="2715">
        <v>794.66914680000002</v>
      </c>
      <c r="E95" s="2715">
        <v>5002.5342000000001</v>
      </c>
      <c r="F95" s="2715">
        <v>795.68299999999999</v>
      </c>
      <c r="G95" s="2715">
        <v>6825.3390426900005</v>
      </c>
      <c r="H95" s="1985">
        <v>5.9223118089999813</v>
      </c>
      <c r="I95" s="1985">
        <v>37.281637882743425</v>
      </c>
      <c r="J95" s="1985">
        <v>5.929867600996098</v>
      </c>
      <c r="K95" s="1985">
        <v>50.866182707260499</v>
      </c>
      <c r="L95" s="2883"/>
      <c r="M95" s="1934"/>
    </row>
    <row r="96" spans="1:13" hidden="1">
      <c r="A96" s="3989"/>
      <c r="B96" s="1938" t="s">
        <v>171</v>
      </c>
      <c r="C96" s="2714">
        <v>13946.77093015</v>
      </c>
      <c r="D96" s="2715">
        <v>649.82431078000002</v>
      </c>
      <c r="E96" s="2715">
        <v>5205.3791999999994</v>
      </c>
      <c r="F96" s="2715">
        <v>0</v>
      </c>
      <c r="G96" s="2715">
        <v>8091.5674193699997</v>
      </c>
      <c r="H96" s="1985">
        <v>4.6593173002878814</v>
      </c>
      <c r="I96" s="1985">
        <v>37.323185603823603</v>
      </c>
      <c r="J96" s="1985">
        <v>0</v>
      </c>
      <c r="K96" s="1985">
        <v>58.017497095888515</v>
      </c>
      <c r="L96" s="2883"/>
      <c r="M96" s="1934"/>
    </row>
    <row r="97" spans="1:13">
      <c r="A97" s="3989"/>
      <c r="B97" s="1936">
        <v>2008</v>
      </c>
      <c r="C97" s="2714">
        <v>14619.604899739999</v>
      </c>
      <c r="D97" s="2715">
        <v>714.37316709000004</v>
      </c>
      <c r="E97" s="2715">
        <v>5399.0761999999995</v>
      </c>
      <c r="F97" s="2715">
        <v>0</v>
      </c>
      <c r="G97" s="2715">
        <v>8506.1555326500002</v>
      </c>
      <c r="H97" s="1985">
        <v>4.8864054260639067</v>
      </c>
      <c r="I97" s="1985">
        <v>36.930383803299769</v>
      </c>
      <c r="J97" s="1985">
        <v>0</v>
      </c>
      <c r="K97" s="1985">
        <v>58.183210770636329</v>
      </c>
      <c r="L97" s="2883"/>
      <c r="M97" s="1934"/>
    </row>
    <row r="98" spans="1:13" s="1935" customFormat="1" hidden="1">
      <c r="A98" s="3989"/>
      <c r="B98" s="1936">
        <v>2009</v>
      </c>
      <c r="C98" s="2392"/>
      <c r="D98" s="1985"/>
      <c r="E98" s="1985"/>
      <c r="F98" s="1985"/>
      <c r="G98" s="1985"/>
      <c r="H98" s="1985"/>
      <c r="I98" s="1985"/>
      <c r="J98" s="1985"/>
      <c r="K98" s="1985"/>
      <c r="L98" s="2883"/>
      <c r="M98" s="1934"/>
    </row>
    <row r="99" spans="1:13" hidden="1">
      <c r="A99" s="3989"/>
      <c r="B99" s="1937" t="s">
        <v>161</v>
      </c>
      <c r="C99" s="2392">
        <v>11522.66564947</v>
      </c>
      <c r="D99" s="1985">
        <v>814.58291703999998</v>
      </c>
      <c r="E99" s="1985">
        <v>5348.8022000000001</v>
      </c>
      <c r="F99" s="1985">
        <v>413.06959999999998</v>
      </c>
      <c r="G99" s="1985">
        <v>4946.21093243</v>
      </c>
      <c r="H99" s="1985">
        <v>7.0693964558232913</v>
      </c>
      <c r="I99" s="1985">
        <v>46.419833419761034</v>
      </c>
      <c r="J99" s="1985">
        <v>3.5848441026230735</v>
      </c>
      <c r="K99" s="1985">
        <v>42.925926021792598</v>
      </c>
      <c r="L99" s="2883"/>
      <c r="M99" s="1934"/>
    </row>
    <row r="100" spans="1:13" hidden="1">
      <c r="A100" s="3989"/>
      <c r="B100" s="1937" t="s">
        <v>162</v>
      </c>
      <c r="C100" s="2392">
        <v>12016.84433308</v>
      </c>
      <c r="D100" s="1985">
        <v>967.18460178999999</v>
      </c>
      <c r="E100" s="1985">
        <v>5130.3842000000004</v>
      </c>
      <c r="F100" s="1985">
        <v>413.06959999999998</v>
      </c>
      <c r="G100" s="1985">
        <v>5506.2059312900001</v>
      </c>
      <c r="H100" s="1985">
        <v>8.0485739432234435</v>
      </c>
      <c r="I100" s="1985">
        <v>42.693273356941688</v>
      </c>
      <c r="J100" s="1985">
        <v>3.4374215771681498</v>
      </c>
      <c r="K100" s="1985">
        <v>45.820731122666722</v>
      </c>
      <c r="L100" s="2883"/>
      <c r="M100" s="1934"/>
    </row>
    <row r="101" spans="1:13" hidden="1">
      <c r="A101" s="3989"/>
      <c r="B101" s="1937" t="s">
        <v>163</v>
      </c>
      <c r="C101" s="2392">
        <v>11979.620599189999</v>
      </c>
      <c r="D101" s="1985">
        <v>314.75864711999998</v>
      </c>
      <c r="E101" s="1985">
        <v>4395.8531999999996</v>
      </c>
      <c r="F101" s="1985">
        <v>413.06959999999998</v>
      </c>
      <c r="G101" s="1985">
        <v>6855.9391520699992</v>
      </c>
      <c r="H101" s="1985">
        <v>2.6274508822197786</v>
      </c>
      <c r="I101" s="1985">
        <v>36.69442753718949</v>
      </c>
      <c r="J101" s="1985">
        <v>3.448102521944056</v>
      </c>
      <c r="K101" s="1985">
        <v>57.230019058646675</v>
      </c>
      <c r="L101" s="2883"/>
      <c r="M101" s="1934"/>
    </row>
    <row r="102" spans="1:13" hidden="1">
      <c r="A102" s="3989"/>
      <c r="B102" s="1938" t="s">
        <v>164</v>
      </c>
      <c r="C102" s="2392">
        <v>11751.38758604</v>
      </c>
      <c r="D102" s="1985">
        <v>332.54008369999997</v>
      </c>
      <c r="E102" s="1985">
        <v>5007.4182000000001</v>
      </c>
      <c r="F102" s="1985">
        <v>375.58049999999997</v>
      </c>
      <c r="G102" s="1985">
        <v>6035.8488023400005</v>
      </c>
      <c r="H102" s="1985">
        <v>2.829794194645058</v>
      </c>
      <c r="I102" s="1985">
        <v>42.611293035288327</v>
      </c>
      <c r="J102" s="1985">
        <v>3.1960523576481199</v>
      </c>
      <c r="K102" s="1985">
        <v>51.362860412418485</v>
      </c>
      <c r="L102" s="2883"/>
      <c r="M102" s="1934"/>
    </row>
    <row r="103" spans="1:13" hidden="1">
      <c r="A103" s="3989"/>
      <c r="B103" s="1938" t="s">
        <v>165</v>
      </c>
      <c r="C103" s="2392">
        <v>11267.580038749998</v>
      </c>
      <c r="D103" s="1985">
        <v>324.31674452999999</v>
      </c>
      <c r="E103" s="1985">
        <v>4980.4841999999999</v>
      </c>
      <c r="F103" s="1985">
        <v>375.58049999999997</v>
      </c>
      <c r="G103" s="1985">
        <v>5587.1985942199999</v>
      </c>
      <c r="H103" s="1985">
        <v>2.8783176459776807</v>
      </c>
      <c r="I103" s="1985">
        <v>44.201897682304143</v>
      </c>
      <c r="J103" s="1985">
        <v>3.3332845092588852</v>
      </c>
      <c r="K103" s="1985">
        <v>49.586500162459302</v>
      </c>
      <c r="L103" s="2883"/>
      <c r="M103" s="1934"/>
    </row>
    <row r="104" spans="1:13" hidden="1">
      <c r="A104" s="3989"/>
      <c r="B104" s="1938" t="s">
        <v>166</v>
      </c>
      <c r="C104" s="2392">
        <v>11689.108434229998</v>
      </c>
      <c r="D104" s="1985">
        <v>344.56593713000007</v>
      </c>
      <c r="E104" s="1985">
        <v>5256.0082000000002</v>
      </c>
      <c r="F104" s="1985">
        <v>745.84199999999998</v>
      </c>
      <c r="G104" s="1985">
        <v>5342.6922970999995</v>
      </c>
      <c r="H104" s="1985">
        <v>2.9477520810824593</v>
      </c>
      <c r="I104" s="1985">
        <v>44.9650050692359</v>
      </c>
      <c r="J104" s="1985">
        <v>6.3806577224991852</v>
      </c>
      <c r="K104" s="1985">
        <v>45.706585127182464</v>
      </c>
      <c r="L104" s="2883"/>
      <c r="M104" s="1934"/>
    </row>
    <row r="105" spans="1:13" hidden="1">
      <c r="A105" s="3989"/>
      <c r="B105" s="1938" t="s">
        <v>167</v>
      </c>
      <c r="C105" s="2392">
        <v>11464.865898830001</v>
      </c>
      <c r="D105" s="1985">
        <v>357.82188296999999</v>
      </c>
      <c r="E105" s="1985">
        <v>5093.6671999999999</v>
      </c>
      <c r="F105" s="1985">
        <v>370.26150000000001</v>
      </c>
      <c r="G105" s="1985">
        <v>5643.1153158600009</v>
      </c>
      <c r="H105" s="1985">
        <v>3.1210298151548024</v>
      </c>
      <c r="I105" s="1985">
        <v>44.428493494370599</v>
      </c>
      <c r="J105" s="1985">
        <v>3.2295318869607148</v>
      </c>
      <c r="K105" s="1985">
        <v>49.220944803513881</v>
      </c>
      <c r="L105" s="2883"/>
      <c r="M105" s="1934"/>
    </row>
    <row r="106" spans="1:13" hidden="1">
      <c r="A106" s="3989"/>
      <c r="B106" s="1938" t="s">
        <v>168</v>
      </c>
      <c r="C106" s="2392">
        <v>12682.11885988</v>
      </c>
      <c r="D106" s="1985">
        <v>339.34553839</v>
      </c>
      <c r="E106" s="1985">
        <v>5279.3652000000002</v>
      </c>
      <c r="F106" s="1985">
        <v>370.26150000000001</v>
      </c>
      <c r="G106" s="1985">
        <v>6693.1466214900001</v>
      </c>
      <c r="H106" s="1985">
        <v>2.6757795139700411</v>
      </c>
      <c r="I106" s="1985">
        <v>41.628416026767582</v>
      </c>
      <c r="J106" s="1985">
        <v>2.9195555103282125</v>
      </c>
      <c r="K106" s="1985">
        <v>52.776248948934168</v>
      </c>
      <c r="L106" s="2883"/>
      <c r="M106" s="1934"/>
    </row>
    <row r="107" spans="1:13" hidden="1">
      <c r="A107" s="3989"/>
      <c r="B107" s="1938" t="s">
        <v>169</v>
      </c>
      <c r="C107" s="2714">
        <v>13965.01711499</v>
      </c>
      <c r="D107" s="2715">
        <v>393.56182408999996</v>
      </c>
      <c r="E107" s="2715">
        <v>5523.6291999999994</v>
      </c>
      <c r="F107" s="2715">
        <v>232.12625</v>
      </c>
      <c r="G107" s="2715">
        <v>7815.6998408999998</v>
      </c>
      <c r="H107" s="1985">
        <v>2.818197935952059</v>
      </c>
      <c r="I107" s="1985">
        <v>39.553329254934852</v>
      </c>
      <c r="J107" s="1985">
        <v>1.6621981060863613</v>
      </c>
      <c r="K107" s="1985">
        <v>55.96627470302672</v>
      </c>
      <c r="L107" s="2883"/>
      <c r="M107" s="1934"/>
    </row>
    <row r="108" spans="1:13" hidden="1">
      <c r="A108" s="3989"/>
      <c r="B108" s="1938" t="s">
        <v>170</v>
      </c>
      <c r="C108" s="2714">
        <v>15993.079261409999</v>
      </c>
      <c r="D108" s="2715">
        <v>382.57916538000001</v>
      </c>
      <c r="E108" s="2715">
        <v>5811.9831999999997</v>
      </c>
      <c r="F108" s="2715">
        <v>232.066475</v>
      </c>
      <c r="G108" s="2715">
        <v>9566.4504210300001</v>
      </c>
      <c r="H108" s="1985">
        <v>2.392154500872965</v>
      </c>
      <c r="I108" s="1985">
        <v>36.340613993102899</v>
      </c>
      <c r="J108" s="1985">
        <v>1.4510431118787583</v>
      </c>
      <c r="K108" s="1985">
        <v>59.816188394145385</v>
      </c>
      <c r="L108" s="2883"/>
      <c r="M108" s="1934"/>
    </row>
    <row r="109" spans="1:13" hidden="1">
      <c r="A109" s="3989"/>
      <c r="B109" s="1938" t="s">
        <v>171</v>
      </c>
      <c r="C109" s="2714">
        <v>18823.275218549999</v>
      </c>
      <c r="D109" s="2715">
        <v>371.84922029000006</v>
      </c>
      <c r="E109" s="2715">
        <v>6890.1732000000002</v>
      </c>
      <c r="F109" s="2715">
        <v>0</v>
      </c>
      <c r="G109" s="2715">
        <v>11561.25279826</v>
      </c>
      <c r="H109" s="1985">
        <v>1.9754756596426393</v>
      </c>
      <c r="I109" s="1985">
        <v>36.604539433232418</v>
      </c>
      <c r="J109" s="1985">
        <v>0</v>
      </c>
      <c r="K109" s="1985">
        <v>61.419984907124949</v>
      </c>
      <c r="L109" s="2883"/>
      <c r="M109" s="1934"/>
    </row>
    <row r="110" spans="1:13">
      <c r="A110" s="3989"/>
      <c r="B110" s="1936">
        <v>2009</v>
      </c>
      <c r="C110" s="2714">
        <v>21139.850065049999</v>
      </c>
      <c r="D110" s="2715">
        <v>237.84018292000002</v>
      </c>
      <c r="E110" s="2715">
        <v>7368.3832000000002</v>
      </c>
      <c r="F110" s="2715">
        <v>1987.3620000000001</v>
      </c>
      <c r="G110" s="2715">
        <v>11546.26468213</v>
      </c>
      <c r="H110" s="1985">
        <v>1.1250798004154978</v>
      </c>
      <c r="I110" s="1985">
        <v>34.855418450587635</v>
      </c>
      <c r="J110" s="1985">
        <v>9.4010222110593755</v>
      </c>
      <c r="K110" s="1985">
        <v>54.618479537937489</v>
      </c>
      <c r="L110" s="2883"/>
      <c r="M110" s="63" t="s">
        <v>143</v>
      </c>
    </row>
    <row r="111" spans="1:13" s="1935" customFormat="1" hidden="1">
      <c r="A111" s="3989"/>
      <c r="B111" s="1936">
        <v>2010</v>
      </c>
      <c r="C111" s="2714"/>
      <c r="D111" s="2715"/>
      <c r="E111" s="2715"/>
      <c r="F111" s="2715"/>
      <c r="G111" s="2715"/>
      <c r="H111" s="1985"/>
      <c r="I111" s="1985"/>
      <c r="J111" s="1985"/>
      <c r="K111" s="1985"/>
      <c r="L111" s="2883"/>
      <c r="M111" s="1934"/>
    </row>
    <row r="112" spans="1:13" hidden="1">
      <c r="A112" s="3989"/>
      <c r="B112" s="2496" t="s">
        <v>161</v>
      </c>
      <c r="C112" s="2714">
        <v>15610.52132344</v>
      </c>
      <c r="D112" s="2715">
        <v>360.22936915000003</v>
      </c>
      <c r="E112" s="2716">
        <v>7642.6802000000007</v>
      </c>
      <c r="F112" s="2715">
        <v>0</v>
      </c>
      <c r="G112" s="2715">
        <v>7607.6117542899992</v>
      </c>
      <c r="H112" s="1985">
        <v>2.3076062719897581</v>
      </c>
      <c r="I112" s="1985">
        <v>48.958519972834758</v>
      </c>
      <c r="J112" s="1985">
        <v>0</v>
      </c>
      <c r="K112" s="1985">
        <v>48.733873755175487</v>
      </c>
      <c r="L112" s="2883"/>
      <c r="M112" s="1934"/>
    </row>
    <row r="113" spans="1:13" hidden="1">
      <c r="A113" s="3989"/>
      <c r="B113" s="2496" t="s">
        <v>162</v>
      </c>
      <c r="C113" s="2714">
        <v>15597.971998549998</v>
      </c>
      <c r="D113" s="2715">
        <v>452.79637982999998</v>
      </c>
      <c r="E113" s="2716">
        <v>7010.4051999999992</v>
      </c>
      <c r="F113" s="2715">
        <v>0</v>
      </c>
      <c r="G113" s="2715">
        <v>8134.7704187199997</v>
      </c>
      <c r="H113" s="1985">
        <v>2.9029182759918557</v>
      </c>
      <c r="I113" s="1985">
        <v>44.944337639865573</v>
      </c>
      <c r="J113" s="1985">
        <v>0</v>
      </c>
      <c r="K113" s="1985">
        <v>52.152744084142576</v>
      </c>
      <c r="L113" s="2883"/>
      <c r="M113" s="1934"/>
    </row>
    <row r="114" spans="1:13" hidden="1">
      <c r="A114" s="3989"/>
      <c r="B114" s="2496" t="s">
        <v>163</v>
      </c>
      <c r="C114" s="2714">
        <v>18029.155080960001</v>
      </c>
      <c r="D114" s="2715">
        <v>485.61541668999996</v>
      </c>
      <c r="E114" s="2716">
        <v>7124.0501999999997</v>
      </c>
      <c r="F114" s="2715">
        <v>0</v>
      </c>
      <c r="G114" s="2715">
        <v>10419.489464270002</v>
      </c>
      <c r="H114" s="1985">
        <v>2.693500691015978</v>
      </c>
      <c r="I114" s="1985">
        <v>39.514054696459269</v>
      </c>
      <c r="J114" s="1985">
        <v>0</v>
      </c>
      <c r="K114" s="1985">
        <v>57.792444612524761</v>
      </c>
      <c r="L114" s="2883"/>
      <c r="M114" s="1934"/>
    </row>
    <row r="115" spans="1:13" hidden="1">
      <c r="A115" s="3989"/>
      <c r="B115" s="2496" t="s">
        <v>164</v>
      </c>
      <c r="C115" s="2714">
        <v>15426.450433409998</v>
      </c>
      <c r="D115" s="2715">
        <v>502.21371048999993</v>
      </c>
      <c r="E115" s="2716">
        <v>7560.1833049499992</v>
      </c>
      <c r="F115" s="2715">
        <v>0</v>
      </c>
      <c r="G115" s="2715">
        <v>7364.0534179699998</v>
      </c>
      <c r="H115" s="1985">
        <v>3.2555364090907473</v>
      </c>
      <c r="I115" s="1985">
        <v>49.00792530066704</v>
      </c>
      <c r="J115" s="1985">
        <v>0</v>
      </c>
      <c r="K115" s="1985">
        <v>47.736538290242216</v>
      </c>
      <c r="L115" s="2883"/>
      <c r="M115" s="1934"/>
    </row>
    <row r="116" spans="1:13" hidden="1">
      <c r="A116" s="3989"/>
      <c r="B116" s="2496" t="s">
        <v>165</v>
      </c>
      <c r="C116" s="2714">
        <v>14566.774628879999</v>
      </c>
      <c r="D116" s="2715">
        <v>613.56776123999998</v>
      </c>
      <c r="E116" s="2716">
        <v>6947.0789378299996</v>
      </c>
      <c r="F116" s="2715">
        <v>0</v>
      </c>
      <c r="G116" s="2715">
        <v>7006.1279298099998</v>
      </c>
      <c r="H116" s="1985">
        <v>4.2121044422802028</v>
      </c>
      <c r="I116" s="1985">
        <v>47.691263953907566</v>
      </c>
      <c r="J116" s="1985">
        <v>0</v>
      </c>
      <c r="K116" s="1985">
        <v>48.096631603812234</v>
      </c>
      <c r="L116" s="2883"/>
      <c r="M116" s="1934"/>
    </row>
    <row r="117" spans="1:13" hidden="1">
      <c r="A117" s="3989"/>
      <c r="B117" s="2496" t="s">
        <v>166</v>
      </c>
      <c r="C117" s="2714">
        <v>15472.053556160001</v>
      </c>
      <c r="D117" s="2715">
        <v>503.93388142000003</v>
      </c>
      <c r="E117" s="2716">
        <v>6846.9003723800006</v>
      </c>
      <c r="F117" s="2715">
        <v>0</v>
      </c>
      <c r="G117" s="2715">
        <v>8121.2193023599993</v>
      </c>
      <c r="H117" s="1985">
        <v>3.2570587969517804</v>
      </c>
      <c r="I117" s="1985">
        <v>44.253339400147013</v>
      </c>
      <c r="J117" s="1985">
        <v>0</v>
      </c>
      <c r="K117" s="1985">
        <v>52.489601802901198</v>
      </c>
      <c r="L117" s="2883"/>
      <c r="M117" s="1934"/>
    </row>
    <row r="118" spans="1:13" hidden="1">
      <c r="A118" s="3989"/>
      <c r="B118" s="2496" t="s">
        <v>167</v>
      </c>
      <c r="C118" s="2714">
        <v>15574.364014749999</v>
      </c>
      <c r="D118" s="2715">
        <v>540.52638133999994</v>
      </c>
      <c r="E118" s="2716">
        <v>6871.6111420400002</v>
      </c>
      <c r="F118" s="2715">
        <v>0</v>
      </c>
      <c r="G118" s="2715">
        <v>8162.2264913699992</v>
      </c>
      <c r="H118" s="1985">
        <v>3.4706160767019703</v>
      </c>
      <c r="I118" s="1985">
        <v>44.121295325652525</v>
      </c>
      <c r="J118" s="1985">
        <v>0</v>
      </c>
      <c r="K118" s="1985">
        <v>52.408088597645509</v>
      </c>
      <c r="L118" s="2883"/>
      <c r="M118" s="1934"/>
    </row>
    <row r="119" spans="1:13" hidden="1">
      <c r="A119" s="3989"/>
      <c r="B119" s="2496" t="s">
        <v>168</v>
      </c>
      <c r="C119" s="2714">
        <v>15728.420104939998</v>
      </c>
      <c r="D119" s="2715">
        <v>645.16017633999991</v>
      </c>
      <c r="E119" s="2716">
        <v>6727.7929541100002</v>
      </c>
      <c r="F119" s="2715">
        <v>0</v>
      </c>
      <c r="G119" s="2715">
        <v>8355.4669744899984</v>
      </c>
      <c r="H119" s="1985">
        <v>4.1018752807687742</v>
      </c>
      <c r="I119" s="1985">
        <v>42.774753657533147</v>
      </c>
      <c r="J119" s="1985">
        <v>0</v>
      </c>
      <c r="K119" s="1985">
        <v>53.123371061698087</v>
      </c>
      <c r="L119" s="2883"/>
      <c r="M119" s="1934"/>
    </row>
    <row r="120" spans="1:13" hidden="1">
      <c r="A120" s="3989"/>
      <c r="B120" s="2496" t="s">
        <v>169</v>
      </c>
      <c r="C120" s="2714">
        <v>21013.155881229999</v>
      </c>
      <c r="D120" s="2715">
        <v>615.87796877000005</v>
      </c>
      <c r="E120" s="2716">
        <v>7193.7663062300007</v>
      </c>
      <c r="F120" s="2715">
        <v>0</v>
      </c>
      <c r="G120" s="2715">
        <v>13203.51160623</v>
      </c>
      <c r="H120" s="1985">
        <v>2.9309160996617982</v>
      </c>
      <c r="I120" s="1985">
        <v>34.23458307210214</v>
      </c>
      <c r="J120" s="1985">
        <v>0</v>
      </c>
      <c r="K120" s="1985">
        <v>62.834500828236074</v>
      </c>
      <c r="L120" s="2883"/>
      <c r="M120" s="1934"/>
    </row>
    <row r="121" spans="1:13" hidden="1">
      <c r="A121" s="3989"/>
      <c r="B121" s="2496" t="s">
        <v>170</v>
      </c>
      <c r="C121" s="2714">
        <v>19762.921231029999</v>
      </c>
      <c r="D121" s="2715">
        <v>683.90108326999996</v>
      </c>
      <c r="E121" s="2716">
        <v>8263.8972271499988</v>
      </c>
      <c r="F121" s="2715">
        <v>0</v>
      </c>
      <c r="G121" s="2715">
        <v>10815.122920609998</v>
      </c>
      <c r="H121" s="1985">
        <v>3.4605262818949996</v>
      </c>
      <c r="I121" s="1985">
        <v>41.815160474225614</v>
      </c>
      <c r="J121" s="1985">
        <v>0</v>
      </c>
      <c r="K121" s="1985">
        <v>54.724313243879372</v>
      </c>
      <c r="L121" s="2883"/>
      <c r="M121" s="1934"/>
    </row>
    <row r="122" spans="1:13" hidden="1">
      <c r="A122" s="3989"/>
      <c r="B122" s="2496" t="s">
        <v>171</v>
      </c>
      <c r="C122" s="2714">
        <v>25292.946984300001</v>
      </c>
      <c r="D122" s="2715">
        <v>609.87917761999995</v>
      </c>
      <c r="E122" s="2716">
        <v>8927.9166243700001</v>
      </c>
      <c r="F122" s="2715">
        <v>0</v>
      </c>
      <c r="G122" s="2715">
        <v>15755.151182310001</v>
      </c>
      <c r="H122" s="1985">
        <v>2.4112618351612727</v>
      </c>
      <c r="I122" s="1985">
        <v>35.298048226297212</v>
      </c>
      <c r="J122" s="1985">
        <v>0</v>
      </c>
      <c r="K122" s="1985">
        <v>62.290689938541519</v>
      </c>
      <c r="L122" s="2883"/>
      <c r="M122" s="1934"/>
    </row>
    <row r="123" spans="1:13">
      <c r="A123" s="3989"/>
      <c r="B123" s="1936" t="s">
        <v>1388</v>
      </c>
      <c r="C123" s="2714">
        <v>23065.936221190001</v>
      </c>
      <c r="D123" s="2715">
        <v>580.25898488999997</v>
      </c>
      <c r="E123" s="2716">
        <v>9270.4015875999994</v>
      </c>
      <c r="F123" s="2715">
        <v>0</v>
      </c>
      <c r="G123" s="2715">
        <v>13215.275648699999</v>
      </c>
      <c r="H123" s="1985">
        <v>2.5156532963831446</v>
      </c>
      <c r="I123" s="1985">
        <v>40.190874971220772</v>
      </c>
      <c r="J123" s="1985">
        <v>0</v>
      </c>
      <c r="K123" s="1985">
        <v>57.293471732396071</v>
      </c>
      <c r="L123" s="2883"/>
      <c r="M123" s="1934"/>
    </row>
    <row r="124" spans="1:13" s="1935" customFormat="1" hidden="1">
      <c r="A124" s="3989"/>
      <c r="B124" s="1936">
        <v>2011</v>
      </c>
      <c r="C124" s="2714"/>
      <c r="D124" s="2715"/>
      <c r="E124" s="2717"/>
      <c r="F124" s="2715"/>
      <c r="G124" s="2715"/>
      <c r="H124" s="1985"/>
      <c r="I124" s="1985"/>
      <c r="J124" s="1985"/>
      <c r="K124" s="1985"/>
      <c r="L124" s="2883"/>
      <c r="M124" s="1934"/>
    </row>
    <row r="125" spans="1:13" hidden="1">
      <c r="A125" s="3989"/>
      <c r="B125" s="2496" t="s">
        <v>161</v>
      </c>
      <c r="C125" s="2714">
        <v>18434.268171989999</v>
      </c>
      <c r="D125" s="2715">
        <v>701.40875338000001</v>
      </c>
      <c r="E125" s="2717">
        <v>9153.6537798699992</v>
      </c>
      <c r="F125" s="2715">
        <v>0</v>
      </c>
      <c r="G125" s="2715">
        <v>8579.2056387400007</v>
      </c>
      <c r="H125" s="1985">
        <v>3.804917813042112</v>
      </c>
      <c r="I125" s="1985">
        <v>49.655639673174242</v>
      </c>
      <c r="J125" s="1985">
        <v>0</v>
      </c>
      <c r="K125" s="1985">
        <v>46.539442513783648</v>
      </c>
      <c r="L125" s="2883"/>
      <c r="M125" s="1934"/>
    </row>
    <row r="126" spans="1:13" hidden="1">
      <c r="A126" s="3989"/>
      <c r="B126" s="2496" t="s">
        <v>162</v>
      </c>
      <c r="C126" s="2718">
        <v>19054.47069459</v>
      </c>
      <c r="D126" s="2719">
        <v>936.20165871000006</v>
      </c>
      <c r="E126" s="2720">
        <v>8376.4549621700007</v>
      </c>
      <c r="F126" s="2719">
        <v>0</v>
      </c>
      <c r="G126" s="2719">
        <v>9741.8140737099984</v>
      </c>
      <c r="H126" s="1985">
        <v>4.9132913409964685</v>
      </c>
      <c r="I126" s="1985">
        <v>43.960575428360066</v>
      </c>
      <c r="J126" s="1985">
        <v>0</v>
      </c>
      <c r="K126" s="1985">
        <v>51.126133230643468</v>
      </c>
      <c r="L126" s="2883"/>
      <c r="M126" s="1934"/>
    </row>
    <row r="127" spans="1:13" hidden="1">
      <c r="A127" s="3989"/>
      <c r="B127" s="2496" t="s">
        <v>163</v>
      </c>
      <c r="C127" s="2718">
        <v>15738.06143401</v>
      </c>
      <c r="D127" s="2719">
        <v>744.10810483</v>
      </c>
      <c r="E127" s="2720">
        <v>8464.9797972100005</v>
      </c>
      <c r="F127" s="2719">
        <v>0</v>
      </c>
      <c r="G127" s="2719">
        <v>6528.9735319700003</v>
      </c>
      <c r="H127" s="1985">
        <v>4.728079807986898</v>
      </c>
      <c r="I127" s="1985">
        <v>53.78667399859777</v>
      </c>
      <c r="J127" s="1985">
        <v>0</v>
      </c>
      <c r="K127" s="1985">
        <v>41.485246193415328</v>
      </c>
      <c r="L127" s="2883"/>
      <c r="M127" s="1934"/>
    </row>
    <row r="128" spans="1:13" hidden="1">
      <c r="A128" s="3989"/>
      <c r="B128" s="2496" t="s">
        <v>164</v>
      </c>
      <c r="C128" s="2718">
        <v>16116.461703350002</v>
      </c>
      <c r="D128" s="2719">
        <v>794.82414233000009</v>
      </c>
      <c r="E128" s="2720">
        <v>8628.8462921700011</v>
      </c>
      <c r="F128" s="2719">
        <v>0</v>
      </c>
      <c r="G128" s="2719">
        <v>6692.7912688500001</v>
      </c>
      <c r="H128" s="1985">
        <v>4.9317533647276086</v>
      </c>
      <c r="I128" s="1985">
        <v>53.540575164686366</v>
      </c>
      <c r="J128" s="1985">
        <v>0</v>
      </c>
      <c r="K128" s="1985">
        <v>41.527671470586021</v>
      </c>
      <c r="L128" s="2883"/>
      <c r="M128" s="1934"/>
    </row>
    <row r="129" spans="1:14" hidden="1">
      <c r="A129" s="3989"/>
      <c r="B129" s="2496" t="s">
        <v>165</v>
      </c>
      <c r="C129" s="2718">
        <v>14567.798895900001</v>
      </c>
      <c r="D129" s="2719">
        <v>829.00590872999999</v>
      </c>
      <c r="E129" s="2720">
        <v>8179.3674197000009</v>
      </c>
      <c r="F129" s="2719">
        <v>0</v>
      </c>
      <c r="G129" s="2719">
        <v>5559.4255674699998</v>
      </c>
      <c r="H129" s="1985">
        <v>5.6906737569209414</v>
      </c>
      <c r="I129" s="1985">
        <v>56.146899597865975</v>
      </c>
      <c r="J129" s="1985">
        <v>0</v>
      </c>
      <c r="K129" s="1985">
        <v>38.162426645213088</v>
      </c>
      <c r="L129" s="2883"/>
      <c r="M129" s="1934"/>
    </row>
    <row r="130" spans="1:14" hidden="1">
      <c r="A130" s="3989"/>
      <c r="B130" s="2496" t="s">
        <v>166</v>
      </c>
      <c r="C130" s="2718">
        <v>15400.989605580002</v>
      </c>
      <c r="D130" s="2719">
        <v>906.2864943300001</v>
      </c>
      <c r="E130" s="2719">
        <v>8286.7535142300003</v>
      </c>
      <c r="F130" s="2719">
        <v>0</v>
      </c>
      <c r="G130" s="2719">
        <v>6207.9495970200005</v>
      </c>
      <c r="H130" s="1985">
        <v>5.8845990909677601</v>
      </c>
      <c r="I130" s="1985">
        <v>53.806630135167346</v>
      </c>
      <c r="J130" s="1985">
        <v>0</v>
      </c>
      <c r="K130" s="1985">
        <v>40.308770773864886</v>
      </c>
      <c r="L130" s="2883"/>
      <c r="M130" s="63" t="s">
        <v>143</v>
      </c>
    </row>
    <row r="131" spans="1:14" ht="18" hidden="1" customHeight="1">
      <c r="A131" s="3989"/>
      <c r="B131" s="2496" t="s">
        <v>167</v>
      </c>
      <c r="C131" s="2718">
        <v>16208.740052700001</v>
      </c>
      <c r="D131" s="2719">
        <v>1039.08232518</v>
      </c>
      <c r="E131" s="2719">
        <v>8611.5673064300008</v>
      </c>
      <c r="F131" s="2719">
        <v>0</v>
      </c>
      <c r="G131" s="2719">
        <v>6558.0904210900007</v>
      </c>
      <c r="H131" s="1985">
        <v>6.4106298318166495</v>
      </c>
      <c r="I131" s="1985">
        <v>53.129159197019227</v>
      </c>
      <c r="J131" s="1985">
        <v>0</v>
      </c>
      <c r="K131" s="1985">
        <v>40.460210971164138</v>
      </c>
      <c r="L131" s="2883"/>
      <c r="M131" s="1934"/>
    </row>
    <row r="132" spans="1:14" ht="18" hidden="1" customHeight="1">
      <c r="A132" s="3989"/>
      <c r="B132" s="2496" t="s">
        <v>168</v>
      </c>
      <c r="C132" s="2718">
        <v>14133.848332670002</v>
      </c>
      <c r="D132" s="2719">
        <v>741.10665698000003</v>
      </c>
      <c r="E132" s="2719">
        <v>8685.222698810001</v>
      </c>
      <c r="F132" s="2719">
        <v>0</v>
      </c>
      <c r="G132" s="2719">
        <v>4707.518976880001</v>
      </c>
      <c r="H132" s="1985">
        <v>5.2434881112099694</v>
      </c>
      <c r="I132" s="1985">
        <v>61.449808250272127</v>
      </c>
      <c r="J132" s="1985">
        <v>0</v>
      </c>
      <c r="K132" s="1985">
        <v>33.306703638517895</v>
      </c>
      <c r="L132" s="2883"/>
      <c r="M132" s="1934"/>
    </row>
    <row r="133" spans="1:14" ht="18" hidden="1" customHeight="1">
      <c r="A133" s="3989"/>
      <c r="B133" s="2496" t="s">
        <v>169</v>
      </c>
      <c r="C133" s="2718">
        <v>16373.9110659</v>
      </c>
      <c r="D133" s="2719">
        <v>821.01479353999991</v>
      </c>
      <c r="E133" s="2719">
        <v>8486.4723510599997</v>
      </c>
      <c r="F133" s="2719">
        <v>0</v>
      </c>
      <c r="G133" s="2719">
        <v>7066.423921300001</v>
      </c>
      <c r="H133" s="1985">
        <v>5.0141642411252008</v>
      </c>
      <c r="I133" s="1985">
        <v>51.829231983150123</v>
      </c>
      <c r="J133" s="1985">
        <v>0</v>
      </c>
      <c r="K133" s="1985">
        <v>43.156603775724683</v>
      </c>
      <c r="L133" s="2883"/>
      <c r="M133" s="1934"/>
      <c r="N133" s="62" t="s">
        <v>143</v>
      </c>
    </row>
    <row r="134" spans="1:14" ht="18" hidden="1" customHeight="1">
      <c r="A134" s="3989"/>
      <c r="B134" s="2497" t="s">
        <v>170</v>
      </c>
      <c r="C134" s="2721">
        <v>16483.669588480003</v>
      </c>
      <c r="D134" s="2722">
        <v>822.91581116000009</v>
      </c>
      <c r="E134" s="2722">
        <v>8621.4591808200003</v>
      </c>
      <c r="F134" s="2722">
        <v>0</v>
      </c>
      <c r="G134" s="2722">
        <v>7039.2945965000008</v>
      </c>
      <c r="H134" s="1988">
        <v>4.9923095506301216</v>
      </c>
      <c r="I134" s="1988">
        <v>52.303033220499081</v>
      </c>
      <c r="J134" s="1988">
        <v>0</v>
      </c>
      <c r="K134" s="1988">
        <v>42.704657228870786</v>
      </c>
      <c r="L134" s="2883"/>
      <c r="M134" s="1934"/>
    </row>
    <row r="135" spans="1:14" ht="18" hidden="1" customHeight="1">
      <c r="A135" s="3989"/>
      <c r="B135" s="2497" t="s">
        <v>171</v>
      </c>
      <c r="C135" s="2721">
        <v>18632.2613471</v>
      </c>
      <c r="D135" s="2722">
        <v>745.81988726000009</v>
      </c>
      <c r="E135" s="2722">
        <v>9179.06884661</v>
      </c>
      <c r="F135" s="2722">
        <v>0</v>
      </c>
      <c r="G135" s="2722">
        <v>8707.3726132300017</v>
      </c>
      <c r="H135" s="1988">
        <v>4.0028414874938543</v>
      </c>
      <c r="I135" s="1988">
        <v>49.26438436866745</v>
      </c>
      <c r="J135" s="1988">
        <v>0</v>
      </c>
      <c r="K135" s="1988">
        <v>46.732774143838704</v>
      </c>
      <c r="L135" s="2883"/>
      <c r="M135" s="1934"/>
    </row>
    <row r="136" spans="1:14">
      <c r="A136" s="3989"/>
      <c r="B136" s="1936">
        <v>2011</v>
      </c>
      <c r="C136" s="2721">
        <v>14492.009378860002</v>
      </c>
      <c r="D136" s="2722">
        <v>662.61601633000009</v>
      </c>
      <c r="E136" s="2722">
        <v>9336.8875834600021</v>
      </c>
      <c r="F136" s="2722">
        <v>0</v>
      </c>
      <c r="G136" s="2722">
        <v>4492.5057790700002</v>
      </c>
      <c r="H136" s="1988">
        <v>4.5722853125984102</v>
      </c>
      <c r="I136" s="1988">
        <v>64.427832879269616</v>
      </c>
      <c r="J136" s="1988">
        <v>0</v>
      </c>
      <c r="K136" s="1988">
        <v>30.999881808131967</v>
      </c>
      <c r="L136" s="2883"/>
      <c r="M136" s="1934"/>
    </row>
    <row r="137" spans="1:14" hidden="1">
      <c r="A137" s="3989"/>
      <c r="B137" s="2503">
        <v>2012</v>
      </c>
      <c r="C137" s="2721"/>
      <c r="D137" s="2722"/>
      <c r="E137" s="2722"/>
      <c r="F137" s="2722"/>
      <c r="G137" s="2722"/>
      <c r="H137" s="1988"/>
      <c r="I137" s="1988"/>
      <c r="J137" s="1988"/>
      <c r="K137" s="1988"/>
      <c r="L137" s="2883"/>
      <c r="M137" s="1934"/>
    </row>
    <row r="138" spans="1:14" s="1975" customFormat="1" hidden="1">
      <c r="A138" s="3989"/>
      <c r="B138" s="2498" t="s">
        <v>161</v>
      </c>
      <c r="C138" s="2721">
        <v>14631.288802810001</v>
      </c>
      <c r="D138" s="2722">
        <v>780.6922480500001</v>
      </c>
      <c r="E138" s="2722">
        <v>9101.6146871700003</v>
      </c>
      <c r="F138" s="2722">
        <v>0</v>
      </c>
      <c r="G138" s="2722">
        <v>4748.9818675900005</v>
      </c>
      <c r="H138" s="1988">
        <v>5.3357722519978203</v>
      </c>
      <c r="I138" s="1988">
        <v>62.206513792701543</v>
      </c>
      <c r="J138" s="1988">
        <v>0</v>
      </c>
      <c r="K138" s="1988">
        <v>32.457713955300633</v>
      </c>
      <c r="L138" s="2883"/>
      <c r="M138" s="1974"/>
    </row>
    <row r="139" spans="1:14" s="1975" customFormat="1" hidden="1">
      <c r="A139" s="3989"/>
      <c r="B139" s="2498" t="s">
        <v>162</v>
      </c>
      <c r="C139" s="2721">
        <v>15372.351041800001</v>
      </c>
      <c r="D139" s="2722">
        <v>770.42844805000004</v>
      </c>
      <c r="E139" s="2722">
        <v>8773.1947711400007</v>
      </c>
      <c r="F139" s="2722">
        <v>0</v>
      </c>
      <c r="G139" s="2722">
        <v>5828.7278226099997</v>
      </c>
      <c r="H139" s="1988">
        <v>5.0117802147184634</v>
      </c>
      <c r="I139" s="1988">
        <v>57.071262211513471</v>
      </c>
      <c r="J139" s="1988">
        <v>0</v>
      </c>
      <c r="K139" s="1988">
        <v>37.916957573768066</v>
      </c>
      <c r="L139" s="2883"/>
      <c r="M139" s="1974"/>
    </row>
    <row r="140" spans="1:14" s="1975" customFormat="1" hidden="1">
      <c r="A140" s="3989"/>
      <c r="B140" s="2498" t="s">
        <v>163</v>
      </c>
      <c r="C140" s="2721">
        <v>11068.77684147</v>
      </c>
      <c r="D140" s="2722">
        <v>865.35301276999996</v>
      </c>
      <c r="E140" s="2722">
        <v>5071.0083637400003</v>
      </c>
      <c r="F140" s="2722">
        <v>0</v>
      </c>
      <c r="G140" s="2722">
        <v>5132.4154649600005</v>
      </c>
      <c r="H140" s="1988">
        <v>7.8179642174001573</v>
      </c>
      <c r="I140" s="1988">
        <v>45.813629060991531</v>
      </c>
      <c r="J140" s="1988">
        <v>0</v>
      </c>
      <c r="K140" s="1988">
        <v>46.368406721608316</v>
      </c>
      <c r="L140" s="2883"/>
      <c r="M140" s="1974"/>
    </row>
    <row r="141" spans="1:14" hidden="1">
      <c r="A141" s="3989"/>
      <c r="B141" s="2499" t="s">
        <v>164</v>
      </c>
      <c r="C141" s="2723">
        <v>9318.03200603</v>
      </c>
      <c r="D141" s="2724">
        <v>856.01353768000013</v>
      </c>
      <c r="E141" s="2724">
        <v>5123.9503263500001</v>
      </c>
      <c r="F141" s="2724">
        <v>0</v>
      </c>
      <c r="G141" s="2724">
        <v>3338.0681420000001</v>
      </c>
      <c r="H141" s="1990">
        <v>9.1866344430459783</v>
      </c>
      <c r="I141" s="1990">
        <v>54.989619299806293</v>
      </c>
      <c r="J141" s="1990">
        <v>0</v>
      </c>
      <c r="K141" s="1990">
        <v>35.823746257147732</v>
      </c>
      <c r="L141" s="2883"/>
      <c r="M141" s="1934"/>
    </row>
    <row r="142" spans="1:14" s="1977" customFormat="1" hidden="1">
      <c r="A142" s="3989"/>
      <c r="B142" s="2499" t="s">
        <v>165</v>
      </c>
      <c r="C142" s="2725">
        <v>12524.70039985</v>
      </c>
      <c r="D142" s="2726">
        <v>853.40557745000001</v>
      </c>
      <c r="E142" s="2727">
        <v>4802.7757125099997</v>
      </c>
      <c r="F142" s="2727">
        <v>0</v>
      </c>
      <c r="G142" s="2727">
        <v>6868.5191098900004</v>
      </c>
      <c r="H142" s="2500">
        <v>6.8137803716264598</v>
      </c>
      <c r="I142" s="2500">
        <v>38.34643192397256</v>
      </c>
      <c r="J142" s="2500">
        <v>0</v>
      </c>
      <c r="K142" s="2500">
        <v>54.839787704400976</v>
      </c>
      <c r="L142" s="2883"/>
      <c r="M142" s="1976"/>
    </row>
    <row r="143" spans="1:14" s="1977" customFormat="1" hidden="1">
      <c r="A143" s="3989"/>
      <c r="B143" s="2501" t="s">
        <v>166</v>
      </c>
      <c r="C143" s="2725">
        <v>10539.99591962</v>
      </c>
      <c r="D143" s="2726">
        <v>953.42000659999997</v>
      </c>
      <c r="E143" s="2727">
        <v>2363.2795979100001</v>
      </c>
      <c r="F143" s="2727">
        <v>0</v>
      </c>
      <c r="G143" s="2727">
        <v>7223.2963151100003</v>
      </c>
      <c r="H143" s="2500">
        <v>9.0457341148038477</v>
      </c>
      <c r="I143" s="2500">
        <v>22.422016250602152</v>
      </c>
      <c r="J143" s="2500">
        <v>0</v>
      </c>
      <c r="K143" s="2500">
        <v>68.532249634593995</v>
      </c>
      <c r="L143" s="2883"/>
      <c r="M143" s="1976"/>
    </row>
    <row r="144" spans="1:14" s="1977" customFormat="1" hidden="1">
      <c r="A144" s="3989"/>
      <c r="B144" s="2501" t="s">
        <v>167</v>
      </c>
      <c r="C144" s="2725">
        <v>7958.82231434</v>
      </c>
      <c r="D144" s="2726">
        <v>1206.2666339099999</v>
      </c>
      <c r="E144" s="2727">
        <v>2383.9336292200001</v>
      </c>
      <c r="F144" s="2727">
        <v>0</v>
      </c>
      <c r="G144" s="2727">
        <v>4368.6220512099999</v>
      </c>
      <c r="H144" s="2500">
        <v>15.156345829414736</v>
      </c>
      <c r="I144" s="2500">
        <v>29.953346551344538</v>
      </c>
      <c r="J144" s="2500">
        <v>0</v>
      </c>
      <c r="K144" s="2500">
        <v>54.890307619240716</v>
      </c>
      <c r="L144" s="2883"/>
      <c r="M144" s="1976"/>
    </row>
    <row r="145" spans="1:13" s="1977" customFormat="1" hidden="1">
      <c r="A145" s="3989"/>
      <c r="B145" s="2501" t="s">
        <v>168</v>
      </c>
      <c r="C145" s="2725">
        <v>10717.57780709</v>
      </c>
      <c r="D145" s="2726">
        <v>1202.5827267499999</v>
      </c>
      <c r="E145" s="2727">
        <v>2351.1609716500002</v>
      </c>
      <c r="F145" s="2727">
        <v>0</v>
      </c>
      <c r="G145" s="2727">
        <v>7163.83410869</v>
      </c>
      <c r="H145" s="2500">
        <v>11.220657767974917</v>
      </c>
      <c r="I145" s="2500">
        <v>21.937428530676367</v>
      </c>
      <c r="J145" s="2500">
        <v>0</v>
      </c>
      <c r="K145" s="2500">
        <v>66.841913701348716</v>
      </c>
      <c r="L145" s="2883"/>
      <c r="M145" s="1976"/>
    </row>
    <row r="146" spans="1:13" hidden="1">
      <c r="A146" s="3989"/>
      <c r="B146" s="2501" t="s">
        <v>169</v>
      </c>
      <c r="C146" s="2725">
        <v>10755.46976865</v>
      </c>
      <c r="D146" s="2726">
        <v>1310.2701613499999</v>
      </c>
      <c r="E146" s="2727">
        <v>2469.9705055499999</v>
      </c>
      <c r="F146" s="2727">
        <v>0</v>
      </c>
      <c r="G146" s="2727">
        <v>6975.2291017500002</v>
      </c>
      <c r="H146" s="2500">
        <v>12.182361064034321</v>
      </c>
      <c r="I146" s="2500">
        <v>22.964784976193787</v>
      </c>
      <c r="J146" s="2500">
        <v>0</v>
      </c>
      <c r="K146" s="2500">
        <v>64.852853959771878</v>
      </c>
      <c r="L146" s="2883"/>
      <c r="M146" s="1934"/>
    </row>
    <row r="147" spans="1:13" s="2000" customFormat="1" hidden="1">
      <c r="A147" s="3989"/>
      <c r="B147" s="2501" t="s">
        <v>170</v>
      </c>
      <c r="C147" s="2725">
        <v>11675.238353069999</v>
      </c>
      <c r="D147" s="2726">
        <v>1233.0347696000001</v>
      </c>
      <c r="E147" s="2727">
        <v>2615.2287720999998</v>
      </c>
      <c r="F147" s="2727">
        <v>0</v>
      </c>
      <c r="G147" s="2727">
        <v>7826.9748113699998</v>
      </c>
      <c r="H147" s="2500">
        <v>10.561110037430407</v>
      </c>
      <c r="I147" s="2500">
        <v>22.399789135031462</v>
      </c>
      <c r="J147" s="2500">
        <v>0</v>
      </c>
      <c r="K147" s="2500">
        <v>67.039100827538135</v>
      </c>
      <c r="L147" s="2883"/>
      <c r="M147" s="1999"/>
    </row>
    <row r="148" spans="1:13" s="2002" customFormat="1" hidden="1">
      <c r="A148" s="3989"/>
      <c r="B148" s="2501" t="s">
        <v>171</v>
      </c>
      <c r="C148" s="2725">
        <v>13887.884407520001</v>
      </c>
      <c r="D148" s="2726">
        <v>1283.1938243800003</v>
      </c>
      <c r="E148" s="2727">
        <v>2790.08163792</v>
      </c>
      <c r="F148" s="2727">
        <v>0</v>
      </c>
      <c r="G148" s="2727">
        <v>9814.6089452200013</v>
      </c>
      <c r="H148" s="2500">
        <v>9.239663772584235</v>
      </c>
      <c r="I148" s="2500">
        <v>20.090040758182209</v>
      </c>
      <c r="J148" s="2500">
        <v>0</v>
      </c>
      <c r="K148" s="2500">
        <v>70.670295469233551</v>
      </c>
      <c r="L148" s="2883"/>
      <c r="M148" s="2001"/>
    </row>
    <row r="149" spans="1:13" s="2004" customFormat="1">
      <c r="A149" s="3989"/>
      <c r="B149" s="2503">
        <v>2012</v>
      </c>
      <c r="C149" s="2718">
        <v>12496.63878646</v>
      </c>
      <c r="D149" s="2719">
        <v>1473.96299262</v>
      </c>
      <c r="E149" s="2728">
        <v>2891.2682222100002</v>
      </c>
      <c r="F149" s="2728">
        <v>0</v>
      </c>
      <c r="G149" s="2728">
        <v>8131.4075716299994</v>
      </c>
      <c r="H149" s="1985">
        <v>11.794875548591724</v>
      </c>
      <c r="I149" s="1985">
        <v>23.136367079303472</v>
      </c>
      <c r="J149" s="1985">
        <v>0</v>
      </c>
      <c r="K149" s="1985">
        <v>65.068757372104798</v>
      </c>
      <c r="L149" s="2883"/>
      <c r="M149" s="2003"/>
    </row>
    <row r="150" spans="1:13" s="2199" customFormat="1">
      <c r="A150" s="3989"/>
      <c r="B150" s="1939">
        <v>2013</v>
      </c>
      <c r="C150" s="2718"/>
      <c r="D150" s="2719"/>
      <c r="E150" s="2728"/>
      <c r="F150" s="2728"/>
      <c r="G150" s="2728"/>
      <c r="H150" s="1985"/>
      <c r="I150" s="1985"/>
      <c r="J150" s="1985"/>
      <c r="K150" s="1985"/>
      <c r="L150" s="2883"/>
      <c r="M150" s="2198"/>
    </row>
    <row r="151" spans="1:13" s="2199" customFormat="1">
      <c r="A151" s="3989"/>
      <c r="B151" s="1938" t="s">
        <v>161</v>
      </c>
      <c r="C151" s="2718">
        <v>11340.560695280001</v>
      </c>
      <c r="D151" s="2719">
        <v>1415.7379166300002</v>
      </c>
      <c r="E151" s="2728">
        <v>2820.41264856</v>
      </c>
      <c r="F151" s="2728">
        <v>0</v>
      </c>
      <c r="G151" s="2728">
        <v>7104.4101300899993</v>
      </c>
      <c r="H151" s="1985">
        <v>12.483844094403882</v>
      </c>
      <c r="I151" s="1985">
        <v>24.870134064304864</v>
      </c>
      <c r="J151" s="1985">
        <v>0</v>
      </c>
      <c r="K151" s="1985">
        <v>62.646021841291244</v>
      </c>
      <c r="L151" s="2883"/>
      <c r="M151" s="2198"/>
    </row>
    <row r="152" spans="1:13" s="2199" customFormat="1">
      <c r="A152" s="3989"/>
      <c r="B152" s="1938" t="s">
        <v>162</v>
      </c>
      <c r="C152" s="2718">
        <v>9849.601427040001</v>
      </c>
      <c r="D152" s="2719">
        <v>1493.4043012</v>
      </c>
      <c r="E152" s="2728">
        <v>2656.50318737</v>
      </c>
      <c r="F152" s="2728">
        <v>0</v>
      </c>
      <c r="G152" s="2728">
        <v>5699.6939384699999</v>
      </c>
      <c r="H152" s="1985">
        <v>15.16207850908742</v>
      </c>
      <c r="I152" s="1985">
        <v>26.970666854367643</v>
      </c>
      <c r="J152" s="1985">
        <v>0</v>
      </c>
      <c r="K152" s="1985">
        <v>57.867254636544921</v>
      </c>
      <c r="L152" s="2883"/>
      <c r="M152" s="2198"/>
    </row>
    <row r="153" spans="1:13">
      <c r="A153" s="3989"/>
      <c r="B153" s="2494" t="s">
        <v>163</v>
      </c>
      <c r="C153" s="2729">
        <v>10568.145779360002</v>
      </c>
      <c r="D153" s="2730">
        <v>1574.2912319500001</v>
      </c>
      <c r="E153" s="2731">
        <v>2583.7321940500001</v>
      </c>
      <c r="F153" s="2731">
        <v>0</v>
      </c>
      <c r="G153" s="2731">
        <v>6410.1223533600014</v>
      </c>
      <c r="H153" s="2502">
        <v>14.896569983209845</v>
      </c>
      <c r="I153" s="2502">
        <v>24.448301982133223</v>
      </c>
      <c r="J153" s="2502">
        <v>0</v>
      </c>
      <c r="K153" s="2502">
        <v>60.655128034656926</v>
      </c>
      <c r="L153" s="2883"/>
      <c r="M153" s="1934"/>
    </row>
    <row r="154" spans="1:13">
      <c r="A154" s="3989"/>
      <c r="B154" s="2494" t="s">
        <v>164</v>
      </c>
      <c r="C154" s="2729">
        <v>6673.4051232299989</v>
      </c>
      <c r="D154" s="2730">
        <v>1630.8056013</v>
      </c>
      <c r="E154" s="2731">
        <v>2643.3683913499999</v>
      </c>
      <c r="F154" s="2731">
        <v>0</v>
      </c>
      <c r="G154" s="2731">
        <v>2399.2311305799999</v>
      </c>
      <c r="H154" s="2502">
        <v>24.43738348243232</v>
      </c>
      <c r="I154" s="2502">
        <v>39.610488836478453</v>
      </c>
      <c r="J154" s="2502">
        <v>0</v>
      </c>
      <c r="K154" s="2502">
        <v>35.952127681089237</v>
      </c>
      <c r="L154" s="3989"/>
    </row>
    <row r="155" spans="1:13">
      <c r="A155" s="3989"/>
      <c r="B155" s="2494" t="s">
        <v>165</v>
      </c>
      <c r="C155" s="2729">
        <v>8537.4649371500018</v>
      </c>
      <c r="D155" s="2730">
        <v>1744.6335882799999</v>
      </c>
      <c r="E155" s="2731">
        <v>2538.5902881299999</v>
      </c>
      <c r="F155" s="2731">
        <v>0</v>
      </c>
      <c r="G155" s="2731">
        <v>4254.2410607400006</v>
      </c>
      <c r="H155" s="2502">
        <v>20.43503078634485</v>
      </c>
      <c r="I155" s="2502">
        <v>29.734708216294454</v>
      </c>
      <c r="J155" s="2502">
        <v>0</v>
      </c>
      <c r="K155" s="2502">
        <v>49.830260997360675</v>
      </c>
      <c r="L155" s="3989"/>
    </row>
    <row r="156" spans="1:13">
      <c r="A156" s="3989"/>
      <c r="B156" s="2777" t="s">
        <v>166</v>
      </c>
      <c r="C156" s="2778">
        <v>17408.07908634</v>
      </c>
      <c r="D156" s="2779">
        <v>1708.4187808199999</v>
      </c>
      <c r="E156" s="2780">
        <v>2654.7251709200004</v>
      </c>
      <c r="F156" s="2780">
        <v>0</v>
      </c>
      <c r="G156" s="2780">
        <v>13044.9351346</v>
      </c>
      <c r="H156" s="2781">
        <v>9.8139419768639762</v>
      </c>
      <c r="I156" s="2781">
        <v>15.249960422130348</v>
      </c>
      <c r="J156" s="2781">
        <v>0</v>
      </c>
      <c r="K156" s="2781">
        <v>74.936097601005685</v>
      </c>
      <c r="L156" s="3989"/>
    </row>
    <row r="157" spans="1:13">
      <c r="A157" s="3989"/>
      <c r="B157" s="2777" t="s">
        <v>167</v>
      </c>
      <c r="C157" s="2778">
        <v>8726.7835512400015</v>
      </c>
      <c r="D157" s="2779">
        <v>1871.14707034</v>
      </c>
      <c r="E157" s="2780">
        <v>2698.6271357200003</v>
      </c>
      <c r="F157" s="2780">
        <v>0</v>
      </c>
      <c r="G157" s="2780">
        <v>4157.0093451800003</v>
      </c>
      <c r="H157" s="2781">
        <v>21.441428670178556</v>
      </c>
      <c r="I157" s="2781">
        <v>30.923502569701622</v>
      </c>
      <c r="J157" s="2781">
        <v>0</v>
      </c>
      <c r="K157" s="2781">
        <v>47.635068760119815</v>
      </c>
      <c r="L157" s="3989"/>
    </row>
    <row r="158" spans="1:13">
      <c r="A158" s="3989"/>
      <c r="B158" s="2777" t="s">
        <v>168</v>
      </c>
      <c r="C158" s="2778">
        <v>11475.77979339</v>
      </c>
      <c r="D158" s="2779">
        <v>1928.3985679499999</v>
      </c>
      <c r="E158" s="2780">
        <v>2709.09535925</v>
      </c>
      <c r="F158" s="2780">
        <v>0</v>
      </c>
      <c r="G158" s="2780">
        <v>6838.2858661899991</v>
      </c>
      <c r="H158" s="2781">
        <v>16.804074343259437</v>
      </c>
      <c r="I158" s="2781">
        <v>23.607069916158789</v>
      </c>
      <c r="J158" s="2781">
        <v>0</v>
      </c>
      <c r="K158" s="2781">
        <v>59.588855740581756</v>
      </c>
      <c r="L158" s="3989"/>
    </row>
    <row r="159" spans="1:13">
      <c r="A159" s="3989"/>
      <c r="B159" s="2777" t="s">
        <v>169</v>
      </c>
      <c r="C159" s="2778">
        <v>16010.542747119998</v>
      </c>
      <c r="D159" s="2779">
        <v>1946.2110618800002</v>
      </c>
      <c r="E159" s="2780">
        <v>2686.2555647600002</v>
      </c>
      <c r="F159" s="2780">
        <v>0</v>
      </c>
      <c r="G159" s="2780">
        <v>11378.076120479998</v>
      </c>
      <c r="H159" s="2781">
        <v>12.155809410209331</v>
      </c>
      <c r="I159" s="2781">
        <v>16.778041863966216</v>
      </c>
      <c r="J159" s="2781">
        <v>0</v>
      </c>
      <c r="K159" s="2781">
        <v>71.066148725824448</v>
      </c>
      <c r="L159" s="3989"/>
    </row>
    <row r="160" spans="1:13">
      <c r="A160" s="3989"/>
      <c r="B160" s="2777" t="s">
        <v>170</v>
      </c>
      <c r="C160" s="2778">
        <v>16863.3412054</v>
      </c>
      <c r="D160" s="2779">
        <v>1805.4372413099998</v>
      </c>
      <c r="E160" s="2780">
        <v>2739.4853151299999</v>
      </c>
      <c r="F160" s="2780">
        <v>0</v>
      </c>
      <c r="G160" s="2780">
        <v>12318.41864896</v>
      </c>
      <c r="H160" s="2781">
        <v>10.706284237028072</v>
      </c>
      <c r="I160" s="2781">
        <v>16.24521073114952</v>
      </c>
      <c r="J160" s="2781">
        <v>0</v>
      </c>
      <c r="K160" s="2781">
        <v>73.048505031822401</v>
      </c>
      <c r="L160" s="3989"/>
    </row>
    <row r="161" spans="1:12">
      <c r="A161" s="3989"/>
      <c r="B161" s="2777" t="s">
        <v>171</v>
      </c>
      <c r="C161" s="2778">
        <v>18490.317916440003</v>
      </c>
      <c r="D161" s="2779">
        <v>1901.3278435299999</v>
      </c>
      <c r="E161" s="2780">
        <v>2842.3151293600004</v>
      </c>
      <c r="F161" s="2780">
        <v>0</v>
      </c>
      <c r="G161" s="2780">
        <v>13746.674943550002</v>
      </c>
      <c r="H161" s="2781">
        <v>10.282829381962667</v>
      </c>
      <c r="I161" s="2781">
        <v>15.371910543695183</v>
      </c>
      <c r="J161" s="2781">
        <v>0</v>
      </c>
      <c r="K161" s="2781">
        <v>74.34526007434215</v>
      </c>
      <c r="L161" s="3989"/>
    </row>
    <row r="162" spans="1:12">
      <c r="A162" s="3989"/>
      <c r="B162" s="2928" t="s">
        <v>148</v>
      </c>
      <c r="C162" s="2778">
        <v>15771.050272619999</v>
      </c>
      <c r="D162" s="2779">
        <v>1909.92759871</v>
      </c>
      <c r="E162" s="2780">
        <v>2953.5108631900002</v>
      </c>
      <c r="F162" s="2780">
        <v>0</v>
      </c>
      <c r="G162" s="2780">
        <v>10907.611810719998</v>
      </c>
      <c r="H162" s="2781">
        <v>12.110338662896858</v>
      </c>
      <c r="I162" s="2781">
        <v>18.72742025505789</v>
      </c>
      <c r="J162" s="2781">
        <v>0</v>
      </c>
      <c r="K162" s="2781">
        <v>69.162241082045256</v>
      </c>
      <c r="L162" s="3989"/>
    </row>
    <row r="163" spans="1:12">
      <c r="A163" s="3989"/>
      <c r="B163" s="2929">
        <v>2014</v>
      </c>
      <c r="C163" s="2828"/>
      <c r="D163" s="2930"/>
      <c r="E163" s="2930"/>
      <c r="F163" s="2930"/>
      <c r="G163" s="2930"/>
      <c r="H163" s="2930"/>
      <c r="I163" s="2930"/>
      <c r="J163" s="2930"/>
      <c r="K163" s="2930"/>
      <c r="L163" s="3989"/>
    </row>
    <row r="164" spans="1:12">
      <c r="A164" s="3989"/>
      <c r="B164" s="2928" t="s">
        <v>161</v>
      </c>
      <c r="C164" s="2778">
        <v>17201.844921650001</v>
      </c>
      <c r="D164" s="2779">
        <v>1964.9757222999999</v>
      </c>
      <c r="E164" s="2780">
        <v>2882.9810282700005</v>
      </c>
      <c r="F164" s="2780">
        <v>0</v>
      </c>
      <c r="G164" s="2780">
        <v>12353.88817108</v>
      </c>
      <c r="H164" s="2781">
        <v>11.423052185681019</v>
      </c>
      <c r="I164" s="2781">
        <v>16.759719910284279</v>
      </c>
      <c r="J164" s="2781">
        <v>0</v>
      </c>
      <c r="K164" s="2781">
        <v>71.817227904034695</v>
      </c>
      <c r="L164" s="3989"/>
    </row>
    <row r="165" spans="1:12">
      <c r="A165" s="3989"/>
      <c r="B165" s="2928" t="s">
        <v>162</v>
      </c>
      <c r="C165" s="2778">
        <v>16891.246053350002</v>
      </c>
      <c r="D165" s="2779">
        <v>2103.3479146500003</v>
      </c>
      <c r="E165" s="2780">
        <v>2954.3745572600001</v>
      </c>
      <c r="F165" s="2780">
        <v>0</v>
      </c>
      <c r="G165" s="2780">
        <v>11833.52358144</v>
      </c>
      <c r="H165" s="2781">
        <v>12.45229575134185</v>
      </c>
      <c r="I165" s="2781">
        <v>17.490566107016512</v>
      </c>
      <c r="J165" s="2781">
        <v>0</v>
      </c>
      <c r="K165" s="2781">
        <v>70.05713814164163</v>
      </c>
      <c r="L165" s="3989"/>
    </row>
    <row r="166" spans="1:12">
      <c r="A166" s="3989"/>
      <c r="B166" s="2928" t="s">
        <v>163</v>
      </c>
      <c r="C166" s="2778">
        <v>15631.491454449999</v>
      </c>
      <c r="D166" s="2779">
        <v>2175.4727437399997</v>
      </c>
      <c r="E166" s="2780">
        <v>2972.4949945600001</v>
      </c>
      <c r="F166" s="2780">
        <v>0</v>
      </c>
      <c r="G166" s="2780">
        <v>10483.523716149999</v>
      </c>
      <c r="H166" s="2781">
        <v>13.917243598151236</v>
      </c>
      <c r="I166" s="2781">
        <v>19.01606768120508</v>
      </c>
      <c r="J166" s="2781">
        <v>0</v>
      </c>
      <c r="K166" s="2781">
        <v>67.066688720643683</v>
      </c>
      <c r="L166" s="3989"/>
    </row>
    <row r="167" spans="1:12">
      <c r="A167" s="3989"/>
      <c r="B167" s="2928" t="s">
        <v>164</v>
      </c>
      <c r="C167" s="2778">
        <v>16323.651086419999</v>
      </c>
      <c r="D167" s="2779">
        <v>2394.2860962299997</v>
      </c>
      <c r="E167" s="2780">
        <v>3058.7021509700003</v>
      </c>
      <c r="F167" s="2780">
        <v>0</v>
      </c>
      <c r="G167" s="2780">
        <v>10870.66283922</v>
      </c>
      <c r="H167" s="2781">
        <v>14.667589276162968</v>
      </c>
      <c r="I167" s="2781">
        <v>18.737855488191617</v>
      </c>
      <c r="J167" s="2781">
        <v>0</v>
      </c>
      <c r="K167" s="2781">
        <v>66.59455523564543</v>
      </c>
      <c r="L167" s="3989"/>
    </row>
    <row r="168" spans="1:12">
      <c r="A168" s="3989"/>
      <c r="B168" s="2928" t="s">
        <v>165</v>
      </c>
      <c r="C168" s="2778">
        <v>19544.796329149998</v>
      </c>
      <c r="D168" s="2779">
        <v>2356.5774030300004</v>
      </c>
      <c r="E168" s="2780">
        <v>2990.6535310400004</v>
      </c>
      <c r="F168" s="2780">
        <v>0</v>
      </c>
      <c r="G168" s="2780">
        <v>14197.565395079999</v>
      </c>
      <c r="H168" s="2781">
        <v>12.057313687711821</v>
      </c>
      <c r="I168" s="2781">
        <v>15.30153336302412</v>
      </c>
      <c r="J168" s="2781">
        <v>0</v>
      </c>
      <c r="K168" s="2781">
        <v>72.641152949264068</v>
      </c>
      <c r="L168" s="3989"/>
    </row>
    <row r="169" spans="1:12">
      <c r="A169" s="3989"/>
      <c r="B169" s="2928" t="s">
        <v>166</v>
      </c>
      <c r="C169" s="2778">
        <v>21088.026341079996</v>
      </c>
      <c r="D169" s="2779">
        <v>2389.8599087600001</v>
      </c>
      <c r="E169" s="2780">
        <v>3158.1562466099999</v>
      </c>
      <c r="F169" s="2780">
        <v>0</v>
      </c>
      <c r="G169" s="2780">
        <v>15540.010185709998</v>
      </c>
      <c r="H169" s="2781">
        <v>11.332781314411077</v>
      </c>
      <c r="I169" s="2781">
        <v>14.976063646401244</v>
      </c>
      <c r="J169" s="2781">
        <v>0</v>
      </c>
      <c r="K169" s="2781">
        <v>73.691155039187677</v>
      </c>
      <c r="L169" s="3989"/>
    </row>
    <row r="170" spans="1:12">
      <c r="A170" s="3989"/>
      <c r="B170" s="3016" t="s">
        <v>167</v>
      </c>
      <c r="C170" s="3017">
        <v>22654.01221239</v>
      </c>
      <c r="D170" s="3018">
        <v>2901.5161740800008</v>
      </c>
      <c r="E170" s="3019">
        <v>3403.4802772800003</v>
      </c>
      <c r="F170" s="3019">
        <v>0</v>
      </c>
      <c r="G170" s="3019">
        <v>16349.015761029999</v>
      </c>
      <c r="H170" s="3020">
        <v>12.807957137469428</v>
      </c>
      <c r="I170" s="3020">
        <v>15.023741690306668</v>
      </c>
      <c r="J170" s="3020">
        <v>0</v>
      </c>
      <c r="K170" s="3020">
        <v>72.168301172223906</v>
      </c>
      <c r="L170" s="3989"/>
    </row>
    <row r="171" spans="1:12">
      <c r="A171" s="3989"/>
      <c r="B171" s="2928" t="s">
        <v>168</v>
      </c>
      <c r="C171" s="2778">
        <v>20891.565517349998</v>
      </c>
      <c r="D171" s="2779">
        <v>2646.0380982300003</v>
      </c>
      <c r="E171" s="2780">
        <v>3343.9597986200006</v>
      </c>
      <c r="F171" s="2780">
        <v>0</v>
      </c>
      <c r="G171" s="2780">
        <v>14901.567620499998</v>
      </c>
      <c r="H171" s="2781">
        <v>12.665580738947124</v>
      </c>
      <c r="I171" s="2781">
        <v>16.006267198324192</v>
      </c>
      <c r="J171" s="2781">
        <v>0</v>
      </c>
      <c r="K171" s="2781">
        <v>71.328152062728691</v>
      </c>
      <c r="L171" s="3989"/>
    </row>
    <row r="172" spans="1:12">
      <c r="A172" s="3989"/>
      <c r="B172" s="2928" t="s">
        <v>169</v>
      </c>
      <c r="C172" s="2778">
        <v>24862.81873449</v>
      </c>
      <c r="D172" s="2779">
        <v>2621.9618631799999</v>
      </c>
      <c r="E172" s="2780">
        <v>3319.5259759600003</v>
      </c>
      <c r="F172" s="2780">
        <v>0</v>
      </c>
      <c r="G172" s="2780">
        <v>18921.330895349998</v>
      </c>
      <c r="H172" s="2781">
        <v>10.545714430772819</v>
      </c>
      <c r="I172" s="2781">
        <v>13.351366196283749</v>
      </c>
      <c r="J172" s="2781">
        <v>0</v>
      </c>
      <c r="K172" s="2781">
        <v>76.102919372943433</v>
      </c>
      <c r="L172" s="3989"/>
    </row>
    <row r="173" spans="1:12">
      <c r="A173" s="3989"/>
      <c r="B173" s="2928" t="s">
        <v>170</v>
      </c>
      <c r="C173" s="2778">
        <v>24385.352110189997</v>
      </c>
      <c r="D173" s="2779">
        <v>2659.7312894900001</v>
      </c>
      <c r="E173" s="2780">
        <v>3359.7654566200004</v>
      </c>
      <c r="F173" s="2780">
        <v>0</v>
      </c>
      <c r="G173" s="2780">
        <v>18365.855364079998</v>
      </c>
      <c r="H173" s="2781">
        <v>10.907085850027846</v>
      </c>
      <c r="I173" s="2781">
        <v>13.777801696027359</v>
      </c>
      <c r="J173" s="2781">
        <v>0</v>
      </c>
      <c r="K173" s="2781">
        <v>75.315112453944806</v>
      </c>
      <c r="L173" s="3989"/>
    </row>
    <row r="174" spans="1:12">
      <c r="A174" s="3989"/>
      <c r="B174" s="2928" t="s">
        <v>171</v>
      </c>
      <c r="C174" s="2778">
        <v>28174.844774590005</v>
      </c>
      <c r="D174" s="2779">
        <v>2587.5809261700001</v>
      </c>
      <c r="E174" s="2780">
        <v>3668.5154797999999</v>
      </c>
      <c r="F174" s="2780">
        <v>0</v>
      </c>
      <c r="G174" s="2780">
        <v>21918.748368620007</v>
      </c>
      <c r="H174" s="2781">
        <v>9.1840112940166296</v>
      </c>
      <c r="I174" s="2781">
        <v>13.02053483932063</v>
      </c>
      <c r="J174" s="2781">
        <v>0</v>
      </c>
      <c r="K174" s="2781">
        <v>77.79545386666274</v>
      </c>
      <c r="L174" s="3989"/>
    </row>
    <row r="175" spans="1:12">
      <c r="A175" s="3989"/>
      <c r="B175" s="2928" t="s">
        <v>148</v>
      </c>
      <c r="C175" s="2778">
        <v>27940.429726750001</v>
      </c>
      <c r="D175" s="2779">
        <v>2643.6589432300002</v>
      </c>
      <c r="E175" s="2780">
        <v>3765.5491810399999</v>
      </c>
      <c r="F175" s="2780">
        <v>0</v>
      </c>
      <c r="G175" s="2780">
        <v>21531.22160248</v>
      </c>
      <c r="H175" s="2781">
        <v>9.4617690890379436</v>
      </c>
      <c r="I175" s="2781">
        <v>13.477062514306592</v>
      </c>
      <c r="J175" s="2781">
        <v>0</v>
      </c>
      <c r="K175" s="2781">
        <v>77.061168396655461</v>
      </c>
      <c r="L175" s="3989"/>
    </row>
    <row r="176" spans="1:12" s="2914" customFormat="1">
      <c r="A176" s="3989"/>
      <c r="B176" s="2929">
        <v>2015</v>
      </c>
      <c r="C176" s="2778"/>
      <c r="D176" s="2779"/>
      <c r="E176" s="2780"/>
      <c r="F176" s="2780"/>
      <c r="G176" s="2780"/>
      <c r="H176" s="2781"/>
      <c r="I176" s="2781"/>
      <c r="J176" s="2781"/>
      <c r="K176" s="2781"/>
      <c r="L176" s="3989"/>
    </row>
    <row r="177" spans="1:12">
      <c r="A177" s="3989"/>
      <c r="B177" s="2928" t="s">
        <v>161</v>
      </c>
      <c r="C177" s="2778">
        <v>26618.868128929997</v>
      </c>
      <c r="D177" s="2779">
        <v>2824.7545649000003</v>
      </c>
      <c r="E177" s="2780">
        <v>3846.0537327400002</v>
      </c>
      <c r="F177" s="2780">
        <v>0</v>
      </c>
      <c r="G177" s="2780">
        <v>19948.059831289997</v>
      </c>
      <c r="H177" s="2781">
        <v>10.611850778996844</v>
      </c>
      <c r="I177" s="2781">
        <v>14.448599820666383</v>
      </c>
      <c r="J177" s="2781">
        <v>0</v>
      </c>
      <c r="K177" s="2781">
        <v>74.939549400336773</v>
      </c>
      <c r="L177" s="3989"/>
    </row>
    <row r="178" spans="1:12">
      <c r="A178" s="3989"/>
      <c r="B178" s="2928" t="s">
        <v>162</v>
      </c>
      <c r="C178" s="2778">
        <v>25187.78986411</v>
      </c>
      <c r="D178" s="2779">
        <v>3002.1557857800003</v>
      </c>
      <c r="E178" s="2780">
        <v>3755.5844474099999</v>
      </c>
      <c r="F178" s="2780">
        <v>0</v>
      </c>
      <c r="G178" s="2780">
        <v>18430.049630919999</v>
      </c>
      <c r="H178" s="2781">
        <v>11.9190917582561</v>
      </c>
      <c r="I178" s="2781">
        <v>14.910337380419866</v>
      </c>
      <c r="J178" s="2781">
        <v>0</v>
      </c>
      <c r="K178" s="2781">
        <v>73.170570861324023</v>
      </c>
      <c r="L178" s="3989"/>
    </row>
    <row r="179" spans="1:12">
      <c r="A179" s="3989"/>
      <c r="B179" s="2928" t="s">
        <v>163</v>
      </c>
      <c r="C179" s="2778">
        <v>18250.835776659998</v>
      </c>
      <c r="D179" s="2779">
        <v>2961.4501227399996</v>
      </c>
      <c r="E179" s="2780">
        <v>7679.8763264199997</v>
      </c>
      <c r="F179" s="2780">
        <v>0</v>
      </c>
      <c r="G179" s="2780">
        <v>7609.5093274999999</v>
      </c>
      <c r="H179" s="2781">
        <v>16.226380857183742</v>
      </c>
      <c r="I179" s="2781">
        <v>42.079587041385672</v>
      </c>
      <c r="J179" s="2781">
        <v>0</v>
      </c>
      <c r="K179" s="2781">
        <v>41.694032101430594</v>
      </c>
      <c r="L179" s="3989"/>
    </row>
    <row r="180" spans="1:12">
      <c r="A180" s="3989"/>
      <c r="B180" s="2928" t="s">
        <v>164</v>
      </c>
      <c r="C180" s="2778">
        <v>19450.440247565268</v>
      </c>
      <c r="D180" s="2779">
        <v>3142.8133896252662</v>
      </c>
      <c r="E180" s="2780">
        <v>7673.82255489</v>
      </c>
      <c r="F180" s="2780">
        <v>0</v>
      </c>
      <c r="G180" s="2780">
        <v>8633.8043030499994</v>
      </c>
      <c r="H180" s="2781">
        <v>16.158057862051074</v>
      </c>
      <c r="I180" s="2781">
        <v>39.453207522387984</v>
      </c>
      <c r="J180" s="2781">
        <v>0</v>
      </c>
      <c r="K180" s="2781">
        <v>44.388734615560935</v>
      </c>
      <c r="L180" s="3989"/>
    </row>
    <row r="181" spans="1:12">
      <c r="A181" s="3989"/>
      <c r="B181" s="2928" t="s">
        <v>165</v>
      </c>
      <c r="C181" s="2778">
        <v>20138.968043119999</v>
      </c>
      <c r="D181" s="2779">
        <v>3100.1812210399999</v>
      </c>
      <c r="E181" s="2780">
        <v>6939.3836483699997</v>
      </c>
      <c r="F181" s="2780">
        <v>0</v>
      </c>
      <c r="G181" s="2780">
        <v>10099.403173709999</v>
      </c>
      <c r="H181" s="2781">
        <v>15.393942799860111</v>
      </c>
      <c r="I181" s="2781">
        <v>34.457493718208049</v>
      </c>
      <c r="J181" s="2781">
        <v>0</v>
      </c>
      <c r="K181" s="2781">
        <v>50.148563481931838</v>
      </c>
      <c r="L181" s="3989"/>
    </row>
    <row r="182" spans="1:12">
      <c r="A182" s="3989"/>
      <c r="B182" s="2928" t="s">
        <v>166</v>
      </c>
      <c r="C182" s="2778">
        <v>19549.260272350002</v>
      </c>
      <c r="D182" s="2779">
        <v>3385.7280942499997</v>
      </c>
      <c r="E182" s="2780">
        <v>7321.9148761199995</v>
      </c>
      <c r="F182" s="2780">
        <v>0</v>
      </c>
      <c r="G182" s="2780">
        <v>8841.6173019800008</v>
      </c>
      <c r="H182" s="2781">
        <v>17.318957582444646</v>
      </c>
      <c r="I182" s="2781">
        <v>37.453667167529289</v>
      </c>
      <c r="J182" s="2781">
        <v>0</v>
      </c>
      <c r="K182" s="2781">
        <v>45.22737525002605</v>
      </c>
      <c r="L182" s="3989"/>
    </row>
    <row r="183" spans="1:12">
      <c r="A183" s="3989"/>
      <c r="B183" s="2928" t="s">
        <v>167</v>
      </c>
      <c r="C183" s="2778">
        <v>15498.416961619998</v>
      </c>
      <c r="D183" s="2779">
        <v>3549.8926865800004</v>
      </c>
      <c r="E183" s="2780">
        <v>7354.94114773</v>
      </c>
      <c r="F183" s="2780">
        <v>0</v>
      </c>
      <c r="G183" s="2780">
        <v>4593.5831273099984</v>
      </c>
      <c r="H183" s="2781">
        <v>22.904872771011973</v>
      </c>
      <c r="I183" s="2781">
        <v>47.456079972190999</v>
      </c>
      <c r="J183" s="2781">
        <v>0</v>
      </c>
      <c r="K183" s="2781">
        <v>29.639047256797035</v>
      </c>
      <c r="L183" s="3989"/>
    </row>
    <row r="184" spans="1:12">
      <c r="A184" s="3989"/>
      <c r="B184" s="2928" t="s">
        <v>168</v>
      </c>
      <c r="C184" s="2778">
        <v>17823.446558719999</v>
      </c>
      <c r="D184" s="2779">
        <v>3730.62085359</v>
      </c>
      <c r="E184" s="2780">
        <v>7227.0466164999998</v>
      </c>
      <c r="F184" s="2780">
        <v>0</v>
      </c>
      <c r="G184" s="2780">
        <v>6865.7790886299999</v>
      </c>
      <c r="H184" s="2781">
        <v>20.930973374309691</v>
      </c>
      <c r="I184" s="2781">
        <v>40.547974785293235</v>
      </c>
      <c r="J184" s="2781">
        <v>0</v>
      </c>
      <c r="K184" s="2781">
        <v>38.521051840397078</v>
      </c>
      <c r="L184" s="3989"/>
    </row>
    <row r="185" spans="1:12">
      <c r="A185" s="3989"/>
      <c r="B185" s="3229" t="s">
        <v>169</v>
      </c>
      <c r="C185" s="3230">
        <v>16263.245347079999</v>
      </c>
      <c r="D185" s="3231">
        <v>3734.65737313</v>
      </c>
      <c r="E185" s="3232">
        <v>7049.8572842899985</v>
      </c>
      <c r="F185" s="3232">
        <v>0</v>
      </c>
      <c r="G185" s="3232">
        <v>5478.7306896600003</v>
      </c>
      <c r="H185" s="3233">
        <v>22.96378916647496</v>
      </c>
      <c r="I185" s="3233">
        <v>43.34840392453264</v>
      </c>
      <c r="J185" s="3233">
        <v>0</v>
      </c>
      <c r="K185" s="3233">
        <v>33.687806908992393</v>
      </c>
      <c r="L185" s="3989"/>
    </row>
    <row r="186" spans="1:12">
      <c r="A186" s="3989"/>
      <c r="B186" s="3229" t="s">
        <v>170</v>
      </c>
      <c r="C186" s="3230">
        <v>20733.694149540002</v>
      </c>
      <c r="D186" s="3231">
        <v>3647.4888800899998</v>
      </c>
      <c r="E186" s="3232">
        <v>7405.9093329999996</v>
      </c>
      <c r="F186" s="3232">
        <v>0</v>
      </c>
      <c r="G186" s="3232">
        <v>9680.295936450002</v>
      </c>
      <c r="H186" s="3233">
        <v>17.592083946945476</v>
      </c>
      <c r="I186" s="3233">
        <v>35.719198323200438</v>
      </c>
      <c r="J186" s="3233">
        <v>0</v>
      </c>
      <c r="K186" s="3233">
        <v>46.688717729854083</v>
      </c>
      <c r="L186" s="3989"/>
    </row>
    <row r="187" spans="1:12">
      <c r="A187" s="3989"/>
      <c r="B187" s="4213" t="s">
        <v>171</v>
      </c>
      <c r="C187" s="4214">
        <v>19977.76608859</v>
      </c>
      <c r="D187" s="4215">
        <v>3616.9671196900003</v>
      </c>
      <c r="E187" s="4216">
        <v>7558.9097680899995</v>
      </c>
      <c r="F187" s="4216">
        <v>0</v>
      </c>
      <c r="G187" s="4216">
        <v>8801.8892008100011</v>
      </c>
      <c r="H187" s="4217">
        <v>18.104962805404838</v>
      </c>
      <c r="I187" s="4217">
        <v>37.836611634006253</v>
      </c>
      <c r="J187" s="4217">
        <v>0</v>
      </c>
      <c r="K187" s="4217">
        <v>44.058425560588915</v>
      </c>
      <c r="L187" s="3989"/>
    </row>
    <row r="188" spans="1:12" s="2914" customFormat="1">
      <c r="A188" s="4080"/>
      <c r="B188" s="4213" t="s">
        <v>148</v>
      </c>
      <c r="C188" s="4214">
        <v>18298.65082101</v>
      </c>
      <c r="D188" s="4215">
        <v>2819.1953381500002</v>
      </c>
      <c r="E188" s="4216">
        <v>7922.8809986400001</v>
      </c>
      <c r="F188" s="4216">
        <v>0</v>
      </c>
      <c r="G188" s="4216">
        <v>7556.5744842200002</v>
      </c>
      <c r="H188" s="4217">
        <v>15.406574865689434</v>
      </c>
      <c r="I188" s="4217">
        <v>43.297623831059553</v>
      </c>
      <c r="J188" s="4217">
        <v>0</v>
      </c>
      <c r="K188" s="4217">
        <v>41.295801303251018</v>
      </c>
      <c r="L188" s="4080"/>
    </row>
    <row r="189" spans="1:12" s="2914" customFormat="1">
      <c r="A189" s="4284"/>
      <c r="B189" s="4346">
        <v>2016</v>
      </c>
      <c r="C189" s="4214"/>
      <c r="D189" s="4215"/>
      <c r="E189" s="4216"/>
      <c r="F189" s="4216"/>
      <c r="G189" s="4216"/>
      <c r="H189" s="4217"/>
      <c r="I189" s="4217"/>
      <c r="J189" s="4217"/>
      <c r="K189" s="4217"/>
      <c r="L189" s="4284"/>
    </row>
    <row r="190" spans="1:12" s="2914" customFormat="1">
      <c r="A190" s="4284"/>
      <c r="B190" s="4213" t="s">
        <v>161</v>
      </c>
      <c r="C190" s="4214">
        <v>18560.632093569999</v>
      </c>
      <c r="D190" s="4215">
        <v>2718.5071545999995</v>
      </c>
      <c r="E190" s="4216">
        <v>7870.0824479100002</v>
      </c>
      <c r="F190" s="4216">
        <v>0</v>
      </c>
      <c r="G190" s="4216">
        <v>7972.0424910600004</v>
      </c>
      <c r="H190" s="4217">
        <v>14.646630248879175</v>
      </c>
      <c r="I190" s="4217">
        <v>42.402017389464071</v>
      </c>
      <c r="J190" s="4217">
        <v>0</v>
      </c>
      <c r="K190" s="4217">
        <v>42.951352361656767</v>
      </c>
      <c r="L190" s="4284"/>
    </row>
    <row r="191" spans="1:12" s="2914" customFormat="1">
      <c r="A191" s="4284"/>
      <c r="B191" s="4347" t="s">
        <v>162</v>
      </c>
      <c r="C191" s="4348">
        <v>21687.300232169997</v>
      </c>
      <c r="D191" s="4349">
        <v>2806.1928898800002</v>
      </c>
      <c r="E191" s="4350">
        <v>7840.4290558799994</v>
      </c>
      <c r="F191" s="4350">
        <v>0</v>
      </c>
      <c r="G191" s="4350">
        <v>11040.678286409999</v>
      </c>
      <c r="H191" s="4351">
        <v>12.939337122826455</v>
      </c>
      <c r="I191" s="4351">
        <v>36.152167268150087</v>
      </c>
      <c r="J191" s="4351">
        <v>0</v>
      </c>
      <c r="K191" s="4351">
        <v>50.908495609023461</v>
      </c>
      <c r="L191" s="4284"/>
    </row>
    <row r="192" spans="1:12">
      <c r="A192" s="3989"/>
      <c r="B192" s="1926"/>
      <c r="C192" s="1940"/>
      <c r="D192" s="3989"/>
      <c r="E192" s="3989"/>
      <c r="F192" s="3989"/>
      <c r="G192" s="3989"/>
      <c r="H192" s="3989"/>
      <c r="I192" s="3989"/>
      <c r="J192" s="3989"/>
      <c r="K192" s="3989"/>
      <c r="L192" s="3989"/>
    </row>
    <row r="193" spans="1:12">
      <c r="A193" s="3989"/>
      <c r="B193" s="1926"/>
      <c r="C193" s="1940"/>
      <c r="D193" s="3989"/>
      <c r="E193" s="3989"/>
      <c r="F193" s="3989"/>
      <c r="G193" s="3989"/>
      <c r="H193" s="3989"/>
      <c r="I193" s="3989"/>
      <c r="J193" s="3989"/>
      <c r="K193" s="3989"/>
      <c r="L193" s="3989"/>
    </row>
  </sheetData>
  <mergeCells count="5">
    <mergeCell ref="B3:B4"/>
    <mergeCell ref="C3:C4"/>
    <mergeCell ref="D3:G3"/>
    <mergeCell ref="H3:K3"/>
    <mergeCell ref="B1:K1"/>
  </mergeCells>
  <pageMargins left="0.7" right="0.7" top="0.75" bottom="0.75" header="0.3" footer="0.3"/>
  <pageSetup paperSize="9" scale="95" orientation="portrait" horizontalDpi="300" verticalDpi="300" r:id="rId1"/>
  <colBreaks count="1" manualBreakCount="1">
    <brk id="11" min="1" max="148" man="1"/>
  </colBreaks>
  <ignoredErrors>
    <ignoredError sqref="B123" numberStoredAsText="1"/>
  </ignoredErrors>
</worksheet>
</file>

<file path=xl/worksheets/sheet46.xml><?xml version="1.0" encoding="utf-8"?>
<worksheet xmlns="http://schemas.openxmlformats.org/spreadsheetml/2006/main" xmlns:r="http://schemas.openxmlformats.org/officeDocument/2006/relationships">
  <sheetPr codeName="Sheet51"/>
  <dimension ref="A1:L192"/>
  <sheetViews>
    <sheetView zoomScale="80" zoomScaleNormal="80" workbookViewId="0">
      <pane xSplit="2" ySplit="4" topLeftCell="C5" activePane="bottomRight" state="frozen"/>
      <selection activeCell="O92" sqref="O92"/>
      <selection pane="topRight" activeCell="O92" sqref="O92"/>
      <selection pane="bottomLeft" activeCell="O92" sqref="O92"/>
      <selection pane="bottomRight" activeCell="I150" sqref="I150"/>
    </sheetView>
  </sheetViews>
  <sheetFormatPr defaultRowHeight="12.75"/>
  <cols>
    <col min="1" max="2" width="9.140625" style="700"/>
    <col min="3" max="3" width="10.5703125" style="700" customWidth="1"/>
    <col min="4" max="5" width="11.7109375" style="4030" customWidth="1"/>
    <col min="6" max="6" width="9.5703125" style="700" customWidth="1"/>
    <col min="7" max="7" width="11.7109375" style="700" customWidth="1"/>
    <col min="8" max="16384" width="9.140625" style="700"/>
  </cols>
  <sheetData>
    <row r="1" spans="1:8" ht="18">
      <c r="A1" s="3989"/>
      <c r="B1" s="4715" t="s">
        <v>2028</v>
      </c>
      <c r="C1" s="4715"/>
      <c r="D1" s="4715"/>
      <c r="E1" s="4715"/>
      <c r="F1" s="4715"/>
      <c r="G1" s="4715"/>
      <c r="H1" s="3989"/>
    </row>
    <row r="2" spans="1:8" ht="16.5" customHeight="1">
      <c r="A2" s="3989"/>
      <c r="B2" s="3164" t="s">
        <v>1757</v>
      </c>
      <c r="C2" s="3989"/>
      <c r="D2" s="1926"/>
      <c r="E2" s="1926"/>
      <c r="F2" s="3989"/>
      <c r="G2" s="3989"/>
      <c r="H2" s="3989"/>
    </row>
    <row r="3" spans="1:8" ht="16.5" customHeight="1">
      <c r="A3" s="3989"/>
      <c r="B3" s="4711" t="s">
        <v>227</v>
      </c>
      <c r="C3" s="4711" t="s">
        <v>152</v>
      </c>
      <c r="D3" s="4713" t="s">
        <v>1511</v>
      </c>
      <c r="E3" s="4714"/>
      <c r="F3" s="4709" t="s">
        <v>1512</v>
      </c>
      <c r="G3" s="4710"/>
      <c r="H3" s="3989"/>
    </row>
    <row r="4" spans="1:8" ht="27" customHeight="1">
      <c r="A4" s="3989"/>
      <c r="B4" s="4712"/>
      <c r="C4" s="4712"/>
      <c r="D4" s="3986" t="s">
        <v>141</v>
      </c>
      <c r="E4" s="3986" t="s">
        <v>626</v>
      </c>
      <c r="F4" s="3986" t="s">
        <v>141</v>
      </c>
      <c r="G4" s="3986" t="s">
        <v>626</v>
      </c>
      <c r="H4" s="3989"/>
    </row>
    <row r="5" spans="1:8" hidden="1">
      <c r="A5" s="3989"/>
      <c r="B5" s="1939">
        <v>2000</v>
      </c>
      <c r="C5" s="2718">
        <v>4716.1399999999994</v>
      </c>
      <c r="D5" s="2728">
        <v>3623.43</v>
      </c>
      <c r="E5" s="2728">
        <v>1092.71</v>
      </c>
      <c r="F5" s="1986">
        <v>76.830416399852425</v>
      </c>
      <c r="G5" s="1986">
        <v>23.169583600147583</v>
      </c>
      <c r="H5" s="3989"/>
    </row>
    <row r="6" spans="1:8" hidden="1">
      <c r="A6" s="3989"/>
      <c r="B6" s="1939">
        <v>2001</v>
      </c>
      <c r="C6" s="2718">
        <v>5080.57</v>
      </c>
      <c r="D6" s="2728">
        <v>3162.96</v>
      </c>
      <c r="E6" s="2728">
        <v>1917.61</v>
      </c>
      <c r="F6" s="1986">
        <v>62.25600670790876</v>
      </c>
      <c r="G6" s="1986">
        <v>37.743993292091247</v>
      </c>
      <c r="H6" s="3989"/>
    </row>
    <row r="7" spans="1:8" ht="12.75" hidden="1" customHeight="1">
      <c r="A7" s="3989"/>
      <c r="B7" s="1936">
        <v>2002</v>
      </c>
      <c r="C7" s="2718"/>
      <c r="D7" s="2728"/>
      <c r="E7" s="2728"/>
      <c r="F7" s="1986"/>
      <c r="G7" s="1986"/>
      <c r="H7" s="3989"/>
    </row>
    <row r="8" spans="1:8" ht="12.75" hidden="1" customHeight="1">
      <c r="A8" s="3989"/>
      <c r="B8" s="1937" t="s">
        <v>161</v>
      </c>
      <c r="C8" s="2718">
        <v>5063.62</v>
      </c>
      <c r="D8" s="2728">
        <v>3087.03</v>
      </c>
      <c r="E8" s="2728">
        <v>1976.59</v>
      </c>
      <c r="F8" s="1986">
        <v>60.964882830860148</v>
      </c>
      <c r="G8" s="1986">
        <v>39.035117169139866</v>
      </c>
      <c r="H8" s="3989"/>
    </row>
    <row r="9" spans="1:8" ht="12.75" hidden="1" customHeight="1">
      <c r="A9" s="3989"/>
      <c r="B9" s="1937" t="s">
        <v>162</v>
      </c>
      <c r="C9" s="2718">
        <v>5216.7700000000004</v>
      </c>
      <c r="D9" s="2728">
        <v>3264.34</v>
      </c>
      <c r="E9" s="2728">
        <v>1952.43</v>
      </c>
      <c r="F9" s="1986">
        <v>62.573968183377836</v>
      </c>
      <c r="G9" s="1986">
        <v>37.426031816622164</v>
      </c>
      <c r="H9" s="3989"/>
    </row>
    <row r="10" spans="1:8" ht="12.75" hidden="1" customHeight="1">
      <c r="A10" s="3989"/>
      <c r="B10" s="1937" t="s">
        <v>163</v>
      </c>
      <c r="C10" s="2718">
        <v>5052.17</v>
      </c>
      <c r="D10" s="2728">
        <v>3139.93</v>
      </c>
      <c r="E10" s="2728">
        <v>1912.24</v>
      </c>
      <c r="F10" s="1986">
        <v>62.150125589598126</v>
      </c>
      <c r="G10" s="1986">
        <v>37.849874410401867</v>
      </c>
      <c r="H10" s="3989"/>
    </row>
    <row r="11" spans="1:8" ht="12.75" hidden="1" customHeight="1">
      <c r="A11" s="3989"/>
      <c r="B11" s="1938" t="s">
        <v>164</v>
      </c>
      <c r="C11" s="2718">
        <v>4908.28</v>
      </c>
      <c r="D11" s="2728">
        <v>2941.95</v>
      </c>
      <c r="E11" s="2728">
        <v>1966.33</v>
      </c>
      <c r="F11" s="1986">
        <v>59.938512065326343</v>
      </c>
      <c r="G11" s="1986">
        <v>40.061487934673657</v>
      </c>
      <c r="H11" s="3989"/>
    </row>
    <row r="12" spans="1:8" ht="12.75" hidden="1" customHeight="1">
      <c r="A12" s="3989"/>
      <c r="B12" s="1938" t="s">
        <v>165</v>
      </c>
      <c r="C12" s="2718">
        <v>4926.3599999999997</v>
      </c>
      <c r="D12" s="2728">
        <v>2997.04</v>
      </c>
      <c r="E12" s="2728">
        <v>1929.32</v>
      </c>
      <c r="F12" s="1986">
        <v>60.836804456028389</v>
      </c>
      <c r="G12" s="1986">
        <v>39.163195543971611</v>
      </c>
      <c r="H12" s="3989"/>
    </row>
    <row r="13" spans="1:8" ht="12.75" hidden="1" customHeight="1">
      <c r="A13" s="3989"/>
      <c r="B13" s="1938" t="s">
        <v>166</v>
      </c>
      <c r="C13" s="2718">
        <v>4904.3099999999995</v>
      </c>
      <c r="D13" s="2728">
        <v>3044.96</v>
      </c>
      <c r="E13" s="2728">
        <v>1859.35</v>
      </c>
      <c r="F13" s="1986">
        <v>62.087429220420411</v>
      </c>
      <c r="G13" s="1986">
        <v>37.912570779579596</v>
      </c>
      <c r="H13" s="3989"/>
    </row>
    <row r="14" spans="1:8" ht="12.75" hidden="1" customHeight="1">
      <c r="A14" s="3989"/>
      <c r="B14" s="1938" t="s">
        <v>167</v>
      </c>
      <c r="C14" s="2718">
        <v>4768.1099999999997</v>
      </c>
      <c r="D14" s="2728">
        <v>2897.56</v>
      </c>
      <c r="E14" s="2728">
        <v>1870.55</v>
      </c>
      <c r="F14" s="1986">
        <v>60.769571171806028</v>
      </c>
      <c r="G14" s="1986">
        <v>39.230428828193979</v>
      </c>
      <c r="H14" s="3989"/>
    </row>
    <row r="15" spans="1:8" ht="12.75" hidden="1" customHeight="1">
      <c r="A15" s="3989"/>
      <c r="B15" s="1938" t="s">
        <v>168</v>
      </c>
      <c r="C15" s="2718">
        <v>4712.67</v>
      </c>
      <c r="D15" s="2728">
        <v>2813.69</v>
      </c>
      <c r="E15" s="2728">
        <v>1898.98</v>
      </c>
      <c r="F15" s="1986">
        <v>59.704795795164941</v>
      </c>
      <c r="G15" s="1986">
        <v>40.295204204835052</v>
      </c>
      <c r="H15" s="3989"/>
    </row>
    <row r="16" spans="1:8" ht="12.75" hidden="1" customHeight="1">
      <c r="A16" s="3989"/>
      <c r="B16" s="1938" t="s">
        <v>169</v>
      </c>
      <c r="C16" s="2718">
        <v>4827.43</v>
      </c>
      <c r="D16" s="2728">
        <v>2871.97</v>
      </c>
      <c r="E16" s="2728">
        <v>1955.46</v>
      </c>
      <c r="F16" s="1986">
        <v>59.492732157690519</v>
      </c>
      <c r="G16" s="1986">
        <v>40.507267842309467</v>
      </c>
      <c r="H16" s="3989"/>
    </row>
    <row r="17" spans="1:8" ht="12.75" hidden="1" customHeight="1">
      <c r="A17" s="3989"/>
      <c r="B17" s="1938" t="s">
        <v>170</v>
      </c>
      <c r="C17" s="2718">
        <v>5076.08</v>
      </c>
      <c r="D17" s="2728">
        <v>3350.34</v>
      </c>
      <c r="E17" s="2728">
        <v>1725.74</v>
      </c>
      <c r="F17" s="1986">
        <v>66.002505870671854</v>
      </c>
      <c r="G17" s="1986">
        <v>33.997494129328146</v>
      </c>
      <c r="H17" s="3989"/>
    </row>
    <row r="18" spans="1:8" ht="12.75" hidden="1" customHeight="1">
      <c r="A18" s="3989"/>
      <c r="B18" s="1938" t="s">
        <v>171</v>
      </c>
      <c r="C18" s="2718">
        <v>4304.41</v>
      </c>
      <c r="D18" s="2728">
        <v>2731.5</v>
      </c>
      <c r="E18" s="2728">
        <v>1572.91</v>
      </c>
      <c r="F18" s="1986">
        <v>63.458174291017819</v>
      </c>
      <c r="G18" s="1986">
        <v>36.541825708982181</v>
      </c>
      <c r="H18" s="3989"/>
    </row>
    <row r="19" spans="1:8" hidden="1">
      <c r="A19" s="3989"/>
      <c r="B19" s="1939">
        <v>2002</v>
      </c>
      <c r="C19" s="2718">
        <v>5305.02</v>
      </c>
      <c r="D19" s="2728">
        <v>3653.61</v>
      </c>
      <c r="E19" s="2728">
        <v>1651.41</v>
      </c>
      <c r="F19" s="1986">
        <v>68.870805388104088</v>
      </c>
      <c r="G19" s="1986">
        <v>31.129194611895901</v>
      </c>
      <c r="H19" s="3989"/>
    </row>
    <row r="20" spans="1:8" ht="12.75" hidden="1" customHeight="1">
      <c r="A20" s="3989"/>
      <c r="B20" s="1936">
        <v>2003</v>
      </c>
      <c r="C20" s="2718"/>
      <c r="D20" s="2728"/>
      <c r="E20" s="2728"/>
      <c r="F20" s="1986"/>
      <c r="G20" s="1986"/>
      <c r="H20" s="3989"/>
    </row>
    <row r="21" spans="1:8" ht="12.75" hidden="1" customHeight="1">
      <c r="A21" s="3989"/>
      <c r="B21" s="1937" t="s">
        <v>161</v>
      </c>
      <c r="C21" s="2718">
        <v>4652.91</v>
      </c>
      <c r="D21" s="2728">
        <v>3002.69</v>
      </c>
      <c r="E21" s="2728">
        <v>1650.22</v>
      </c>
      <c r="F21" s="1986">
        <v>64.533592955806157</v>
      </c>
      <c r="G21" s="1986">
        <v>35.466407044193851</v>
      </c>
      <c r="H21" s="3989"/>
    </row>
    <row r="22" spans="1:8" ht="12.75" hidden="1" customHeight="1">
      <c r="A22" s="3989"/>
      <c r="B22" s="1937" t="s">
        <v>162</v>
      </c>
      <c r="C22" s="2718">
        <v>4268.97</v>
      </c>
      <c r="D22" s="2728">
        <v>2541.44</v>
      </c>
      <c r="E22" s="2728">
        <v>1727.53</v>
      </c>
      <c r="F22" s="1986">
        <v>59.532861556768957</v>
      </c>
      <c r="G22" s="1986">
        <v>40.467138443231029</v>
      </c>
      <c r="H22" s="3989"/>
    </row>
    <row r="23" spans="1:8" ht="12.75" hidden="1" customHeight="1">
      <c r="A23" s="3989"/>
      <c r="B23" s="1937" t="s">
        <v>163</v>
      </c>
      <c r="C23" s="2718">
        <v>4577.75</v>
      </c>
      <c r="D23" s="2728">
        <v>2697.03</v>
      </c>
      <c r="E23" s="2728">
        <v>1880.72</v>
      </c>
      <c r="F23" s="1986">
        <v>58.916061383867621</v>
      </c>
      <c r="G23" s="1986">
        <v>41.083938616132379</v>
      </c>
      <c r="H23" s="3989"/>
    </row>
    <row r="24" spans="1:8" ht="12.75" hidden="1" customHeight="1">
      <c r="A24" s="3989"/>
      <c r="B24" s="1938" t="s">
        <v>164</v>
      </c>
      <c r="C24" s="2718">
        <v>5369.29</v>
      </c>
      <c r="D24" s="2728">
        <v>2587.79</v>
      </c>
      <c r="E24" s="2728">
        <v>2781.5</v>
      </c>
      <c r="F24" s="1986">
        <v>48.196130214609376</v>
      </c>
      <c r="G24" s="1986">
        <v>51.803869785390624</v>
      </c>
      <c r="H24" s="3989"/>
    </row>
    <row r="25" spans="1:8" ht="12.75" hidden="1" customHeight="1">
      <c r="A25" s="3989"/>
      <c r="B25" s="1938" t="s">
        <v>165</v>
      </c>
      <c r="C25" s="2718">
        <v>5308.57</v>
      </c>
      <c r="D25" s="2728">
        <v>2499.67</v>
      </c>
      <c r="E25" s="2728">
        <v>2808.9</v>
      </c>
      <c r="F25" s="1986">
        <v>47.087445394899198</v>
      </c>
      <c r="G25" s="1986">
        <v>52.912554605100816</v>
      </c>
      <c r="H25" s="3989"/>
    </row>
    <row r="26" spans="1:8" ht="12.75" hidden="1" customHeight="1">
      <c r="A26" s="3989"/>
      <c r="B26" s="1938" t="s">
        <v>166</v>
      </c>
      <c r="C26" s="2718">
        <v>5185.2299999999996</v>
      </c>
      <c r="D26" s="2728">
        <v>2487.98</v>
      </c>
      <c r="E26" s="2728">
        <v>2697.25</v>
      </c>
      <c r="F26" s="1986">
        <v>47.982056726509725</v>
      </c>
      <c r="G26" s="1986">
        <v>52.017943273490289</v>
      </c>
      <c r="H26" s="3989"/>
    </row>
    <row r="27" spans="1:8" ht="12.75" hidden="1" customHeight="1">
      <c r="A27" s="3989"/>
      <c r="B27" s="1938" t="s">
        <v>167</v>
      </c>
      <c r="C27" s="2718">
        <v>5013.9400000000005</v>
      </c>
      <c r="D27" s="2728">
        <v>2554.48</v>
      </c>
      <c r="E27" s="2728">
        <v>2459.46</v>
      </c>
      <c r="F27" s="1986">
        <v>50.947558207716881</v>
      </c>
      <c r="G27" s="1986">
        <v>49.052441792283105</v>
      </c>
      <c r="H27" s="3989"/>
    </row>
    <row r="28" spans="1:8" ht="12.75" hidden="1" customHeight="1">
      <c r="A28" s="3989"/>
      <c r="B28" s="1938" t="s">
        <v>168</v>
      </c>
      <c r="C28" s="2718">
        <v>4787.7700000000004</v>
      </c>
      <c r="D28" s="2728">
        <v>2462.62</v>
      </c>
      <c r="E28" s="2728">
        <v>2325.15</v>
      </c>
      <c r="F28" s="1986">
        <v>51.435637050234241</v>
      </c>
      <c r="G28" s="1986">
        <v>48.564362949765751</v>
      </c>
      <c r="H28" s="3989"/>
    </row>
    <row r="29" spans="1:8" ht="12.75" hidden="1" customHeight="1">
      <c r="A29" s="3989"/>
      <c r="B29" s="1938" t="s">
        <v>169</v>
      </c>
      <c r="C29" s="2718">
        <v>5247.37</v>
      </c>
      <c r="D29" s="2728">
        <v>2968</v>
      </c>
      <c r="E29" s="2728">
        <v>2279.37</v>
      </c>
      <c r="F29" s="1986">
        <v>56.561668035606402</v>
      </c>
      <c r="G29" s="1986">
        <v>43.438331964393591</v>
      </c>
      <c r="H29" s="3989"/>
    </row>
    <row r="30" spans="1:8" ht="12.75" hidden="1" customHeight="1">
      <c r="A30" s="3989"/>
      <c r="B30" s="1938" t="s">
        <v>170</v>
      </c>
      <c r="C30" s="2718">
        <v>4545.8</v>
      </c>
      <c r="D30" s="2728">
        <v>2453.0300000000002</v>
      </c>
      <c r="E30" s="2728">
        <v>2092.77</v>
      </c>
      <c r="F30" s="1986">
        <v>53.962558845527738</v>
      </c>
      <c r="G30" s="1986">
        <v>46.037441154472262</v>
      </c>
      <c r="H30" s="3989"/>
    </row>
    <row r="31" spans="1:8" ht="12.75" hidden="1" customHeight="1">
      <c r="A31" s="3989"/>
      <c r="B31" s="1938" t="s">
        <v>171</v>
      </c>
      <c r="C31" s="2718">
        <v>5065.7312896699996</v>
      </c>
      <c r="D31" s="2728">
        <v>2862.9987350299998</v>
      </c>
      <c r="E31" s="2728">
        <v>2202.7325546399998</v>
      </c>
      <c r="F31" s="1986">
        <v>56.516987801311238</v>
      </c>
      <c r="G31" s="1986">
        <v>43.483012198688769</v>
      </c>
      <c r="H31" s="3989"/>
    </row>
    <row r="32" spans="1:8">
      <c r="A32" s="3989"/>
      <c r="B32" s="1939">
        <v>2003</v>
      </c>
      <c r="C32" s="2718">
        <v>4903.8808733099995</v>
      </c>
      <c r="D32" s="2728">
        <v>2588.60427858</v>
      </c>
      <c r="E32" s="2728">
        <v>2315.2765947299999</v>
      </c>
      <c r="F32" s="1986">
        <v>52.786850770964087</v>
      </c>
      <c r="G32" s="1986">
        <v>47.213149229035913</v>
      </c>
      <c r="H32" s="3989"/>
    </row>
    <row r="33" spans="1:8" ht="12.75" hidden="1" customHeight="1">
      <c r="A33" s="3989"/>
      <c r="B33" s="1939">
        <v>2004</v>
      </c>
      <c r="C33" s="2718"/>
      <c r="D33" s="2728"/>
      <c r="E33" s="2728"/>
      <c r="F33" s="1986"/>
      <c r="G33" s="1986"/>
      <c r="H33" s="3989"/>
    </row>
    <row r="34" spans="1:8" ht="12.75" hidden="1" customHeight="1">
      <c r="A34" s="3989"/>
      <c r="B34" s="1937" t="s">
        <v>161</v>
      </c>
      <c r="C34" s="2718">
        <v>4953.5614807399998</v>
      </c>
      <c r="D34" s="2728">
        <v>2477.5028771100001</v>
      </c>
      <c r="E34" s="2728">
        <v>2476.0586036300001</v>
      </c>
      <c r="F34" s="1986">
        <v>50.014578132174357</v>
      </c>
      <c r="G34" s="1986">
        <v>49.98542186782565</v>
      </c>
      <c r="H34" s="3989"/>
    </row>
    <row r="35" spans="1:8" ht="12.75" hidden="1" customHeight="1">
      <c r="A35" s="3989"/>
      <c r="B35" s="1937" t="s">
        <v>162</v>
      </c>
      <c r="C35" s="2718">
        <v>5022.54</v>
      </c>
      <c r="D35" s="2728">
        <v>2494.4499999999998</v>
      </c>
      <c r="E35" s="2728">
        <v>2528.09</v>
      </c>
      <c r="F35" s="1986">
        <v>49.665109685537594</v>
      </c>
      <c r="G35" s="1986">
        <v>50.334890314462413</v>
      </c>
      <c r="H35" s="3989"/>
    </row>
    <row r="36" spans="1:8" ht="12.75" hidden="1" customHeight="1">
      <c r="A36" s="3989"/>
      <c r="B36" s="1937" t="s">
        <v>163</v>
      </c>
      <c r="C36" s="2718">
        <v>5210.3500000000004</v>
      </c>
      <c r="D36" s="2728">
        <v>2499.36</v>
      </c>
      <c r="E36" s="2728">
        <v>2710.99</v>
      </c>
      <c r="F36" s="1986">
        <v>47.969138349631024</v>
      </c>
      <c r="G36" s="1986">
        <v>52.030861650368962</v>
      </c>
      <c r="H36" s="3989"/>
    </row>
    <row r="37" spans="1:8" ht="12.75" hidden="1" customHeight="1">
      <c r="A37" s="3989"/>
      <c r="B37" s="1938" t="s">
        <v>164</v>
      </c>
      <c r="C37" s="2718">
        <v>4780.5</v>
      </c>
      <c r="D37" s="2728">
        <v>2485.4699999999998</v>
      </c>
      <c r="E37" s="2728">
        <v>2295.0300000000002</v>
      </c>
      <c r="F37" s="1986">
        <v>51.99184185754627</v>
      </c>
      <c r="G37" s="1986">
        <v>48.008158142453723</v>
      </c>
      <c r="H37" s="3989"/>
    </row>
    <row r="38" spans="1:8" ht="12.75" hidden="1" customHeight="1">
      <c r="A38" s="3989"/>
      <c r="B38" s="1938" t="s">
        <v>165</v>
      </c>
      <c r="C38" s="2718">
        <v>4558.91</v>
      </c>
      <c r="D38" s="2728">
        <v>2518.5500000000002</v>
      </c>
      <c r="E38" s="2728">
        <v>2040.36</v>
      </c>
      <c r="F38" s="1986">
        <v>55.244565038572823</v>
      </c>
      <c r="G38" s="1986">
        <v>44.755434961427184</v>
      </c>
      <c r="H38" s="3989"/>
    </row>
    <row r="39" spans="1:8" ht="12.75" hidden="1" customHeight="1">
      <c r="A39" s="3989"/>
      <c r="B39" s="1938" t="s">
        <v>166</v>
      </c>
      <c r="C39" s="2718">
        <v>4318.79</v>
      </c>
      <c r="D39" s="2728">
        <v>2553.58</v>
      </c>
      <c r="E39" s="2728">
        <v>1765.21</v>
      </c>
      <c r="F39" s="1986">
        <v>59.127209241477352</v>
      </c>
      <c r="G39" s="1986">
        <v>40.87279075852264</v>
      </c>
      <c r="H39" s="3989"/>
    </row>
    <row r="40" spans="1:8" ht="12.75" hidden="1" customHeight="1">
      <c r="A40" s="3989"/>
      <c r="B40" s="1938" t="s">
        <v>167</v>
      </c>
      <c r="C40" s="2718">
        <v>4078.65</v>
      </c>
      <c r="D40" s="2728">
        <v>2483.13</v>
      </c>
      <c r="E40" s="2728">
        <v>1595.52</v>
      </c>
      <c r="F40" s="1986">
        <v>60.881173917840457</v>
      </c>
      <c r="G40" s="1986">
        <v>39.118826082159536</v>
      </c>
      <c r="H40" s="3989"/>
    </row>
    <row r="41" spans="1:8" ht="12.75" hidden="1" customHeight="1">
      <c r="A41" s="3989"/>
      <c r="B41" s="1938" t="s">
        <v>168</v>
      </c>
      <c r="C41" s="2718">
        <v>3801.49</v>
      </c>
      <c r="D41" s="2728">
        <v>2185.56</v>
      </c>
      <c r="E41" s="2728">
        <v>1615.93</v>
      </c>
      <c r="F41" s="1986">
        <v>57.492193850306059</v>
      </c>
      <c r="G41" s="1986">
        <v>42.507806149693941</v>
      </c>
      <c r="H41" s="3989"/>
    </row>
    <row r="42" spans="1:8" ht="12.75" hidden="1" customHeight="1">
      <c r="A42" s="3989"/>
      <c r="B42" s="1938" t="s">
        <v>169</v>
      </c>
      <c r="C42" s="2718">
        <v>3620.1499999999996</v>
      </c>
      <c r="D42" s="2728">
        <v>2138.9299999999998</v>
      </c>
      <c r="E42" s="2728">
        <v>1481.22</v>
      </c>
      <c r="F42" s="1986">
        <v>59.084015855696592</v>
      </c>
      <c r="G42" s="1986">
        <v>40.915984144303422</v>
      </c>
      <c r="H42" s="3989"/>
    </row>
    <row r="43" spans="1:8" ht="12.75" hidden="1" customHeight="1">
      <c r="A43" s="3989"/>
      <c r="B43" s="1938" t="s">
        <v>170</v>
      </c>
      <c r="C43" s="2718">
        <v>4283.46</v>
      </c>
      <c r="D43" s="2728">
        <v>2705.75</v>
      </c>
      <c r="E43" s="2728">
        <v>1577.71</v>
      </c>
      <c r="F43" s="1986">
        <v>63.167392715234882</v>
      </c>
      <c r="G43" s="1986">
        <v>36.832607284765118</v>
      </c>
      <c r="H43" s="3989"/>
    </row>
    <row r="44" spans="1:8" ht="12.75" hidden="1" customHeight="1">
      <c r="A44" s="3989"/>
      <c r="B44" s="1938" t="s">
        <v>171</v>
      </c>
      <c r="C44" s="2718">
        <v>5064.0600000000004</v>
      </c>
      <c r="D44" s="2728">
        <v>3406.17</v>
      </c>
      <c r="E44" s="2728">
        <v>1657.89</v>
      </c>
      <c r="F44" s="1986">
        <v>67.261643819386023</v>
      </c>
      <c r="G44" s="1986">
        <v>32.738356180613977</v>
      </c>
      <c r="H44" s="3989"/>
    </row>
    <row r="45" spans="1:8">
      <c r="A45" s="3989"/>
      <c r="B45" s="1939">
        <v>2004</v>
      </c>
      <c r="C45" s="2718">
        <v>4326.8099999999995</v>
      </c>
      <c r="D45" s="2728">
        <v>2736.99</v>
      </c>
      <c r="E45" s="2728">
        <v>1589.82</v>
      </c>
      <c r="F45" s="1986">
        <v>63.256533104065127</v>
      </c>
      <c r="G45" s="1986">
        <v>36.743466895934887</v>
      </c>
      <c r="H45" s="3989"/>
    </row>
    <row r="46" spans="1:8" ht="12.75" hidden="1" customHeight="1">
      <c r="A46" s="3989"/>
      <c r="B46" s="1939">
        <v>2005</v>
      </c>
      <c r="C46" s="2718"/>
      <c r="D46" s="2728"/>
      <c r="E46" s="2728"/>
      <c r="F46" s="1986"/>
      <c r="G46" s="1986"/>
      <c r="H46" s="3989"/>
    </row>
    <row r="47" spans="1:8" ht="12.75" hidden="1" customHeight="1">
      <c r="A47" s="3989"/>
      <c r="B47" s="1937" t="s">
        <v>161</v>
      </c>
      <c r="C47" s="2718">
        <v>4475.3500000000004</v>
      </c>
      <c r="D47" s="2728">
        <v>2967.26</v>
      </c>
      <c r="E47" s="2728">
        <v>1508.09</v>
      </c>
      <c r="F47" s="1986">
        <v>66.302300378741336</v>
      </c>
      <c r="G47" s="1986">
        <v>33.697699621258671</v>
      </c>
      <c r="H47" s="3989"/>
    </row>
    <row r="48" spans="1:8" ht="12.75" hidden="1" customHeight="1">
      <c r="A48" s="3989"/>
      <c r="B48" s="1937" t="s">
        <v>162</v>
      </c>
      <c r="C48" s="2718">
        <v>4178.12</v>
      </c>
      <c r="D48" s="2728">
        <v>2719.8</v>
      </c>
      <c r="E48" s="2728">
        <v>1458.32</v>
      </c>
      <c r="F48" s="1986">
        <v>65.096263391190305</v>
      </c>
      <c r="G48" s="1986">
        <v>34.903736608809702</v>
      </c>
      <c r="H48" s="3989"/>
    </row>
    <row r="49" spans="1:8" ht="12.75" hidden="1" customHeight="1">
      <c r="A49" s="3989"/>
      <c r="B49" s="1937" t="s">
        <v>163</v>
      </c>
      <c r="C49" s="2718">
        <v>4686.92</v>
      </c>
      <c r="D49" s="2728">
        <v>3143.27</v>
      </c>
      <c r="E49" s="2728">
        <v>1543.65</v>
      </c>
      <c r="F49" s="1986">
        <v>67.064724808616319</v>
      </c>
      <c r="G49" s="1986">
        <v>32.935275191383681</v>
      </c>
      <c r="H49" s="3989"/>
    </row>
    <row r="50" spans="1:8" ht="12.75" hidden="1" customHeight="1">
      <c r="A50" s="3989"/>
      <c r="B50" s="1938" t="s">
        <v>164</v>
      </c>
      <c r="C50" s="2718">
        <v>3669.7299999999996</v>
      </c>
      <c r="D50" s="2728">
        <v>2254.4299999999998</v>
      </c>
      <c r="E50" s="2728">
        <v>1415.3</v>
      </c>
      <c r="F50" s="1986">
        <v>61.433129957789809</v>
      </c>
      <c r="G50" s="1986">
        <v>38.566870042210191</v>
      </c>
      <c r="H50" s="3989"/>
    </row>
    <row r="51" spans="1:8" ht="12.75" hidden="1" customHeight="1">
      <c r="A51" s="3989"/>
      <c r="B51" s="1938" t="s">
        <v>165</v>
      </c>
      <c r="C51" s="2718">
        <v>3918.84</v>
      </c>
      <c r="D51" s="2728">
        <v>2506.86</v>
      </c>
      <c r="E51" s="2728">
        <v>1411.98</v>
      </c>
      <c r="F51" s="1986">
        <v>63.96943993630768</v>
      </c>
      <c r="G51" s="1986">
        <v>36.03056006369232</v>
      </c>
      <c r="H51" s="3989"/>
    </row>
    <row r="52" spans="1:8" ht="12.75" hidden="1" customHeight="1">
      <c r="A52" s="3989"/>
      <c r="B52" s="1938" t="s">
        <v>166</v>
      </c>
      <c r="C52" s="2718">
        <v>2889.4700000000003</v>
      </c>
      <c r="D52" s="2728">
        <v>1525.34</v>
      </c>
      <c r="E52" s="2728">
        <v>1364.13</v>
      </c>
      <c r="F52" s="1986">
        <v>52.789611935752909</v>
      </c>
      <c r="G52" s="1986">
        <v>47.210388064247077</v>
      </c>
      <c r="H52" s="3989"/>
    </row>
    <row r="53" spans="1:8" ht="12.75" hidden="1" customHeight="1">
      <c r="A53" s="3989"/>
      <c r="B53" s="1938" t="s">
        <v>167</v>
      </c>
      <c r="C53" s="2718">
        <v>2979.9374937900002</v>
      </c>
      <c r="D53" s="2728">
        <v>1595.6191243500002</v>
      </c>
      <c r="E53" s="2728">
        <v>1384.31836944</v>
      </c>
      <c r="F53" s="1986">
        <v>53.545389045077918</v>
      </c>
      <c r="G53" s="1986">
        <v>46.454610954922082</v>
      </c>
      <c r="H53" s="3989"/>
    </row>
    <row r="54" spans="1:8" ht="12.75" hidden="1" customHeight="1">
      <c r="A54" s="3989"/>
      <c r="B54" s="1938" t="s">
        <v>168</v>
      </c>
      <c r="C54" s="2718">
        <v>3330.2202902399999</v>
      </c>
      <c r="D54" s="2728">
        <v>1927.9898114399998</v>
      </c>
      <c r="E54" s="2728">
        <v>1402.2304788000001</v>
      </c>
      <c r="F54" s="1986">
        <v>57.893762076053378</v>
      </c>
      <c r="G54" s="1986">
        <v>42.106237923946622</v>
      </c>
      <c r="H54" s="3989"/>
    </row>
    <row r="55" spans="1:8" ht="12.75" hidden="1" customHeight="1">
      <c r="A55" s="3989"/>
      <c r="B55" s="1938" t="s">
        <v>169</v>
      </c>
      <c r="C55" s="2718">
        <v>3847.40063599</v>
      </c>
      <c r="D55" s="2728">
        <v>1919.0756582199999</v>
      </c>
      <c r="E55" s="2728">
        <v>1928.32497777</v>
      </c>
      <c r="F55" s="1986">
        <v>49.879797811235484</v>
      </c>
      <c r="G55" s="1986">
        <v>50.120202188764516</v>
      </c>
      <c r="H55" s="3989"/>
    </row>
    <row r="56" spans="1:8" ht="12.75" hidden="1" customHeight="1">
      <c r="A56" s="3989"/>
      <c r="B56" s="1938" t="s">
        <v>170</v>
      </c>
      <c r="C56" s="2718">
        <v>4148.1241616099996</v>
      </c>
      <c r="D56" s="2728">
        <v>2494.8451283400004</v>
      </c>
      <c r="E56" s="2728">
        <v>1653.2790332699997</v>
      </c>
      <c r="F56" s="1986">
        <v>60.14393569578408</v>
      </c>
      <c r="G56" s="1986">
        <v>39.856064304215941</v>
      </c>
      <c r="H56" s="3989"/>
    </row>
    <row r="57" spans="1:8" ht="12.75" hidden="1" customHeight="1">
      <c r="A57" s="3989"/>
      <c r="B57" s="1938" t="s">
        <v>171</v>
      </c>
      <c r="C57" s="2718">
        <v>4584.8071694399996</v>
      </c>
      <c r="D57" s="2728">
        <v>2859.9472061299998</v>
      </c>
      <c r="E57" s="2728">
        <v>1724.85996331</v>
      </c>
      <c r="F57" s="1986">
        <v>62.378789345666661</v>
      </c>
      <c r="G57" s="1986">
        <v>37.621210654333339</v>
      </c>
      <c r="H57" s="3989"/>
    </row>
    <row r="58" spans="1:8">
      <c r="A58" s="3989"/>
      <c r="B58" s="1939">
        <v>2005</v>
      </c>
      <c r="C58" s="2718">
        <v>4017.3912393099999</v>
      </c>
      <c r="D58" s="2728">
        <v>2239.8531460699996</v>
      </c>
      <c r="E58" s="2728">
        <v>1777.5380932400001</v>
      </c>
      <c r="F58" s="1986">
        <v>55.753921205212308</v>
      </c>
      <c r="G58" s="1986">
        <v>44.246078794787685</v>
      </c>
      <c r="H58" s="3989"/>
    </row>
    <row r="59" spans="1:8" ht="12.75" hidden="1" customHeight="1">
      <c r="A59" s="3989"/>
      <c r="B59" s="1939">
        <v>2006</v>
      </c>
      <c r="C59" s="2718"/>
      <c r="D59" s="2728"/>
      <c r="E59" s="2728"/>
      <c r="F59" s="1986"/>
      <c r="G59" s="1986"/>
      <c r="H59" s="3989"/>
    </row>
    <row r="60" spans="1:8" ht="12.75" hidden="1" customHeight="1">
      <c r="A60" s="3989"/>
      <c r="B60" s="1937" t="s">
        <v>161</v>
      </c>
      <c r="C60" s="2718">
        <v>4503.2533813200007</v>
      </c>
      <c r="D60" s="2728">
        <v>2326.23170157</v>
      </c>
      <c r="E60" s="2728">
        <v>2177.0216797500002</v>
      </c>
      <c r="F60" s="1986">
        <v>51.65669138715289</v>
      </c>
      <c r="G60" s="1986">
        <v>48.343308612847103</v>
      </c>
      <c r="H60" s="3989"/>
    </row>
    <row r="61" spans="1:8" ht="12.75" hidden="1" customHeight="1">
      <c r="A61" s="3989"/>
      <c r="B61" s="1937" t="s">
        <v>162</v>
      </c>
      <c r="C61" s="2718">
        <v>4156.2320604400002</v>
      </c>
      <c r="D61" s="2728">
        <v>1981.1354322700001</v>
      </c>
      <c r="E61" s="2728">
        <v>2175.0966281699998</v>
      </c>
      <c r="F61" s="1986">
        <v>47.666622158250398</v>
      </c>
      <c r="G61" s="1986">
        <v>52.333377841749595</v>
      </c>
      <c r="H61" s="3989"/>
    </row>
    <row r="62" spans="1:8" ht="12.75" hidden="1" customHeight="1">
      <c r="A62" s="3989"/>
      <c r="B62" s="1937" t="s">
        <v>163</v>
      </c>
      <c r="C62" s="2718">
        <v>5035.4294541399995</v>
      </c>
      <c r="D62" s="2728">
        <v>2688.4485272400002</v>
      </c>
      <c r="E62" s="2728">
        <v>2346.9809268999998</v>
      </c>
      <c r="F62" s="1986">
        <v>53.390650226062199</v>
      </c>
      <c r="G62" s="1986">
        <v>46.609349773937808</v>
      </c>
      <c r="H62" s="3989"/>
    </row>
    <row r="63" spans="1:8" ht="12.75" hidden="1" customHeight="1">
      <c r="A63" s="3989"/>
      <c r="B63" s="1938" t="s">
        <v>164</v>
      </c>
      <c r="C63" s="2718">
        <v>5473.0367178100005</v>
      </c>
      <c r="D63" s="2728">
        <v>3256.6818612100001</v>
      </c>
      <c r="E63" s="2728">
        <v>2216.3548565999999</v>
      </c>
      <c r="F63" s="1986">
        <v>59.504111321093781</v>
      </c>
      <c r="G63" s="1986">
        <v>40.495888678906212</v>
      </c>
      <c r="H63" s="3989"/>
    </row>
    <row r="64" spans="1:8" ht="12.75" hidden="1" customHeight="1">
      <c r="A64" s="3989"/>
      <c r="B64" s="1938" t="s">
        <v>165</v>
      </c>
      <c r="C64" s="2718">
        <v>3707.1453349100002</v>
      </c>
      <c r="D64" s="2728">
        <v>1603.0960519800001</v>
      </c>
      <c r="E64" s="2728">
        <v>2104.0492829300001</v>
      </c>
      <c r="F64" s="1986">
        <v>43.243409878855452</v>
      </c>
      <c r="G64" s="1986">
        <v>56.756590121144548</v>
      </c>
      <c r="H64" s="3989"/>
    </row>
    <row r="65" spans="1:8" ht="12.75" hidden="1" customHeight="1">
      <c r="A65" s="3989"/>
      <c r="B65" s="1938" t="s">
        <v>166</v>
      </c>
      <c r="C65" s="2718">
        <v>3802.6155793500002</v>
      </c>
      <c r="D65" s="2728">
        <v>1648.1145158699999</v>
      </c>
      <c r="E65" s="2728">
        <v>2154.5010634800001</v>
      </c>
      <c r="F65" s="1986">
        <v>43.341602154581196</v>
      </c>
      <c r="G65" s="1986">
        <v>56.658397845418797</v>
      </c>
      <c r="H65" s="3989"/>
    </row>
    <row r="66" spans="1:8" ht="12.75" hidden="1" customHeight="1">
      <c r="A66" s="3989"/>
      <c r="B66" s="1938" t="s">
        <v>167</v>
      </c>
      <c r="C66" s="2718">
        <v>3501.4821635900007</v>
      </c>
      <c r="D66" s="2728">
        <v>1344.7939042300002</v>
      </c>
      <c r="E66" s="2728">
        <v>2156.6882593600003</v>
      </c>
      <c r="F66" s="1986">
        <v>38.406418807834491</v>
      </c>
      <c r="G66" s="1986">
        <v>61.593581192165502</v>
      </c>
      <c r="H66" s="3989"/>
    </row>
    <row r="67" spans="1:8" ht="12.75" hidden="1" customHeight="1">
      <c r="A67" s="3989"/>
      <c r="B67" s="1938" t="s">
        <v>168</v>
      </c>
      <c r="C67" s="2718">
        <v>3686.5584843699999</v>
      </c>
      <c r="D67" s="2728">
        <v>1404.1690345699999</v>
      </c>
      <c r="E67" s="2728">
        <v>2282.3894498</v>
      </c>
      <c r="F67" s="1986">
        <v>38.088885352647807</v>
      </c>
      <c r="G67" s="1986">
        <v>61.911114647352193</v>
      </c>
      <c r="H67" s="3989"/>
    </row>
    <row r="68" spans="1:8" ht="12.75" hidden="1" customHeight="1">
      <c r="A68" s="3989"/>
      <c r="B68" s="1938" t="s">
        <v>169</v>
      </c>
      <c r="C68" s="2718">
        <v>4003.01900703</v>
      </c>
      <c r="D68" s="2728">
        <v>1582.0478076899999</v>
      </c>
      <c r="E68" s="2728">
        <v>2420.9711993400001</v>
      </c>
      <c r="F68" s="1986">
        <v>39.521366371522291</v>
      </c>
      <c r="G68" s="1986">
        <v>60.478633628477709</v>
      </c>
      <c r="H68" s="3989"/>
    </row>
    <row r="69" spans="1:8" ht="12.75" hidden="1" customHeight="1">
      <c r="A69" s="3989"/>
      <c r="B69" s="1938" t="s">
        <v>170</v>
      </c>
      <c r="C69" s="2718">
        <v>4703.1049509700006</v>
      </c>
      <c r="D69" s="2728">
        <v>2031.1816530400001</v>
      </c>
      <c r="E69" s="2728">
        <v>2671.92329793</v>
      </c>
      <c r="F69" s="1986">
        <v>43.188099653635739</v>
      </c>
      <c r="G69" s="1986">
        <v>56.811900346364254</v>
      </c>
      <c r="H69" s="3989"/>
    </row>
    <row r="70" spans="1:8" ht="12.75" hidden="1" customHeight="1">
      <c r="A70" s="3989"/>
      <c r="B70" s="1938" t="s">
        <v>171</v>
      </c>
      <c r="C70" s="2718">
        <v>5851.5421414000002</v>
      </c>
      <c r="D70" s="2728">
        <v>3077.4291165500003</v>
      </c>
      <c r="E70" s="2728">
        <v>2774.1130248499999</v>
      </c>
      <c r="F70" s="1986">
        <v>52.591762003677815</v>
      </c>
      <c r="G70" s="1986">
        <v>47.408237996322185</v>
      </c>
      <c r="H70" s="3989"/>
    </row>
    <row r="71" spans="1:8">
      <c r="A71" s="3989"/>
      <c r="B71" s="1939">
        <v>2006</v>
      </c>
      <c r="C71" s="2718">
        <v>6027.6932709400007</v>
      </c>
      <c r="D71" s="2728">
        <v>3585.2797803000003</v>
      </c>
      <c r="E71" s="2728">
        <v>2442.41349064</v>
      </c>
      <c r="F71" s="1986">
        <v>59.480129780075664</v>
      </c>
      <c r="G71" s="1986">
        <v>40.519870219924329</v>
      </c>
      <c r="H71" s="3989"/>
    </row>
    <row r="72" spans="1:8" ht="12.75" hidden="1" customHeight="1">
      <c r="A72" s="3989"/>
      <c r="B72" s="1939">
        <v>2007</v>
      </c>
      <c r="C72" s="2718"/>
      <c r="D72" s="2728"/>
      <c r="E72" s="2728"/>
      <c r="F72" s="1986"/>
      <c r="G72" s="1986"/>
      <c r="H72" s="3989"/>
    </row>
    <row r="73" spans="1:8" ht="12.75" hidden="1" customHeight="1">
      <c r="A73" s="3989"/>
      <c r="B73" s="1937" t="s">
        <v>161</v>
      </c>
      <c r="C73" s="2718">
        <v>4420.6443187500008</v>
      </c>
      <c r="D73" s="2728">
        <v>1614.5335499300002</v>
      </c>
      <c r="E73" s="2728">
        <v>2806.1107688200004</v>
      </c>
      <c r="F73" s="1986">
        <v>36.522584345499489</v>
      </c>
      <c r="G73" s="1986">
        <v>63.477415654500511</v>
      </c>
      <c r="H73" s="3989"/>
    </row>
    <row r="74" spans="1:8" ht="12.75" hidden="1" customHeight="1">
      <c r="A74" s="3989"/>
      <c r="B74" s="1937" t="s">
        <v>162</v>
      </c>
      <c r="C74" s="2718">
        <v>4426.5416059400004</v>
      </c>
      <c r="D74" s="2728">
        <v>1434.1523908500001</v>
      </c>
      <c r="E74" s="2728">
        <v>2992.3892150900001</v>
      </c>
      <c r="F74" s="1986">
        <v>32.398936201695314</v>
      </c>
      <c r="G74" s="1986">
        <v>67.601063798304679</v>
      </c>
      <c r="H74" s="3989"/>
    </row>
    <row r="75" spans="1:8" ht="12.75" hidden="1" customHeight="1">
      <c r="A75" s="3989"/>
      <c r="B75" s="1937" t="s">
        <v>163</v>
      </c>
      <c r="C75" s="2718">
        <v>4389.5311417899993</v>
      </c>
      <c r="D75" s="2728">
        <v>1306.2443446299999</v>
      </c>
      <c r="E75" s="2728">
        <v>3083.2867971599999</v>
      </c>
      <c r="F75" s="1986">
        <v>29.758174675970718</v>
      </c>
      <c r="G75" s="1986">
        <v>70.241825324029293</v>
      </c>
      <c r="H75" s="3989"/>
    </row>
    <row r="76" spans="1:8" ht="12.75" hidden="1" customHeight="1">
      <c r="A76" s="3989"/>
      <c r="B76" s="1938" t="s">
        <v>164</v>
      </c>
      <c r="C76" s="2718">
        <v>4266.4703489399999</v>
      </c>
      <c r="D76" s="2728">
        <v>998.2960567099999</v>
      </c>
      <c r="E76" s="2728">
        <v>3268.17429223</v>
      </c>
      <c r="F76" s="1986">
        <v>23.398640446617087</v>
      </c>
      <c r="G76" s="1986">
        <v>76.60135955338292</v>
      </c>
      <c r="H76" s="3989"/>
    </row>
    <row r="77" spans="1:8" ht="12.75" hidden="1" customHeight="1">
      <c r="A77" s="3989"/>
      <c r="B77" s="1938" t="s">
        <v>165</v>
      </c>
      <c r="C77" s="2718">
        <v>4283.6516413299996</v>
      </c>
      <c r="D77" s="2728">
        <v>894.49476144999994</v>
      </c>
      <c r="E77" s="2728">
        <v>3389.1568798799999</v>
      </c>
      <c r="F77" s="1986">
        <v>20.881594404634519</v>
      </c>
      <c r="G77" s="1986">
        <v>79.118405595365488</v>
      </c>
      <c r="H77" s="3989"/>
    </row>
    <row r="78" spans="1:8" ht="12.75" hidden="1" customHeight="1">
      <c r="A78" s="3989"/>
      <c r="B78" s="1938" t="s">
        <v>166</v>
      </c>
      <c r="C78" s="2718">
        <v>3893.4159601900001</v>
      </c>
      <c r="D78" s="2728">
        <v>658.41122180000002</v>
      </c>
      <c r="E78" s="2728">
        <v>3235.0047383900001</v>
      </c>
      <c r="F78" s="1986">
        <v>16.910888241385575</v>
      </c>
      <c r="G78" s="1986">
        <v>83.089111758614422</v>
      </c>
      <c r="H78" s="3989"/>
    </row>
    <row r="79" spans="1:8" ht="12.75" hidden="1" customHeight="1">
      <c r="A79" s="3989"/>
      <c r="B79" s="1938" t="s">
        <v>167</v>
      </c>
      <c r="C79" s="2718">
        <v>3744.56155971</v>
      </c>
      <c r="D79" s="2728">
        <v>540.57631086000004</v>
      </c>
      <c r="E79" s="2728">
        <v>3203.9852488500001</v>
      </c>
      <c r="F79" s="1986">
        <v>14.436304551015722</v>
      </c>
      <c r="G79" s="1986">
        <v>85.563695448984276</v>
      </c>
      <c r="H79" s="3989"/>
    </row>
    <row r="80" spans="1:8" ht="12.75" hidden="1" customHeight="1">
      <c r="A80" s="3989"/>
      <c r="B80" s="1938" t="s">
        <v>168</v>
      </c>
      <c r="C80" s="2718">
        <v>4118.2158018099999</v>
      </c>
      <c r="D80" s="2728">
        <v>1578.35055704</v>
      </c>
      <c r="E80" s="2728">
        <v>2539.8652447699997</v>
      </c>
      <c r="F80" s="1986">
        <v>38.3260769468734</v>
      </c>
      <c r="G80" s="1986">
        <v>61.673923053126586</v>
      </c>
      <c r="H80" s="3989"/>
    </row>
    <row r="81" spans="1:8" ht="12.75" hidden="1" customHeight="1">
      <c r="A81" s="3989"/>
      <c r="B81" s="1938" t="s">
        <v>169</v>
      </c>
      <c r="C81" s="2718">
        <v>3725.5966997099999</v>
      </c>
      <c r="D81" s="2728">
        <v>1504.2712461299998</v>
      </c>
      <c r="E81" s="2728">
        <v>2221.3254535800002</v>
      </c>
      <c r="F81" s="1986">
        <v>40.376652852604579</v>
      </c>
      <c r="G81" s="1986">
        <v>59.623347147395421</v>
      </c>
      <c r="H81" s="3989"/>
    </row>
    <row r="82" spans="1:8" ht="12.75" hidden="1" customHeight="1">
      <c r="A82" s="3989"/>
      <c r="B82" s="1938" t="s">
        <v>170</v>
      </c>
      <c r="C82" s="2718">
        <v>3773.0244797599998</v>
      </c>
      <c r="D82" s="2728">
        <v>1596.25508739</v>
      </c>
      <c r="E82" s="2728">
        <v>2176.7693923699999</v>
      </c>
      <c r="F82" s="1986">
        <v>42.30704295593484</v>
      </c>
      <c r="G82" s="1986">
        <v>57.69295704406516</v>
      </c>
      <c r="H82" s="3989"/>
    </row>
    <row r="83" spans="1:8" ht="12.75" hidden="1" customHeight="1">
      <c r="A83" s="3989"/>
      <c r="B83" s="1938" t="s">
        <v>171</v>
      </c>
      <c r="C83" s="2718">
        <v>3561.8420980800001</v>
      </c>
      <c r="D83" s="2728">
        <v>1393.8001077800002</v>
      </c>
      <c r="E83" s="2728">
        <v>2168.0419903000002</v>
      </c>
      <c r="F83" s="1986">
        <v>39.131440120024521</v>
      </c>
      <c r="G83" s="1986">
        <v>60.868559879975493</v>
      </c>
      <c r="H83" s="3989"/>
    </row>
    <row r="84" spans="1:8">
      <c r="A84" s="3989"/>
      <c r="B84" s="1939">
        <v>2007</v>
      </c>
      <c r="C84" s="2718">
        <v>3228.5611586299997</v>
      </c>
      <c r="D84" s="2728">
        <v>1470.6802873299998</v>
      </c>
      <c r="E84" s="2728">
        <v>1757.8808712999999</v>
      </c>
      <c r="F84" s="1986">
        <v>45.552189197309957</v>
      </c>
      <c r="G84" s="1986">
        <v>54.447810802690043</v>
      </c>
      <c r="H84" s="3989"/>
    </row>
    <row r="85" spans="1:8" ht="12.75" hidden="1" customHeight="1">
      <c r="A85" s="3989"/>
      <c r="B85" s="1939">
        <v>2008</v>
      </c>
      <c r="C85" s="2718"/>
      <c r="D85" s="2728"/>
      <c r="E85" s="2728"/>
      <c r="F85" s="1986"/>
      <c r="G85" s="1986"/>
      <c r="H85" s="3989"/>
    </row>
    <row r="86" spans="1:8" ht="12.75" hidden="1" customHeight="1">
      <c r="A86" s="3989"/>
      <c r="B86" s="1937" t="s">
        <v>161</v>
      </c>
      <c r="C86" s="2718">
        <v>2569.3282943700001</v>
      </c>
      <c r="D86" s="2728">
        <v>1049.6293296399999</v>
      </c>
      <c r="E86" s="2728">
        <v>1519.6989647300002</v>
      </c>
      <c r="F86" s="1986">
        <v>40.852285476324049</v>
      </c>
      <c r="G86" s="1986">
        <v>59.147714523675951</v>
      </c>
      <c r="H86" s="3989"/>
    </row>
    <row r="87" spans="1:8" ht="12.75" hidden="1" customHeight="1">
      <c r="A87" s="3989"/>
      <c r="B87" s="1937" t="s">
        <v>162</v>
      </c>
      <c r="C87" s="2718">
        <v>2569.3282943700001</v>
      </c>
      <c r="D87" s="2728">
        <v>1049.6293296399999</v>
      </c>
      <c r="E87" s="2728">
        <v>1519.6989647300002</v>
      </c>
      <c r="F87" s="1986">
        <v>40.852285476324049</v>
      </c>
      <c r="G87" s="1986">
        <v>59.147714523675951</v>
      </c>
      <c r="H87" s="3989"/>
    </row>
    <row r="88" spans="1:8" ht="12.75" hidden="1" customHeight="1">
      <c r="A88" s="3989"/>
      <c r="B88" s="1937" t="s">
        <v>163</v>
      </c>
      <c r="C88" s="2718">
        <v>2206.5985389099997</v>
      </c>
      <c r="D88" s="2728">
        <v>1125.97129612</v>
      </c>
      <c r="E88" s="2728">
        <v>1080.6272427899999</v>
      </c>
      <c r="F88" s="1986">
        <v>51.027464954100786</v>
      </c>
      <c r="G88" s="1986">
        <v>48.972535045899221</v>
      </c>
      <c r="H88" s="3989"/>
    </row>
    <row r="89" spans="1:8" ht="12.75" hidden="1" customHeight="1">
      <c r="A89" s="3989"/>
      <c r="B89" s="1938" t="s">
        <v>164</v>
      </c>
      <c r="C89" s="2718">
        <v>1898.1959486199999</v>
      </c>
      <c r="D89" s="2728">
        <v>898.24571032999995</v>
      </c>
      <c r="E89" s="2728">
        <v>999.95023829000002</v>
      </c>
      <c r="F89" s="1986">
        <v>47.32102136152119</v>
      </c>
      <c r="G89" s="1986">
        <v>52.67897863847881</v>
      </c>
      <c r="H89" s="3989"/>
    </row>
    <row r="90" spans="1:8" ht="12.75" hidden="1" customHeight="1">
      <c r="A90" s="3989"/>
      <c r="B90" s="1938" t="s">
        <v>165</v>
      </c>
      <c r="C90" s="2718">
        <v>1793.8945743200002</v>
      </c>
      <c r="D90" s="2728">
        <v>934.56685538000011</v>
      </c>
      <c r="E90" s="2728">
        <v>859.32771893999995</v>
      </c>
      <c r="F90" s="1986">
        <v>52.097089135478335</v>
      </c>
      <c r="G90" s="1986">
        <v>47.902910864521658</v>
      </c>
      <c r="H90" s="3989"/>
    </row>
    <row r="91" spans="1:8" ht="12.75" hidden="1" customHeight="1">
      <c r="A91" s="3989"/>
      <c r="B91" s="1938" t="s">
        <v>166</v>
      </c>
      <c r="C91" s="2718">
        <v>1794.53739892</v>
      </c>
      <c r="D91" s="2728">
        <v>774.12650725000003</v>
      </c>
      <c r="E91" s="2728">
        <v>1020.41089167</v>
      </c>
      <c r="F91" s="1986">
        <v>43.137942275033659</v>
      </c>
      <c r="G91" s="1986">
        <v>56.862057724966341</v>
      </c>
      <c r="H91" s="3989"/>
    </row>
    <row r="92" spans="1:8" ht="12.75" hidden="1" customHeight="1">
      <c r="A92" s="3989"/>
      <c r="B92" s="1938" t="s">
        <v>167</v>
      </c>
      <c r="C92" s="2718">
        <v>1948.2005096099997</v>
      </c>
      <c r="D92" s="2728">
        <v>767.51856679999992</v>
      </c>
      <c r="E92" s="2728">
        <v>1180.6819428099998</v>
      </c>
      <c r="F92" s="1986">
        <v>39.396282005574754</v>
      </c>
      <c r="G92" s="1986">
        <v>60.603717994425246</v>
      </c>
      <c r="H92" s="3989"/>
    </row>
    <row r="93" spans="1:8" ht="12.75" hidden="1" customHeight="1">
      <c r="A93" s="3989"/>
      <c r="B93" s="1938" t="s">
        <v>168</v>
      </c>
      <c r="C93" s="2718">
        <v>1576.4391740400001</v>
      </c>
      <c r="D93" s="2728">
        <v>642.26193076000004</v>
      </c>
      <c r="E93" s="2728">
        <v>934.17724327999997</v>
      </c>
      <c r="F93" s="1986">
        <v>40.741307456478083</v>
      </c>
      <c r="G93" s="1986">
        <v>59.25869254352191</v>
      </c>
      <c r="H93" s="3989"/>
    </row>
    <row r="94" spans="1:8" ht="12.75" hidden="1" customHeight="1">
      <c r="A94" s="3989"/>
      <c r="B94" s="1938" t="s">
        <v>169</v>
      </c>
      <c r="C94" s="2718">
        <v>2165.0536772099999</v>
      </c>
      <c r="D94" s="2728">
        <v>955.55897905000006</v>
      </c>
      <c r="E94" s="2728">
        <v>1209.4946981599999</v>
      </c>
      <c r="F94" s="1986">
        <v>44.13557913637424</v>
      </c>
      <c r="G94" s="1986">
        <v>55.86442086362576</v>
      </c>
      <c r="H94" s="3989"/>
    </row>
    <row r="95" spans="1:8" ht="12.75" hidden="1" customHeight="1">
      <c r="A95" s="3989"/>
      <c r="B95" s="1938" t="s">
        <v>170</v>
      </c>
      <c r="C95" s="2718">
        <v>1745.3199192699999</v>
      </c>
      <c r="D95" s="2728">
        <v>761.99869385</v>
      </c>
      <c r="E95" s="2728">
        <v>983.32122542000002</v>
      </c>
      <c r="F95" s="1986">
        <v>43.659542610887904</v>
      </c>
      <c r="G95" s="1986">
        <v>56.340457389112096</v>
      </c>
      <c r="H95" s="3989"/>
    </row>
    <row r="96" spans="1:8" ht="12.75" hidden="1" customHeight="1">
      <c r="A96" s="3989"/>
      <c r="B96" s="1938" t="s">
        <v>171</v>
      </c>
      <c r="C96" s="2718">
        <v>1933.3562290500001</v>
      </c>
      <c r="D96" s="2728">
        <v>1099.9884256600001</v>
      </c>
      <c r="E96" s="2728">
        <v>833.36780339000006</v>
      </c>
      <c r="F96" s="1986">
        <v>56.895279262658448</v>
      </c>
      <c r="G96" s="1986">
        <v>43.104720737341552</v>
      </c>
      <c r="H96" s="3989"/>
    </row>
    <row r="97" spans="1:8">
      <c r="A97" s="3989"/>
      <c r="B97" s="1939">
        <v>2008</v>
      </c>
      <c r="C97" s="2718">
        <v>2445.0167178899997</v>
      </c>
      <c r="D97" s="2728">
        <v>1179.2342334199998</v>
      </c>
      <c r="E97" s="2728">
        <v>1265.7824844699999</v>
      </c>
      <c r="F97" s="1986">
        <v>48.230109217316738</v>
      </c>
      <c r="G97" s="1986">
        <v>51.769890782683269</v>
      </c>
      <c r="H97" s="3989"/>
    </row>
    <row r="98" spans="1:8" ht="12.75" hidden="1" customHeight="1">
      <c r="A98" s="3989"/>
      <c r="B98" s="1939">
        <v>2009</v>
      </c>
      <c r="C98" s="2718"/>
      <c r="D98" s="2728"/>
      <c r="E98" s="2728"/>
      <c r="F98" s="1986"/>
      <c r="G98" s="1986"/>
      <c r="H98" s="3989"/>
    </row>
    <row r="99" spans="1:8" ht="12.75" hidden="1" customHeight="1">
      <c r="A99" s="3989"/>
      <c r="B99" s="1937" t="s">
        <v>161</v>
      </c>
      <c r="C99" s="2718">
        <v>2439.8580720999998</v>
      </c>
      <c r="D99" s="2728">
        <v>901.24923138000008</v>
      </c>
      <c r="E99" s="2728">
        <v>1538.60884072</v>
      </c>
      <c r="F99" s="1986">
        <v>36.938592522485934</v>
      </c>
      <c r="G99" s="1986">
        <v>63.061407477514074</v>
      </c>
      <c r="H99" s="3989"/>
    </row>
    <row r="100" spans="1:8" ht="12.75" hidden="1" customHeight="1">
      <c r="A100" s="3989"/>
      <c r="B100" s="1937" t="s">
        <v>162</v>
      </c>
      <c r="C100" s="2718">
        <v>2480.7263754200003</v>
      </c>
      <c r="D100" s="2728">
        <v>832.70320244000004</v>
      </c>
      <c r="E100" s="2728">
        <v>1648.02317298</v>
      </c>
      <c r="F100" s="1986">
        <v>33.566910510193573</v>
      </c>
      <c r="G100" s="1986">
        <v>66.43308948980642</v>
      </c>
      <c r="H100" s="3989"/>
    </row>
    <row r="101" spans="1:8" ht="12.75" hidden="1" customHeight="1">
      <c r="A101" s="3989"/>
      <c r="B101" s="1937" t="s">
        <v>163</v>
      </c>
      <c r="C101" s="2718">
        <v>2370.7806528000001</v>
      </c>
      <c r="D101" s="2728">
        <v>749.93614747999993</v>
      </c>
      <c r="E101" s="2728">
        <v>1620.8445053200001</v>
      </c>
      <c r="F101" s="1986">
        <v>31.632456026427043</v>
      </c>
      <c r="G101" s="1986">
        <v>68.36754397357295</v>
      </c>
      <c r="H101" s="3989"/>
    </row>
    <row r="102" spans="1:8" ht="12.75" hidden="1" customHeight="1">
      <c r="A102" s="3989"/>
      <c r="B102" s="1938" t="s">
        <v>164</v>
      </c>
      <c r="C102" s="2718">
        <v>2299.2052617499999</v>
      </c>
      <c r="D102" s="2728">
        <v>915.63162253999985</v>
      </c>
      <c r="E102" s="2728">
        <v>1383.57363921</v>
      </c>
      <c r="F102" s="1986">
        <v>39.823831206922463</v>
      </c>
      <c r="G102" s="1986">
        <v>60.176168793077537</v>
      </c>
      <c r="H102" s="3989"/>
    </row>
    <row r="103" spans="1:8" ht="12.75" hidden="1" customHeight="1">
      <c r="A103" s="3989"/>
      <c r="B103" s="1938" t="s">
        <v>165</v>
      </c>
      <c r="C103" s="2718">
        <v>2622.7427323500001</v>
      </c>
      <c r="D103" s="2728">
        <v>868.83949661999998</v>
      </c>
      <c r="E103" s="2728">
        <v>1753.90323573</v>
      </c>
      <c r="F103" s="1986">
        <v>33.127133893209276</v>
      </c>
      <c r="G103" s="1986">
        <v>66.872866106790724</v>
      </c>
      <c r="H103" s="3989"/>
    </row>
    <row r="104" spans="1:8" ht="12.75" hidden="1" customHeight="1">
      <c r="A104" s="3989"/>
      <c r="B104" s="1938" t="s">
        <v>166</v>
      </c>
      <c r="C104" s="2718">
        <v>1756.5134957099999</v>
      </c>
      <c r="D104" s="2728">
        <v>540.44673262999993</v>
      </c>
      <c r="E104" s="2728">
        <v>1216.0667630799999</v>
      </c>
      <c r="F104" s="1986">
        <v>30.768151451722613</v>
      </c>
      <c r="G104" s="1986">
        <v>69.231848548277384</v>
      </c>
      <c r="H104" s="3989"/>
    </row>
    <row r="105" spans="1:8" ht="12.75" hidden="1" customHeight="1">
      <c r="A105" s="3989"/>
      <c r="B105" s="1938" t="s">
        <v>167</v>
      </c>
      <c r="C105" s="2718">
        <v>2868.4071994799997</v>
      </c>
      <c r="D105" s="2728">
        <v>1369.1408639699996</v>
      </c>
      <c r="E105" s="2728">
        <v>1499.2663355100003</v>
      </c>
      <c r="F105" s="1986">
        <v>47.731746880924184</v>
      </c>
      <c r="G105" s="1986">
        <v>52.268253119075823</v>
      </c>
      <c r="H105" s="3989"/>
    </row>
    <row r="106" spans="1:8" ht="12.75" hidden="1" customHeight="1">
      <c r="A106" s="3989"/>
      <c r="B106" s="1938" t="s">
        <v>168</v>
      </c>
      <c r="C106" s="2718">
        <v>4008.5843707200002</v>
      </c>
      <c r="D106" s="2728">
        <v>2364.9373965300001</v>
      </c>
      <c r="E106" s="2728">
        <v>1643.6469741899998</v>
      </c>
      <c r="F106" s="1986">
        <v>58.996822264844162</v>
      </c>
      <c r="G106" s="1986">
        <v>41.003177735155838</v>
      </c>
      <c r="H106" s="3989"/>
    </row>
    <row r="107" spans="1:8" ht="12.75" hidden="1" customHeight="1">
      <c r="A107" s="3989"/>
      <c r="B107" s="1938" t="s">
        <v>169</v>
      </c>
      <c r="C107" s="2718">
        <v>3067.2323149000003</v>
      </c>
      <c r="D107" s="2728">
        <v>1324.6417439500001</v>
      </c>
      <c r="E107" s="2728">
        <v>1742.59057095</v>
      </c>
      <c r="F107" s="1986">
        <v>43.186873635725462</v>
      </c>
      <c r="G107" s="1986">
        <v>56.813126364274524</v>
      </c>
      <c r="H107" s="3989"/>
    </row>
    <row r="108" spans="1:8" ht="12.75" hidden="1" customHeight="1">
      <c r="A108" s="3989"/>
      <c r="B108" s="1938" t="s">
        <v>170</v>
      </c>
      <c r="C108" s="2718">
        <v>3328.7117177099999</v>
      </c>
      <c r="D108" s="2728">
        <v>1287.5574474500002</v>
      </c>
      <c r="E108" s="2728">
        <v>2041.15427026</v>
      </c>
      <c r="F108" s="1986">
        <v>38.680353140817502</v>
      </c>
      <c r="G108" s="1986">
        <v>61.319646859182505</v>
      </c>
      <c r="H108" s="3989"/>
    </row>
    <row r="109" spans="1:8" ht="12.75" hidden="1" customHeight="1">
      <c r="A109" s="3989"/>
      <c r="B109" s="1938" t="s">
        <v>171</v>
      </c>
      <c r="C109" s="2718">
        <v>4194.5127176800006</v>
      </c>
      <c r="D109" s="2728">
        <v>1878.9069330500001</v>
      </c>
      <c r="E109" s="2728">
        <v>2315.6057846300005</v>
      </c>
      <c r="F109" s="1986">
        <v>44.794403057364676</v>
      </c>
      <c r="G109" s="1986">
        <v>55.205596942635324</v>
      </c>
      <c r="H109" s="3989"/>
    </row>
    <row r="110" spans="1:8">
      <c r="A110" s="3989"/>
      <c r="B110" s="1939">
        <v>2009</v>
      </c>
      <c r="C110" s="2718">
        <v>2793.4671423100003</v>
      </c>
      <c r="D110" s="2728">
        <v>1702.4619864300003</v>
      </c>
      <c r="E110" s="2728">
        <v>1091.0051558800001</v>
      </c>
      <c r="F110" s="1986">
        <v>60.944407064769848</v>
      </c>
      <c r="G110" s="1986">
        <v>39.055592935230152</v>
      </c>
      <c r="H110" s="3989"/>
    </row>
    <row r="111" spans="1:8" ht="12.75" hidden="1" customHeight="1">
      <c r="A111" s="3989"/>
      <c r="B111" s="1939">
        <v>2010</v>
      </c>
      <c r="C111" s="2718"/>
      <c r="D111" s="2728"/>
      <c r="E111" s="2728"/>
      <c r="F111" s="1986"/>
      <c r="G111" s="1986"/>
      <c r="H111" s="3989"/>
    </row>
    <row r="112" spans="1:8" ht="12.75" hidden="1" customHeight="1">
      <c r="A112" s="3989"/>
      <c r="B112" s="3025" t="s">
        <v>161</v>
      </c>
      <c r="C112" s="2718">
        <v>3239.5030838800003</v>
      </c>
      <c r="D112" s="2728">
        <v>1828.3613511200003</v>
      </c>
      <c r="E112" s="2728">
        <v>1411.14173276</v>
      </c>
      <c r="F112" s="1986">
        <v>56.439561987702916</v>
      </c>
      <c r="G112" s="1986">
        <v>43.560438012297084</v>
      </c>
      <c r="H112" s="3989"/>
    </row>
    <row r="113" spans="1:8" ht="12.75" hidden="1" customHeight="1">
      <c r="A113" s="3989"/>
      <c r="B113" s="3025" t="s">
        <v>162</v>
      </c>
      <c r="C113" s="2718">
        <v>6126.1194935099993</v>
      </c>
      <c r="D113" s="2728">
        <v>4688.6852969099991</v>
      </c>
      <c r="E113" s="2728">
        <v>1437.4341966</v>
      </c>
      <c r="F113" s="1986">
        <v>76.535975210362523</v>
      </c>
      <c r="G113" s="1986">
        <v>23.464024789637474</v>
      </c>
      <c r="H113" s="3989"/>
    </row>
    <row r="114" spans="1:8" ht="12.75" hidden="1" customHeight="1">
      <c r="A114" s="3989"/>
      <c r="B114" s="3025" t="s">
        <v>163</v>
      </c>
      <c r="C114" s="2718">
        <v>3576.0183294300004</v>
      </c>
      <c r="D114" s="2728">
        <v>1910.1911302800002</v>
      </c>
      <c r="E114" s="2728">
        <v>1665.8271991500003</v>
      </c>
      <c r="F114" s="1986">
        <v>53.41670411920051</v>
      </c>
      <c r="G114" s="1986">
        <v>46.583295880799497</v>
      </c>
      <c r="H114" s="3989"/>
    </row>
    <row r="115" spans="1:8" ht="12.75" hidden="1" customHeight="1">
      <c r="A115" s="3989"/>
      <c r="B115" s="3025" t="s">
        <v>164</v>
      </c>
      <c r="C115" s="2718">
        <v>3335.6063238799998</v>
      </c>
      <c r="D115" s="2728">
        <v>1719.21454326</v>
      </c>
      <c r="E115" s="2728">
        <v>1616.3917806199997</v>
      </c>
      <c r="F115" s="1986">
        <v>51.541290438021413</v>
      </c>
      <c r="G115" s="1986">
        <v>48.45870956197858</v>
      </c>
      <c r="H115" s="3989"/>
    </row>
    <row r="116" spans="1:8" ht="12.75" hidden="1" customHeight="1">
      <c r="A116" s="3989"/>
      <c r="B116" s="3025" t="s">
        <v>165</v>
      </c>
      <c r="C116" s="2718">
        <v>3039.4943506099999</v>
      </c>
      <c r="D116" s="2728">
        <v>1786.5490502499999</v>
      </c>
      <c r="E116" s="2728">
        <v>1252.9453003600001</v>
      </c>
      <c r="F116" s="1986">
        <v>58.777837500880871</v>
      </c>
      <c r="G116" s="1986">
        <v>41.222162499119136</v>
      </c>
      <c r="H116" s="3989"/>
    </row>
    <row r="117" spans="1:8" ht="12.75" hidden="1" customHeight="1">
      <c r="A117" s="3989"/>
      <c r="B117" s="3025" t="s">
        <v>166</v>
      </c>
      <c r="C117" s="2718">
        <v>2804.71151964</v>
      </c>
      <c r="D117" s="2728">
        <v>1292.32538522</v>
      </c>
      <c r="E117" s="2728">
        <v>1512.38613442</v>
      </c>
      <c r="F117" s="1986">
        <v>46.076945032331778</v>
      </c>
      <c r="G117" s="1986">
        <v>53.923054967668229</v>
      </c>
      <c r="H117" s="3989"/>
    </row>
    <row r="118" spans="1:8" ht="12.75" hidden="1" customHeight="1">
      <c r="A118" s="3989"/>
      <c r="B118" s="3025" t="s">
        <v>167</v>
      </c>
      <c r="C118" s="2718">
        <v>2862.14556085</v>
      </c>
      <c r="D118" s="2728">
        <v>1511.31937049</v>
      </c>
      <c r="E118" s="2728">
        <v>1350.8261903600001</v>
      </c>
      <c r="F118" s="1986">
        <v>52.80372148651896</v>
      </c>
      <c r="G118" s="1986">
        <v>47.19627851348104</v>
      </c>
      <c r="H118" s="3989"/>
    </row>
    <row r="119" spans="1:8" ht="12.75" hidden="1" customHeight="1">
      <c r="A119" s="3989"/>
      <c r="B119" s="3025" t="s">
        <v>168</v>
      </c>
      <c r="C119" s="2718">
        <v>8064.7983832899999</v>
      </c>
      <c r="D119" s="2728">
        <v>6625.1829804700001</v>
      </c>
      <c r="E119" s="2728">
        <v>1439.6154028200001</v>
      </c>
      <c r="F119" s="1986">
        <v>82.149393767823938</v>
      </c>
      <c r="G119" s="1986">
        <v>17.850606232176077</v>
      </c>
      <c r="H119" s="3989"/>
    </row>
    <row r="120" spans="1:8" ht="12.75" hidden="1" customHeight="1">
      <c r="A120" s="3989"/>
      <c r="B120" s="3025" t="s">
        <v>169</v>
      </c>
      <c r="C120" s="2718">
        <v>2612.5646873600003</v>
      </c>
      <c r="D120" s="2728">
        <v>1006.40385136</v>
      </c>
      <c r="E120" s="2728">
        <v>1606.1608360000002</v>
      </c>
      <c r="F120" s="1986">
        <v>38.521681634492744</v>
      </c>
      <c r="G120" s="1986">
        <v>61.478318365507256</v>
      </c>
      <c r="H120" s="3989"/>
    </row>
    <row r="121" spans="1:8" ht="12.75" hidden="1" customHeight="1">
      <c r="A121" s="3989"/>
      <c r="B121" s="3025" t="s">
        <v>170</v>
      </c>
      <c r="C121" s="2718">
        <v>3409.84997591</v>
      </c>
      <c r="D121" s="2728">
        <v>916.24614294000003</v>
      </c>
      <c r="E121" s="2728">
        <v>2493.60383297</v>
      </c>
      <c r="F121" s="1986">
        <v>26.870570535745575</v>
      </c>
      <c r="G121" s="1986">
        <v>73.129429464254429</v>
      </c>
      <c r="H121" s="3989"/>
    </row>
    <row r="122" spans="1:8" ht="12.75" hidden="1" customHeight="1">
      <c r="A122" s="3989"/>
      <c r="B122" s="3025" t="s">
        <v>171</v>
      </c>
      <c r="C122" s="2718">
        <v>2865.3943124899997</v>
      </c>
      <c r="D122" s="2728">
        <v>1398.8682132500001</v>
      </c>
      <c r="E122" s="2728">
        <v>1466.5260992399999</v>
      </c>
      <c r="F122" s="1986">
        <v>48.819396588890321</v>
      </c>
      <c r="G122" s="1986">
        <v>51.180603411109693</v>
      </c>
      <c r="H122" s="3989"/>
    </row>
    <row r="123" spans="1:8">
      <c r="A123" s="3989"/>
      <c r="B123" s="1939">
        <v>2010</v>
      </c>
      <c r="C123" s="2718">
        <v>2319.2510804399999</v>
      </c>
      <c r="D123" s="2728">
        <v>1149.7125675300001</v>
      </c>
      <c r="E123" s="2728">
        <v>1169.53851291</v>
      </c>
      <c r="F123" s="1986">
        <v>49.572578718466346</v>
      </c>
      <c r="G123" s="1986">
        <v>50.427421281533668</v>
      </c>
      <c r="H123" s="3989"/>
    </row>
    <row r="124" spans="1:8" ht="12.75" hidden="1" customHeight="1">
      <c r="A124" s="3989"/>
      <c r="B124" s="1936">
        <v>2011</v>
      </c>
      <c r="C124" s="2718"/>
      <c r="D124" s="2728"/>
      <c r="E124" s="2728"/>
      <c r="F124" s="1986"/>
      <c r="G124" s="1986"/>
      <c r="H124" s="3989"/>
    </row>
    <row r="125" spans="1:8" ht="12.75" hidden="1" customHeight="1">
      <c r="A125" s="3989"/>
      <c r="B125" s="2496" t="s">
        <v>161</v>
      </c>
      <c r="C125" s="2718">
        <v>2356.0892079199998</v>
      </c>
      <c r="D125" s="2728">
        <v>941.97976517000006</v>
      </c>
      <c r="E125" s="2728">
        <v>1414.1094427499997</v>
      </c>
      <c r="F125" s="1986">
        <v>39.980649374545443</v>
      </c>
      <c r="G125" s="1986">
        <v>60.019350625454557</v>
      </c>
      <c r="H125" s="3989"/>
    </row>
    <row r="126" spans="1:8" ht="12.75" hidden="1" customHeight="1">
      <c r="A126" s="3989"/>
      <c r="B126" s="2496" t="s">
        <v>162</v>
      </c>
      <c r="C126" s="2718">
        <v>2302.7064902799998</v>
      </c>
      <c r="D126" s="2728">
        <v>678.94035397000005</v>
      </c>
      <c r="E126" s="2728">
        <v>1623.7661363099999</v>
      </c>
      <c r="F126" s="1986">
        <v>29.484450442811045</v>
      </c>
      <c r="G126" s="1986">
        <v>70.515549557188962</v>
      </c>
      <c r="H126" s="3989"/>
    </row>
    <row r="127" spans="1:8" ht="12.75" hidden="1" customHeight="1">
      <c r="A127" s="3989"/>
      <c r="B127" s="2496" t="s">
        <v>163</v>
      </c>
      <c r="C127" s="2718">
        <v>4043.6888054000001</v>
      </c>
      <c r="D127" s="2728">
        <v>1018.6502586900001</v>
      </c>
      <c r="E127" s="2728">
        <v>3025.03854671</v>
      </c>
      <c r="F127" s="1986">
        <v>25.191114047393555</v>
      </c>
      <c r="G127" s="1986">
        <v>74.808885952606445</v>
      </c>
      <c r="H127" s="3989"/>
    </row>
    <row r="128" spans="1:8" ht="12.75" hidden="1" customHeight="1">
      <c r="A128" s="3989"/>
      <c r="B128" s="2496" t="s">
        <v>164</v>
      </c>
      <c r="C128" s="2718">
        <v>3350.1792547599998</v>
      </c>
      <c r="D128" s="2728">
        <v>1120.3579638199999</v>
      </c>
      <c r="E128" s="2728">
        <v>2229.8212909399999</v>
      </c>
      <c r="F128" s="1986">
        <v>33.441731878321839</v>
      </c>
      <c r="G128" s="1986">
        <v>66.558268121678168</v>
      </c>
      <c r="H128" s="3989"/>
    </row>
    <row r="129" spans="1:12" ht="12.75" hidden="1" customHeight="1">
      <c r="A129" s="3989"/>
      <c r="B129" s="2496" t="s">
        <v>165</v>
      </c>
      <c r="C129" s="2718">
        <v>3122.8850434199999</v>
      </c>
      <c r="D129" s="2728">
        <v>673.46727382999995</v>
      </c>
      <c r="E129" s="2728">
        <v>2449.4177695899998</v>
      </c>
      <c r="F129" s="1986">
        <v>21.565548025823524</v>
      </c>
      <c r="G129" s="1986">
        <v>78.434451974176469</v>
      </c>
      <c r="H129" s="3989"/>
    </row>
    <row r="130" spans="1:12" ht="12.75" hidden="1" customHeight="1">
      <c r="A130" s="3989"/>
      <c r="B130" s="2496" t="s">
        <v>166</v>
      </c>
      <c r="C130" s="2718">
        <v>2896.5147696399999</v>
      </c>
      <c r="D130" s="2728">
        <v>710.20366561000003</v>
      </c>
      <c r="E130" s="2728">
        <v>2186.31110403</v>
      </c>
      <c r="F130" s="1986">
        <v>24.519248893671943</v>
      </c>
      <c r="G130" s="1986">
        <v>75.480751106328057</v>
      </c>
      <c r="H130" s="3989"/>
    </row>
    <row r="131" spans="1:12" ht="12.75" hidden="1" customHeight="1">
      <c r="A131" s="3989"/>
      <c r="B131" s="2496" t="s">
        <v>167</v>
      </c>
      <c r="C131" s="2718">
        <v>3043.5953030400001</v>
      </c>
      <c r="D131" s="2728">
        <v>422.94691390999998</v>
      </c>
      <c r="E131" s="2728">
        <v>2620.6483891299999</v>
      </c>
      <c r="F131" s="1986">
        <v>13.896292765583935</v>
      </c>
      <c r="G131" s="1986">
        <v>86.103707234416063</v>
      </c>
      <c r="H131" s="3989"/>
    </row>
    <row r="132" spans="1:12" ht="12.75" hidden="1" customHeight="1">
      <c r="A132" s="3989"/>
      <c r="B132" s="2496" t="s">
        <v>168</v>
      </c>
      <c r="C132" s="2718">
        <v>2892.3443891300003</v>
      </c>
      <c r="D132" s="2728">
        <v>894.90677827999991</v>
      </c>
      <c r="E132" s="2728">
        <v>1997.4376108500005</v>
      </c>
      <c r="F132" s="1986">
        <v>30.940533279620357</v>
      </c>
      <c r="G132" s="1986">
        <v>69.059466720379646</v>
      </c>
      <c r="H132" s="3989"/>
    </row>
    <row r="133" spans="1:12" ht="12.75" hidden="1" customHeight="1">
      <c r="A133" s="3989"/>
      <c r="B133" s="2496" t="s">
        <v>169</v>
      </c>
      <c r="C133" s="2718">
        <v>2024.2401293200001</v>
      </c>
      <c r="D133" s="2728">
        <v>166.62500968999998</v>
      </c>
      <c r="E133" s="2728">
        <v>1857.61511963</v>
      </c>
      <c r="F133" s="1986">
        <v>8.2314843617873574</v>
      </c>
      <c r="G133" s="1986">
        <v>91.768515638212634</v>
      </c>
      <c r="H133" s="3989"/>
      <c r="K133" s="802" t="s">
        <v>143</v>
      </c>
      <c r="L133" s="802" t="s">
        <v>143</v>
      </c>
    </row>
    <row r="134" spans="1:12" ht="12.75" hidden="1" customHeight="1">
      <c r="A134" s="3989"/>
      <c r="B134" s="2497" t="s">
        <v>170</v>
      </c>
      <c r="C134" s="2718">
        <v>2695.2890647900003</v>
      </c>
      <c r="D134" s="2728">
        <v>968.09297335999997</v>
      </c>
      <c r="E134" s="2728">
        <v>1727.1960914300003</v>
      </c>
      <c r="F134" s="1986">
        <v>35.91796464456133</v>
      </c>
      <c r="G134" s="1986">
        <v>64.082035355438677</v>
      </c>
      <c r="H134" s="3989"/>
      <c r="K134" s="802" t="s">
        <v>143</v>
      </c>
    </row>
    <row r="135" spans="1:12" ht="12.75" hidden="1" customHeight="1">
      <c r="A135" s="3989"/>
      <c r="B135" s="2497" t="s">
        <v>171</v>
      </c>
      <c r="C135" s="2718">
        <v>3306.3932685600003</v>
      </c>
      <c r="D135" s="2728">
        <v>1640.7009293900001</v>
      </c>
      <c r="E135" s="2728">
        <v>1665.6923391700002</v>
      </c>
      <c r="F135" s="1986">
        <v>49.622074451674578</v>
      </c>
      <c r="G135" s="1986">
        <v>50.377925548325422</v>
      </c>
      <c r="H135" s="3989"/>
    </row>
    <row r="136" spans="1:12">
      <c r="A136" s="3989"/>
      <c r="B136" s="1939">
        <v>2011</v>
      </c>
      <c r="C136" s="2718">
        <v>2243.2539279699999</v>
      </c>
      <c r="D136" s="2728">
        <v>823.97952056999998</v>
      </c>
      <c r="E136" s="2728">
        <v>1419.2744074</v>
      </c>
      <c r="F136" s="1986">
        <v>36.731442227570213</v>
      </c>
      <c r="G136" s="1986">
        <v>63.268557772429787</v>
      </c>
      <c r="H136" s="3989"/>
    </row>
    <row r="137" spans="1:12" ht="12.75" hidden="1" customHeight="1">
      <c r="A137" s="3989"/>
      <c r="B137" s="2503">
        <v>2012</v>
      </c>
      <c r="C137" s="2721"/>
      <c r="D137" s="2732"/>
      <c r="E137" s="2732"/>
      <c r="F137" s="1987"/>
      <c r="G137" s="1987"/>
      <c r="H137" s="3989"/>
    </row>
    <row r="138" spans="1:12" ht="12.75" hidden="1" customHeight="1">
      <c r="A138" s="3989"/>
      <c r="B138" s="2498" t="s">
        <v>161</v>
      </c>
      <c r="C138" s="2721">
        <v>2376.0624337899999</v>
      </c>
      <c r="D138" s="2732">
        <v>861.98470382999994</v>
      </c>
      <c r="E138" s="2732">
        <v>1514.0777299599997</v>
      </c>
      <c r="F138" s="1987">
        <v>36.277864233351345</v>
      </c>
      <c r="G138" s="1987">
        <v>63.722135766648648</v>
      </c>
      <c r="H138" s="3989"/>
    </row>
    <row r="139" spans="1:12" ht="12.75" hidden="1" customHeight="1">
      <c r="A139" s="3989"/>
      <c r="B139" s="2498" t="s">
        <v>162</v>
      </c>
      <c r="C139" s="2721">
        <v>2399.3834099000001</v>
      </c>
      <c r="D139" s="2732">
        <v>408.83633775000004</v>
      </c>
      <c r="E139" s="2732">
        <v>1990.5470721499998</v>
      </c>
      <c r="F139" s="1987">
        <v>17.039224996851974</v>
      </c>
      <c r="G139" s="1987">
        <v>82.960775003148029</v>
      </c>
      <c r="H139" s="3989"/>
    </row>
    <row r="140" spans="1:12" ht="12.75" hidden="1" customHeight="1">
      <c r="A140" s="3989"/>
      <c r="B140" s="2498" t="s">
        <v>163</v>
      </c>
      <c r="C140" s="2721">
        <v>3119.0964582400002</v>
      </c>
      <c r="D140" s="2732">
        <v>897.53882423999983</v>
      </c>
      <c r="E140" s="2732">
        <v>2221.5576340000002</v>
      </c>
      <c r="F140" s="1987">
        <v>28.775603327973077</v>
      </c>
      <c r="G140" s="1987">
        <v>71.224396672026927</v>
      </c>
      <c r="H140" s="3989"/>
    </row>
    <row r="141" spans="1:12" ht="12.75" hidden="1" customHeight="1">
      <c r="A141" s="3989"/>
      <c r="B141" s="2499" t="s">
        <v>164</v>
      </c>
      <c r="C141" s="2723">
        <v>2586.0846607100002</v>
      </c>
      <c r="D141" s="2733">
        <v>832.17628446999993</v>
      </c>
      <c r="E141" s="2733">
        <v>1753.9083762400001</v>
      </c>
      <c r="F141" s="1989">
        <v>32.179003924857156</v>
      </c>
      <c r="G141" s="1989">
        <v>67.82099607514283</v>
      </c>
      <c r="H141" s="3989"/>
    </row>
    <row r="142" spans="1:12" ht="12.75" hidden="1" customHeight="1">
      <c r="A142" s="3989"/>
      <c r="B142" s="2499" t="s">
        <v>165</v>
      </c>
      <c r="C142" s="2725">
        <v>2886.7705359900001</v>
      </c>
      <c r="D142" s="2727">
        <v>1377.4943553600001</v>
      </c>
      <c r="E142" s="2727">
        <v>1509.27618063</v>
      </c>
      <c r="F142" s="1991">
        <v>47.717487004473561</v>
      </c>
      <c r="G142" s="1991">
        <v>52.282512995526446</v>
      </c>
      <c r="H142" s="3989"/>
    </row>
    <row r="143" spans="1:12" ht="12.75" hidden="1" customHeight="1">
      <c r="A143" s="3989"/>
      <c r="B143" s="2501" t="s">
        <v>166</v>
      </c>
      <c r="C143" s="2725">
        <v>2809.0909827900005</v>
      </c>
      <c r="D143" s="2727">
        <v>1392.6150664300001</v>
      </c>
      <c r="E143" s="2727">
        <v>1416.4759163600002</v>
      </c>
      <c r="F143" s="1991">
        <v>49.575292326304407</v>
      </c>
      <c r="G143" s="1991">
        <v>50.424707673695593</v>
      </c>
      <c r="H143" s="3989"/>
    </row>
    <row r="144" spans="1:12" ht="12.75" hidden="1" customHeight="1">
      <c r="A144" s="3989"/>
      <c r="B144" s="2501" t="s">
        <v>167</v>
      </c>
      <c r="C144" s="2725">
        <v>3465.2843549899999</v>
      </c>
      <c r="D144" s="2727">
        <v>2071.1923398700001</v>
      </c>
      <c r="E144" s="2727">
        <v>1394.09201512</v>
      </c>
      <c r="F144" s="1991">
        <v>59.769765701550256</v>
      </c>
      <c r="G144" s="1991">
        <v>40.230234298449744</v>
      </c>
      <c r="H144" s="3989"/>
    </row>
    <row r="145" spans="1:8" ht="12.75" hidden="1" customHeight="1">
      <c r="A145" s="3989"/>
      <c r="B145" s="2501" t="s">
        <v>168</v>
      </c>
      <c r="C145" s="2725">
        <v>2325.14681582</v>
      </c>
      <c r="D145" s="2727">
        <v>970.94644272000005</v>
      </c>
      <c r="E145" s="2727">
        <v>1354.2003731</v>
      </c>
      <c r="F145" s="1991">
        <v>41.758500414417071</v>
      </c>
      <c r="G145" s="1991">
        <v>58.241499585582922</v>
      </c>
      <c r="H145" s="3989"/>
    </row>
    <row r="146" spans="1:8" ht="12.75" hidden="1" customHeight="1">
      <c r="A146" s="3989"/>
      <c r="B146" s="2501" t="s">
        <v>169</v>
      </c>
      <c r="C146" s="2725">
        <v>4439.5098960100004</v>
      </c>
      <c r="D146" s="2727">
        <v>2231.3686102699999</v>
      </c>
      <c r="E146" s="2727">
        <v>2208.1412857400001</v>
      </c>
      <c r="F146" s="1991">
        <v>50.261597846091924</v>
      </c>
      <c r="G146" s="1991">
        <v>49.738402153908076</v>
      </c>
      <c r="H146" s="3989"/>
    </row>
    <row r="147" spans="1:8" ht="12.75" hidden="1" customHeight="1">
      <c r="A147" s="3989"/>
      <c r="B147" s="2501" t="s">
        <v>170</v>
      </c>
      <c r="C147" s="2725">
        <v>3431.4655825600003</v>
      </c>
      <c r="D147" s="2727">
        <v>1323.8046917899999</v>
      </c>
      <c r="E147" s="2727">
        <v>2107.6608907700002</v>
      </c>
      <c r="F147" s="1991">
        <v>38.578405055789389</v>
      </c>
      <c r="G147" s="1991">
        <v>61.421594944210611</v>
      </c>
      <c r="H147" s="3989"/>
    </row>
    <row r="148" spans="1:8" ht="12.75" hidden="1" customHeight="1">
      <c r="A148" s="3989"/>
      <c r="B148" s="2501" t="s">
        <v>171</v>
      </c>
      <c r="C148" s="2725">
        <v>2451.74461634</v>
      </c>
      <c r="D148" s="2727">
        <v>775.77500921000001</v>
      </c>
      <c r="E148" s="2727">
        <v>1675.96960713</v>
      </c>
      <c r="F148" s="1991">
        <v>31.641754367063246</v>
      </c>
      <c r="G148" s="1991">
        <v>68.358245632936757</v>
      </c>
      <c r="H148" s="3989"/>
    </row>
    <row r="149" spans="1:8">
      <c r="A149" s="3989"/>
      <c r="B149" s="2503">
        <v>2012</v>
      </c>
      <c r="C149" s="2718">
        <v>4661.9500469645609</v>
      </c>
      <c r="D149" s="2728">
        <v>1305.9699813545599</v>
      </c>
      <c r="E149" s="2728">
        <v>3355.9800656100006</v>
      </c>
      <c r="F149" s="1986">
        <v>28.013384274781945</v>
      </c>
      <c r="G149" s="1986">
        <v>71.986615725218044</v>
      </c>
      <c r="H149" s="3989"/>
    </row>
    <row r="150" spans="1:8">
      <c r="A150" s="3989"/>
      <c r="B150" s="1939">
        <v>2013</v>
      </c>
      <c r="C150" s="2718"/>
      <c r="D150" s="2728"/>
      <c r="E150" s="2728"/>
      <c r="F150" s="1986"/>
      <c r="G150" s="1986"/>
      <c r="H150" s="3989"/>
    </row>
    <row r="151" spans="1:8">
      <c r="A151" s="3989"/>
      <c r="B151" s="1938" t="s">
        <v>161</v>
      </c>
      <c r="C151" s="2718">
        <v>3779.8834632499997</v>
      </c>
      <c r="D151" s="2728">
        <v>1377.4276624099998</v>
      </c>
      <c r="E151" s="2728">
        <v>2402.4558008399999</v>
      </c>
      <c r="F151" s="1986">
        <v>36.441008718974295</v>
      </c>
      <c r="G151" s="1986">
        <v>63.558991281025712</v>
      </c>
      <c r="H151" s="3989"/>
    </row>
    <row r="152" spans="1:8">
      <c r="A152" s="3989"/>
      <c r="B152" s="1938" t="s">
        <v>162</v>
      </c>
      <c r="C152" s="2718">
        <v>4052.5269736099995</v>
      </c>
      <c r="D152" s="2728">
        <v>903.90242089000003</v>
      </c>
      <c r="E152" s="2728">
        <v>3148.6245527199994</v>
      </c>
      <c r="F152" s="1986">
        <v>22.30466143164994</v>
      </c>
      <c r="G152" s="1986">
        <v>77.695338568350053</v>
      </c>
      <c r="H152" s="3989"/>
    </row>
    <row r="153" spans="1:8">
      <c r="A153" s="3989"/>
      <c r="B153" s="2494" t="s">
        <v>163</v>
      </c>
      <c r="C153" s="2729">
        <v>5660.7303657799994</v>
      </c>
      <c r="D153" s="2731">
        <v>2119.1456005499995</v>
      </c>
      <c r="E153" s="2731">
        <v>3541.5847652299999</v>
      </c>
      <c r="F153" s="2389">
        <v>37.435904267063599</v>
      </c>
      <c r="G153" s="2389">
        <v>62.564095732936408</v>
      </c>
      <c r="H153" s="3989"/>
    </row>
    <row r="154" spans="1:8">
      <c r="A154" s="3989"/>
      <c r="B154" s="2494" t="s">
        <v>164</v>
      </c>
      <c r="C154" s="2729">
        <v>3272.8602763900003</v>
      </c>
      <c r="D154" s="2731">
        <v>720.40778420999993</v>
      </c>
      <c r="E154" s="2731">
        <v>2552.4524921800003</v>
      </c>
      <c r="F154" s="2389">
        <v>22.011565522883163</v>
      </c>
      <c r="G154" s="2389">
        <v>77.988434477116826</v>
      </c>
      <c r="H154" s="3989"/>
    </row>
    <row r="155" spans="1:8">
      <c r="A155" s="3989"/>
      <c r="B155" s="2494" t="s">
        <v>165</v>
      </c>
      <c r="C155" s="2729">
        <v>3891.9932962700004</v>
      </c>
      <c r="D155" s="2731">
        <v>711.99418790000004</v>
      </c>
      <c r="E155" s="2731">
        <v>3179.9991083700006</v>
      </c>
      <c r="F155" s="2389">
        <v>18.293818454989616</v>
      </c>
      <c r="G155" s="2389">
        <v>81.706181545010395</v>
      </c>
      <c r="H155" s="3989"/>
    </row>
    <row r="156" spans="1:8">
      <c r="A156" s="3989"/>
      <c r="B156" s="2777" t="s">
        <v>166</v>
      </c>
      <c r="C156" s="2778">
        <v>2932.8857890300001</v>
      </c>
      <c r="D156" s="2780">
        <v>818.40389450999999</v>
      </c>
      <c r="E156" s="2780">
        <v>2114.48189452</v>
      </c>
      <c r="F156" s="2782">
        <v>27.904390193819058</v>
      </c>
      <c r="G156" s="2782">
        <v>72.095609806180931</v>
      </c>
      <c r="H156" s="3989"/>
    </row>
    <row r="157" spans="1:8">
      <c r="A157" s="3989"/>
      <c r="B157" s="2777" t="s">
        <v>167</v>
      </c>
      <c r="C157" s="2778">
        <v>3147.8405999799998</v>
      </c>
      <c r="D157" s="2780">
        <v>884.30378900999995</v>
      </c>
      <c r="E157" s="2780">
        <v>2263.5368109699998</v>
      </c>
      <c r="F157" s="2782">
        <v>28.092394164292134</v>
      </c>
      <c r="G157" s="2782">
        <v>71.907605835707869</v>
      </c>
      <c r="H157" s="3989"/>
    </row>
    <row r="158" spans="1:8">
      <c r="A158" s="3989"/>
      <c r="B158" s="2777" t="s">
        <v>168</v>
      </c>
      <c r="C158" s="2778">
        <v>2946.2761416099997</v>
      </c>
      <c r="D158" s="2780">
        <v>635.60992774999988</v>
      </c>
      <c r="E158" s="2780">
        <v>2310.66621386</v>
      </c>
      <c r="F158" s="2782">
        <v>21.573331799193447</v>
      </c>
      <c r="G158" s="2782">
        <v>78.42666820080656</v>
      </c>
      <c r="H158" s="3989"/>
    </row>
    <row r="159" spans="1:8">
      <c r="A159" s="3989"/>
      <c r="B159" s="2777" t="s">
        <v>169</v>
      </c>
      <c r="C159" s="2778">
        <v>3411.4101922899999</v>
      </c>
      <c r="D159" s="2780">
        <v>866.56916316999991</v>
      </c>
      <c r="E159" s="2780">
        <v>2544.8410291199998</v>
      </c>
      <c r="F159" s="2782">
        <v>25.402080498220364</v>
      </c>
      <c r="G159" s="2782">
        <v>74.597919501779629</v>
      </c>
      <c r="H159" s="3989"/>
    </row>
    <row r="160" spans="1:8">
      <c r="A160" s="3989"/>
      <c r="B160" s="2777" t="s">
        <v>170</v>
      </c>
      <c r="C160" s="2778">
        <v>3805.2841661000002</v>
      </c>
      <c r="D160" s="2780">
        <v>902.78592856</v>
      </c>
      <c r="E160" s="2780">
        <v>2902.49823754</v>
      </c>
      <c r="F160" s="2782">
        <v>23.724533810184713</v>
      </c>
      <c r="G160" s="2782">
        <v>76.275466189815276</v>
      </c>
      <c r="H160" s="3989"/>
    </row>
    <row r="161" spans="1:8">
      <c r="A161" s="3989"/>
      <c r="B161" s="2777" t="s">
        <v>171</v>
      </c>
      <c r="C161" s="2778">
        <v>3729.9831070199994</v>
      </c>
      <c r="D161" s="2780">
        <v>868.63426639999989</v>
      </c>
      <c r="E161" s="2780">
        <v>2861.3488406199995</v>
      </c>
      <c r="F161" s="2782">
        <v>23.287887410674603</v>
      </c>
      <c r="G161" s="2782">
        <v>76.7121125893254</v>
      </c>
      <c r="H161" s="3989"/>
    </row>
    <row r="162" spans="1:8">
      <c r="A162" s="3989"/>
      <c r="B162" s="2777" t="s">
        <v>148</v>
      </c>
      <c r="C162" s="2778">
        <v>3550.9299760800004</v>
      </c>
      <c r="D162" s="2780">
        <v>632.71391141000004</v>
      </c>
      <c r="E162" s="2780">
        <v>2918.2160646700004</v>
      </c>
      <c r="F162" s="2782">
        <v>17.818259320012718</v>
      </c>
      <c r="G162" s="2782">
        <v>82.181740679987286</v>
      </c>
      <c r="H162" s="3989"/>
    </row>
    <row r="163" spans="1:8">
      <c r="A163" s="3989"/>
      <c r="B163" s="2931">
        <v>2014</v>
      </c>
      <c r="C163" s="2930"/>
      <c r="D163" s="2932"/>
      <c r="E163" s="2932"/>
      <c r="F163" s="2930"/>
      <c r="G163" s="2930"/>
      <c r="H163" s="3989"/>
    </row>
    <row r="164" spans="1:8">
      <c r="A164" s="3989"/>
      <c r="B164" s="2777" t="s">
        <v>161</v>
      </c>
      <c r="C164" s="2778">
        <v>4513.3366307600008</v>
      </c>
      <c r="D164" s="2780">
        <v>1095.5567862100006</v>
      </c>
      <c r="E164" s="2780">
        <v>3417.7798445500002</v>
      </c>
      <c r="F164" s="2782">
        <v>24.273766302814419</v>
      </c>
      <c r="G164" s="2782">
        <v>75.726233697185592</v>
      </c>
      <c r="H164" s="3989"/>
    </row>
    <row r="165" spans="1:8">
      <c r="A165" s="3989"/>
      <c r="B165" s="2777" t="s">
        <v>162</v>
      </c>
      <c r="C165" s="2778">
        <v>5769.1912389199997</v>
      </c>
      <c r="D165" s="2780">
        <v>1027.82932886</v>
      </c>
      <c r="E165" s="2780">
        <v>4741.3619100599999</v>
      </c>
      <c r="F165" s="2782">
        <v>17.815830439561076</v>
      </c>
      <c r="G165" s="2782">
        <v>82.184169560438932</v>
      </c>
      <c r="H165" s="3989"/>
    </row>
    <row r="166" spans="1:8">
      <c r="A166" s="3989"/>
      <c r="B166" s="2777" t="s">
        <v>163</v>
      </c>
      <c r="C166" s="2778">
        <v>4684.51097372</v>
      </c>
      <c r="D166" s="2780">
        <v>642.98131664000005</v>
      </c>
      <c r="E166" s="2780">
        <v>4041.5296570800001</v>
      </c>
      <c r="F166" s="2782">
        <v>13.725687062045763</v>
      </c>
      <c r="G166" s="2782">
        <v>86.274312937954235</v>
      </c>
      <c r="H166" s="3989"/>
    </row>
    <row r="167" spans="1:8">
      <c r="A167" s="3989"/>
      <c r="B167" s="2777" t="s">
        <v>164</v>
      </c>
      <c r="C167" s="2778">
        <v>5007.4110965600003</v>
      </c>
      <c r="D167" s="2780">
        <v>772.68949658000054</v>
      </c>
      <c r="E167" s="2780">
        <v>4234.7215999800001</v>
      </c>
      <c r="F167" s="2782">
        <v>15.430917927046655</v>
      </c>
      <c r="G167" s="2782">
        <v>84.56908207295335</v>
      </c>
      <c r="H167" s="3989"/>
    </row>
    <row r="168" spans="1:8">
      <c r="A168" s="3989"/>
      <c r="B168" s="2777" t="s">
        <v>165</v>
      </c>
      <c r="C168" s="2778">
        <v>4352.4523405999998</v>
      </c>
      <c r="D168" s="2780">
        <v>1129.2630587699998</v>
      </c>
      <c r="E168" s="2780">
        <v>3223.1892818300003</v>
      </c>
      <c r="F168" s="2782">
        <v>25.945443405230424</v>
      </c>
      <c r="G168" s="2782">
        <v>74.054556594769579</v>
      </c>
      <c r="H168" s="3989"/>
    </row>
    <row r="169" spans="1:8">
      <c r="A169" s="3989"/>
      <c r="B169" s="2777" t="s">
        <v>166</v>
      </c>
      <c r="C169" s="2778">
        <v>3311.1552849340087</v>
      </c>
      <c r="D169" s="2780">
        <v>772.14573354000015</v>
      </c>
      <c r="E169" s="2780">
        <v>2539.0095513940087</v>
      </c>
      <c r="F169" s="2782">
        <v>23.319526482292087</v>
      </c>
      <c r="G169" s="2782">
        <v>76.68047351770791</v>
      </c>
      <c r="H169" s="3989"/>
    </row>
    <row r="170" spans="1:8">
      <c r="A170" s="3989"/>
      <c r="B170" s="3021" t="s">
        <v>167</v>
      </c>
      <c r="C170" s="3017">
        <v>4329.8477890644635</v>
      </c>
      <c r="D170" s="3019">
        <v>884.05255705999991</v>
      </c>
      <c r="E170" s="3019">
        <v>3445.7952320044633</v>
      </c>
      <c r="F170" s="2405">
        <v>20.417635910730578</v>
      </c>
      <c r="G170" s="2405">
        <v>79.582364089269404</v>
      </c>
      <c r="H170" s="3989"/>
    </row>
    <row r="171" spans="1:8">
      <c r="A171" s="3989"/>
      <c r="B171" s="2777" t="s">
        <v>168</v>
      </c>
      <c r="C171" s="2778">
        <v>3571.32661641</v>
      </c>
      <c r="D171" s="2780">
        <v>852.47335123000005</v>
      </c>
      <c r="E171" s="2780">
        <v>2718.8532651800001</v>
      </c>
      <c r="F171" s="2782">
        <v>23.869935259153944</v>
      </c>
      <c r="G171" s="2782">
        <v>76.130064740846066</v>
      </c>
      <c r="H171" s="3989"/>
    </row>
    <row r="172" spans="1:8">
      <c r="A172" s="3989"/>
      <c r="B172" s="2777" t="s">
        <v>169</v>
      </c>
      <c r="C172" s="2778">
        <v>4270.1490831355004</v>
      </c>
      <c r="D172" s="2780">
        <v>1075.8669837</v>
      </c>
      <c r="E172" s="2780">
        <v>3194.2820994355006</v>
      </c>
      <c r="F172" s="2782">
        <v>25.195068433301831</v>
      </c>
      <c r="G172" s="2782">
        <v>74.804931566698173</v>
      </c>
      <c r="H172" s="3989"/>
    </row>
    <row r="173" spans="1:8">
      <c r="A173" s="3989"/>
      <c r="B173" s="2777" t="s">
        <v>170</v>
      </c>
      <c r="C173" s="2778">
        <v>3918.6576667300001</v>
      </c>
      <c r="D173" s="2780">
        <v>809.10487658</v>
      </c>
      <c r="E173" s="2780">
        <v>3109.55279015</v>
      </c>
      <c r="F173" s="2782">
        <v>20.647500889129038</v>
      </c>
      <c r="G173" s="2782">
        <v>79.352499110870951</v>
      </c>
      <c r="H173" s="3989"/>
    </row>
    <row r="174" spans="1:8">
      <c r="A174" s="3989"/>
      <c r="B174" s="2777" t="s">
        <v>171</v>
      </c>
      <c r="C174" s="2778">
        <v>3553.6484942799998</v>
      </c>
      <c r="D174" s="2780">
        <v>1322.7994029800002</v>
      </c>
      <c r="E174" s="2780">
        <v>2230.8490912999996</v>
      </c>
      <c r="F174" s="2782">
        <v>37.223698548384732</v>
      </c>
      <c r="G174" s="2782">
        <v>62.776301451615268</v>
      </c>
      <c r="H174" s="3989"/>
    </row>
    <row r="175" spans="1:8">
      <c r="A175" s="3989"/>
      <c r="B175" s="2777" t="s">
        <v>148</v>
      </c>
      <c r="C175" s="2778">
        <v>3579.5175822400001</v>
      </c>
      <c r="D175" s="2780">
        <v>1303.1383186500002</v>
      </c>
      <c r="E175" s="2780">
        <v>2276.3792635899999</v>
      </c>
      <c r="F175" s="2782">
        <v>36.405417453893854</v>
      </c>
      <c r="G175" s="2782">
        <v>63.594582546106146</v>
      </c>
      <c r="H175" s="3989"/>
    </row>
    <row r="176" spans="1:8">
      <c r="A176" s="3989"/>
      <c r="B176" s="2931">
        <v>2015</v>
      </c>
      <c r="C176" s="2778"/>
      <c r="D176" s="2780"/>
      <c r="E176" s="2780"/>
      <c r="F176" s="2782"/>
      <c r="G176" s="2782"/>
      <c r="H176" s="3989"/>
    </row>
    <row r="177" spans="1:8">
      <c r="A177" s="3989"/>
      <c r="B177" s="2777" t="s">
        <v>161</v>
      </c>
      <c r="C177" s="2778">
        <v>3435.48016577</v>
      </c>
      <c r="D177" s="2780">
        <v>1137.5470609900001</v>
      </c>
      <c r="E177" s="2780">
        <v>2297.9331047799997</v>
      </c>
      <c r="F177" s="2782">
        <v>33.111734200189737</v>
      </c>
      <c r="G177" s="2782">
        <v>66.888265799810256</v>
      </c>
      <c r="H177" s="3989"/>
    </row>
    <row r="178" spans="1:8">
      <c r="A178" s="3989"/>
      <c r="B178" s="2777" t="s">
        <v>162</v>
      </c>
      <c r="C178" s="2778">
        <v>4358.57489867</v>
      </c>
      <c r="D178" s="2780">
        <v>1161.35281102</v>
      </c>
      <c r="E178" s="2780">
        <v>3197.2220876499996</v>
      </c>
      <c r="F178" s="2782">
        <v>26.645241575965155</v>
      </c>
      <c r="G178" s="2782">
        <v>73.354758424034841</v>
      </c>
      <c r="H178" s="3989"/>
    </row>
    <row r="179" spans="1:8">
      <c r="A179" s="3989"/>
      <c r="B179" s="2777" t="s">
        <v>163</v>
      </c>
      <c r="C179" s="2778">
        <v>5095.1471715099997</v>
      </c>
      <c r="D179" s="2780">
        <v>1526.22747656</v>
      </c>
      <c r="E179" s="2780">
        <v>3568.9196949499997</v>
      </c>
      <c r="F179" s="2782">
        <v>29.954531737454932</v>
      </c>
      <c r="G179" s="2782">
        <v>70.045468262545072</v>
      </c>
      <c r="H179" s="3989"/>
    </row>
    <row r="180" spans="1:8">
      <c r="A180" s="3989"/>
      <c r="B180" s="2777" t="s">
        <v>164</v>
      </c>
      <c r="C180" s="2778">
        <v>3171.0587799447339</v>
      </c>
      <c r="D180" s="2780">
        <v>1060.4488537247341</v>
      </c>
      <c r="E180" s="2780">
        <v>2110.60992622</v>
      </c>
      <c r="F180" s="2782">
        <v>33.441475775583577</v>
      </c>
      <c r="G180" s="2782">
        <v>66.558524224416431</v>
      </c>
      <c r="H180" s="3989"/>
    </row>
    <row r="181" spans="1:8">
      <c r="A181" s="3989"/>
      <c r="B181" s="2777" t="s">
        <v>165</v>
      </c>
      <c r="C181" s="2778">
        <v>2958.47514585</v>
      </c>
      <c r="D181" s="2780">
        <v>1082.1336126599999</v>
      </c>
      <c r="E181" s="2780">
        <v>1876.3415331900001</v>
      </c>
      <c r="F181" s="2782">
        <v>36.577410973959424</v>
      </c>
      <c r="G181" s="2782">
        <v>63.422589026040576</v>
      </c>
      <c r="H181" s="3989"/>
    </row>
    <row r="182" spans="1:8">
      <c r="A182" s="3989"/>
      <c r="B182" s="2777" t="s">
        <v>166</v>
      </c>
      <c r="C182" s="2778">
        <v>3136.21463907</v>
      </c>
      <c r="D182" s="2780">
        <v>1207.82136773</v>
      </c>
      <c r="E182" s="2780">
        <v>1928.39327134</v>
      </c>
      <c r="F182" s="2782">
        <v>38.512076076787984</v>
      </c>
      <c r="G182" s="2782">
        <v>61.487923923212016</v>
      </c>
      <c r="H182" s="3989"/>
    </row>
    <row r="183" spans="1:8">
      <c r="A183" s="3989"/>
      <c r="B183" s="2777" t="s">
        <v>167</v>
      </c>
      <c r="C183" s="2778">
        <v>2725.7097075500001</v>
      </c>
      <c r="D183" s="2780">
        <v>784.83049659999995</v>
      </c>
      <c r="E183" s="2780">
        <v>1940.87921095</v>
      </c>
      <c r="F183" s="2782">
        <v>28.79362004053776</v>
      </c>
      <c r="G183" s="2782">
        <v>71.20637995946224</v>
      </c>
      <c r="H183" s="3989"/>
    </row>
    <row r="184" spans="1:8">
      <c r="A184" s="3989"/>
      <c r="B184" s="2777" t="s">
        <v>168</v>
      </c>
      <c r="C184" s="2778">
        <v>3043.104145153</v>
      </c>
      <c r="D184" s="2780">
        <v>1054.6270218999998</v>
      </c>
      <c r="E184" s="2780">
        <v>1988.4771232529999</v>
      </c>
      <c r="F184" s="2782">
        <v>34.656290800293185</v>
      </c>
      <c r="G184" s="2782">
        <v>65.343709199706808</v>
      </c>
      <c r="H184" s="3989"/>
    </row>
    <row r="185" spans="1:8">
      <c r="A185" s="3989"/>
      <c r="B185" s="3234" t="s">
        <v>169</v>
      </c>
      <c r="C185" s="3230">
        <v>5262.4311878222506</v>
      </c>
      <c r="D185" s="3232">
        <v>2347.0360773699999</v>
      </c>
      <c r="E185" s="3232">
        <v>2915.3951104522503</v>
      </c>
      <c r="F185" s="3235">
        <v>44.59984356282429</v>
      </c>
      <c r="G185" s="3235">
        <v>55.400156437175696</v>
      </c>
      <c r="H185" s="3989"/>
    </row>
    <row r="186" spans="1:8">
      <c r="A186" s="3989"/>
      <c r="B186" s="3234" t="s">
        <v>170</v>
      </c>
      <c r="C186" s="3230">
        <v>4755.6632239705004</v>
      </c>
      <c r="D186" s="3232">
        <v>1491.7767899999999</v>
      </c>
      <c r="E186" s="3232">
        <v>3263.8864339705005</v>
      </c>
      <c r="F186" s="3235">
        <v>31.368427908873585</v>
      </c>
      <c r="G186" s="3235">
        <v>68.631572091126415</v>
      </c>
      <c r="H186" s="3989"/>
    </row>
    <row r="187" spans="1:8">
      <c r="A187" s="3989"/>
      <c r="B187" s="4218" t="s">
        <v>171</v>
      </c>
      <c r="C187" s="4214">
        <v>4374.8930272692505</v>
      </c>
      <c r="D187" s="4216">
        <v>1426.8736855700001</v>
      </c>
      <c r="E187" s="4216">
        <v>2948.0193416992502</v>
      </c>
      <c r="F187" s="3901">
        <v>32.615053137896624</v>
      </c>
      <c r="G187" s="3901">
        <v>67.384946862103376</v>
      </c>
      <c r="H187" s="3989"/>
    </row>
    <row r="188" spans="1:8">
      <c r="A188" s="3989"/>
      <c r="B188" s="4213" t="s">
        <v>148</v>
      </c>
      <c r="C188" s="4352">
        <v>4494.7986236699999</v>
      </c>
      <c r="D188" s="4353">
        <v>2113.9763785099994</v>
      </c>
      <c r="E188" s="4353">
        <v>2380.82224516</v>
      </c>
      <c r="F188" s="4353">
        <v>47.031614884315758</v>
      </c>
      <c r="G188" s="4353">
        <v>52.968385115684235</v>
      </c>
      <c r="H188" s="3989"/>
    </row>
    <row r="189" spans="1:8">
      <c r="A189" s="4284"/>
      <c r="B189" s="4213">
        <v>2016</v>
      </c>
      <c r="C189" s="4352"/>
      <c r="D189" s="4353"/>
      <c r="E189" s="4353"/>
      <c r="F189" s="4353"/>
      <c r="G189" s="4353"/>
      <c r="H189" s="4284"/>
    </row>
    <row r="190" spans="1:8">
      <c r="A190" s="4284"/>
      <c r="B190" s="4213" t="s">
        <v>161</v>
      </c>
      <c r="C190" s="4352">
        <v>4197.7147627699997</v>
      </c>
      <c r="D190" s="4353">
        <v>2287.0522132900001</v>
      </c>
      <c r="E190" s="4353">
        <v>1910.6625494800001</v>
      </c>
      <c r="F190" s="4353">
        <v>54.483268695960987</v>
      </c>
      <c r="G190" s="4353">
        <v>45.516731304039027</v>
      </c>
      <c r="H190" s="4284"/>
    </row>
    <row r="191" spans="1:8">
      <c r="A191" s="4284"/>
      <c r="B191" s="4347" t="s">
        <v>162</v>
      </c>
      <c r="C191" s="4354">
        <v>3417.4822919300077</v>
      </c>
      <c r="D191" s="4355">
        <v>1731.1216271200001</v>
      </c>
      <c r="E191" s="4355">
        <v>1686.3606648100076</v>
      </c>
      <c r="F191" s="4355">
        <v>50.654882139633763</v>
      </c>
      <c r="G191" s="4355">
        <v>49.34511786036623</v>
      </c>
      <c r="H191" s="4284"/>
    </row>
    <row r="192" spans="1:8">
      <c r="A192" s="3989"/>
      <c r="B192" s="3989"/>
      <c r="C192" s="3989"/>
      <c r="D192" s="1926"/>
      <c r="E192" s="1926"/>
      <c r="F192" s="3989"/>
      <c r="G192" s="3989"/>
      <c r="H192" s="3989"/>
    </row>
  </sheetData>
  <mergeCells count="5">
    <mergeCell ref="F3:G3"/>
    <mergeCell ref="C3:C4"/>
    <mergeCell ref="D3:E3"/>
    <mergeCell ref="B3:B4"/>
    <mergeCell ref="B1:G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1:DB60"/>
  <sheetViews>
    <sheetView zoomScale="70" zoomScaleNormal="70" zoomScaleSheetLayoutView="100" workbookViewId="0">
      <pane xSplit="2" ySplit="4" topLeftCell="AA5" activePane="bottomRight" state="frozen"/>
      <selection activeCell="O92" sqref="O92"/>
      <selection pane="topRight" activeCell="O92" sqref="O92"/>
      <selection pane="bottomLeft" activeCell="O92" sqref="O92"/>
      <selection pane="bottomRight" activeCell="AN18" sqref="AN18"/>
    </sheetView>
  </sheetViews>
  <sheetFormatPr defaultRowHeight="12.75"/>
  <cols>
    <col min="1" max="1" width="9.140625" style="3438"/>
    <col min="2" max="2" width="37" style="3438" customWidth="1"/>
    <col min="3" max="4" width="12.7109375" style="3438" customWidth="1"/>
    <col min="5" max="5" width="12.7109375" style="3439" customWidth="1"/>
    <col min="6" max="7" width="12.7109375" style="3438" customWidth="1"/>
    <col min="8" max="8" width="12.7109375" style="3439" customWidth="1"/>
    <col min="9" max="27" width="12.7109375" style="3438" customWidth="1"/>
    <col min="28" max="29" width="12.5703125" style="3438" customWidth="1"/>
    <col min="30" max="32" width="12.42578125" style="3438" customWidth="1"/>
    <col min="33" max="36" width="12.28515625" style="3438" customWidth="1"/>
    <col min="37" max="37" width="12.140625" style="3438" customWidth="1"/>
    <col min="38" max="40" width="11.85546875" style="3438" customWidth="1"/>
    <col min="41" max="16384" width="9.140625" style="3438"/>
  </cols>
  <sheetData>
    <row r="1" spans="1:43" ht="60.75" customHeight="1">
      <c r="A1" s="3440"/>
      <c r="B1" s="3614" t="s">
        <v>2031</v>
      </c>
      <c r="C1" s="3613"/>
      <c r="D1" s="3613"/>
      <c r="E1" s="3613"/>
      <c r="F1" s="3613"/>
      <c r="G1" s="3613"/>
      <c r="H1" s="3613"/>
      <c r="I1" s="3613"/>
      <c r="J1" s="3440"/>
      <c r="K1" s="3440"/>
      <c r="L1" s="3440"/>
      <c r="M1" s="3440"/>
      <c r="N1" s="3440"/>
      <c r="O1" s="3446"/>
      <c r="P1" s="3446"/>
      <c r="Q1" s="3446"/>
      <c r="R1" s="3440"/>
      <c r="S1" s="3440"/>
      <c r="T1" s="3440"/>
      <c r="U1" s="3440"/>
      <c r="V1" s="3440"/>
      <c r="W1" s="3440"/>
      <c r="X1" s="3440"/>
      <c r="Y1" s="3440"/>
      <c r="Z1" s="3440"/>
      <c r="AA1" s="3440"/>
      <c r="AB1" s="3440"/>
      <c r="AC1" s="3440"/>
      <c r="AD1" s="3440"/>
      <c r="AE1" s="3440"/>
      <c r="AF1" s="3440"/>
      <c r="AG1" s="3440"/>
      <c r="AH1" s="3440"/>
      <c r="AI1" s="3440"/>
      <c r="AJ1" s="3440"/>
      <c r="AK1" s="3440"/>
      <c r="AL1" s="3440"/>
      <c r="AM1" s="3440"/>
      <c r="AN1" s="3440"/>
      <c r="AO1" s="3440"/>
      <c r="AP1" s="3440"/>
      <c r="AQ1" s="3440"/>
    </row>
    <row r="2" spans="1:43" ht="18.75" customHeight="1">
      <c r="A2" s="3440"/>
      <c r="B2" s="4722" t="s">
        <v>1881</v>
      </c>
      <c r="C2" s="4722"/>
      <c r="D2" s="4722"/>
      <c r="E2" s="4722"/>
      <c r="F2" s="4722"/>
      <c r="G2" s="3450"/>
      <c r="H2" s="3450"/>
      <c r="I2" s="3440"/>
      <c r="J2" s="3443"/>
      <c r="K2" s="3440"/>
      <c r="L2" s="3440"/>
      <c r="M2" s="3440"/>
      <c r="N2" s="3440"/>
      <c r="O2" s="3440"/>
      <c r="P2" s="3450"/>
      <c r="Q2" s="345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440"/>
      <c r="AO2" s="3440"/>
      <c r="AP2" s="3440"/>
      <c r="AQ2" s="3440"/>
    </row>
    <row r="3" spans="1:43" ht="16.5" customHeight="1">
      <c r="A3" s="3440"/>
      <c r="B3" s="4723" t="s">
        <v>1880</v>
      </c>
      <c r="C3" s="4719">
        <v>2013</v>
      </c>
      <c r="D3" s="4720"/>
      <c r="E3" s="4720"/>
      <c r="F3" s="4720"/>
      <c r="G3" s="4720"/>
      <c r="H3" s="4720"/>
      <c r="I3" s="4720"/>
      <c r="J3" s="4720"/>
      <c r="K3" s="4720"/>
      <c r="L3" s="4720"/>
      <c r="M3" s="4720"/>
      <c r="N3" s="4721"/>
      <c r="O3" s="4717">
        <v>2014</v>
      </c>
      <c r="P3" s="4718"/>
      <c r="Q3" s="4718"/>
      <c r="R3" s="4718"/>
      <c r="S3" s="4718"/>
      <c r="T3" s="4718"/>
      <c r="U3" s="4718"/>
      <c r="V3" s="4718"/>
      <c r="W3" s="4718"/>
      <c r="X3" s="4718"/>
      <c r="Y3" s="4718"/>
      <c r="Z3" s="3449"/>
      <c r="AA3" s="4725">
        <v>2015</v>
      </c>
      <c r="AB3" s="4725"/>
      <c r="AC3" s="4725"/>
      <c r="AD3" s="4725"/>
      <c r="AE3" s="4725"/>
      <c r="AF3" s="4725"/>
      <c r="AG3" s="4725"/>
      <c r="AH3" s="4725"/>
      <c r="AI3" s="4725"/>
      <c r="AJ3" s="4725"/>
      <c r="AK3" s="4725"/>
      <c r="AL3" s="4725"/>
      <c r="AM3" s="4716">
        <v>2016</v>
      </c>
      <c r="AN3" s="4716"/>
      <c r="AO3" s="3442"/>
      <c r="AP3" s="3440"/>
      <c r="AQ3" s="3440"/>
    </row>
    <row r="4" spans="1:43" ht="15" customHeight="1">
      <c r="A4" s="3440"/>
      <c r="B4" s="4724"/>
      <c r="C4" s="3479" t="s">
        <v>161</v>
      </c>
      <c r="D4" s="3479" t="s">
        <v>162</v>
      </c>
      <c r="E4" s="3479" t="s">
        <v>163</v>
      </c>
      <c r="F4" s="3615" t="s">
        <v>164</v>
      </c>
      <c r="G4" s="3615" t="s">
        <v>165</v>
      </c>
      <c r="H4" s="3615" t="s">
        <v>166</v>
      </c>
      <c r="I4" s="3615" t="s">
        <v>167</v>
      </c>
      <c r="J4" s="3615" t="s">
        <v>168</v>
      </c>
      <c r="K4" s="3615" t="s">
        <v>169</v>
      </c>
      <c r="L4" s="3615" t="s">
        <v>170</v>
      </c>
      <c r="M4" s="3615" t="s">
        <v>171</v>
      </c>
      <c r="N4" s="3615" t="s">
        <v>148</v>
      </c>
      <c r="O4" s="3615" t="s">
        <v>161</v>
      </c>
      <c r="P4" s="3615" t="s">
        <v>162</v>
      </c>
      <c r="Q4" s="3615" t="s">
        <v>163</v>
      </c>
      <c r="R4" s="3615" t="s">
        <v>164</v>
      </c>
      <c r="S4" s="3615" t="s">
        <v>165</v>
      </c>
      <c r="T4" s="3615" t="s">
        <v>166</v>
      </c>
      <c r="U4" s="3615" t="s">
        <v>167</v>
      </c>
      <c r="V4" s="3615" t="s">
        <v>168</v>
      </c>
      <c r="W4" s="3615" t="s">
        <v>169</v>
      </c>
      <c r="X4" s="3615" t="s">
        <v>170</v>
      </c>
      <c r="Y4" s="3615" t="s">
        <v>171</v>
      </c>
      <c r="Z4" s="3615" t="s">
        <v>148</v>
      </c>
      <c r="AA4" s="3622" t="s">
        <v>161</v>
      </c>
      <c r="AB4" s="3622" t="s">
        <v>162</v>
      </c>
      <c r="AC4" s="3622" t="s">
        <v>163</v>
      </c>
      <c r="AD4" s="3622" t="s">
        <v>164</v>
      </c>
      <c r="AE4" s="3622" t="s">
        <v>165</v>
      </c>
      <c r="AF4" s="3622" t="s">
        <v>166</v>
      </c>
      <c r="AG4" s="3622" t="s">
        <v>167</v>
      </c>
      <c r="AH4" s="3622" t="s">
        <v>168</v>
      </c>
      <c r="AI4" s="3622" t="s">
        <v>169</v>
      </c>
      <c r="AJ4" s="3622" t="s">
        <v>170</v>
      </c>
      <c r="AK4" s="3622" t="s">
        <v>171</v>
      </c>
      <c r="AL4" s="4282" t="s">
        <v>2096</v>
      </c>
      <c r="AM4" s="4357" t="s">
        <v>161</v>
      </c>
      <c r="AN4" s="4357" t="s">
        <v>162</v>
      </c>
      <c r="AO4" s="3442"/>
      <c r="AP4" s="3440"/>
      <c r="AQ4" s="3440"/>
    </row>
    <row r="5" spans="1:43" ht="16.5" customHeight="1">
      <c r="A5" s="3440"/>
      <c r="B5" s="3445" t="s">
        <v>1333</v>
      </c>
      <c r="C5" s="3616">
        <v>1243.1297135800028</v>
      </c>
      <c r="D5" s="3616">
        <v>1305.4713932</v>
      </c>
      <c r="E5" s="3616">
        <v>1383.2567857700012</v>
      </c>
      <c r="F5" s="3616">
        <v>1442.8285269999999</v>
      </c>
      <c r="G5" s="3616">
        <v>1502.6261141300015</v>
      </c>
      <c r="H5" s="3616">
        <v>1514.003419399995</v>
      </c>
      <c r="I5" s="3617">
        <v>1547.2014292400052</v>
      </c>
      <c r="J5" s="3617">
        <v>1625.1779569699968</v>
      </c>
      <c r="K5" s="3617">
        <v>1665.778386730002</v>
      </c>
      <c r="L5" s="3617">
        <v>1694.86601322</v>
      </c>
      <c r="M5" s="3616">
        <v>1735.3002451299999</v>
      </c>
      <c r="N5" s="3617">
        <v>1745.4191768399953</v>
      </c>
      <c r="O5" s="3616">
        <v>1803.3251155899984</v>
      </c>
      <c r="P5" s="3616">
        <v>1918.6069330700007</v>
      </c>
      <c r="Q5" s="3616">
        <v>2024.5045415500012</v>
      </c>
      <c r="R5" s="3617">
        <v>2125.084513539995</v>
      </c>
      <c r="S5" s="3616">
        <v>2218.3887771100049</v>
      </c>
      <c r="T5" s="3616">
        <v>2287.0851974700108</v>
      </c>
      <c r="U5" s="3616">
        <v>3113.5856192999877</v>
      </c>
      <c r="V5" s="3616">
        <v>2409.0638480500093</v>
      </c>
      <c r="W5" s="3616">
        <v>2475.7872951799959</v>
      </c>
      <c r="X5" s="3616">
        <v>2542.200766020017</v>
      </c>
      <c r="Y5" s="3616">
        <v>2613.8193947999989</v>
      </c>
      <c r="Z5" s="3617">
        <v>2653.6436626499967</v>
      </c>
      <c r="AA5" s="3617">
        <v>2761.3152901500121</v>
      </c>
      <c r="AB5" s="3617">
        <v>2931.8894327699968</v>
      </c>
      <c r="AC5" s="3617">
        <v>3139.8227045900317</v>
      </c>
      <c r="AD5" s="3617">
        <v>3303.9285799400332</v>
      </c>
      <c r="AE5" s="3617">
        <v>3430.6514939400136</v>
      </c>
      <c r="AF5" s="3617">
        <v>3487.3662205900109</v>
      </c>
      <c r="AG5" s="3617">
        <v>3600.3562012300122</v>
      </c>
      <c r="AH5" s="3617">
        <v>3667.3213773400139</v>
      </c>
      <c r="AI5" s="3617">
        <v>3721.9030796700131</v>
      </c>
      <c r="AJ5" s="3617">
        <v>3794.5954054700114</v>
      </c>
      <c r="AK5" s="3617">
        <v>3850.9836018500218</v>
      </c>
      <c r="AL5" s="4219">
        <v>3830.041499570033</v>
      </c>
      <c r="AM5" s="4219">
        <v>4136.5510273600194</v>
      </c>
      <c r="AN5" s="4219">
        <v>3944.569891850017</v>
      </c>
      <c r="AO5" s="3440"/>
      <c r="AP5" s="3440"/>
      <c r="AQ5" s="3440"/>
    </row>
    <row r="6" spans="1:43" ht="15.75" customHeight="1">
      <c r="A6" s="3440"/>
      <c r="B6" s="3445" t="s">
        <v>1879</v>
      </c>
      <c r="C6" s="3618">
        <v>5980.0292148200006</v>
      </c>
      <c r="D6" s="3618">
        <v>6011.5312552099995</v>
      </c>
      <c r="E6" s="3618">
        <v>6069.1590328399998</v>
      </c>
      <c r="F6" s="3618">
        <v>6273.3074649900009</v>
      </c>
      <c r="G6" s="3618">
        <v>6365.4648263440013</v>
      </c>
      <c r="H6" s="3618">
        <v>7657.5480285000012</v>
      </c>
      <c r="I6" s="3618">
        <v>8906.8340823599992</v>
      </c>
      <c r="J6" s="3618">
        <v>8251.3142794799987</v>
      </c>
      <c r="K6" s="3618">
        <v>7112.9168243100012</v>
      </c>
      <c r="L6" s="3618">
        <v>6892.0933795800011</v>
      </c>
      <c r="M6" s="3618">
        <v>7293.8397914099996</v>
      </c>
      <c r="N6" s="3618">
        <v>7040.5863654700006</v>
      </c>
      <c r="O6" s="3618">
        <v>7464.9913804000007</v>
      </c>
      <c r="P6" s="3618">
        <v>7236.0820071099997</v>
      </c>
      <c r="Q6" s="3618">
        <v>7215.2067634300001</v>
      </c>
      <c r="R6" s="3618">
        <v>7419.8101926499994</v>
      </c>
      <c r="S6" s="3618">
        <v>7586.2408496800017</v>
      </c>
      <c r="T6" s="3618">
        <v>9896.1104104200003</v>
      </c>
      <c r="U6" s="3618">
        <v>8656.4343819800015</v>
      </c>
      <c r="V6" s="3618">
        <v>8099.1262185400001</v>
      </c>
      <c r="W6" s="3618">
        <v>8190.7444448400001</v>
      </c>
      <c r="X6" s="3618">
        <v>8404.8286101499998</v>
      </c>
      <c r="Y6" s="3618">
        <v>8718.0112469199958</v>
      </c>
      <c r="Z6" s="3618">
        <v>8827.2036214199998</v>
      </c>
      <c r="AA6" s="3618">
        <v>9009.4214881299995</v>
      </c>
      <c r="AB6" s="3618">
        <v>9110.0171773699985</v>
      </c>
      <c r="AC6" s="3618">
        <v>9334.0186781999982</v>
      </c>
      <c r="AD6" s="3618">
        <v>9379.8454046799998</v>
      </c>
      <c r="AE6" s="3618">
        <v>11089.381136900001</v>
      </c>
      <c r="AF6" s="3618">
        <v>12402.696684699999</v>
      </c>
      <c r="AG6" s="3618">
        <v>10683.63684318</v>
      </c>
      <c r="AH6" s="3618">
        <v>10062.999466960004</v>
      </c>
      <c r="AI6" s="3618">
        <v>10304.802485036049</v>
      </c>
      <c r="AJ6" s="3618">
        <v>10697.862340824704</v>
      </c>
      <c r="AK6" s="3618">
        <v>10827.976055759</v>
      </c>
      <c r="AL6" s="4219">
        <v>10891.343883630001</v>
      </c>
      <c r="AM6" s="4219">
        <v>10529.267334540004</v>
      </c>
      <c r="AN6" s="4219">
        <v>10604.472563630001</v>
      </c>
      <c r="AO6" s="3440"/>
      <c r="AP6" s="3440"/>
      <c r="AQ6" s="3440"/>
    </row>
    <row r="7" spans="1:43" ht="16.5" customHeight="1">
      <c r="A7" s="3440"/>
      <c r="B7" s="3445" t="s">
        <v>1878</v>
      </c>
      <c r="C7" s="3618">
        <v>7820.6012662499998</v>
      </c>
      <c r="D7" s="3618">
        <v>8133.2538788300008</v>
      </c>
      <c r="E7" s="3618">
        <v>8198.639645109999</v>
      </c>
      <c r="F7" s="3618">
        <v>8117.4968806300012</v>
      </c>
      <c r="G7" s="3618">
        <v>8243.7779011700022</v>
      </c>
      <c r="H7" s="3618">
        <v>10168.924175849999</v>
      </c>
      <c r="I7" s="3618">
        <v>9948.0620584099997</v>
      </c>
      <c r="J7" s="3618">
        <v>9651.8960814399998</v>
      </c>
      <c r="K7" s="3618">
        <v>9792.767311399999</v>
      </c>
      <c r="L7" s="3618">
        <v>9990.3412506199984</v>
      </c>
      <c r="M7" s="3618">
        <v>9858.073465999998</v>
      </c>
      <c r="N7" s="3618">
        <v>9974.3964184299948</v>
      </c>
      <c r="O7" s="3618">
        <v>10027.990863580002</v>
      </c>
      <c r="P7" s="3618">
        <v>10128.68581626</v>
      </c>
      <c r="Q7" s="3618">
        <v>9990.685475870001</v>
      </c>
      <c r="R7" s="3618">
        <v>10154.459397440001</v>
      </c>
      <c r="S7" s="3618">
        <v>9402.2830645900012</v>
      </c>
      <c r="T7" s="3618">
        <v>9915.8721040000019</v>
      </c>
      <c r="U7" s="3618">
        <v>9251.7107823399983</v>
      </c>
      <c r="V7" s="3618">
        <v>9874.7580511299984</v>
      </c>
      <c r="W7" s="3618">
        <v>10235.171608980001</v>
      </c>
      <c r="X7" s="3618">
        <v>10511.9082994</v>
      </c>
      <c r="Y7" s="3618">
        <v>10279.971540980001</v>
      </c>
      <c r="Z7" s="3618">
        <v>10236.360644619999</v>
      </c>
      <c r="AA7" s="3618">
        <v>9955.8946493499971</v>
      </c>
      <c r="AB7" s="3618">
        <v>10018.89817636</v>
      </c>
      <c r="AC7" s="3618">
        <v>10515.803257790001</v>
      </c>
      <c r="AD7" s="3618">
        <v>10245.127714249998</v>
      </c>
      <c r="AE7" s="3618">
        <v>10686.769211640001</v>
      </c>
      <c r="AF7" s="3618">
        <v>10088.935133890001</v>
      </c>
      <c r="AG7" s="3618">
        <v>10199.12991288</v>
      </c>
      <c r="AH7" s="3618">
        <v>10322.8683576</v>
      </c>
      <c r="AI7" s="3618">
        <v>10474.14781088</v>
      </c>
      <c r="AJ7" s="3618">
        <v>10557.804895360001</v>
      </c>
      <c r="AK7" s="3618">
        <v>10654.708061371501</v>
      </c>
      <c r="AL7" s="4219">
        <v>10149.184071409998</v>
      </c>
      <c r="AM7" s="4219">
        <v>8946.989872260001</v>
      </c>
      <c r="AN7" s="4219">
        <v>8814.4192927999975</v>
      </c>
      <c r="AO7" s="3440"/>
      <c r="AP7" s="3440"/>
      <c r="AQ7" s="3440"/>
    </row>
    <row r="8" spans="1:43" s="3439" customFormat="1" ht="19.5" customHeight="1">
      <c r="A8" s="3440"/>
      <c r="B8" s="3445" t="s">
        <v>1877</v>
      </c>
      <c r="C8" s="3618">
        <v>14609.910415390003</v>
      </c>
      <c r="D8" s="3618">
        <v>14713.775636510001</v>
      </c>
      <c r="E8" s="3618">
        <v>14830.434141981999</v>
      </c>
      <c r="F8" s="3618">
        <v>14813.234101549991</v>
      </c>
      <c r="G8" s="3618">
        <v>15141.261563402997</v>
      </c>
      <c r="H8" s="3618">
        <v>15234.676653490005</v>
      </c>
      <c r="I8" s="3618">
        <v>15234.575493440005</v>
      </c>
      <c r="J8" s="3618">
        <v>15359.144576769997</v>
      </c>
      <c r="K8" s="3618">
        <v>15436.215324590004</v>
      </c>
      <c r="L8" s="3618">
        <v>15472.403071839999</v>
      </c>
      <c r="M8" s="3618">
        <v>15504.76874222</v>
      </c>
      <c r="N8" s="3618">
        <v>15506.410238099988</v>
      </c>
      <c r="O8" s="3618">
        <v>15572.58375304</v>
      </c>
      <c r="P8" s="3618">
        <v>15610.093981210002</v>
      </c>
      <c r="Q8" s="3618">
        <v>15693.269372150004</v>
      </c>
      <c r="R8" s="3618">
        <v>15739.52883973001</v>
      </c>
      <c r="S8" s="3618">
        <v>15756.351576639996</v>
      </c>
      <c r="T8" s="3618">
        <v>15785.008246179998</v>
      </c>
      <c r="U8" s="3618">
        <v>15830.120282709999</v>
      </c>
      <c r="V8" s="3618">
        <v>15873.063181239997</v>
      </c>
      <c r="W8" s="3618">
        <v>16070.729732719992</v>
      </c>
      <c r="X8" s="3618">
        <v>16249.362108309995</v>
      </c>
      <c r="Y8" s="3618">
        <v>16343.731817479998</v>
      </c>
      <c r="Z8" s="3618">
        <v>16414.672913409995</v>
      </c>
      <c r="AA8" s="3618">
        <v>16562.937750339999</v>
      </c>
      <c r="AB8" s="3618">
        <v>16696.283609609993</v>
      </c>
      <c r="AC8" s="3618">
        <v>16907.073264980005</v>
      </c>
      <c r="AD8" s="3618">
        <v>17129.398315960003</v>
      </c>
      <c r="AE8" s="3618">
        <v>17274.664503479999</v>
      </c>
      <c r="AF8" s="3618">
        <v>17371.525016880008</v>
      </c>
      <c r="AG8" s="3618">
        <v>17623.57225718</v>
      </c>
      <c r="AH8" s="3618">
        <v>17774.70132442001</v>
      </c>
      <c r="AI8" s="3618">
        <v>17922.391302300002</v>
      </c>
      <c r="AJ8" s="3618">
        <v>18129.645813549992</v>
      </c>
      <c r="AK8" s="3618">
        <v>18168.283733020002</v>
      </c>
      <c r="AL8" s="4219">
        <v>18274.447093870011</v>
      </c>
      <c r="AM8" s="4219">
        <v>15820.302248069993</v>
      </c>
      <c r="AN8" s="4219">
        <v>15761.640445209991</v>
      </c>
      <c r="AO8" s="3440"/>
      <c r="AP8" s="3440"/>
      <c r="AQ8" s="3440"/>
    </row>
    <row r="9" spans="1:43" s="3439" customFormat="1" ht="19.5" customHeight="1">
      <c r="A9" s="3440"/>
      <c r="B9" s="3445" t="s">
        <v>1876</v>
      </c>
      <c r="C9" s="3618">
        <v>4489.1912166800012</v>
      </c>
      <c r="D9" s="3618">
        <v>4440.2681109900004</v>
      </c>
      <c r="E9" s="3618">
        <v>4497.9267524699999</v>
      </c>
      <c r="F9" s="3618">
        <v>4824.3275974699991</v>
      </c>
      <c r="G9" s="3618">
        <v>4741.7665022299989</v>
      </c>
      <c r="H9" s="3618">
        <v>6751.5452471100007</v>
      </c>
      <c r="I9" s="3618">
        <v>6982.5643178099999</v>
      </c>
      <c r="J9" s="3618">
        <v>6968.2860833000013</v>
      </c>
      <c r="K9" s="3618">
        <v>7202.24922487</v>
      </c>
      <c r="L9" s="3618">
        <v>7335.8363749699993</v>
      </c>
      <c r="M9" s="3618">
        <v>7465.0682792699963</v>
      </c>
      <c r="N9" s="3618">
        <v>7301.2095578400031</v>
      </c>
      <c r="O9" s="3618">
        <v>7893.3353798099961</v>
      </c>
      <c r="P9" s="3618">
        <v>8091.009818149997</v>
      </c>
      <c r="Q9" s="3618">
        <v>8253.3080088899987</v>
      </c>
      <c r="R9" s="3618">
        <v>7778.1038418299959</v>
      </c>
      <c r="S9" s="3618">
        <v>8998.4041197400002</v>
      </c>
      <c r="T9" s="3618">
        <v>8703.6645233700037</v>
      </c>
      <c r="U9" s="3618">
        <v>9549.5516301400057</v>
      </c>
      <c r="V9" s="3618">
        <v>8948.023670229999</v>
      </c>
      <c r="W9" s="3618">
        <v>9172.0935411400005</v>
      </c>
      <c r="X9" s="3618">
        <v>9458.383126600007</v>
      </c>
      <c r="Y9" s="3618">
        <v>9524.7233324900008</v>
      </c>
      <c r="Z9" s="3618">
        <v>9892.5597440499951</v>
      </c>
      <c r="AA9" s="3618">
        <v>10103.59403849</v>
      </c>
      <c r="AB9" s="3618">
        <v>10266.819241449997</v>
      </c>
      <c r="AC9" s="3618">
        <v>10734.667523100003</v>
      </c>
      <c r="AD9" s="3618">
        <v>11331.93740312</v>
      </c>
      <c r="AE9" s="3618">
        <v>11382.261461560005</v>
      </c>
      <c r="AF9" s="3618">
        <v>11250.200712539996</v>
      </c>
      <c r="AG9" s="3618">
        <v>11760.630034650007</v>
      </c>
      <c r="AH9" s="3618">
        <v>12551.226535310005</v>
      </c>
      <c r="AI9" s="3618">
        <v>12782.989805087947</v>
      </c>
      <c r="AJ9" s="3618">
        <v>12999.272847445292</v>
      </c>
      <c r="AK9" s="3618">
        <v>13520.406102936504</v>
      </c>
      <c r="AL9" s="4219">
        <v>14235.712303766999</v>
      </c>
      <c r="AM9" s="4219">
        <v>9871.6985930600022</v>
      </c>
      <c r="AN9" s="4219">
        <v>10179.659227429996</v>
      </c>
      <c r="AO9" s="3440"/>
      <c r="AP9" s="3440"/>
      <c r="AQ9" s="3440"/>
    </row>
    <row r="10" spans="1:43" s="3439" customFormat="1" ht="20.100000000000001" customHeight="1">
      <c r="A10" s="3440"/>
      <c r="B10" s="3445" t="s">
        <v>1875</v>
      </c>
      <c r="C10" s="3618">
        <v>4311.3230055500007</v>
      </c>
      <c r="D10" s="3618">
        <v>4251.8883136299992</v>
      </c>
      <c r="E10" s="3618">
        <v>4183.5787916199997</v>
      </c>
      <c r="F10" s="3618">
        <v>4088.9291527599999</v>
      </c>
      <c r="G10" s="3618">
        <v>4004.6930042270023</v>
      </c>
      <c r="H10" s="3618">
        <v>3777.0790560199985</v>
      </c>
      <c r="I10" s="3618">
        <v>3786.1545971799997</v>
      </c>
      <c r="J10" s="3618">
        <v>3712.6088692100011</v>
      </c>
      <c r="K10" s="3618">
        <v>3643.4621353799998</v>
      </c>
      <c r="L10" s="3618">
        <v>3843.1192737299993</v>
      </c>
      <c r="M10" s="3618">
        <v>3448.7849774699994</v>
      </c>
      <c r="N10" s="3618">
        <v>3246.89249225</v>
      </c>
      <c r="O10" s="3618">
        <v>3166.1423931000013</v>
      </c>
      <c r="P10" s="3618">
        <v>3099.4838129600012</v>
      </c>
      <c r="Q10" s="3618">
        <v>3010.2001956500017</v>
      </c>
      <c r="R10" s="3618">
        <v>2921.6764527099995</v>
      </c>
      <c r="S10" s="3618">
        <v>2837.4949433499996</v>
      </c>
      <c r="T10" s="3618">
        <v>2751.6893018300011</v>
      </c>
      <c r="U10" s="3618">
        <v>2678.1916781800001</v>
      </c>
      <c r="V10" s="3618">
        <v>2589.5712341799999</v>
      </c>
      <c r="W10" s="3618">
        <v>2524.5200190800001</v>
      </c>
      <c r="X10" s="3618">
        <v>2476.1130566500001</v>
      </c>
      <c r="Y10" s="3618">
        <v>2466.6655827199997</v>
      </c>
      <c r="Z10" s="3618">
        <v>2390.1049127599999</v>
      </c>
      <c r="AA10" s="3618">
        <v>2421.2376628100001</v>
      </c>
      <c r="AB10" s="3618">
        <v>2467.8665379299991</v>
      </c>
      <c r="AC10" s="3618">
        <v>2502.0879818700005</v>
      </c>
      <c r="AD10" s="3618">
        <v>2550.0554036399999</v>
      </c>
      <c r="AE10" s="3618">
        <v>2435.9231319299988</v>
      </c>
      <c r="AF10" s="3618">
        <v>2617.8187948999994</v>
      </c>
      <c r="AG10" s="3618">
        <v>2713.2471002200014</v>
      </c>
      <c r="AH10" s="3618">
        <v>2846.5279897300002</v>
      </c>
      <c r="AI10" s="3618">
        <v>2943.0623267099995</v>
      </c>
      <c r="AJ10" s="3618">
        <v>3015.84609499</v>
      </c>
      <c r="AK10" s="3618">
        <v>3089.1932372600008</v>
      </c>
      <c r="AL10" s="4219">
        <v>3205.2922711269994</v>
      </c>
      <c r="AM10" s="4219">
        <v>2624.8960584299998</v>
      </c>
      <c r="AN10" s="4219">
        <v>2660.0640753900002</v>
      </c>
      <c r="AO10" s="3440"/>
      <c r="AP10" s="3440"/>
      <c r="AQ10" s="3440"/>
    </row>
    <row r="11" spans="1:43" ht="15" hidden="1" customHeight="1">
      <c r="A11" s="3440"/>
      <c r="B11" s="3445" t="s">
        <v>1874</v>
      </c>
      <c r="C11" s="3616"/>
      <c r="D11" s="3616"/>
      <c r="E11" s="3619"/>
      <c r="F11" s="3619"/>
      <c r="G11" s="3619"/>
      <c r="H11" s="3619"/>
      <c r="I11" s="3619"/>
      <c r="J11" s="3619"/>
      <c r="K11" s="3619"/>
      <c r="L11" s="3619"/>
      <c r="M11" s="3619"/>
      <c r="N11" s="3619"/>
      <c r="O11" s="3619"/>
      <c r="P11" s="3619"/>
      <c r="Q11" s="3619"/>
      <c r="R11" s="3619"/>
      <c r="S11" s="3619"/>
      <c r="T11" s="3619"/>
      <c r="U11" s="3619"/>
      <c r="V11" s="3619"/>
      <c r="W11" s="3619"/>
      <c r="X11" s="3619"/>
      <c r="Y11" s="3619"/>
      <c r="Z11" s="3619"/>
      <c r="AA11" s="3619"/>
      <c r="AB11" s="3619"/>
      <c r="AC11" s="3619"/>
      <c r="AD11" s="3619"/>
      <c r="AE11" s="3619"/>
      <c r="AF11" s="3619"/>
      <c r="AG11" s="3619"/>
      <c r="AH11" s="3619"/>
      <c r="AI11" s="3619"/>
      <c r="AJ11" s="3619"/>
      <c r="AK11" s="3619"/>
      <c r="AL11" s="4219"/>
      <c r="AM11" s="4219"/>
      <c r="AN11" s="4219"/>
      <c r="AO11" s="3440"/>
      <c r="AP11" s="3440"/>
      <c r="AQ11" s="3440"/>
    </row>
    <row r="12" spans="1:43" ht="15" hidden="1" customHeight="1">
      <c r="A12" s="3440"/>
      <c r="B12" s="3445" t="s">
        <v>1873</v>
      </c>
      <c r="C12" s="3616"/>
      <c r="D12" s="3616"/>
      <c r="E12" s="3619"/>
      <c r="F12" s="3619"/>
      <c r="G12" s="3619"/>
      <c r="H12" s="3619"/>
      <c r="I12" s="3619"/>
      <c r="J12" s="3619"/>
      <c r="K12" s="3619"/>
      <c r="L12" s="3619"/>
      <c r="M12" s="3619"/>
      <c r="N12" s="3619"/>
      <c r="O12" s="3619"/>
      <c r="P12" s="3619"/>
      <c r="Q12" s="3619"/>
      <c r="R12" s="3619"/>
      <c r="S12" s="3619"/>
      <c r="T12" s="3619"/>
      <c r="U12" s="3619"/>
      <c r="V12" s="3619"/>
      <c r="W12" s="3619"/>
      <c r="X12" s="3619"/>
      <c r="Y12" s="3619"/>
      <c r="Z12" s="3619"/>
      <c r="AA12" s="3619"/>
      <c r="AB12" s="3619"/>
      <c r="AC12" s="3619"/>
      <c r="AD12" s="3619"/>
      <c r="AE12" s="3619"/>
      <c r="AF12" s="3619"/>
      <c r="AG12" s="3619"/>
      <c r="AH12" s="3619"/>
      <c r="AI12" s="3619"/>
      <c r="AJ12" s="3619"/>
      <c r="AK12" s="3619"/>
      <c r="AL12" s="4219"/>
      <c r="AM12" s="4219"/>
      <c r="AN12" s="4219"/>
      <c r="AO12" s="3440"/>
      <c r="AP12" s="3440"/>
      <c r="AQ12" s="3440"/>
    </row>
    <row r="13" spans="1:43" s="3439" customFormat="1" ht="16.5" customHeight="1">
      <c r="A13" s="3440"/>
      <c r="B13" s="3445" t="s">
        <v>1872</v>
      </c>
      <c r="C13" s="3618">
        <v>9105.1470064700115</v>
      </c>
      <c r="D13" s="3618">
        <v>9247.5278548600036</v>
      </c>
      <c r="E13" s="3618">
        <v>9417.0004570000001</v>
      </c>
      <c r="F13" s="3618">
        <v>9434.5583395899976</v>
      </c>
      <c r="G13" s="3618">
        <v>9534.7100698200047</v>
      </c>
      <c r="H13" s="3618">
        <v>10030.596499829997</v>
      </c>
      <c r="I13" s="3618">
        <v>10027.155032739996</v>
      </c>
      <c r="J13" s="3618">
        <v>9883.7709279699939</v>
      </c>
      <c r="K13" s="3618">
        <v>9796.273427789989</v>
      </c>
      <c r="L13" s="3618">
        <v>9866.8084869300019</v>
      </c>
      <c r="M13" s="3618">
        <v>9996.2062613800044</v>
      </c>
      <c r="N13" s="3618">
        <v>10406.612886370011</v>
      </c>
      <c r="O13" s="3618">
        <v>10628.199600409971</v>
      </c>
      <c r="P13" s="3618">
        <v>10765.275876589989</v>
      </c>
      <c r="Q13" s="3618">
        <v>10860.424917120004</v>
      </c>
      <c r="R13" s="3618">
        <v>10845.803994710008</v>
      </c>
      <c r="S13" s="3618">
        <v>11060.22903298</v>
      </c>
      <c r="T13" s="3618">
        <v>11919.630153092003</v>
      </c>
      <c r="U13" s="3618">
        <v>11320.560161543983</v>
      </c>
      <c r="V13" s="3618">
        <v>11733.427087965976</v>
      </c>
      <c r="W13" s="3618">
        <v>11834.44828695803</v>
      </c>
      <c r="X13" s="3618">
        <v>11739.840652230017</v>
      </c>
      <c r="Y13" s="3618">
        <v>11727.823243182005</v>
      </c>
      <c r="Z13" s="3618">
        <v>11499.284843623993</v>
      </c>
      <c r="AA13" s="3618">
        <v>11513.430183796005</v>
      </c>
      <c r="AB13" s="3618">
        <v>11627.53537285799</v>
      </c>
      <c r="AC13" s="3618">
        <v>11668.19255280001</v>
      </c>
      <c r="AD13" s="3618">
        <v>11650.778511622044</v>
      </c>
      <c r="AE13" s="3618">
        <v>11892.760717594007</v>
      </c>
      <c r="AF13" s="3618">
        <v>11750.890917456019</v>
      </c>
      <c r="AG13" s="3618">
        <v>11756.736182417993</v>
      </c>
      <c r="AH13" s="3618">
        <v>11513.469283079998</v>
      </c>
      <c r="AI13" s="3618">
        <v>11528.331867630008</v>
      </c>
      <c r="AJ13" s="3618">
        <v>11559.652089719984</v>
      </c>
      <c r="AK13" s="3618">
        <v>11676.420533309996</v>
      </c>
      <c r="AL13" s="4219">
        <v>11640.435655109997</v>
      </c>
      <c r="AM13" s="4219">
        <v>10243.043940770005</v>
      </c>
      <c r="AN13" s="4219">
        <v>10269.483548450011</v>
      </c>
      <c r="AO13" s="3440"/>
      <c r="AP13" s="3440"/>
      <c r="AQ13" s="3440"/>
    </row>
    <row r="14" spans="1:43" ht="15" hidden="1" customHeight="1">
      <c r="A14" s="3440"/>
      <c r="B14" s="3448" t="s">
        <v>1871</v>
      </c>
      <c r="C14" s="3616"/>
      <c r="D14" s="3616"/>
      <c r="E14" s="3619"/>
      <c r="F14" s="3619"/>
      <c r="G14" s="3619"/>
      <c r="H14" s="3619"/>
      <c r="I14" s="3619"/>
      <c r="J14" s="3619"/>
      <c r="K14" s="3619"/>
      <c r="L14" s="3619"/>
      <c r="M14" s="3619"/>
      <c r="N14" s="3619"/>
      <c r="O14" s="3619"/>
      <c r="P14" s="3619"/>
      <c r="Q14" s="3619"/>
      <c r="R14" s="3619"/>
      <c r="S14" s="3619"/>
      <c r="T14" s="3619"/>
      <c r="U14" s="3619"/>
      <c r="V14" s="3619"/>
      <c r="W14" s="3619"/>
      <c r="X14" s="3619"/>
      <c r="Y14" s="3619"/>
      <c r="Z14" s="3619"/>
      <c r="AA14" s="3619"/>
      <c r="AB14" s="3619"/>
      <c r="AC14" s="3619"/>
      <c r="AD14" s="3619"/>
      <c r="AE14" s="3619"/>
      <c r="AF14" s="3619"/>
      <c r="AG14" s="3619"/>
      <c r="AH14" s="3619"/>
      <c r="AI14" s="3619"/>
      <c r="AJ14" s="3619"/>
      <c r="AK14" s="3619"/>
      <c r="AL14" s="4219"/>
      <c r="AM14" s="4219"/>
      <c r="AN14" s="4219"/>
      <c r="AO14" s="3440"/>
      <c r="AP14" s="3440"/>
      <c r="AQ14" s="3440"/>
    </row>
    <row r="15" spans="1:43" ht="15" hidden="1" customHeight="1">
      <c r="A15" s="3440"/>
      <c r="B15" s="3445" t="s">
        <v>1870</v>
      </c>
      <c r="C15" s="3616"/>
      <c r="D15" s="3616"/>
      <c r="E15" s="3619"/>
      <c r="F15" s="3619"/>
      <c r="G15" s="3619"/>
      <c r="H15" s="3619"/>
      <c r="I15" s="3619"/>
      <c r="J15" s="3619"/>
      <c r="K15" s="3619"/>
      <c r="L15" s="3619"/>
      <c r="M15" s="3619"/>
      <c r="N15" s="3619"/>
      <c r="O15" s="3619"/>
      <c r="P15" s="3619"/>
      <c r="Q15" s="3619"/>
      <c r="R15" s="3619"/>
      <c r="S15" s="3619"/>
      <c r="T15" s="3619"/>
      <c r="U15" s="3619"/>
      <c r="V15" s="3619"/>
      <c r="W15" s="3619"/>
      <c r="X15" s="3619"/>
      <c r="Y15" s="3619"/>
      <c r="Z15" s="3619"/>
      <c r="AA15" s="3619"/>
      <c r="AB15" s="3619"/>
      <c r="AC15" s="3619"/>
      <c r="AD15" s="3619"/>
      <c r="AE15" s="3619"/>
      <c r="AF15" s="3619"/>
      <c r="AG15" s="3619"/>
      <c r="AH15" s="3619"/>
      <c r="AI15" s="3619"/>
      <c r="AJ15" s="3619"/>
      <c r="AK15" s="3619"/>
      <c r="AL15" s="4219"/>
      <c r="AM15" s="4219"/>
      <c r="AN15" s="4219"/>
      <c r="AO15" s="3440"/>
      <c r="AP15" s="3440"/>
      <c r="AQ15" s="3440"/>
    </row>
    <row r="16" spans="1:43" ht="15" hidden="1" customHeight="1">
      <c r="A16" s="3440"/>
      <c r="B16" s="3445" t="s">
        <v>1869</v>
      </c>
      <c r="C16" s="3616"/>
      <c r="D16" s="3616"/>
      <c r="E16" s="3619"/>
      <c r="F16" s="3619"/>
      <c r="G16" s="3619"/>
      <c r="H16" s="3619"/>
      <c r="I16" s="3619"/>
      <c r="J16" s="3619"/>
      <c r="K16" s="3619"/>
      <c r="L16" s="3619"/>
      <c r="M16" s="3619"/>
      <c r="N16" s="3619"/>
      <c r="O16" s="3619"/>
      <c r="P16" s="3619"/>
      <c r="Q16" s="3619"/>
      <c r="R16" s="3619"/>
      <c r="S16" s="3619"/>
      <c r="T16" s="3619"/>
      <c r="U16" s="3619"/>
      <c r="V16" s="3619"/>
      <c r="W16" s="3619"/>
      <c r="X16" s="3619"/>
      <c r="Y16" s="3619"/>
      <c r="Z16" s="3619"/>
      <c r="AA16" s="3619"/>
      <c r="AB16" s="3619"/>
      <c r="AC16" s="3619"/>
      <c r="AD16" s="3619"/>
      <c r="AE16" s="3619"/>
      <c r="AF16" s="3619"/>
      <c r="AG16" s="3619"/>
      <c r="AH16" s="3619"/>
      <c r="AI16" s="3619"/>
      <c r="AJ16" s="3619"/>
      <c r="AK16" s="3619"/>
      <c r="AL16" s="4219"/>
      <c r="AM16" s="4219"/>
      <c r="AN16" s="4219"/>
      <c r="AO16" s="3440"/>
      <c r="AP16" s="3440"/>
      <c r="AQ16" s="3440"/>
    </row>
    <row r="17" spans="1:106" ht="16.5" customHeight="1">
      <c r="A17" s="3440"/>
      <c r="B17" s="3445" t="s">
        <v>1868</v>
      </c>
      <c r="C17" s="3618">
        <v>581.79890493000016</v>
      </c>
      <c r="D17" s="3618">
        <v>596.27105052000002</v>
      </c>
      <c r="E17" s="3618">
        <v>598.8384791000002</v>
      </c>
      <c r="F17" s="3618">
        <v>566.74228313000003</v>
      </c>
      <c r="G17" s="3618">
        <v>557.81429294999998</v>
      </c>
      <c r="H17" s="3618">
        <v>557.29926763000003</v>
      </c>
      <c r="I17" s="3618">
        <v>573.23783721000007</v>
      </c>
      <c r="J17" s="3618">
        <v>571.05168245999994</v>
      </c>
      <c r="K17" s="3618">
        <v>568.90252293999993</v>
      </c>
      <c r="L17" s="3618">
        <v>577.77872280000008</v>
      </c>
      <c r="M17" s="3618">
        <v>589.65746153000009</v>
      </c>
      <c r="N17" s="3618">
        <v>577.39367098000002</v>
      </c>
      <c r="O17" s="3618">
        <v>583.91058509999982</v>
      </c>
      <c r="P17" s="3618">
        <v>630.45225086000016</v>
      </c>
      <c r="Q17" s="3618">
        <v>630.99480078000011</v>
      </c>
      <c r="R17" s="3618">
        <v>594.23461555999995</v>
      </c>
      <c r="S17" s="3618">
        <v>584.13436119000005</v>
      </c>
      <c r="T17" s="3618">
        <v>640.48337253</v>
      </c>
      <c r="U17" s="3618">
        <v>616.65086303999999</v>
      </c>
      <c r="V17" s="3618">
        <v>682.67986629999996</v>
      </c>
      <c r="W17" s="3618">
        <v>683.21948631999999</v>
      </c>
      <c r="X17" s="3618">
        <v>686.67063574999997</v>
      </c>
      <c r="Y17" s="3618">
        <v>681.03687924999997</v>
      </c>
      <c r="Z17" s="3618">
        <v>702.59361440999999</v>
      </c>
      <c r="AA17" s="3618">
        <v>677.42210984000019</v>
      </c>
      <c r="AB17" s="3618">
        <v>672.77558724000005</v>
      </c>
      <c r="AC17" s="3618">
        <v>655.32744124999999</v>
      </c>
      <c r="AD17" s="3618">
        <v>668.27654667000002</v>
      </c>
      <c r="AE17" s="3618">
        <v>670.56542774000002</v>
      </c>
      <c r="AF17" s="3618">
        <v>667.27780286999996</v>
      </c>
      <c r="AG17" s="3618">
        <v>628.69996595000009</v>
      </c>
      <c r="AH17" s="3618">
        <v>644.55761043000007</v>
      </c>
      <c r="AI17" s="3618">
        <v>681.72718156000019</v>
      </c>
      <c r="AJ17" s="3618">
        <v>663.3933626500002</v>
      </c>
      <c r="AK17" s="3618">
        <v>688.06075965000014</v>
      </c>
      <c r="AL17" s="4219">
        <v>661.69490685000005</v>
      </c>
      <c r="AM17" s="4219">
        <v>575.07337355999994</v>
      </c>
      <c r="AN17" s="4219">
        <v>577.60806527999989</v>
      </c>
      <c r="AO17" s="3440"/>
      <c r="AP17" s="3440"/>
      <c r="AQ17" s="3440"/>
    </row>
    <row r="18" spans="1:106" ht="15.75" customHeight="1">
      <c r="A18" s="3440"/>
      <c r="B18" s="3447" t="s">
        <v>1867</v>
      </c>
      <c r="C18" s="3620">
        <v>0</v>
      </c>
      <c r="D18" s="3620">
        <v>0</v>
      </c>
      <c r="E18" s="3620">
        <v>0</v>
      </c>
      <c r="F18" s="3620">
        <v>0</v>
      </c>
      <c r="G18" s="3620">
        <v>0</v>
      </c>
      <c r="H18" s="3620">
        <v>0</v>
      </c>
      <c r="I18" s="3620">
        <v>0</v>
      </c>
      <c r="J18" s="3620">
        <v>0</v>
      </c>
      <c r="K18" s="3620">
        <v>0</v>
      </c>
      <c r="L18" s="3620">
        <v>0</v>
      </c>
      <c r="M18" s="3620">
        <v>0</v>
      </c>
      <c r="N18" s="3620">
        <v>0</v>
      </c>
      <c r="O18" s="3620">
        <v>0</v>
      </c>
      <c r="P18" s="3620">
        <v>0</v>
      </c>
      <c r="Q18" s="3620">
        <v>0</v>
      </c>
      <c r="R18" s="3620">
        <v>0</v>
      </c>
      <c r="S18" s="3620">
        <v>0</v>
      </c>
      <c r="T18" s="3620">
        <v>0</v>
      </c>
      <c r="U18" s="3620">
        <v>0</v>
      </c>
      <c r="V18" s="3620">
        <v>0</v>
      </c>
      <c r="W18" s="3620">
        <v>0</v>
      </c>
      <c r="X18" s="3620">
        <v>0</v>
      </c>
      <c r="Y18" s="3620">
        <v>0</v>
      </c>
      <c r="Z18" s="3620">
        <v>0</v>
      </c>
      <c r="AA18" s="3620">
        <v>0</v>
      </c>
      <c r="AB18" s="3620">
        <v>0</v>
      </c>
      <c r="AC18" s="3620">
        <v>0</v>
      </c>
      <c r="AD18" s="3620">
        <v>0</v>
      </c>
      <c r="AE18" s="3620">
        <v>0</v>
      </c>
      <c r="AF18" s="3620">
        <v>0</v>
      </c>
      <c r="AG18" s="3620">
        <v>0</v>
      </c>
      <c r="AH18" s="3620">
        <v>0</v>
      </c>
      <c r="AI18" s="3620">
        <v>0</v>
      </c>
      <c r="AJ18" s="3620">
        <v>0</v>
      </c>
      <c r="AK18" s="3620">
        <v>0</v>
      </c>
      <c r="AL18" s="3620">
        <v>0</v>
      </c>
      <c r="AM18" s="4356">
        <v>0</v>
      </c>
      <c r="AN18" s="4356">
        <v>0</v>
      </c>
      <c r="AO18" s="3440"/>
      <c r="AP18" s="3440"/>
      <c r="AQ18" s="3440"/>
    </row>
    <row r="19" spans="1:106" ht="15.75" customHeight="1">
      <c r="A19" s="3440"/>
      <c r="B19" s="3445" t="s">
        <v>1866</v>
      </c>
      <c r="C19" s="3618">
        <v>6.6943597099999996</v>
      </c>
      <c r="D19" s="3618">
        <v>7.2263575900000001</v>
      </c>
      <c r="E19" s="3618">
        <v>7.6262552100000001</v>
      </c>
      <c r="F19" s="3618">
        <v>5.6287118500000002</v>
      </c>
      <c r="G19" s="3618">
        <v>7.1810927904000001</v>
      </c>
      <c r="H19" s="3618">
        <v>7.7353048200000005</v>
      </c>
      <c r="I19" s="3618">
        <v>7.5775343800000003</v>
      </c>
      <c r="J19" s="3618">
        <v>8.5566066900000006</v>
      </c>
      <c r="K19" s="3618">
        <v>8.8164133800000002</v>
      </c>
      <c r="L19" s="3618">
        <v>8.4658492699999996</v>
      </c>
      <c r="M19" s="3618">
        <v>8.9487570299999994</v>
      </c>
      <c r="N19" s="3618">
        <v>6.4036766599999995</v>
      </c>
      <c r="O19" s="3618">
        <v>6.4276356000000003</v>
      </c>
      <c r="P19" s="3618">
        <v>7.0016657499999999</v>
      </c>
      <c r="Q19" s="3618">
        <v>7.702484140000001</v>
      </c>
      <c r="R19" s="3618">
        <v>5.9975331500000006</v>
      </c>
      <c r="S19" s="3618">
        <v>6.1196892999999992</v>
      </c>
      <c r="T19" s="3618">
        <v>7.1751525999999997</v>
      </c>
      <c r="U19" s="3618">
        <v>8.1112664899999984</v>
      </c>
      <c r="V19" s="3618">
        <v>8.6200244800000014</v>
      </c>
      <c r="W19" s="3618">
        <v>12.036275320000001</v>
      </c>
      <c r="X19" s="3618">
        <v>9.4161599900000006</v>
      </c>
      <c r="Y19" s="3618">
        <v>11.125318999999999</v>
      </c>
      <c r="Z19" s="3618">
        <v>8.6312155100000005</v>
      </c>
      <c r="AA19" s="3618">
        <v>10.035479409999999</v>
      </c>
      <c r="AB19" s="3618">
        <v>15.374167010000001</v>
      </c>
      <c r="AC19" s="3618">
        <v>9.2126261800000009</v>
      </c>
      <c r="AD19" s="3618">
        <v>8.4709749200000015</v>
      </c>
      <c r="AE19" s="3618">
        <v>9.02130543</v>
      </c>
      <c r="AF19" s="3618">
        <v>8.7717859899999997</v>
      </c>
      <c r="AG19" s="3618">
        <v>9.7377352999999989</v>
      </c>
      <c r="AH19" s="3618">
        <v>11.733864129999999</v>
      </c>
      <c r="AI19" s="3618">
        <v>12.069272380000001</v>
      </c>
      <c r="AJ19" s="3618">
        <v>12.296573589999999</v>
      </c>
      <c r="AK19" s="3618">
        <v>14.09090286</v>
      </c>
      <c r="AL19" s="4219">
        <v>12.988460310000001</v>
      </c>
      <c r="AM19" s="4219">
        <v>14.796535329999999</v>
      </c>
      <c r="AN19" s="4219">
        <v>13.48475004</v>
      </c>
      <c r="AO19" s="3440"/>
      <c r="AP19" s="3440"/>
      <c r="AQ19" s="3440"/>
    </row>
    <row r="20" spans="1:106" ht="15.75" customHeight="1">
      <c r="A20" s="3644"/>
      <c r="B20" s="3645" t="s">
        <v>431</v>
      </c>
      <c r="C20" s="3646">
        <v>5205.4760120299998</v>
      </c>
      <c r="D20" s="3646">
        <v>5237.4205634500004</v>
      </c>
      <c r="E20" s="3646">
        <v>5215.9571365900019</v>
      </c>
      <c r="F20" s="3646">
        <v>5104.1063727199989</v>
      </c>
      <c r="G20" s="3646">
        <v>5030.2366914399981</v>
      </c>
      <c r="H20" s="3646">
        <v>1078.9370006899994</v>
      </c>
      <c r="I20" s="3646">
        <v>1104.02451509</v>
      </c>
      <c r="J20" s="3646">
        <v>1052.3562923199997</v>
      </c>
      <c r="K20" s="3646">
        <v>1039.9778214299999</v>
      </c>
      <c r="L20" s="3646">
        <v>1066.36831588</v>
      </c>
      <c r="M20" s="3646">
        <v>1411.8757084999997</v>
      </c>
      <c r="N20" s="3646">
        <v>1655.4579159399998</v>
      </c>
      <c r="O20" s="3646">
        <v>1315.3447033399998</v>
      </c>
      <c r="P20" s="3646">
        <v>1322.4366684099996</v>
      </c>
      <c r="Q20" s="3646">
        <v>1272.43761655</v>
      </c>
      <c r="R20" s="3646">
        <v>1230.8356902200001</v>
      </c>
      <c r="S20" s="3646">
        <v>1229.39130873</v>
      </c>
      <c r="T20" s="3646">
        <v>1280.2388565800006</v>
      </c>
      <c r="U20" s="3646">
        <v>1212.4069725599691</v>
      </c>
      <c r="V20" s="3646">
        <v>1247.3638641099994</v>
      </c>
      <c r="W20" s="3646">
        <v>1247.92907408</v>
      </c>
      <c r="X20" s="3646">
        <v>1268.7970754299999</v>
      </c>
      <c r="Y20" s="3646">
        <v>1334.2328461500001</v>
      </c>
      <c r="Z20" s="3646">
        <v>1356.99460368</v>
      </c>
      <c r="AA20" s="3646">
        <v>1383.7178067499999</v>
      </c>
      <c r="AB20" s="3646">
        <v>1413.3819134000069</v>
      </c>
      <c r="AC20" s="3646">
        <v>1612.8229877600008</v>
      </c>
      <c r="AD20" s="3646">
        <v>1691.9540081399996</v>
      </c>
      <c r="AE20" s="3646">
        <v>1791.6410986499998</v>
      </c>
      <c r="AF20" s="3646">
        <v>1863.5224320900002</v>
      </c>
      <c r="AG20" s="3646">
        <v>1829.3994575400006</v>
      </c>
      <c r="AH20" s="3646">
        <v>1843.6175788400005</v>
      </c>
      <c r="AI20" s="3646">
        <v>1626.5896601200006</v>
      </c>
      <c r="AJ20" s="3646">
        <v>1819.65983338</v>
      </c>
      <c r="AK20" s="3646">
        <v>1861.2691557299995</v>
      </c>
      <c r="AL20" s="4219">
        <v>1778.7375141900006</v>
      </c>
      <c r="AM20" s="4219">
        <v>1288.8010665800002</v>
      </c>
      <c r="AN20" s="4219">
        <v>1302.1757437900008</v>
      </c>
      <c r="AO20" s="3442"/>
      <c r="AP20" s="3442"/>
      <c r="AQ20" s="3442"/>
      <c r="AR20" s="3441"/>
      <c r="AS20" s="3441"/>
      <c r="AT20" s="3441"/>
      <c r="AU20" s="3441"/>
      <c r="AV20" s="3441"/>
      <c r="AW20" s="3441"/>
      <c r="AX20" s="3441"/>
      <c r="AY20" s="3441"/>
      <c r="AZ20" s="3441"/>
      <c r="BA20" s="3441"/>
      <c r="BB20" s="3441"/>
      <c r="BC20" s="3441"/>
      <c r="BD20" s="3441"/>
      <c r="BE20" s="3441"/>
      <c r="BF20" s="3441"/>
      <c r="BG20" s="3441"/>
      <c r="BH20" s="3441"/>
      <c r="BI20" s="3441"/>
      <c r="BJ20" s="3441"/>
      <c r="BK20" s="3441"/>
      <c r="BL20" s="3441"/>
      <c r="BM20" s="3441"/>
      <c r="BN20" s="3441"/>
      <c r="BO20" s="3441"/>
      <c r="BP20" s="3441"/>
      <c r="BQ20" s="3441"/>
      <c r="BR20" s="3441"/>
      <c r="BS20" s="3441"/>
      <c r="BT20" s="3441"/>
      <c r="BU20" s="3441"/>
      <c r="BV20" s="3441"/>
      <c r="BW20" s="3441"/>
      <c r="BX20" s="3441"/>
      <c r="BY20" s="3441"/>
      <c r="BZ20" s="3441"/>
      <c r="CA20" s="3441"/>
      <c r="CB20" s="3441"/>
      <c r="CC20" s="3441"/>
      <c r="CD20" s="3441"/>
      <c r="CE20" s="3441"/>
      <c r="CF20" s="3441"/>
      <c r="CG20" s="3441"/>
      <c r="CH20" s="3441"/>
      <c r="CI20" s="3441"/>
      <c r="CJ20" s="3441"/>
      <c r="CK20" s="3441"/>
      <c r="CL20" s="3441"/>
      <c r="CM20" s="3441"/>
      <c r="CN20" s="3441"/>
      <c r="CO20" s="3441"/>
      <c r="CP20" s="3441"/>
      <c r="CQ20" s="3441"/>
      <c r="CR20" s="3441"/>
      <c r="CS20" s="3441"/>
      <c r="CT20" s="3441"/>
      <c r="CU20" s="3441"/>
      <c r="CV20" s="3441"/>
      <c r="CW20" s="3441"/>
      <c r="CX20" s="3441"/>
      <c r="CY20" s="3441"/>
      <c r="CZ20" s="3441"/>
      <c r="DA20" s="3441"/>
      <c r="DB20" s="3441"/>
    </row>
    <row r="21" spans="1:106" s="3441" customFormat="1" ht="24" customHeight="1">
      <c r="A21" s="3443"/>
      <c r="B21" s="3444" t="s">
        <v>152</v>
      </c>
      <c r="C21" s="3621">
        <v>53353.301115410024</v>
      </c>
      <c r="D21" s="3621">
        <v>53944.634414790009</v>
      </c>
      <c r="E21" s="3621">
        <v>54402.417477692004</v>
      </c>
      <c r="F21" s="3621">
        <v>54671.159431689986</v>
      </c>
      <c r="G21" s="3621">
        <v>55129.532058504403</v>
      </c>
      <c r="H21" s="3621">
        <v>56778.344653339998</v>
      </c>
      <c r="I21" s="3621">
        <v>58117.38689786</v>
      </c>
      <c r="J21" s="3621">
        <v>57084.163356609984</v>
      </c>
      <c r="K21" s="3621">
        <v>56267.359392819999</v>
      </c>
      <c r="L21" s="3621">
        <v>56748.080738839992</v>
      </c>
      <c r="M21" s="3621">
        <v>57312.523689940004</v>
      </c>
      <c r="N21" s="3621">
        <v>57460.782398880001</v>
      </c>
      <c r="O21" s="3621">
        <v>58462.251409969969</v>
      </c>
      <c r="P21" s="3621">
        <v>58809.128830369991</v>
      </c>
      <c r="Q21" s="3621">
        <v>58958.734176130005</v>
      </c>
      <c r="R21" s="3621">
        <v>58815.53507154002</v>
      </c>
      <c r="S21" s="3621">
        <v>59679.037723310008</v>
      </c>
      <c r="T21" s="3621">
        <v>63186.957318072018</v>
      </c>
      <c r="U21" s="3621">
        <v>62237.323638283939</v>
      </c>
      <c r="V21" s="3621">
        <v>61465.697046225978</v>
      </c>
      <c r="W21" s="3621">
        <v>62446.67976461802</v>
      </c>
      <c r="X21" s="3621">
        <v>63347.520490530027</v>
      </c>
      <c r="Y21" s="3621">
        <v>63701.141202972001</v>
      </c>
      <c r="Z21" s="3621">
        <v>63982.049776133979</v>
      </c>
      <c r="AA21" s="3621">
        <v>64399.006459066026</v>
      </c>
      <c r="AB21" s="3621">
        <v>65220.841215997978</v>
      </c>
      <c r="AC21" s="3621">
        <v>67079.029018520043</v>
      </c>
      <c r="AD21" s="3621">
        <v>67959.772862942074</v>
      </c>
      <c r="AE21" s="3621">
        <v>70663.639488864021</v>
      </c>
      <c r="AF21" s="3621">
        <v>71509.005501906038</v>
      </c>
      <c r="AG21" s="3621">
        <v>70805.145690548015</v>
      </c>
      <c r="AH21" s="3621">
        <v>71239.023387840032</v>
      </c>
      <c r="AI21" s="3621">
        <v>71998.014791374022</v>
      </c>
      <c r="AJ21" s="3621">
        <v>73250.029256979993</v>
      </c>
      <c r="AK21" s="3621">
        <v>74351.392143747027</v>
      </c>
      <c r="AL21" s="4220">
        <v>74679.877659834048</v>
      </c>
      <c r="AM21" s="4220">
        <v>64051.420049960027</v>
      </c>
      <c r="AN21" s="4220">
        <v>64127.577603870013</v>
      </c>
      <c r="AO21" s="3442"/>
      <c r="AP21" s="3442"/>
      <c r="AQ21" s="3442"/>
    </row>
    <row r="22" spans="1:106" ht="58.5" customHeight="1">
      <c r="A22" s="3443"/>
      <c r="B22" s="3647" t="s">
        <v>1865</v>
      </c>
      <c r="C22" s="3647"/>
      <c r="D22" s="3647"/>
      <c r="E22" s="3647"/>
      <c r="F22" s="3647"/>
      <c r="G22" s="3647"/>
      <c r="H22" s="3647"/>
      <c r="I22" s="3647"/>
      <c r="J22" s="3647"/>
      <c r="K22" s="3647"/>
      <c r="L22" s="3647"/>
      <c r="M22" s="3647"/>
      <c r="N22" s="3647"/>
      <c r="O22" s="3647"/>
      <c r="P22" s="3647"/>
      <c r="Q22" s="3647"/>
      <c r="R22" s="3647"/>
      <c r="S22" s="3647"/>
      <c r="T22" s="3647"/>
      <c r="U22" s="3647"/>
      <c r="V22" s="3647"/>
      <c r="W22" s="3647"/>
      <c r="X22" s="3647"/>
      <c r="Y22" s="3647"/>
      <c r="Z22" s="3647"/>
      <c r="AA22" s="3647"/>
      <c r="AB22" s="3647"/>
      <c r="AC22" s="3647"/>
      <c r="AD22" s="3442"/>
      <c r="AE22" s="3442"/>
      <c r="AF22" s="3442"/>
      <c r="AG22" s="3442"/>
      <c r="AH22" s="3442"/>
      <c r="AI22" s="3442"/>
      <c r="AJ22" s="3442"/>
      <c r="AK22" s="3442"/>
      <c r="AL22" s="3442"/>
      <c r="AM22" s="3442"/>
      <c r="AN22" s="3442"/>
      <c r="AO22" s="3442"/>
      <c r="AP22" s="3442"/>
      <c r="AQ22" s="3442"/>
      <c r="AR22" s="3441"/>
      <c r="AS22" s="3441"/>
      <c r="AT22" s="3441"/>
      <c r="AU22" s="3441"/>
      <c r="AV22" s="3441"/>
      <c r="AW22" s="3441"/>
      <c r="AX22" s="3441"/>
      <c r="AY22" s="3441"/>
      <c r="AZ22" s="3441"/>
      <c r="BA22" s="3441"/>
      <c r="BB22" s="3441"/>
      <c r="BC22" s="3441"/>
      <c r="BD22" s="3441"/>
      <c r="BE22" s="3441"/>
      <c r="BF22" s="3441"/>
      <c r="BG22" s="3441"/>
      <c r="BH22" s="3441"/>
      <c r="BI22" s="3441"/>
      <c r="BJ22" s="3441"/>
      <c r="BK22" s="3441"/>
      <c r="BL22" s="3441"/>
      <c r="BM22" s="3441"/>
      <c r="BN22" s="3441"/>
      <c r="BO22" s="3441"/>
      <c r="BP22" s="3441"/>
      <c r="BQ22" s="3441"/>
      <c r="BR22" s="3441"/>
      <c r="BS22" s="3441"/>
      <c r="BT22" s="3441"/>
      <c r="BU22" s="3441"/>
      <c r="BV22" s="3441"/>
      <c r="BW22" s="3441"/>
      <c r="BX22" s="3441"/>
      <c r="BY22" s="3441"/>
      <c r="BZ22" s="3441"/>
      <c r="CA22" s="3441"/>
      <c r="CB22" s="3441"/>
      <c r="CC22" s="3441"/>
      <c r="CD22" s="3441"/>
      <c r="CE22" s="3441"/>
      <c r="CF22" s="3441"/>
      <c r="CG22" s="3441"/>
      <c r="CH22" s="3441"/>
      <c r="CI22" s="3441"/>
      <c r="CJ22" s="3441"/>
      <c r="CK22" s="3441"/>
      <c r="CL22" s="3441"/>
      <c r="CM22" s="3441"/>
      <c r="CN22" s="3441"/>
      <c r="CO22" s="3441"/>
      <c r="CP22" s="3441"/>
      <c r="CQ22" s="3441"/>
      <c r="CR22" s="3441"/>
      <c r="CS22" s="3441"/>
      <c r="CT22" s="3441"/>
      <c r="CU22" s="3441"/>
      <c r="CV22" s="3441"/>
      <c r="CW22" s="3441"/>
      <c r="CX22" s="3441"/>
      <c r="CY22" s="3441"/>
      <c r="CZ22" s="3441"/>
      <c r="DA22" s="3441"/>
      <c r="DB22" s="3441"/>
    </row>
    <row r="23" spans="1:106" ht="18" customHeight="1">
      <c r="A23" s="3442"/>
      <c r="B23" s="3442"/>
      <c r="C23" s="3440"/>
      <c r="D23" s="3440"/>
      <c r="E23" s="3440"/>
      <c r="F23" s="3440"/>
      <c r="G23" s="3440"/>
      <c r="H23" s="3440"/>
      <c r="I23" s="3440"/>
      <c r="J23" s="3440"/>
      <c r="K23" s="3440"/>
      <c r="L23" s="3440"/>
      <c r="M23" s="3440"/>
      <c r="N23" s="3440"/>
      <c r="O23" s="3440"/>
      <c r="P23" s="3440"/>
      <c r="Q23" s="3440"/>
      <c r="R23" s="3440"/>
      <c r="S23" s="3440"/>
      <c r="T23" s="3440"/>
      <c r="U23" s="3440"/>
      <c r="V23" s="3440"/>
      <c r="W23" s="3440"/>
      <c r="Y23" s="3648"/>
      <c r="AA23" s="3648"/>
      <c r="AB23" s="3648"/>
      <c r="AC23" s="3648"/>
      <c r="AD23" s="3648"/>
      <c r="AE23" s="3440"/>
      <c r="AF23" s="3440"/>
      <c r="AI23" s="3648"/>
      <c r="AJ23" s="3648"/>
      <c r="AK23" s="3648"/>
      <c r="AL23" s="3648"/>
      <c r="AM23" s="3648"/>
      <c r="AN23" s="3648"/>
      <c r="AO23" s="3648"/>
      <c r="AP23" s="3648"/>
      <c r="AQ23" s="3440"/>
    </row>
    <row r="24" spans="1:106">
      <c r="A24" s="3440"/>
      <c r="B24" s="3440"/>
      <c r="C24" s="3440"/>
      <c r="D24" s="3440"/>
      <c r="E24" s="3440"/>
      <c r="F24" s="3440"/>
      <c r="G24" s="3440"/>
      <c r="H24" s="3440"/>
      <c r="I24" s="3440"/>
      <c r="J24" s="3440"/>
      <c r="K24" s="3440"/>
      <c r="L24" s="3440"/>
      <c r="M24" s="3440"/>
      <c r="N24" s="3440"/>
      <c r="O24" s="3440"/>
      <c r="P24" s="3440"/>
      <c r="Q24" s="3440"/>
      <c r="R24" s="3440"/>
      <c r="S24" s="3440"/>
      <c r="T24" s="3440"/>
      <c r="U24" s="3440"/>
      <c r="V24" s="3440"/>
      <c r="W24" s="3440"/>
      <c r="X24" s="3440"/>
      <c r="Y24" s="3440"/>
      <c r="Z24" s="3440"/>
      <c r="AA24" s="3440"/>
      <c r="AB24" s="3440"/>
      <c r="AC24" s="3440"/>
      <c r="AD24" s="3440"/>
      <c r="AE24" s="3440"/>
      <c r="AF24" s="3440"/>
      <c r="AG24" s="3440"/>
      <c r="AH24" s="3440"/>
      <c r="AI24" s="3440"/>
      <c r="AJ24" s="3440"/>
      <c r="AK24" s="3440"/>
      <c r="AL24" s="3440"/>
      <c r="AM24" s="3440"/>
      <c r="AN24" s="3440"/>
      <c r="AO24" s="3440"/>
      <c r="AP24" s="3440"/>
      <c r="AQ24" s="3440"/>
    </row>
    <row r="25" spans="1:106">
      <c r="A25" s="3440"/>
      <c r="B25" s="3440"/>
      <c r="C25" s="3440"/>
      <c r="D25" s="3440"/>
      <c r="E25" s="3440"/>
      <c r="F25" s="3440"/>
      <c r="G25" s="3440"/>
      <c r="H25" s="3440"/>
      <c r="I25" s="3440"/>
      <c r="J25" s="3440"/>
      <c r="K25" s="3440"/>
      <c r="L25" s="3440"/>
      <c r="M25" s="3440"/>
      <c r="N25" s="3440"/>
      <c r="O25" s="3440"/>
      <c r="P25" s="3440"/>
      <c r="Q25" s="3440"/>
      <c r="R25" s="3440"/>
      <c r="S25" s="3440"/>
      <c r="T25" s="3440"/>
      <c r="U25" s="3440"/>
      <c r="V25" s="3440"/>
      <c r="W25" s="3440"/>
      <c r="X25" s="3440"/>
      <c r="Y25" s="3440"/>
      <c r="Z25" s="3440"/>
      <c r="AA25" s="3440"/>
      <c r="AB25" s="3440"/>
      <c r="AC25" s="3440"/>
      <c r="AD25" s="3440"/>
      <c r="AE25" s="3440"/>
      <c r="AF25" s="3440"/>
      <c r="AG25" s="3440"/>
      <c r="AH25" s="3440"/>
      <c r="AI25" s="3440"/>
      <c r="AJ25" s="3440"/>
      <c r="AK25" s="3440"/>
      <c r="AL25" s="3440"/>
      <c r="AM25" s="3440"/>
      <c r="AN25" s="3440"/>
      <c r="AO25" s="3440"/>
      <c r="AP25" s="3440"/>
      <c r="AQ25" s="3440"/>
    </row>
    <row r="26" spans="1:106">
      <c r="A26" s="3440"/>
      <c r="B26" s="3440"/>
      <c r="C26" s="3440"/>
      <c r="D26" s="3440"/>
      <c r="E26" s="3440"/>
      <c r="F26" s="3440"/>
      <c r="G26" s="3440"/>
      <c r="H26" s="3440"/>
      <c r="I26" s="3440"/>
      <c r="J26" s="3440"/>
      <c r="K26" s="3440"/>
      <c r="L26" s="3440"/>
      <c r="M26" s="3440"/>
      <c r="N26" s="3440"/>
      <c r="O26" s="3440"/>
      <c r="P26" s="3440"/>
      <c r="Q26" s="3440"/>
      <c r="R26" s="3440"/>
      <c r="S26" s="3440"/>
      <c r="T26" s="3440"/>
      <c r="U26" s="3440"/>
      <c r="V26" s="3440"/>
      <c r="W26" s="3440"/>
      <c r="X26" s="3440"/>
      <c r="Y26" s="3440"/>
      <c r="Z26" s="3440"/>
      <c r="AA26" s="3440"/>
      <c r="AB26" s="3440"/>
      <c r="AC26" s="3440"/>
      <c r="AD26" s="3440"/>
      <c r="AE26" s="3440"/>
      <c r="AF26" s="3440"/>
      <c r="AG26" s="3440"/>
      <c r="AH26" s="3440"/>
      <c r="AI26" s="3440"/>
      <c r="AJ26" s="3440"/>
      <c r="AK26" s="3440"/>
      <c r="AL26" s="3440"/>
      <c r="AM26" s="3440"/>
      <c r="AN26" s="3440"/>
      <c r="AO26" s="3440"/>
      <c r="AP26" s="3440"/>
      <c r="AQ26" s="3440"/>
    </row>
    <row r="27" spans="1:106">
      <c r="A27" s="3440"/>
      <c r="B27" s="3440"/>
      <c r="C27" s="3440"/>
      <c r="D27" s="3440"/>
      <c r="E27" s="3440"/>
      <c r="F27" s="3440"/>
      <c r="G27" s="3440"/>
      <c r="H27" s="3440"/>
      <c r="I27" s="3440"/>
      <c r="J27" s="3440"/>
      <c r="K27" s="3440"/>
      <c r="L27" s="3440"/>
      <c r="M27" s="3440"/>
      <c r="N27" s="3440"/>
      <c r="O27" s="3440"/>
      <c r="P27" s="3440"/>
      <c r="Q27" s="3440"/>
      <c r="R27" s="3440"/>
      <c r="S27" s="3440"/>
      <c r="T27" s="3440"/>
      <c r="U27" s="3440"/>
      <c r="V27" s="3440"/>
      <c r="W27" s="3440"/>
      <c r="X27" s="3440"/>
      <c r="Y27" s="3440"/>
      <c r="Z27" s="3440"/>
      <c r="AA27" s="3440"/>
      <c r="AB27" s="3440"/>
      <c r="AC27" s="3440"/>
      <c r="AD27" s="3440"/>
      <c r="AE27" s="3440"/>
      <c r="AF27" s="3440"/>
      <c r="AG27" s="3440"/>
      <c r="AH27" s="3440"/>
      <c r="AI27" s="3440"/>
      <c r="AJ27" s="3440"/>
      <c r="AK27" s="3440"/>
      <c r="AL27" s="3440"/>
      <c r="AM27" s="3440"/>
      <c r="AN27" s="3440"/>
      <c r="AO27" s="3440"/>
      <c r="AP27" s="3440"/>
      <c r="AQ27" s="3440"/>
    </row>
    <row r="28" spans="1:106">
      <c r="A28" s="3440"/>
      <c r="B28" s="3440"/>
      <c r="C28" s="3440"/>
      <c r="D28" s="3440"/>
      <c r="E28" s="3440"/>
      <c r="F28" s="3440"/>
      <c r="G28" s="3440"/>
      <c r="H28" s="3440"/>
      <c r="I28" s="3440"/>
      <c r="J28" s="3440"/>
      <c r="K28" s="3440"/>
      <c r="L28" s="3440"/>
      <c r="M28" s="3440"/>
      <c r="N28" s="3440"/>
      <c r="O28" s="3440"/>
      <c r="P28" s="3440"/>
      <c r="Q28" s="3440"/>
      <c r="R28" s="3440"/>
      <c r="S28" s="3440"/>
      <c r="T28" s="3440"/>
      <c r="U28" s="3440"/>
      <c r="V28" s="3440"/>
      <c r="W28" s="3440"/>
      <c r="X28" s="3440"/>
      <c r="Y28" s="3440"/>
      <c r="Z28" s="3440"/>
      <c r="AA28" s="3440"/>
      <c r="AB28" s="3440"/>
      <c r="AC28" s="3440"/>
      <c r="AD28" s="3440"/>
      <c r="AE28" s="3440"/>
      <c r="AF28" s="3440"/>
      <c r="AG28" s="3440"/>
      <c r="AH28" s="3440"/>
      <c r="AI28" s="3440"/>
      <c r="AJ28" s="3440"/>
      <c r="AK28" s="3440"/>
      <c r="AL28" s="3440"/>
      <c r="AM28" s="3440"/>
      <c r="AN28" s="3440"/>
      <c r="AO28" s="3440"/>
      <c r="AP28" s="3440"/>
      <c r="AQ28" s="3440"/>
    </row>
    <row r="29" spans="1:106">
      <c r="A29" s="3440"/>
      <c r="B29" s="3440"/>
      <c r="C29" s="3440"/>
      <c r="D29" s="3440"/>
      <c r="E29" s="3440"/>
      <c r="F29" s="3440"/>
      <c r="G29" s="3440"/>
      <c r="H29" s="3440"/>
      <c r="I29" s="3440"/>
      <c r="J29" s="3440"/>
      <c r="K29" s="3440"/>
      <c r="L29" s="3440"/>
      <c r="M29" s="3440"/>
      <c r="N29" s="3440"/>
      <c r="O29" s="3440"/>
      <c r="P29" s="3440"/>
      <c r="Q29" s="3440"/>
      <c r="R29" s="3440"/>
      <c r="S29" s="3440"/>
      <c r="T29" s="3440"/>
      <c r="U29" s="3440"/>
      <c r="V29" s="3440"/>
      <c r="W29" s="3440"/>
      <c r="X29" s="3440"/>
      <c r="Y29" s="3440"/>
      <c r="Z29" s="3440"/>
      <c r="AA29" s="3440"/>
      <c r="AB29" s="3440"/>
      <c r="AC29" s="3440"/>
      <c r="AD29" s="3440"/>
      <c r="AE29" s="3440"/>
      <c r="AF29" s="3440"/>
      <c r="AG29" s="3440"/>
      <c r="AH29" s="3440"/>
      <c r="AI29" s="3440"/>
      <c r="AJ29" s="3440"/>
      <c r="AK29" s="3440"/>
      <c r="AL29" s="3440"/>
      <c r="AM29" s="3440"/>
      <c r="AN29" s="3440"/>
      <c r="AO29" s="3440"/>
      <c r="AP29" s="3440"/>
      <c r="AQ29" s="3440"/>
    </row>
    <row r="30" spans="1:106">
      <c r="A30" s="3440"/>
      <c r="B30" s="3440"/>
      <c r="C30" s="3440"/>
      <c r="D30" s="3440"/>
      <c r="E30" s="3440"/>
      <c r="F30" s="3440"/>
      <c r="G30" s="3440"/>
      <c r="H30" s="3440"/>
      <c r="I30" s="3440"/>
      <c r="J30" s="3440"/>
      <c r="K30" s="3440"/>
      <c r="L30" s="3440"/>
      <c r="M30" s="3440"/>
      <c r="N30" s="3440"/>
      <c r="O30" s="3440"/>
      <c r="P30" s="3440"/>
      <c r="Q30" s="3440"/>
      <c r="R30" s="3440"/>
      <c r="S30" s="3440"/>
      <c r="T30" s="3440"/>
      <c r="U30" s="3440"/>
      <c r="V30" s="3440"/>
      <c r="W30" s="3440"/>
      <c r="X30" s="3440"/>
      <c r="Y30" s="3440"/>
      <c r="Z30" s="3440"/>
      <c r="AA30" s="3440"/>
      <c r="AB30" s="3440"/>
      <c r="AC30" s="3440"/>
      <c r="AD30" s="3440"/>
      <c r="AE30" s="3440"/>
      <c r="AF30" s="3440"/>
      <c r="AG30" s="3440"/>
      <c r="AH30" s="3440"/>
      <c r="AI30" s="3440"/>
      <c r="AJ30" s="3440"/>
      <c r="AK30" s="3440"/>
      <c r="AL30" s="3440"/>
      <c r="AM30" s="3440"/>
      <c r="AN30" s="3440"/>
      <c r="AO30" s="3440"/>
      <c r="AP30" s="3440"/>
      <c r="AQ30" s="3440"/>
    </row>
    <row r="31" spans="1:106">
      <c r="A31" s="3440"/>
      <c r="B31" s="3440"/>
      <c r="C31" s="3440"/>
      <c r="D31" s="3440"/>
      <c r="E31" s="3440"/>
      <c r="F31" s="3440"/>
      <c r="G31" s="3440"/>
      <c r="H31" s="3440"/>
      <c r="I31" s="3440"/>
      <c r="J31" s="3440"/>
      <c r="K31" s="3440"/>
      <c r="L31" s="3440"/>
      <c r="M31" s="3440"/>
      <c r="N31" s="3440"/>
      <c r="O31" s="3440"/>
      <c r="P31" s="3440"/>
      <c r="Q31" s="3440"/>
      <c r="R31" s="3440"/>
      <c r="S31" s="3440"/>
      <c r="T31" s="3440"/>
      <c r="U31" s="3440"/>
      <c r="V31" s="3440"/>
      <c r="W31" s="3440"/>
      <c r="X31" s="3440"/>
      <c r="Y31" s="3440"/>
      <c r="Z31" s="3440"/>
      <c r="AA31" s="3440"/>
      <c r="AB31" s="3440"/>
      <c r="AC31" s="3440"/>
      <c r="AD31" s="3440"/>
      <c r="AE31" s="3440"/>
      <c r="AF31" s="3440"/>
      <c r="AG31" s="3440"/>
      <c r="AH31" s="3440"/>
      <c r="AI31" s="3440"/>
      <c r="AJ31" s="3440"/>
      <c r="AK31" s="3440"/>
      <c r="AL31" s="3440"/>
      <c r="AM31" s="3440"/>
      <c r="AN31" s="3440"/>
      <c r="AO31" s="3440"/>
      <c r="AP31" s="3440"/>
      <c r="AQ31" s="3440"/>
    </row>
    <row r="32" spans="1:106">
      <c r="A32" s="3440"/>
      <c r="B32" s="3440"/>
      <c r="C32" s="3440"/>
      <c r="D32" s="3440"/>
      <c r="E32" s="3440"/>
      <c r="F32" s="3440"/>
      <c r="G32" s="3440"/>
      <c r="H32" s="3440"/>
      <c r="I32" s="3440"/>
      <c r="J32" s="3440"/>
      <c r="K32" s="3440"/>
      <c r="L32" s="3440"/>
      <c r="M32" s="3440"/>
      <c r="N32" s="3440"/>
      <c r="O32" s="3440"/>
      <c r="P32" s="3440"/>
      <c r="Q32" s="3440"/>
      <c r="R32" s="3440"/>
      <c r="S32" s="3440"/>
      <c r="T32" s="3440"/>
      <c r="U32" s="3440"/>
      <c r="V32" s="3440"/>
      <c r="W32" s="3440"/>
      <c r="X32" s="3440"/>
      <c r="Y32" s="3440"/>
      <c r="Z32" s="3440"/>
      <c r="AA32" s="3440"/>
      <c r="AB32" s="3440"/>
      <c r="AC32" s="3440"/>
      <c r="AD32" s="3440"/>
      <c r="AE32" s="3440"/>
      <c r="AF32" s="3440"/>
      <c r="AG32" s="3440"/>
      <c r="AH32" s="3440"/>
      <c r="AI32" s="3440"/>
      <c r="AJ32" s="3440"/>
      <c r="AK32" s="3440"/>
      <c r="AL32" s="3440"/>
      <c r="AM32" s="3440"/>
      <c r="AN32" s="3440"/>
      <c r="AO32" s="3440"/>
      <c r="AP32" s="3440"/>
      <c r="AQ32" s="3440"/>
    </row>
    <row r="33" spans="1:43">
      <c r="A33" s="3440"/>
      <c r="B33" s="3440"/>
      <c r="C33" s="3440"/>
      <c r="D33" s="3440"/>
      <c r="E33" s="3440"/>
      <c r="F33" s="3440"/>
      <c r="G33" s="3440"/>
      <c r="H33" s="3440"/>
      <c r="I33" s="3440"/>
      <c r="J33" s="3440"/>
      <c r="K33" s="3440"/>
      <c r="L33" s="3440"/>
      <c r="M33" s="3440"/>
      <c r="N33" s="3440"/>
      <c r="O33" s="3440"/>
      <c r="P33" s="3440"/>
      <c r="Q33" s="3440"/>
      <c r="R33" s="3440"/>
      <c r="S33" s="3440"/>
      <c r="T33" s="3440"/>
      <c r="U33" s="3440"/>
      <c r="V33" s="3440"/>
      <c r="W33" s="3440"/>
      <c r="X33" s="3440"/>
      <c r="Y33" s="3440"/>
      <c r="Z33" s="3440"/>
      <c r="AA33" s="3440"/>
      <c r="AB33" s="3440"/>
      <c r="AC33" s="3440"/>
      <c r="AD33" s="3440"/>
      <c r="AE33" s="3440"/>
      <c r="AF33" s="3440"/>
      <c r="AG33" s="3440"/>
      <c r="AH33" s="3440"/>
      <c r="AI33" s="3440"/>
      <c r="AJ33" s="3440"/>
      <c r="AK33" s="3440"/>
      <c r="AL33" s="3440"/>
      <c r="AM33" s="3440"/>
      <c r="AN33" s="3440"/>
      <c r="AO33" s="3440"/>
      <c r="AP33" s="3440"/>
      <c r="AQ33" s="3440"/>
    </row>
    <row r="34" spans="1:43">
      <c r="A34" s="3440"/>
      <c r="B34" s="3440"/>
      <c r="C34" s="3440"/>
      <c r="D34" s="3440"/>
      <c r="E34" s="3440"/>
      <c r="F34" s="3440"/>
      <c r="G34" s="3440"/>
      <c r="H34" s="3440"/>
      <c r="I34" s="3440"/>
      <c r="J34" s="3440"/>
      <c r="K34" s="3440"/>
      <c r="L34" s="3440"/>
      <c r="M34" s="3440"/>
      <c r="N34" s="3440"/>
      <c r="O34" s="3440"/>
      <c r="P34" s="3440"/>
      <c r="Q34" s="3440"/>
      <c r="R34" s="3440"/>
      <c r="S34" s="3440"/>
      <c r="T34" s="3440"/>
      <c r="U34" s="3440"/>
      <c r="V34" s="3440"/>
      <c r="W34" s="3440"/>
      <c r="X34" s="3440"/>
      <c r="Y34" s="3440"/>
      <c r="Z34" s="3440"/>
      <c r="AA34" s="3440"/>
      <c r="AB34" s="3440"/>
      <c r="AC34" s="3440"/>
      <c r="AD34" s="3440"/>
      <c r="AE34" s="3440"/>
      <c r="AF34" s="3440"/>
      <c r="AG34" s="3440"/>
      <c r="AH34" s="3440"/>
      <c r="AI34" s="3440"/>
      <c r="AJ34" s="3440"/>
      <c r="AK34" s="3440"/>
      <c r="AL34" s="3440"/>
      <c r="AM34" s="3440"/>
      <c r="AN34" s="3440"/>
      <c r="AO34" s="3440"/>
      <c r="AP34" s="3440"/>
      <c r="AQ34" s="3440"/>
    </row>
    <row r="35" spans="1:43">
      <c r="A35" s="3440"/>
      <c r="B35" s="3440"/>
      <c r="C35" s="3440"/>
      <c r="D35" s="3440"/>
      <c r="E35" s="3440"/>
      <c r="F35" s="3440"/>
      <c r="G35" s="3440"/>
      <c r="H35" s="3440"/>
      <c r="I35" s="3440"/>
      <c r="J35" s="3440"/>
      <c r="K35" s="3440"/>
      <c r="L35" s="3440"/>
      <c r="M35" s="3440"/>
      <c r="N35" s="3440"/>
      <c r="O35" s="3440"/>
      <c r="P35" s="3440"/>
      <c r="Q35" s="3440"/>
      <c r="R35" s="3440"/>
      <c r="S35" s="3440"/>
      <c r="T35" s="3440"/>
      <c r="U35" s="3440"/>
      <c r="V35" s="3440"/>
      <c r="W35" s="3440"/>
      <c r="X35" s="3440"/>
      <c r="Y35" s="3440"/>
      <c r="Z35" s="3440"/>
      <c r="AA35" s="3440"/>
      <c r="AB35" s="3440"/>
      <c r="AC35" s="3440"/>
      <c r="AD35" s="3440"/>
      <c r="AE35" s="3440"/>
      <c r="AF35" s="3440"/>
      <c r="AG35" s="3440"/>
      <c r="AH35" s="3440"/>
      <c r="AI35" s="3440"/>
      <c r="AJ35" s="3440"/>
      <c r="AK35" s="3440"/>
      <c r="AL35" s="3440"/>
      <c r="AM35" s="3440"/>
      <c r="AN35" s="3440"/>
      <c r="AO35" s="3440"/>
      <c r="AP35" s="3440"/>
      <c r="AQ35" s="3440"/>
    </row>
    <row r="36" spans="1:43">
      <c r="A36" s="3440"/>
      <c r="B36" s="3440"/>
      <c r="C36" s="3440"/>
      <c r="D36" s="3440"/>
      <c r="E36" s="3440"/>
      <c r="F36" s="3440"/>
      <c r="G36" s="3440"/>
      <c r="H36" s="3440"/>
      <c r="I36" s="3440"/>
      <c r="J36" s="3440"/>
      <c r="K36" s="3440"/>
      <c r="L36" s="3440"/>
      <c r="M36" s="3440"/>
      <c r="N36" s="3440"/>
      <c r="O36" s="3440"/>
      <c r="P36" s="3440"/>
      <c r="Q36" s="3440"/>
      <c r="R36" s="3440"/>
      <c r="S36" s="3440"/>
      <c r="T36" s="3440"/>
      <c r="U36" s="3440"/>
      <c r="V36" s="3440"/>
      <c r="W36" s="3440"/>
      <c r="X36" s="3440"/>
      <c r="Y36" s="3440"/>
      <c r="Z36" s="3440"/>
      <c r="AA36" s="3440"/>
      <c r="AB36" s="3440"/>
      <c r="AC36" s="3440"/>
      <c r="AD36" s="3440"/>
      <c r="AE36" s="3440"/>
      <c r="AF36" s="3440"/>
      <c r="AG36" s="3440"/>
      <c r="AH36" s="3440"/>
      <c r="AI36" s="3440"/>
      <c r="AJ36" s="3440"/>
      <c r="AK36" s="3440"/>
      <c r="AL36" s="3440"/>
      <c r="AM36" s="3440"/>
      <c r="AN36" s="3440"/>
      <c r="AO36" s="3440"/>
      <c r="AP36" s="3440"/>
      <c r="AQ36" s="3440"/>
    </row>
    <row r="37" spans="1:43">
      <c r="A37" s="3440"/>
      <c r="B37" s="3440"/>
      <c r="C37" s="3440"/>
      <c r="D37" s="3440"/>
      <c r="E37" s="3440"/>
      <c r="F37" s="3440"/>
      <c r="G37" s="3440"/>
      <c r="H37" s="3440"/>
      <c r="I37" s="3440"/>
      <c r="J37" s="3440"/>
      <c r="K37" s="3440"/>
      <c r="L37" s="3440"/>
      <c r="M37" s="3440"/>
      <c r="N37" s="3440"/>
      <c r="O37" s="3440"/>
      <c r="P37" s="3440"/>
      <c r="Q37" s="3440"/>
      <c r="R37" s="3440"/>
      <c r="S37" s="3440"/>
      <c r="T37" s="3440"/>
      <c r="U37" s="3440"/>
      <c r="V37" s="3440"/>
      <c r="W37" s="3440"/>
      <c r="X37" s="3440"/>
      <c r="Y37" s="3440"/>
      <c r="Z37" s="3440"/>
      <c r="AA37" s="3440"/>
      <c r="AB37" s="3440"/>
      <c r="AC37" s="3440"/>
      <c r="AD37" s="3440"/>
      <c r="AE37" s="3440"/>
      <c r="AF37" s="3440"/>
      <c r="AG37" s="3440"/>
      <c r="AH37" s="3440"/>
      <c r="AI37" s="3440"/>
      <c r="AJ37" s="3440"/>
      <c r="AK37" s="3440"/>
      <c r="AL37" s="3440"/>
      <c r="AM37" s="3440"/>
      <c r="AN37" s="3440"/>
      <c r="AO37" s="3440"/>
      <c r="AP37" s="3440"/>
      <c r="AQ37" s="3440"/>
    </row>
    <row r="38" spans="1:43">
      <c r="A38" s="3440"/>
      <c r="B38" s="3440"/>
      <c r="C38" s="3440"/>
      <c r="D38" s="3440"/>
      <c r="E38" s="3440"/>
      <c r="F38" s="3440"/>
      <c r="G38" s="3440"/>
      <c r="H38" s="3440"/>
      <c r="I38" s="3440"/>
      <c r="J38" s="3440"/>
      <c r="K38" s="3440"/>
      <c r="L38" s="3440"/>
      <c r="M38" s="3440"/>
      <c r="N38" s="3440"/>
      <c r="O38" s="3440"/>
      <c r="P38" s="3440"/>
      <c r="Q38" s="3440"/>
      <c r="R38" s="3440"/>
      <c r="S38" s="3440"/>
      <c r="T38" s="3440"/>
      <c r="U38" s="3440"/>
      <c r="V38" s="3440"/>
      <c r="W38" s="3440"/>
      <c r="X38" s="3440"/>
      <c r="Y38" s="3440"/>
      <c r="Z38" s="3440"/>
      <c r="AA38" s="3440"/>
      <c r="AB38" s="3440"/>
      <c r="AC38" s="3440"/>
      <c r="AD38" s="3440"/>
      <c r="AE38" s="3440"/>
      <c r="AF38" s="3440"/>
      <c r="AG38" s="3440"/>
      <c r="AH38" s="3440"/>
      <c r="AI38" s="3440"/>
      <c r="AJ38" s="3440"/>
      <c r="AK38" s="3440"/>
      <c r="AL38" s="3440"/>
      <c r="AM38" s="3440"/>
      <c r="AN38" s="3440"/>
      <c r="AO38" s="3440"/>
      <c r="AP38" s="3440"/>
      <c r="AQ38" s="3440"/>
    </row>
    <row r="39" spans="1:43">
      <c r="A39" s="3440"/>
      <c r="B39" s="3440"/>
      <c r="C39" s="3440"/>
      <c r="D39" s="3440"/>
      <c r="E39" s="3440"/>
      <c r="F39" s="3440"/>
      <c r="G39" s="3440"/>
      <c r="H39" s="3440"/>
      <c r="I39" s="3440"/>
      <c r="J39" s="3440"/>
      <c r="K39" s="3440"/>
      <c r="L39" s="3440"/>
      <c r="M39" s="3440"/>
      <c r="N39" s="3440"/>
      <c r="O39" s="3440"/>
      <c r="P39" s="3440"/>
      <c r="Q39" s="3440"/>
      <c r="R39" s="3440"/>
      <c r="S39" s="3440"/>
      <c r="T39" s="3440"/>
      <c r="U39" s="3440"/>
      <c r="V39" s="3440"/>
      <c r="W39" s="3440"/>
      <c r="X39" s="3440"/>
      <c r="Y39" s="3440"/>
      <c r="Z39" s="3440"/>
      <c r="AA39" s="3440"/>
      <c r="AB39" s="3440"/>
      <c r="AC39" s="3440"/>
      <c r="AD39" s="3440"/>
      <c r="AE39" s="3440"/>
      <c r="AF39" s="3440"/>
      <c r="AG39" s="3440"/>
      <c r="AH39" s="3440"/>
      <c r="AI39" s="3440"/>
      <c r="AJ39" s="3440"/>
      <c r="AK39" s="3440"/>
      <c r="AL39" s="3440"/>
      <c r="AM39" s="3440"/>
      <c r="AN39" s="3440"/>
      <c r="AO39" s="3440"/>
      <c r="AP39" s="3440"/>
      <c r="AQ39" s="3440"/>
    </row>
    <row r="40" spans="1:43">
      <c r="A40" s="3440"/>
      <c r="B40" s="3440"/>
      <c r="C40" s="3440"/>
      <c r="D40" s="3440"/>
      <c r="E40" s="3440"/>
      <c r="F40" s="3440"/>
      <c r="G40" s="3440"/>
      <c r="H40" s="3440"/>
      <c r="I40" s="3440"/>
      <c r="J40" s="3440"/>
      <c r="K40" s="3440"/>
      <c r="L40" s="3440"/>
      <c r="M40" s="3440"/>
      <c r="N40" s="3440"/>
      <c r="O40" s="3440"/>
      <c r="P40" s="3440"/>
      <c r="Q40" s="3440"/>
      <c r="R40" s="3440"/>
      <c r="S40" s="3440"/>
      <c r="T40" s="3440"/>
      <c r="U40" s="3440"/>
      <c r="V40" s="3440"/>
      <c r="W40" s="3440"/>
      <c r="X40" s="3440"/>
      <c r="Y40" s="3440"/>
      <c r="Z40" s="3440"/>
      <c r="AA40" s="3440"/>
      <c r="AB40" s="3440"/>
      <c r="AC40" s="3440"/>
      <c r="AD40" s="3440"/>
      <c r="AE40" s="3440"/>
      <c r="AF40" s="3440"/>
      <c r="AG40" s="3440"/>
      <c r="AH40" s="3440"/>
      <c r="AI40" s="3440"/>
      <c r="AJ40" s="3440"/>
      <c r="AK40" s="3440"/>
      <c r="AL40" s="3440"/>
      <c r="AM40" s="3440"/>
      <c r="AN40" s="3440"/>
      <c r="AO40" s="3440"/>
      <c r="AP40" s="3440"/>
      <c r="AQ40" s="3440"/>
    </row>
    <row r="41" spans="1:43">
      <c r="A41" s="3440"/>
      <c r="B41" s="3440"/>
      <c r="C41" s="3440"/>
      <c r="D41" s="3440"/>
      <c r="E41" s="3440"/>
      <c r="F41" s="3440"/>
      <c r="G41" s="3440"/>
      <c r="H41" s="3440"/>
      <c r="I41" s="3440"/>
      <c r="J41" s="3440"/>
      <c r="K41" s="3440"/>
      <c r="L41" s="3440"/>
      <c r="M41" s="3440"/>
      <c r="N41" s="3440"/>
      <c r="O41" s="3440"/>
      <c r="P41" s="3440"/>
      <c r="Q41" s="3440"/>
      <c r="R41" s="3440"/>
      <c r="S41" s="3440"/>
      <c r="T41" s="3440"/>
      <c r="U41" s="3440"/>
      <c r="V41" s="3440"/>
      <c r="W41" s="3440"/>
      <c r="X41" s="3440"/>
      <c r="Y41" s="3440"/>
      <c r="Z41" s="3440"/>
      <c r="AA41" s="3440"/>
      <c r="AB41" s="3440"/>
      <c r="AC41" s="3440"/>
      <c r="AD41" s="3440"/>
      <c r="AE41" s="3440"/>
      <c r="AF41" s="3440"/>
      <c r="AG41" s="3440"/>
      <c r="AH41" s="3440"/>
      <c r="AI41" s="3440"/>
      <c r="AJ41" s="3440"/>
      <c r="AK41" s="3440"/>
      <c r="AL41" s="3440"/>
      <c r="AM41" s="3440"/>
      <c r="AN41" s="3440"/>
      <c r="AO41" s="3440"/>
      <c r="AP41" s="3440"/>
      <c r="AQ41" s="3440"/>
    </row>
    <row r="42" spans="1:43">
      <c r="A42" s="3440"/>
      <c r="B42" s="3440"/>
      <c r="C42" s="3440"/>
      <c r="D42" s="3440"/>
      <c r="E42" s="3440"/>
      <c r="F42" s="3440"/>
      <c r="G42" s="3440"/>
      <c r="H42" s="3440"/>
      <c r="I42" s="3440"/>
      <c r="J42" s="3440"/>
      <c r="K42" s="3440"/>
      <c r="L42" s="3440"/>
      <c r="M42" s="3440"/>
      <c r="N42" s="3440"/>
      <c r="O42" s="3440"/>
      <c r="P42" s="3440"/>
      <c r="Q42" s="3440"/>
      <c r="R42" s="3440"/>
      <c r="S42" s="3440"/>
      <c r="T42" s="3440"/>
      <c r="U42" s="3440"/>
      <c r="V42" s="3440"/>
      <c r="W42" s="3440"/>
      <c r="X42" s="3440"/>
      <c r="Y42" s="3440"/>
      <c r="Z42" s="3440"/>
      <c r="AA42" s="3440"/>
      <c r="AB42" s="3440"/>
      <c r="AC42" s="3440"/>
      <c r="AD42" s="3440"/>
      <c r="AE42" s="3440"/>
      <c r="AF42" s="3440"/>
      <c r="AG42" s="3440"/>
      <c r="AH42" s="3440"/>
      <c r="AI42" s="3440"/>
      <c r="AJ42" s="3440"/>
      <c r="AK42" s="3440"/>
      <c r="AL42" s="3440"/>
      <c r="AM42" s="3440"/>
      <c r="AN42" s="3440"/>
      <c r="AO42" s="3440"/>
      <c r="AP42" s="3440"/>
      <c r="AQ42" s="3440"/>
    </row>
    <row r="43" spans="1:43">
      <c r="A43" s="3440"/>
      <c r="B43" s="3440"/>
      <c r="C43" s="3440"/>
      <c r="D43" s="3440"/>
      <c r="E43" s="3440"/>
      <c r="F43" s="3440"/>
      <c r="G43" s="3440"/>
      <c r="H43" s="3440"/>
      <c r="I43" s="3440"/>
      <c r="J43" s="3440"/>
      <c r="K43" s="3440"/>
      <c r="L43" s="3440"/>
      <c r="M43" s="3440"/>
      <c r="N43" s="3440"/>
      <c r="O43" s="3440"/>
      <c r="P43" s="3440"/>
      <c r="Q43" s="3440"/>
      <c r="R43" s="3440"/>
      <c r="S43" s="3440"/>
      <c r="T43" s="3440"/>
      <c r="U43" s="3440"/>
      <c r="V43" s="3440"/>
      <c r="W43" s="3440"/>
      <c r="X43" s="3440"/>
      <c r="Y43" s="3440"/>
      <c r="Z43" s="3440"/>
      <c r="AA43" s="3440"/>
      <c r="AB43" s="3440"/>
      <c r="AC43" s="3440"/>
      <c r="AD43" s="3440"/>
      <c r="AE43" s="3440"/>
      <c r="AF43" s="3440"/>
      <c r="AG43" s="3440"/>
      <c r="AH43" s="3440"/>
      <c r="AI43" s="3440"/>
      <c r="AJ43" s="3440"/>
      <c r="AK43" s="3440"/>
      <c r="AL43" s="3440"/>
      <c r="AM43" s="3440"/>
      <c r="AN43" s="3440"/>
      <c r="AO43" s="3440"/>
      <c r="AP43" s="3440"/>
      <c r="AQ43" s="3440"/>
    </row>
    <row r="44" spans="1:43">
      <c r="A44" s="3440"/>
      <c r="B44" s="3440"/>
      <c r="C44" s="3440"/>
      <c r="D44" s="3440"/>
      <c r="E44" s="3440"/>
      <c r="F44" s="3440"/>
      <c r="G44" s="3440"/>
      <c r="H44" s="3440"/>
      <c r="I44" s="3440"/>
      <c r="J44" s="3440"/>
      <c r="K44" s="3440"/>
      <c r="L44" s="3440"/>
      <c r="M44" s="3440"/>
      <c r="N44" s="3440"/>
      <c r="O44" s="3440"/>
      <c r="P44" s="3440"/>
      <c r="Q44" s="3440"/>
      <c r="R44" s="3440"/>
      <c r="S44" s="3440"/>
      <c r="T44" s="3440"/>
      <c r="U44" s="3440"/>
      <c r="V44" s="3440"/>
      <c r="W44" s="3440"/>
      <c r="X44" s="3440"/>
      <c r="Y44" s="3440"/>
      <c r="Z44" s="3440"/>
      <c r="AA44" s="3440"/>
      <c r="AB44" s="3440"/>
      <c r="AC44" s="3440"/>
      <c r="AD44" s="3440"/>
      <c r="AE44" s="3440"/>
      <c r="AF44" s="3440"/>
      <c r="AG44" s="3440"/>
      <c r="AH44" s="3440"/>
      <c r="AI44" s="3440"/>
      <c r="AJ44" s="3440"/>
      <c r="AK44" s="3440"/>
      <c r="AL44" s="3440"/>
      <c r="AM44" s="3440"/>
      <c r="AN44" s="3440"/>
      <c r="AO44" s="3440"/>
      <c r="AP44" s="3440"/>
      <c r="AQ44" s="3440"/>
    </row>
    <row r="45" spans="1:43">
      <c r="A45" s="3440"/>
      <c r="B45" s="3440"/>
      <c r="C45" s="3440"/>
      <c r="D45" s="3440"/>
      <c r="E45" s="3440"/>
      <c r="F45" s="3440"/>
      <c r="G45" s="3440"/>
      <c r="H45" s="3440"/>
      <c r="I45" s="3440"/>
      <c r="J45" s="3440"/>
      <c r="K45" s="3440"/>
      <c r="L45" s="3440"/>
      <c r="M45" s="3440"/>
      <c r="N45" s="3440"/>
      <c r="O45" s="3440"/>
      <c r="P45" s="3440"/>
      <c r="Q45" s="3440"/>
      <c r="R45" s="3440"/>
      <c r="S45" s="3440"/>
      <c r="T45" s="3440"/>
      <c r="U45" s="3440"/>
      <c r="V45" s="3440"/>
      <c r="W45" s="3440"/>
      <c r="X45" s="3440"/>
      <c r="Y45" s="3440"/>
      <c r="Z45" s="3440"/>
      <c r="AA45" s="3440"/>
      <c r="AB45" s="3440"/>
      <c r="AC45" s="3440"/>
      <c r="AD45" s="3440"/>
      <c r="AE45" s="3440"/>
      <c r="AF45" s="3440"/>
      <c r="AG45" s="3440"/>
      <c r="AH45" s="3440"/>
      <c r="AI45" s="3440"/>
      <c r="AJ45" s="3440"/>
      <c r="AK45" s="3440"/>
      <c r="AL45" s="3440"/>
      <c r="AM45" s="3440"/>
      <c r="AN45" s="3440"/>
      <c r="AO45" s="3440"/>
      <c r="AP45" s="3440"/>
      <c r="AQ45" s="3440"/>
    </row>
    <row r="46" spans="1:43">
      <c r="A46" s="3440"/>
      <c r="B46" s="3440"/>
      <c r="C46" s="3440"/>
      <c r="D46" s="3440"/>
      <c r="E46" s="3440"/>
      <c r="F46" s="3440"/>
      <c r="G46" s="3440"/>
      <c r="H46" s="3440"/>
      <c r="I46" s="3440"/>
      <c r="J46" s="3440"/>
      <c r="K46" s="3440"/>
      <c r="L46" s="3440"/>
      <c r="M46" s="3440"/>
      <c r="N46" s="3440"/>
      <c r="O46" s="3440"/>
      <c r="P46" s="3440"/>
      <c r="Q46" s="3440"/>
      <c r="R46" s="3440"/>
      <c r="S46" s="3440"/>
      <c r="T46" s="3440"/>
      <c r="U46" s="3440"/>
      <c r="V46" s="3440"/>
      <c r="W46" s="3440"/>
      <c r="X46" s="3440"/>
      <c r="Y46" s="3440"/>
      <c r="Z46" s="3440"/>
      <c r="AA46" s="3440"/>
      <c r="AB46" s="3440"/>
      <c r="AC46" s="3440"/>
      <c r="AD46" s="3440"/>
      <c r="AE46" s="3440"/>
      <c r="AF46" s="3440"/>
      <c r="AG46" s="3440"/>
      <c r="AH46" s="3440"/>
      <c r="AI46" s="3440"/>
      <c r="AJ46" s="3440"/>
      <c r="AK46" s="3440"/>
      <c r="AL46" s="3440"/>
      <c r="AM46" s="3440"/>
      <c r="AN46" s="3440"/>
      <c r="AO46" s="3440"/>
      <c r="AP46" s="3440"/>
      <c r="AQ46" s="3440"/>
    </row>
    <row r="47" spans="1:43">
      <c r="A47" s="3440"/>
      <c r="B47" s="3440"/>
      <c r="C47" s="3440"/>
      <c r="D47" s="3440"/>
      <c r="E47" s="3440"/>
      <c r="F47" s="3440"/>
      <c r="G47" s="3440"/>
      <c r="H47" s="3440"/>
      <c r="I47" s="3440"/>
      <c r="J47" s="3440"/>
      <c r="K47" s="3440"/>
      <c r="L47" s="3440"/>
      <c r="M47" s="3440"/>
      <c r="N47" s="3440"/>
      <c r="O47" s="3440"/>
      <c r="P47" s="3440"/>
      <c r="Q47" s="3440"/>
      <c r="R47" s="3440"/>
      <c r="S47" s="3440"/>
      <c r="T47" s="3440"/>
      <c r="U47" s="3440"/>
      <c r="V47" s="3440"/>
      <c r="W47" s="3440"/>
      <c r="X47" s="3440"/>
      <c r="Y47" s="3440"/>
      <c r="Z47" s="3440"/>
      <c r="AA47" s="3440"/>
      <c r="AB47" s="3440"/>
      <c r="AC47" s="3440"/>
      <c r="AD47" s="3440"/>
      <c r="AE47" s="3440"/>
      <c r="AF47" s="3440"/>
      <c r="AG47" s="3440"/>
      <c r="AH47" s="3440"/>
      <c r="AI47" s="3440"/>
      <c r="AJ47" s="3440"/>
      <c r="AK47" s="3440"/>
      <c r="AL47" s="3440"/>
      <c r="AM47" s="3440"/>
      <c r="AN47" s="3440"/>
      <c r="AO47" s="3440"/>
      <c r="AP47" s="3440"/>
      <c r="AQ47" s="3440"/>
    </row>
    <row r="48" spans="1:43">
      <c r="A48" s="3440"/>
      <c r="B48" s="3440"/>
      <c r="C48" s="3440"/>
      <c r="D48" s="3440"/>
      <c r="E48" s="3440"/>
      <c r="F48" s="3440"/>
      <c r="G48" s="3440"/>
      <c r="H48" s="3440"/>
      <c r="I48" s="3440"/>
      <c r="J48" s="3440"/>
      <c r="K48" s="3440"/>
      <c r="L48" s="3440"/>
      <c r="M48" s="3440"/>
      <c r="N48" s="3440"/>
      <c r="O48" s="3440"/>
      <c r="P48" s="3440"/>
      <c r="Q48" s="3440"/>
      <c r="R48" s="3440"/>
      <c r="S48" s="3440"/>
      <c r="T48" s="3440"/>
      <c r="U48" s="3440"/>
      <c r="V48" s="3440"/>
      <c r="W48" s="3440"/>
      <c r="X48" s="3440"/>
      <c r="Y48" s="3440"/>
      <c r="Z48" s="3440"/>
      <c r="AA48" s="3440"/>
      <c r="AB48" s="3440"/>
      <c r="AC48" s="3440"/>
      <c r="AD48" s="3440"/>
      <c r="AE48" s="3440"/>
      <c r="AF48" s="3440"/>
      <c r="AG48" s="3440"/>
      <c r="AH48" s="3440"/>
      <c r="AI48" s="3440"/>
      <c r="AJ48" s="3440"/>
      <c r="AK48" s="3440"/>
      <c r="AL48" s="3440"/>
      <c r="AM48" s="3440"/>
      <c r="AN48" s="3440"/>
      <c r="AO48" s="3440"/>
      <c r="AP48" s="3440"/>
      <c r="AQ48" s="3440"/>
    </row>
    <row r="49" spans="1:43">
      <c r="A49" s="3440"/>
      <c r="B49" s="3440"/>
      <c r="C49" s="3440"/>
      <c r="D49" s="3440"/>
      <c r="E49" s="3440"/>
      <c r="F49" s="3440"/>
      <c r="G49" s="3440"/>
      <c r="H49" s="3440"/>
      <c r="I49" s="3440"/>
      <c r="J49" s="3440"/>
      <c r="K49" s="3440"/>
      <c r="L49" s="3440"/>
      <c r="M49" s="3440"/>
      <c r="N49" s="3440"/>
      <c r="O49" s="3440"/>
      <c r="P49" s="3440"/>
      <c r="Q49" s="3440"/>
      <c r="R49" s="3440"/>
      <c r="S49" s="3440"/>
      <c r="T49" s="3440"/>
      <c r="U49" s="3440"/>
      <c r="V49" s="3440"/>
      <c r="W49" s="3440"/>
      <c r="X49" s="3440"/>
      <c r="Y49" s="3440"/>
      <c r="Z49" s="3440"/>
      <c r="AA49" s="3440"/>
      <c r="AB49" s="3440"/>
      <c r="AC49" s="3440"/>
      <c r="AD49" s="3440"/>
      <c r="AE49" s="3440"/>
      <c r="AF49" s="3440"/>
      <c r="AG49" s="3440"/>
      <c r="AH49" s="3440"/>
      <c r="AI49" s="3440"/>
      <c r="AJ49" s="3440"/>
      <c r="AK49" s="3440"/>
      <c r="AL49" s="3440"/>
      <c r="AM49" s="3440"/>
      <c r="AN49" s="3440"/>
      <c r="AO49" s="3440"/>
      <c r="AP49" s="3440"/>
      <c r="AQ49" s="3440"/>
    </row>
    <row r="50" spans="1:43">
      <c r="A50" s="3440"/>
      <c r="B50" s="3440"/>
      <c r="C50" s="3440"/>
      <c r="D50" s="3440"/>
      <c r="E50" s="3440"/>
      <c r="F50" s="3440"/>
      <c r="G50" s="3440"/>
      <c r="H50" s="3440"/>
      <c r="I50" s="3440"/>
      <c r="J50" s="3440"/>
      <c r="K50" s="3440"/>
      <c r="L50" s="3440"/>
      <c r="M50" s="3440"/>
      <c r="N50" s="3440"/>
      <c r="O50" s="3440"/>
      <c r="P50" s="3440"/>
      <c r="Q50" s="3440"/>
      <c r="R50" s="3440"/>
      <c r="S50" s="3440"/>
      <c r="T50" s="3440"/>
      <c r="U50" s="3440"/>
      <c r="V50" s="3440"/>
      <c r="W50" s="3440"/>
      <c r="X50" s="3440"/>
      <c r="Y50" s="3440"/>
      <c r="Z50" s="3440"/>
      <c r="AA50" s="3440"/>
      <c r="AB50" s="3440"/>
      <c r="AC50" s="3440"/>
      <c r="AD50" s="3440"/>
      <c r="AE50" s="3440"/>
      <c r="AF50" s="3440"/>
      <c r="AG50" s="3440"/>
      <c r="AH50" s="3440"/>
      <c r="AI50" s="3440"/>
      <c r="AJ50" s="3440"/>
      <c r="AK50" s="3440"/>
      <c r="AL50" s="3440"/>
      <c r="AM50" s="3440"/>
      <c r="AN50" s="3440"/>
      <c r="AO50" s="3440"/>
      <c r="AP50" s="3440"/>
      <c r="AQ50" s="3440"/>
    </row>
    <row r="51" spans="1:43">
      <c r="A51" s="3440"/>
      <c r="B51" s="3440"/>
      <c r="C51" s="3440"/>
      <c r="D51" s="3440"/>
      <c r="E51" s="3440"/>
      <c r="F51" s="3440"/>
      <c r="G51" s="3440"/>
      <c r="H51" s="3440"/>
      <c r="I51" s="3440"/>
      <c r="J51" s="3440"/>
      <c r="K51" s="3440"/>
      <c r="L51" s="3440"/>
      <c r="M51" s="3440"/>
      <c r="N51" s="3440"/>
      <c r="O51" s="3440"/>
      <c r="P51" s="3440"/>
      <c r="Q51" s="3440"/>
      <c r="R51" s="3440"/>
      <c r="S51" s="3440"/>
      <c r="T51" s="3440"/>
      <c r="U51" s="3440"/>
      <c r="V51" s="3440"/>
      <c r="W51" s="3440"/>
      <c r="X51" s="3440"/>
      <c r="Y51" s="3440"/>
      <c r="Z51" s="3440"/>
      <c r="AA51" s="3440"/>
      <c r="AB51" s="3440"/>
      <c r="AC51" s="3440"/>
      <c r="AD51" s="3440"/>
      <c r="AE51" s="3440"/>
      <c r="AF51" s="3440"/>
      <c r="AG51" s="3440"/>
      <c r="AH51" s="3440"/>
      <c r="AI51" s="3440"/>
      <c r="AJ51" s="3440"/>
      <c r="AK51" s="3440"/>
      <c r="AL51" s="3440"/>
      <c r="AM51" s="3440"/>
      <c r="AN51" s="3440"/>
      <c r="AO51" s="3440"/>
      <c r="AP51" s="3440"/>
      <c r="AQ51" s="3440"/>
    </row>
    <row r="52" spans="1:43">
      <c r="A52" s="3440"/>
      <c r="B52" s="3440"/>
      <c r="C52" s="3440"/>
      <c r="D52" s="3440"/>
      <c r="E52" s="3440"/>
      <c r="F52" s="3440"/>
      <c r="G52" s="3440"/>
      <c r="H52" s="3440"/>
      <c r="I52" s="3440"/>
      <c r="J52" s="3440"/>
      <c r="K52" s="3440"/>
      <c r="L52" s="3440"/>
      <c r="M52" s="3440"/>
      <c r="N52" s="3440"/>
      <c r="O52" s="3440"/>
      <c r="P52" s="3440"/>
      <c r="Q52" s="3440"/>
      <c r="R52" s="3440"/>
      <c r="S52" s="3440"/>
      <c r="T52" s="3440"/>
      <c r="U52" s="3440"/>
      <c r="V52" s="3440"/>
      <c r="W52" s="3440"/>
      <c r="X52" s="3440"/>
      <c r="Y52" s="3440"/>
      <c r="Z52" s="3440"/>
      <c r="AA52" s="3440"/>
      <c r="AB52" s="3440"/>
      <c r="AC52" s="3440"/>
      <c r="AD52" s="3440"/>
      <c r="AE52" s="3440"/>
      <c r="AF52" s="3440"/>
      <c r="AG52" s="3440"/>
      <c r="AH52" s="3440"/>
      <c r="AI52" s="3440"/>
      <c r="AJ52" s="3440"/>
      <c r="AK52" s="3440"/>
      <c r="AL52" s="3440"/>
      <c r="AM52" s="3440"/>
      <c r="AN52" s="3440"/>
      <c r="AO52" s="3440"/>
      <c r="AP52" s="3440"/>
      <c r="AQ52" s="3440"/>
    </row>
    <row r="53" spans="1:43">
      <c r="A53" s="3440"/>
      <c r="B53" s="3440"/>
      <c r="C53" s="3440"/>
      <c r="D53" s="3440"/>
      <c r="E53" s="3440"/>
      <c r="F53" s="3440"/>
      <c r="G53" s="3440"/>
      <c r="H53" s="3440"/>
      <c r="I53" s="3440"/>
      <c r="J53" s="3440"/>
      <c r="K53" s="3440"/>
      <c r="L53" s="3440"/>
      <c r="M53" s="3440"/>
      <c r="N53" s="3440"/>
      <c r="O53" s="3440"/>
      <c r="P53" s="3440"/>
      <c r="Q53" s="3440"/>
      <c r="R53" s="3440"/>
      <c r="S53" s="3440"/>
      <c r="T53" s="3440"/>
      <c r="U53" s="3440"/>
      <c r="V53" s="3440"/>
      <c r="W53" s="3440"/>
      <c r="X53" s="3440"/>
      <c r="Y53" s="3440"/>
      <c r="Z53" s="3440"/>
      <c r="AA53" s="3440"/>
      <c r="AB53" s="3440"/>
      <c r="AC53" s="3440"/>
      <c r="AD53" s="3440"/>
      <c r="AE53" s="3440"/>
      <c r="AF53" s="3440"/>
      <c r="AG53" s="3440"/>
      <c r="AH53" s="3440"/>
      <c r="AI53" s="3440"/>
      <c r="AJ53" s="3440"/>
      <c r="AK53" s="3440"/>
      <c r="AL53" s="3440"/>
      <c r="AM53" s="3440"/>
      <c r="AN53" s="3440"/>
      <c r="AO53" s="3440"/>
      <c r="AP53" s="3440"/>
      <c r="AQ53" s="3440"/>
    </row>
    <row r="54" spans="1:43">
      <c r="A54" s="3440"/>
      <c r="B54" s="3440"/>
      <c r="C54" s="3440"/>
      <c r="D54" s="3440"/>
      <c r="E54" s="3440"/>
      <c r="F54" s="3440"/>
      <c r="G54" s="3440"/>
      <c r="H54" s="3440"/>
      <c r="I54" s="3440"/>
      <c r="J54" s="3440"/>
      <c r="K54" s="3440"/>
      <c r="L54" s="3440"/>
      <c r="M54" s="3440"/>
      <c r="N54" s="3440"/>
      <c r="O54" s="3440"/>
      <c r="P54" s="3440"/>
      <c r="Q54" s="3440"/>
      <c r="R54" s="3440"/>
      <c r="S54" s="3440"/>
      <c r="T54" s="3440"/>
      <c r="U54" s="3440"/>
      <c r="V54" s="3440"/>
      <c r="W54" s="3440"/>
      <c r="X54" s="3440"/>
      <c r="Y54" s="3440"/>
      <c r="Z54" s="3440"/>
      <c r="AA54" s="3440"/>
      <c r="AB54" s="3440"/>
      <c r="AC54" s="3440"/>
      <c r="AD54" s="3440"/>
      <c r="AE54" s="3440"/>
      <c r="AF54" s="3440"/>
      <c r="AG54" s="3440"/>
      <c r="AH54" s="3440"/>
      <c r="AI54" s="3440"/>
      <c r="AJ54" s="3440"/>
      <c r="AK54" s="3440"/>
      <c r="AL54" s="3440"/>
      <c r="AM54" s="3440"/>
      <c r="AN54" s="3440"/>
      <c r="AO54" s="3440"/>
      <c r="AP54" s="3440"/>
      <c r="AQ54" s="3440"/>
    </row>
    <row r="55" spans="1:43">
      <c r="A55" s="3440"/>
      <c r="B55" s="3440"/>
      <c r="C55" s="3440"/>
      <c r="D55" s="3440"/>
      <c r="E55" s="3440"/>
      <c r="F55" s="3440"/>
      <c r="G55" s="3440"/>
      <c r="H55" s="3440"/>
      <c r="I55" s="3440"/>
      <c r="J55" s="3440"/>
      <c r="K55" s="3440"/>
      <c r="L55" s="3440"/>
      <c r="M55" s="3440"/>
      <c r="N55" s="3440"/>
      <c r="O55" s="3440"/>
      <c r="P55" s="3440"/>
      <c r="Q55" s="3440"/>
      <c r="R55" s="3440"/>
      <c r="S55" s="3440"/>
      <c r="T55" s="3440"/>
      <c r="U55" s="3440"/>
      <c r="V55" s="3440"/>
      <c r="W55" s="3440"/>
      <c r="X55" s="3440"/>
      <c r="Y55" s="3440"/>
      <c r="Z55" s="3440"/>
      <c r="AA55" s="3440"/>
      <c r="AB55" s="3440"/>
      <c r="AC55" s="3440"/>
      <c r="AD55" s="3440"/>
      <c r="AE55" s="3440"/>
      <c r="AF55" s="3440"/>
      <c r="AG55" s="3440"/>
      <c r="AH55" s="3440"/>
      <c r="AI55" s="3440"/>
      <c r="AJ55" s="3440"/>
      <c r="AK55" s="3440"/>
      <c r="AL55" s="3440"/>
      <c r="AM55" s="3440"/>
      <c r="AN55" s="3440"/>
      <c r="AO55" s="3440"/>
      <c r="AP55" s="3440"/>
      <c r="AQ55" s="3440"/>
    </row>
    <row r="56" spans="1:43">
      <c r="A56" s="3440"/>
      <c r="B56" s="3440"/>
      <c r="C56" s="3440"/>
      <c r="D56" s="3440"/>
      <c r="E56" s="3440"/>
      <c r="F56" s="3440"/>
      <c r="G56" s="3440"/>
      <c r="H56" s="3440"/>
      <c r="I56" s="3440"/>
      <c r="J56" s="3440"/>
      <c r="K56" s="3440"/>
      <c r="L56" s="3440"/>
      <c r="M56" s="3440"/>
      <c r="N56" s="3440"/>
      <c r="O56" s="3440"/>
      <c r="P56" s="3440"/>
      <c r="Q56" s="3440"/>
      <c r="R56" s="3440"/>
      <c r="S56" s="3440"/>
      <c r="T56" s="3440"/>
      <c r="U56" s="3440"/>
      <c r="V56" s="3440"/>
      <c r="W56" s="3440"/>
      <c r="X56" s="3440"/>
      <c r="Y56" s="3440"/>
      <c r="Z56" s="3440"/>
      <c r="AA56" s="3440"/>
      <c r="AB56" s="3440"/>
      <c r="AC56" s="3440"/>
      <c r="AD56" s="3440"/>
      <c r="AE56" s="3440"/>
      <c r="AF56" s="3440"/>
      <c r="AG56" s="3440"/>
      <c r="AH56" s="3440"/>
      <c r="AI56" s="3440"/>
      <c r="AJ56" s="3440"/>
      <c r="AK56" s="3440"/>
      <c r="AL56" s="3440"/>
      <c r="AM56" s="3440"/>
      <c r="AN56" s="3440"/>
      <c r="AO56" s="3440"/>
      <c r="AP56" s="3440"/>
      <c r="AQ56" s="3440"/>
    </row>
    <row r="57" spans="1:43">
      <c r="A57" s="3440"/>
      <c r="B57" s="3440"/>
      <c r="C57" s="3440"/>
      <c r="D57" s="3440"/>
      <c r="E57" s="3440"/>
      <c r="F57" s="3440"/>
      <c r="G57" s="3440"/>
      <c r="H57" s="3440"/>
      <c r="I57" s="3440"/>
      <c r="J57" s="3440"/>
      <c r="K57" s="3440"/>
      <c r="L57" s="3440"/>
      <c r="M57" s="3440"/>
      <c r="N57" s="3440"/>
      <c r="O57" s="3440"/>
      <c r="P57" s="3440"/>
      <c r="Q57" s="3440"/>
      <c r="R57" s="3440"/>
      <c r="S57" s="3440"/>
      <c r="T57" s="3440"/>
      <c r="U57" s="3440"/>
      <c r="V57" s="3440"/>
      <c r="W57" s="3440"/>
      <c r="X57" s="3440"/>
      <c r="Y57" s="3440"/>
      <c r="Z57" s="3440"/>
      <c r="AA57" s="3440"/>
      <c r="AB57" s="3440"/>
      <c r="AC57" s="3440"/>
      <c r="AD57" s="3440"/>
      <c r="AE57" s="3440"/>
      <c r="AF57" s="3440"/>
      <c r="AG57" s="3440"/>
      <c r="AH57" s="3440"/>
      <c r="AI57" s="3440"/>
      <c r="AJ57" s="3440"/>
      <c r="AK57" s="3440"/>
      <c r="AL57" s="3440"/>
      <c r="AM57" s="3440"/>
      <c r="AN57" s="3440"/>
      <c r="AO57" s="3440"/>
      <c r="AP57" s="3440"/>
      <c r="AQ57" s="3440"/>
    </row>
    <row r="58" spans="1:43">
      <c r="A58" s="3440"/>
      <c r="B58" s="3440"/>
      <c r="C58" s="3440"/>
      <c r="D58" s="3440"/>
      <c r="E58" s="3440"/>
      <c r="F58" s="3440"/>
      <c r="G58" s="3440"/>
      <c r="H58" s="3440"/>
      <c r="I58" s="3440"/>
      <c r="J58" s="3440"/>
      <c r="K58" s="3440"/>
      <c r="L58" s="3440"/>
      <c r="M58" s="3440"/>
      <c r="N58" s="3440"/>
      <c r="O58" s="3440"/>
      <c r="P58" s="3440"/>
      <c r="Q58" s="3440"/>
      <c r="R58" s="3440"/>
      <c r="S58" s="3440"/>
      <c r="T58" s="3440"/>
      <c r="U58" s="3440"/>
      <c r="V58" s="3440"/>
      <c r="W58" s="3440"/>
      <c r="X58" s="3440"/>
      <c r="Y58" s="3440"/>
      <c r="Z58" s="3440"/>
      <c r="AA58" s="3440"/>
      <c r="AB58" s="3440"/>
      <c r="AC58" s="3440"/>
      <c r="AD58" s="3440"/>
      <c r="AE58" s="3440"/>
      <c r="AF58" s="3440"/>
      <c r="AG58" s="3440"/>
      <c r="AH58" s="3440"/>
      <c r="AI58" s="3440"/>
      <c r="AJ58" s="3440"/>
      <c r="AK58" s="3440"/>
      <c r="AL58" s="3440"/>
      <c r="AM58" s="3440"/>
      <c r="AN58" s="3440"/>
      <c r="AO58" s="3440"/>
      <c r="AP58" s="3440"/>
      <c r="AQ58" s="3440"/>
    </row>
    <row r="59" spans="1:43">
      <c r="A59" s="3440"/>
      <c r="B59" s="3440"/>
      <c r="C59" s="3440"/>
      <c r="D59" s="3440"/>
      <c r="E59" s="3440"/>
      <c r="F59" s="3440"/>
      <c r="G59" s="3440"/>
      <c r="H59" s="3440"/>
      <c r="I59" s="3440"/>
      <c r="J59" s="3440"/>
      <c r="K59" s="3440"/>
      <c r="L59" s="3440"/>
      <c r="M59" s="3440"/>
      <c r="N59" s="3440"/>
      <c r="O59" s="3440"/>
      <c r="P59" s="3440"/>
      <c r="Q59" s="3440"/>
      <c r="R59" s="3440"/>
      <c r="S59" s="3440"/>
      <c r="T59" s="3440"/>
      <c r="U59" s="3440"/>
      <c r="V59" s="3440"/>
      <c r="W59" s="3440"/>
      <c r="X59" s="3440"/>
      <c r="Y59" s="3440"/>
      <c r="Z59" s="3440"/>
      <c r="AA59" s="3440"/>
      <c r="AB59" s="3440"/>
      <c r="AC59" s="3440"/>
      <c r="AD59" s="3440"/>
      <c r="AE59" s="3440"/>
      <c r="AF59" s="3440"/>
      <c r="AG59" s="3440"/>
      <c r="AH59" s="3440"/>
      <c r="AI59" s="3440"/>
      <c r="AJ59" s="3440"/>
      <c r="AK59" s="3440"/>
      <c r="AL59" s="3440"/>
      <c r="AM59" s="3440"/>
      <c r="AN59" s="3440"/>
      <c r="AO59" s="3440"/>
      <c r="AP59" s="3440"/>
      <c r="AQ59" s="3440"/>
    </row>
    <row r="60" spans="1:43">
      <c r="AL60" s="3440"/>
      <c r="AM60" s="3440"/>
      <c r="AN60" s="3440"/>
      <c r="AO60" s="3440"/>
      <c r="AP60" s="3440"/>
      <c r="AQ60" s="3440"/>
    </row>
  </sheetData>
  <dataConsolidate/>
  <mergeCells count="6">
    <mergeCell ref="AM3:AN3"/>
    <mergeCell ref="O3:Y3"/>
    <mergeCell ref="C3:N3"/>
    <mergeCell ref="B2:F2"/>
    <mergeCell ref="B3:B4"/>
    <mergeCell ref="AA3:AL3"/>
  </mergeCells>
  <pageMargins left="0.17" right="0.39" top="1" bottom="1" header="0.5" footer="0.5"/>
  <pageSetup scale="75" orientation="landscape" r:id="rId1"/>
  <headerFooter alignWithMargins="0"/>
</worksheet>
</file>

<file path=xl/worksheets/sheet48.xml><?xml version="1.0" encoding="utf-8"?>
<worksheet xmlns="http://schemas.openxmlformats.org/spreadsheetml/2006/main" xmlns:r="http://schemas.openxmlformats.org/officeDocument/2006/relationships">
  <dimension ref="E3:G37"/>
  <sheetViews>
    <sheetView topLeftCell="A28" zoomScale="80" zoomScaleNormal="80" zoomScaleSheetLayoutView="100" workbookViewId="0">
      <selection activeCell="N51" sqref="N51"/>
    </sheetView>
  </sheetViews>
  <sheetFormatPr defaultRowHeight="12.75"/>
  <cols>
    <col min="1" max="16384" width="9.140625" style="4064"/>
  </cols>
  <sheetData>
    <row r="3" spans="7:7" ht="18">
      <c r="G3" s="3648" t="s">
        <v>1903</v>
      </c>
    </row>
    <row r="37" spans="5:5" ht="18">
      <c r="E37" s="3648" t="s">
        <v>2104</v>
      </c>
    </row>
  </sheetData>
  <pageMargins left="0.7" right="0.7" top="0.75" bottom="0.75" header="0.3" footer="0.3"/>
  <pageSetup scale="63" orientation="portrait" r:id="rId1"/>
  <drawing r:id="rId2"/>
</worksheet>
</file>

<file path=xl/worksheets/sheet49.xml><?xml version="1.0" encoding="utf-8"?>
<worksheet xmlns="http://schemas.openxmlformats.org/spreadsheetml/2006/main" xmlns:r="http://schemas.openxmlformats.org/officeDocument/2006/relationships">
  <sheetPr codeName="Sheet33" enableFormatConditionsCalculation="0"/>
  <dimension ref="A1:AM29"/>
  <sheetViews>
    <sheetView zoomScale="90" zoomScaleNormal="90" workbookViewId="0">
      <pane xSplit="1" ySplit="4" topLeftCell="Y14" activePane="bottomRight" state="frozen"/>
      <selection activeCell="O44" sqref="O44:AA44"/>
      <selection pane="topRight" activeCell="O44" sqref="O44:AA44"/>
      <selection pane="bottomLeft" activeCell="O44" sqref="O44:AA44"/>
      <selection pane="bottomRight" activeCell="AO7" sqref="AO7"/>
    </sheetView>
  </sheetViews>
  <sheetFormatPr defaultRowHeight="12.75"/>
  <cols>
    <col min="1" max="1" width="27.42578125" style="802" customWidth="1"/>
    <col min="2" max="22" width="10.28515625" style="802" customWidth="1"/>
    <col min="23" max="36" width="11.42578125" style="802" customWidth="1"/>
    <col min="37" max="37" width="9.140625" style="802"/>
    <col min="38" max="39" width="9.28515625" style="802" bestFit="1" customWidth="1"/>
    <col min="40" max="16384" width="9.140625" style="802"/>
  </cols>
  <sheetData>
    <row r="1" spans="1:39" ht="42.75" customHeight="1">
      <c r="A1" s="3880" t="s">
        <v>2029</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1978"/>
    </row>
    <row r="2" spans="1:39" ht="13.5" customHeight="1">
      <c r="A2" s="2973" t="s">
        <v>1758</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978"/>
      <c r="AJ2" s="1978"/>
      <c r="AK2" s="1978"/>
    </row>
    <row r="3" spans="1:39" s="3167" customFormat="1" ht="13.5" customHeight="1">
      <c r="A3" s="4728" t="s">
        <v>146</v>
      </c>
      <c r="B3" s="4727">
        <v>2013</v>
      </c>
      <c r="C3" s="4730"/>
      <c r="D3" s="4730"/>
      <c r="E3" s="4730"/>
      <c r="F3" s="4730"/>
      <c r="G3" s="4730"/>
      <c r="H3" s="4730"/>
      <c r="I3" s="4730"/>
      <c r="J3" s="4730"/>
      <c r="K3" s="4730"/>
      <c r="L3" s="4730"/>
      <c r="M3" s="4731"/>
      <c r="N3" s="4726">
        <v>2014</v>
      </c>
      <c r="O3" s="4726"/>
      <c r="P3" s="4726"/>
      <c r="Q3" s="4726"/>
      <c r="R3" s="4726"/>
      <c r="S3" s="4726"/>
      <c r="T3" s="4726"/>
      <c r="U3" s="4726"/>
      <c r="V3" s="4726"/>
      <c r="W3" s="4726"/>
      <c r="X3" s="4726"/>
      <c r="Y3" s="4726"/>
      <c r="Z3" s="4726">
        <v>2015</v>
      </c>
      <c r="AA3" s="4726"/>
      <c r="AB3" s="4726"/>
      <c r="AC3" s="4726"/>
      <c r="AD3" s="4726"/>
      <c r="AE3" s="4726"/>
      <c r="AF3" s="4726"/>
      <c r="AG3" s="4726"/>
      <c r="AH3" s="4726"/>
      <c r="AI3" s="4726"/>
      <c r="AJ3" s="4727"/>
      <c r="AK3" s="4221"/>
      <c r="AL3" s="4732">
        <v>2016</v>
      </c>
      <c r="AM3" s="4732"/>
    </row>
    <row r="4" spans="1:39" s="4031" customFormat="1" ht="12.75" customHeight="1">
      <c r="A4" s="4729"/>
      <c r="B4" s="2899" t="s">
        <v>161</v>
      </c>
      <c r="C4" s="2827" t="s">
        <v>162</v>
      </c>
      <c r="D4" s="2827" t="s">
        <v>163</v>
      </c>
      <c r="E4" s="2827" t="s">
        <v>164</v>
      </c>
      <c r="F4" s="2827" t="s">
        <v>165</v>
      </c>
      <c r="G4" s="2827" t="s">
        <v>166</v>
      </c>
      <c r="H4" s="2827" t="s">
        <v>167</v>
      </c>
      <c r="I4" s="2827" t="s">
        <v>168</v>
      </c>
      <c r="J4" s="2827" t="s">
        <v>169</v>
      </c>
      <c r="K4" s="2827" t="s">
        <v>170</v>
      </c>
      <c r="L4" s="3984" t="s">
        <v>171</v>
      </c>
      <c r="M4" s="3985" t="s">
        <v>148</v>
      </c>
      <c r="N4" s="3106" t="s">
        <v>161</v>
      </c>
      <c r="O4" s="3153" t="s">
        <v>162</v>
      </c>
      <c r="P4" s="3153" t="s">
        <v>163</v>
      </c>
      <c r="Q4" s="3153" t="s">
        <v>164</v>
      </c>
      <c r="R4" s="3153" t="s">
        <v>165</v>
      </c>
      <c r="S4" s="3153" t="s">
        <v>166</v>
      </c>
      <c r="T4" s="3153" t="s">
        <v>167</v>
      </c>
      <c r="U4" s="3153" t="s">
        <v>168</v>
      </c>
      <c r="V4" s="3153" t="s">
        <v>169</v>
      </c>
      <c r="W4" s="3153" t="s">
        <v>170</v>
      </c>
      <c r="X4" s="3157" t="s">
        <v>171</v>
      </c>
      <c r="Y4" s="3154" t="s">
        <v>148</v>
      </c>
      <c r="Z4" s="3175" t="s">
        <v>161</v>
      </c>
      <c r="AA4" s="3202" t="s">
        <v>162</v>
      </c>
      <c r="AB4" s="3202" t="s">
        <v>163</v>
      </c>
      <c r="AC4" s="3202" t="s">
        <v>164</v>
      </c>
      <c r="AD4" s="3202" t="s">
        <v>165</v>
      </c>
      <c r="AE4" s="3202" t="s">
        <v>166</v>
      </c>
      <c r="AF4" s="3202" t="s">
        <v>167</v>
      </c>
      <c r="AG4" s="3202" t="s">
        <v>168</v>
      </c>
      <c r="AH4" s="3203" t="s">
        <v>169</v>
      </c>
      <c r="AI4" s="3236" t="s">
        <v>170</v>
      </c>
      <c r="AJ4" s="4222" t="s">
        <v>171</v>
      </c>
      <c r="AK4" s="4223" t="s">
        <v>2096</v>
      </c>
      <c r="AL4" s="5029" t="s">
        <v>161</v>
      </c>
      <c r="AM4" s="5029" t="s">
        <v>162</v>
      </c>
    </row>
    <row r="5" spans="1:39" s="132" customFormat="1" ht="17.25" customHeight="1">
      <c r="A5" s="2828" t="s">
        <v>627</v>
      </c>
      <c r="B5" s="2903">
        <v>47963.021262713002</v>
      </c>
      <c r="C5" s="2902">
        <v>46960.602544979993</v>
      </c>
      <c r="D5" s="2902">
        <v>50395.974204961007</v>
      </c>
      <c r="E5" s="2902">
        <v>45979.441951764005</v>
      </c>
      <c r="F5" s="2902">
        <v>47119.988601163001</v>
      </c>
      <c r="G5" s="2902">
        <v>53770.003461634995</v>
      </c>
      <c r="H5" s="2902">
        <v>49663.059371476993</v>
      </c>
      <c r="I5" s="2902">
        <v>50207.597482926991</v>
      </c>
      <c r="J5" s="2902">
        <v>52676.163119154015</v>
      </c>
      <c r="K5" s="2902">
        <v>54919.514548329986</v>
      </c>
      <c r="L5" s="2902">
        <v>54453.55020307099</v>
      </c>
      <c r="M5" s="2902">
        <v>52803.650919319989</v>
      </c>
      <c r="N5" s="2903">
        <v>54896.625657712008</v>
      </c>
      <c r="O5" s="2940">
        <v>55915.238189657</v>
      </c>
      <c r="P5" s="2940">
        <v>53629.624423911002</v>
      </c>
      <c r="Q5" s="2940">
        <v>54097.942298953014</v>
      </c>
      <c r="R5" s="2906">
        <v>57534.870142581007</v>
      </c>
      <c r="S5" s="2906">
        <v>57683.223449372992</v>
      </c>
      <c r="T5" s="2906">
        <v>59245.998878521001</v>
      </c>
      <c r="U5" s="2906">
        <v>60526.129494560999</v>
      </c>
      <c r="V5" s="2906">
        <v>62509.550550795007</v>
      </c>
      <c r="W5" s="2906">
        <v>64797.897648090999</v>
      </c>
      <c r="X5" s="2906">
        <v>67673.051817596992</v>
      </c>
      <c r="Y5" s="3160">
        <v>67694.516255370982</v>
      </c>
      <c r="Z5" s="3169">
        <v>69910.925173782991</v>
      </c>
      <c r="AA5" s="2902">
        <v>66006.874818643788</v>
      </c>
      <c r="AB5" s="2940">
        <v>61869.12585123699</v>
      </c>
      <c r="AC5" s="2940">
        <v>63469.708885974978</v>
      </c>
      <c r="AD5" s="2940">
        <v>65511.922709434337</v>
      </c>
      <c r="AE5" s="3197">
        <v>62398.231513623017</v>
      </c>
      <c r="AF5" s="3197">
        <v>62003.556532506998</v>
      </c>
      <c r="AG5" s="3197">
        <v>63045.285072867002</v>
      </c>
      <c r="AH5" s="3197">
        <v>64115.652145457003</v>
      </c>
      <c r="AI5" s="2906">
        <v>69677.340259420002</v>
      </c>
      <c r="AJ5" s="2906">
        <v>71055.346101903022</v>
      </c>
      <c r="AK5" s="4224">
        <v>69561.446484968008</v>
      </c>
      <c r="AL5" s="4358">
        <v>69859.859635853994</v>
      </c>
      <c r="AM5" s="4358">
        <v>70960.931519699006</v>
      </c>
    </row>
    <row r="6" spans="1:39" s="132" customFormat="1" ht="12.75" customHeight="1">
      <c r="A6" s="2829" t="s">
        <v>628</v>
      </c>
      <c r="B6" s="2905">
        <v>22251.369131010004</v>
      </c>
      <c r="C6" s="2904">
        <v>22346.343170089996</v>
      </c>
      <c r="D6" s="2904">
        <v>23956.057918560007</v>
      </c>
      <c r="E6" s="2904">
        <v>22821.368521068005</v>
      </c>
      <c r="F6" s="2904">
        <v>24682.818451020001</v>
      </c>
      <c r="G6" s="2904">
        <v>27425.469531210001</v>
      </c>
      <c r="H6" s="2904">
        <v>26026.069997569997</v>
      </c>
      <c r="I6" s="2904">
        <v>26562.02219521999</v>
      </c>
      <c r="J6" s="2904">
        <v>27646.160096340012</v>
      </c>
      <c r="K6" s="2904">
        <v>31039.36117781599</v>
      </c>
      <c r="L6" s="2904">
        <v>29676.429570443997</v>
      </c>
      <c r="M6" s="2904">
        <v>27273.038292569996</v>
      </c>
      <c r="N6" s="2905">
        <v>29639.870972781999</v>
      </c>
      <c r="O6" s="2904">
        <v>30687.375562557001</v>
      </c>
      <c r="P6" s="2904">
        <v>28832.507218691004</v>
      </c>
      <c r="Q6" s="2904">
        <v>29050.575429197008</v>
      </c>
      <c r="R6" s="2904">
        <v>30513.466312461009</v>
      </c>
      <c r="S6" s="2904">
        <v>33070.139510018998</v>
      </c>
      <c r="T6" s="2904">
        <v>33595.747178905003</v>
      </c>
      <c r="U6" s="2904">
        <v>35709.207211783003</v>
      </c>
      <c r="V6" s="2904">
        <v>36838.273167413005</v>
      </c>
      <c r="W6" s="2904">
        <v>36948.799810000994</v>
      </c>
      <c r="X6" s="2904">
        <v>37045.12825016299</v>
      </c>
      <c r="Y6" s="3156">
        <v>38437.796170586982</v>
      </c>
      <c r="Z6" s="2905">
        <v>39378.374946458993</v>
      </c>
      <c r="AA6" s="2904">
        <v>36128.521533314997</v>
      </c>
      <c r="AB6" s="2904">
        <v>31097.647944256994</v>
      </c>
      <c r="AC6" s="2904">
        <v>34154.382702950985</v>
      </c>
      <c r="AD6" s="2904">
        <v>37316.049210029669</v>
      </c>
      <c r="AE6" s="2904">
        <v>35929.447192127016</v>
      </c>
      <c r="AF6" s="2904">
        <v>35934.661038496997</v>
      </c>
      <c r="AG6" s="2904">
        <v>36040.150326117</v>
      </c>
      <c r="AH6" s="2904">
        <v>35962.293217637001</v>
      </c>
      <c r="AI6" s="2904">
        <v>37633.532973476998</v>
      </c>
      <c r="AJ6" s="2904">
        <v>36988.075800183018</v>
      </c>
      <c r="AK6" s="4225">
        <v>36960.667319223008</v>
      </c>
      <c r="AL6" s="4359">
        <v>36749.282316412988</v>
      </c>
      <c r="AM6" s="4359">
        <v>38270.838915545006</v>
      </c>
    </row>
    <row r="7" spans="1:39" s="132" customFormat="1" ht="12.75" customHeight="1">
      <c r="A7" s="2829" t="s">
        <v>629</v>
      </c>
      <c r="B7" s="2905">
        <v>11406.65816103</v>
      </c>
      <c r="C7" s="2904">
        <v>11032.732339759999</v>
      </c>
      <c r="D7" s="2904">
        <v>11687.873080779998</v>
      </c>
      <c r="E7" s="2904">
        <v>8987.3177815880008</v>
      </c>
      <c r="F7" s="2904">
        <v>8992.2693691999993</v>
      </c>
      <c r="G7" s="2904">
        <v>12111.572857479998</v>
      </c>
      <c r="H7" s="2904">
        <v>9428.3056883099998</v>
      </c>
      <c r="I7" s="2904">
        <v>8677.0742524399993</v>
      </c>
      <c r="J7" s="2904">
        <v>9968.0015050199981</v>
      </c>
      <c r="K7" s="2904">
        <v>9416.2629808499987</v>
      </c>
      <c r="L7" s="2904">
        <v>10211.176905063998</v>
      </c>
      <c r="M7" s="2904">
        <v>10084.946633141999</v>
      </c>
      <c r="N7" s="2905">
        <v>10796.34772338</v>
      </c>
      <c r="O7" s="2904">
        <v>9998.1828996099994</v>
      </c>
      <c r="P7" s="2904">
        <v>8539.0830514999998</v>
      </c>
      <c r="Q7" s="2904">
        <v>8344.8377412420014</v>
      </c>
      <c r="R7" s="2904">
        <v>9954.4814201500012</v>
      </c>
      <c r="S7" s="2904">
        <v>8480.7459502659985</v>
      </c>
      <c r="T7" s="2904">
        <v>9061.5641350939986</v>
      </c>
      <c r="U7" s="2904">
        <v>8378.3047994199987</v>
      </c>
      <c r="V7" s="2904">
        <v>9860.6789905080004</v>
      </c>
      <c r="W7" s="2904">
        <v>11435.522240180002</v>
      </c>
      <c r="X7" s="2904">
        <v>14706.830374456</v>
      </c>
      <c r="Y7" s="3156">
        <v>12694.808851476</v>
      </c>
      <c r="Z7" s="2905">
        <v>14374.603450585999</v>
      </c>
      <c r="AA7" s="2904">
        <v>13591.106697560001</v>
      </c>
      <c r="AB7" s="2904">
        <v>13546.480737599999</v>
      </c>
      <c r="AC7" s="2904">
        <v>11059.919684892</v>
      </c>
      <c r="AD7" s="2904">
        <v>9710.581598638666</v>
      </c>
      <c r="AE7" s="2904">
        <v>7684.4399299240013</v>
      </c>
      <c r="AF7" s="2904">
        <v>8620.6332326400006</v>
      </c>
      <c r="AG7" s="2904">
        <v>9708.2598657800008</v>
      </c>
      <c r="AH7" s="2904">
        <v>10653.789514510001</v>
      </c>
      <c r="AI7" s="2904">
        <v>13593.11637471</v>
      </c>
      <c r="AJ7" s="2904">
        <v>14945.944618080001</v>
      </c>
      <c r="AK7" s="4225">
        <v>15057.872030030001</v>
      </c>
      <c r="AL7" s="4359">
        <v>14702.244475646003</v>
      </c>
      <c r="AM7" s="4359">
        <v>15381.610207634003</v>
      </c>
    </row>
    <row r="8" spans="1:39" s="132" customFormat="1" ht="12.75" customHeight="1">
      <c r="A8" s="2829" t="s">
        <v>431</v>
      </c>
      <c r="B8" s="2905">
        <v>14304.993970673</v>
      </c>
      <c r="C8" s="2904">
        <v>13581.527035130001</v>
      </c>
      <c r="D8" s="2904">
        <v>14752.043205621001</v>
      </c>
      <c r="E8" s="2904">
        <v>14170.755649107999</v>
      </c>
      <c r="F8" s="2904">
        <v>13444.900780943</v>
      </c>
      <c r="G8" s="2904">
        <v>14232.961072945</v>
      </c>
      <c r="H8" s="2904">
        <v>14208.683685597</v>
      </c>
      <c r="I8" s="2904">
        <v>14968.501035267001</v>
      </c>
      <c r="J8" s="2904">
        <v>15062.001517794002</v>
      </c>
      <c r="K8" s="2904">
        <v>14463.890389663997</v>
      </c>
      <c r="L8" s="2904">
        <v>14565.943727563001</v>
      </c>
      <c r="M8" s="2904">
        <v>15445.665993608</v>
      </c>
      <c r="N8" s="2905">
        <v>14460.406961550001</v>
      </c>
      <c r="O8" s="2904">
        <v>15229.679727489998</v>
      </c>
      <c r="P8" s="2904">
        <v>16258.03415372</v>
      </c>
      <c r="Q8" s="2904">
        <v>16702.529128514001</v>
      </c>
      <c r="R8" s="2904">
        <v>17066.92240997</v>
      </c>
      <c r="S8" s="2904">
        <v>16132.337989087999</v>
      </c>
      <c r="T8" s="2904">
        <v>16588.687564521999</v>
      </c>
      <c r="U8" s="2904">
        <v>16438.617483358001</v>
      </c>
      <c r="V8" s="2904">
        <v>15810.598392874004</v>
      </c>
      <c r="W8" s="2904">
        <v>16413.575597909999</v>
      </c>
      <c r="X8" s="2904">
        <v>15921.093192978002</v>
      </c>
      <c r="Y8" s="3156">
        <v>16561.911233308001</v>
      </c>
      <c r="Z8" s="2905">
        <v>16157.946776737997</v>
      </c>
      <c r="AA8" s="2904">
        <v>16287.246587768801</v>
      </c>
      <c r="AB8" s="2904">
        <v>17224.997169379996</v>
      </c>
      <c r="AC8" s="2904">
        <v>18255.406498132001</v>
      </c>
      <c r="AD8" s="2904">
        <v>18485.291900765998</v>
      </c>
      <c r="AE8" s="2904">
        <v>18784.344391572002</v>
      </c>
      <c r="AF8" s="2904">
        <v>17448.26226137</v>
      </c>
      <c r="AG8" s="2904">
        <v>17296.874880970001</v>
      </c>
      <c r="AH8" s="2904">
        <v>17499.569413310001</v>
      </c>
      <c r="AI8" s="2904">
        <v>18450.690911232999</v>
      </c>
      <c r="AJ8" s="2904">
        <v>19121.32568364</v>
      </c>
      <c r="AK8" s="4225">
        <v>17542.907135715002</v>
      </c>
      <c r="AL8" s="4359">
        <v>18408.332843795</v>
      </c>
      <c r="AM8" s="4359">
        <v>17308.482396520001</v>
      </c>
    </row>
    <row r="9" spans="1:39" s="132" customFormat="1" ht="15.75" customHeight="1">
      <c r="A9" s="2828" t="s">
        <v>229</v>
      </c>
      <c r="B9" s="2907">
        <v>24401.611625023004</v>
      </c>
      <c r="C9" s="2906">
        <v>23401.88355359</v>
      </c>
      <c r="D9" s="2906">
        <v>27715.636309231006</v>
      </c>
      <c r="E9" s="2906">
        <v>24968.041619354</v>
      </c>
      <c r="F9" s="2906">
        <v>26438.771198373001</v>
      </c>
      <c r="G9" s="2906">
        <v>32112.883031464997</v>
      </c>
      <c r="H9" s="2906">
        <v>27344.280128466995</v>
      </c>
      <c r="I9" s="2906">
        <v>27611.830300766989</v>
      </c>
      <c r="J9" s="2906">
        <v>29359.72336124401</v>
      </c>
      <c r="K9" s="2906">
        <v>31371.724923879992</v>
      </c>
      <c r="L9" s="2906">
        <v>27592.144066761</v>
      </c>
      <c r="M9" s="2906">
        <v>28671.714554239999</v>
      </c>
      <c r="N9" s="2907">
        <v>30856.096157162003</v>
      </c>
      <c r="O9" s="2906">
        <v>29981.956738179</v>
      </c>
      <c r="P9" s="2906">
        <v>28928.519270493001</v>
      </c>
      <c r="Q9" s="2906">
        <v>29287.155874975007</v>
      </c>
      <c r="R9" s="2906">
        <v>33471.770225321008</v>
      </c>
      <c r="S9" s="2906">
        <v>33997.264464502994</v>
      </c>
      <c r="T9" s="2906">
        <v>35288.622166383</v>
      </c>
      <c r="U9" s="2906">
        <v>34828.241207073006</v>
      </c>
      <c r="V9" s="2906">
        <v>36360.860484227007</v>
      </c>
      <c r="W9" s="2906">
        <v>37464.331673000997</v>
      </c>
      <c r="X9" s="2906">
        <v>39938.605480268991</v>
      </c>
      <c r="Y9" s="3155">
        <v>37624.610657302983</v>
      </c>
      <c r="Z9" s="2907">
        <v>40584.850461214992</v>
      </c>
      <c r="AA9" s="2906">
        <v>37170.924623917002</v>
      </c>
      <c r="AB9" s="2906">
        <v>34301.376885598991</v>
      </c>
      <c r="AC9" s="2906">
        <v>35742.632211156983</v>
      </c>
      <c r="AD9" s="2906">
        <v>36956.507179216336</v>
      </c>
      <c r="AE9" s="2906">
        <v>35729.443793525017</v>
      </c>
      <c r="AF9" s="2906">
        <v>34091.327657729002</v>
      </c>
      <c r="AG9" s="2906">
        <v>35000.020294059002</v>
      </c>
      <c r="AH9" s="2906">
        <v>35208.826114579002</v>
      </c>
      <c r="AI9" s="2906">
        <v>38325.683964791999</v>
      </c>
      <c r="AJ9" s="2906">
        <v>39230.317624035015</v>
      </c>
      <c r="AK9" s="4226">
        <v>37841.646822810013</v>
      </c>
      <c r="AL9" s="4358">
        <v>37605.795887993991</v>
      </c>
      <c r="AM9" s="4358">
        <v>38504.200747191011</v>
      </c>
    </row>
    <row r="10" spans="1:39" ht="12.75" customHeight="1">
      <c r="A10" s="2829" t="s">
        <v>628</v>
      </c>
      <c r="B10" s="2905">
        <v>14916.490378370001</v>
      </c>
      <c r="C10" s="2904">
        <v>14950.506651169997</v>
      </c>
      <c r="D10" s="2904">
        <v>16447.965369580008</v>
      </c>
      <c r="E10" s="2904">
        <v>15477.038633848002</v>
      </c>
      <c r="F10" s="2904">
        <v>17018.628361700001</v>
      </c>
      <c r="G10" s="2904">
        <v>18861.18692439</v>
      </c>
      <c r="H10" s="2904">
        <v>17702.945425729999</v>
      </c>
      <c r="I10" s="2904">
        <v>17910.596793809989</v>
      </c>
      <c r="J10" s="2904">
        <v>17418.704060140011</v>
      </c>
      <c r="K10" s="2904">
        <v>21389.154631635993</v>
      </c>
      <c r="L10" s="2904">
        <v>18182.541519303999</v>
      </c>
      <c r="M10" s="2904">
        <v>18413.700812759998</v>
      </c>
      <c r="N10" s="2905">
        <v>20624.036480152001</v>
      </c>
      <c r="O10" s="2904">
        <v>21599.450813199001</v>
      </c>
      <c r="P10" s="2904">
        <v>19781.042357383001</v>
      </c>
      <c r="Q10" s="2904">
        <v>20092.078120409005</v>
      </c>
      <c r="R10" s="2904">
        <v>21722.47403649101</v>
      </c>
      <c r="S10" s="2904">
        <v>24050.101084250997</v>
      </c>
      <c r="T10" s="2904">
        <v>23852.770970547001</v>
      </c>
      <c r="U10" s="2904">
        <v>24067.308318775002</v>
      </c>
      <c r="V10" s="2904">
        <v>25505.826023259004</v>
      </c>
      <c r="W10" s="2904">
        <v>25656.556335180991</v>
      </c>
      <c r="X10" s="2904">
        <v>25548.294789364991</v>
      </c>
      <c r="Y10" s="3156">
        <v>26987.848333478985</v>
      </c>
      <c r="Z10" s="2905">
        <v>25981.001112890997</v>
      </c>
      <c r="AA10" s="2904">
        <v>24454.231895597</v>
      </c>
      <c r="AB10" s="2904">
        <v>20305.018945658994</v>
      </c>
      <c r="AC10" s="2904">
        <v>23205.887456822988</v>
      </c>
      <c r="AD10" s="2904">
        <v>25953.650646213668</v>
      </c>
      <c r="AE10" s="2904">
        <v>24608.724937899013</v>
      </c>
      <c r="AF10" s="2904">
        <v>24262.344235388999</v>
      </c>
      <c r="AG10" s="2904">
        <v>24728.287102458999</v>
      </c>
      <c r="AH10" s="2904">
        <v>24801.065544459001</v>
      </c>
      <c r="AI10" s="2904">
        <v>25755.057296268998</v>
      </c>
      <c r="AJ10" s="2904">
        <v>25844.886267725018</v>
      </c>
      <c r="AK10" s="4225">
        <v>25860.746515945011</v>
      </c>
      <c r="AL10" s="4359">
        <v>25462.237147544991</v>
      </c>
      <c r="AM10" s="4359">
        <v>26053.870884147007</v>
      </c>
    </row>
    <row r="11" spans="1:39" ht="12.75" customHeight="1">
      <c r="A11" s="2829" t="s">
        <v>629</v>
      </c>
      <c r="B11" s="2905">
        <v>3033.09754531</v>
      </c>
      <c r="C11" s="2904">
        <v>2610.0217288999997</v>
      </c>
      <c r="D11" s="2904">
        <v>3943.9799284799992</v>
      </c>
      <c r="E11" s="2904">
        <v>3207.3373702079998</v>
      </c>
      <c r="F11" s="2904">
        <v>3514.4399984499996</v>
      </c>
      <c r="G11" s="2904">
        <v>6652.8869806699977</v>
      </c>
      <c r="H11" s="2904">
        <v>3921.1219745499993</v>
      </c>
      <c r="I11" s="2904">
        <v>3549.07004693</v>
      </c>
      <c r="J11" s="2904">
        <v>5027.5618242399987</v>
      </c>
      <c r="K11" s="2904">
        <v>3606.2252353399999</v>
      </c>
      <c r="L11" s="2904">
        <v>3569.9863444639996</v>
      </c>
      <c r="M11" s="2904">
        <v>3728.7055579820003</v>
      </c>
      <c r="N11" s="2905">
        <v>4417.402560980001</v>
      </c>
      <c r="O11" s="2904">
        <v>2812.9035745200003</v>
      </c>
      <c r="P11" s="2904">
        <v>3589.5983190400002</v>
      </c>
      <c r="Q11" s="2904">
        <v>3134.1819313420001</v>
      </c>
      <c r="R11" s="2904">
        <v>5272.8329288700006</v>
      </c>
      <c r="S11" s="2904">
        <v>4369.7199240779983</v>
      </c>
      <c r="T11" s="2904">
        <v>4272.9050409939991</v>
      </c>
      <c r="U11" s="2904">
        <v>3829.0323782700002</v>
      </c>
      <c r="V11" s="2904">
        <v>5219.2836174420008</v>
      </c>
      <c r="W11" s="2904">
        <v>5348.0975462000015</v>
      </c>
      <c r="X11" s="2904">
        <v>8498.5020433660011</v>
      </c>
      <c r="Y11" s="3156">
        <v>4902.118188636</v>
      </c>
      <c r="Z11" s="2905">
        <v>7047.7478412159999</v>
      </c>
      <c r="AA11" s="2904">
        <v>5995.888353809999</v>
      </c>
      <c r="AB11" s="2904">
        <v>7359.3248757799993</v>
      </c>
      <c r="AC11" s="2904">
        <v>5071.7179732120003</v>
      </c>
      <c r="AD11" s="2904">
        <v>3798.7907073606661</v>
      </c>
      <c r="AE11" s="2904">
        <v>3111.6766840040009</v>
      </c>
      <c r="AF11" s="2904">
        <v>3351.1237398500007</v>
      </c>
      <c r="AG11" s="2904">
        <v>4385.3508230100006</v>
      </c>
      <c r="AH11" s="2904">
        <v>4391.7666065000003</v>
      </c>
      <c r="AI11" s="2904">
        <v>4845.850247020001</v>
      </c>
      <c r="AJ11" s="2904">
        <v>5315.7233659700005</v>
      </c>
      <c r="AK11" s="4225">
        <v>5216.3897059100009</v>
      </c>
      <c r="AL11" s="4359">
        <v>5116.2789265360007</v>
      </c>
      <c r="AM11" s="4359">
        <v>6005.886934344001</v>
      </c>
    </row>
    <row r="12" spans="1:39" ht="12.75" customHeight="1">
      <c r="A12" s="2829" t="s">
        <v>431</v>
      </c>
      <c r="B12" s="2905">
        <v>6452.0237013430005</v>
      </c>
      <c r="C12" s="2904">
        <v>5841.3551735200008</v>
      </c>
      <c r="D12" s="2904">
        <v>7323.6910111710004</v>
      </c>
      <c r="E12" s="2904">
        <v>6283.6656152979995</v>
      </c>
      <c r="F12" s="2904">
        <v>5905.702838223001</v>
      </c>
      <c r="G12" s="2904">
        <v>6598.8091264049981</v>
      </c>
      <c r="H12" s="2904">
        <v>5720.2127281869989</v>
      </c>
      <c r="I12" s="2904">
        <v>6152.1634600270008</v>
      </c>
      <c r="J12" s="2904">
        <v>6913.4574768640014</v>
      </c>
      <c r="K12" s="2904">
        <v>6376.3450569039987</v>
      </c>
      <c r="L12" s="2904">
        <v>5839.616202993001</v>
      </c>
      <c r="M12" s="2904">
        <v>6529.3081834980003</v>
      </c>
      <c r="N12" s="2905">
        <v>5814.65711603</v>
      </c>
      <c r="O12" s="2904">
        <v>5569.6023504599989</v>
      </c>
      <c r="P12" s="2904">
        <v>5557.8785940700009</v>
      </c>
      <c r="Q12" s="2904">
        <v>6060.8958232240002</v>
      </c>
      <c r="R12" s="2904">
        <v>6476.463259959999</v>
      </c>
      <c r="S12" s="2904">
        <v>5577.4434561739999</v>
      </c>
      <c r="T12" s="2904">
        <v>7162.9461548420004</v>
      </c>
      <c r="U12" s="2904">
        <v>6931.900510028001</v>
      </c>
      <c r="V12" s="2904">
        <v>5635.7508435260042</v>
      </c>
      <c r="W12" s="2904">
        <v>6459.6777916200008</v>
      </c>
      <c r="X12" s="2904">
        <v>5891.8086475380005</v>
      </c>
      <c r="Y12" s="3156">
        <v>5734.6441351880003</v>
      </c>
      <c r="Z12" s="2905">
        <v>7556.1015071079983</v>
      </c>
      <c r="AA12" s="2904">
        <v>6720.8043745100003</v>
      </c>
      <c r="AB12" s="2904">
        <v>6637.0330641599994</v>
      </c>
      <c r="AC12" s="2904">
        <v>7465.0267811219992</v>
      </c>
      <c r="AD12" s="2904">
        <v>7204.0658256420002</v>
      </c>
      <c r="AE12" s="2904">
        <v>8009.0421716220017</v>
      </c>
      <c r="AF12" s="2904">
        <v>6477.8596824899996</v>
      </c>
      <c r="AG12" s="2904">
        <v>5886.3823685899997</v>
      </c>
      <c r="AH12" s="2904">
        <v>6015.9939636199997</v>
      </c>
      <c r="AI12" s="2904">
        <v>7724.7764215029983</v>
      </c>
      <c r="AJ12" s="2904">
        <v>8069.7079903399999</v>
      </c>
      <c r="AK12" s="4225">
        <v>6764.5106009550009</v>
      </c>
      <c r="AL12" s="4359">
        <v>7027.279813913</v>
      </c>
      <c r="AM12" s="4359">
        <v>6444.4429287000012</v>
      </c>
    </row>
    <row r="13" spans="1:39" s="132" customFormat="1" ht="15.75" customHeight="1">
      <c r="A13" s="2828" t="s">
        <v>631</v>
      </c>
      <c r="B13" s="2907">
        <v>23561.409637690002</v>
      </c>
      <c r="C13" s="2906">
        <v>23558.71899139</v>
      </c>
      <c r="D13" s="2906">
        <v>22680.337895730001</v>
      </c>
      <c r="E13" s="2906">
        <v>21011.400332410001</v>
      </c>
      <c r="F13" s="2906">
        <v>20681.217402790004</v>
      </c>
      <c r="G13" s="2906">
        <v>21657.120430170002</v>
      </c>
      <c r="H13" s="2906">
        <v>22318.779243010002</v>
      </c>
      <c r="I13" s="2906">
        <v>22595.767182160002</v>
      </c>
      <c r="J13" s="2906">
        <v>23316.439757910004</v>
      </c>
      <c r="K13" s="2906">
        <v>23547.789624450001</v>
      </c>
      <c r="L13" s="2906">
        <v>26861.406136309997</v>
      </c>
      <c r="M13" s="2906">
        <v>24131.936365079997</v>
      </c>
      <c r="N13" s="2907">
        <v>24040.529500549997</v>
      </c>
      <c r="O13" s="2906">
        <v>25933.281451478</v>
      </c>
      <c r="P13" s="2906">
        <v>24701.105153418001</v>
      </c>
      <c r="Q13" s="2906">
        <v>24810.786423978003</v>
      </c>
      <c r="R13" s="2906">
        <v>24063.099917259999</v>
      </c>
      <c r="S13" s="2906">
        <v>23685.958984869998</v>
      </c>
      <c r="T13" s="2906">
        <v>23957.376712138001</v>
      </c>
      <c r="U13" s="2906">
        <v>25697.888287488</v>
      </c>
      <c r="V13" s="2906">
        <v>26148.690066568</v>
      </c>
      <c r="W13" s="2906">
        <v>27333.565975090001</v>
      </c>
      <c r="X13" s="2906">
        <v>27734.446337328001</v>
      </c>
      <c r="Y13" s="3155">
        <v>30069.905598067999</v>
      </c>
      <c r="Z13" s="2907">
        <v>29326.074712567999</v>
      </c>
      <c r="AA13" s="2906">
        <v>28835.9501947268</v>
      </c>
      <c r="AB13" s="2906">
        <v>27567.748965637998</v>
      </c>
      <c r="AC13" s="2906">
        <v>27727.076674818003</v>
      </c>
      <c r="AD13" s="2906">
        <v>28555.415530217997</v>
      </c>
      <c r="AE13" s="2906">
        <v>26668.787720098</v>
      </c>
      <c r="AF13" s="2906">
        <v>27912.228874777997</v>
      </c>
      <c r="AG13" s="2906">
        <v>28045.264778807999</v>
      </c>
      <c r="AH13" s="2906">
        <v>28906.826030878001</v>
      </c>
      <c r="AI13" s="2906">
        <v>31351.656294628003</v>
      </c>
      <c r="AJ13" s="2906">
        <v>31825.028477868</v>
      </c>
      <c r="AK13" s="4226">
        <v>31719.799662158002</v>
      </c>
      <c r="AL13" s="4358">
        <v>32254.063747860004</v>
      </c>
      <c r="AM13" s="4358">
        <v>32456.730772507999</v>
      </c>
    </row>
    <row r="14" spans="1:39" ht="12.75" customHeight="1">
      <c r="A14" s="2829" t="s">
        <v>628</v>
      </c>
      <c r="B14" s="2905">
        <v>7334.878752640001</v>
      </c>
      <c r="C14" s="2904">
        <v>7395.8365189200003</v>
      </c>
      <c r="D14" s="2904">
        <v>7508.0925489800011</v>
      </c>
      <c r="E14" s="2904">
        <v>7344.3298872200012</v>
      </c>
      <c r="F14" s="2904">
        <v>7664.1900893200009</v>
      </c>
      <c r="G14" s="2904">
        <v>8564.2826068199993</v>
      </c>
      <c r="H14" s="2904">
        <v>8323.1245718400005</v>
      </c>
      <c r="I14" s="2904">
        <v>8651.4254014100006</v>
      </c>
      <c r="J14" s="2904">
        <v>10227.456036200001</v>
      </c>
      <c r="K14" s="2904">
        <v>9650.2065461799993</v>
      </c>
      <c r="L14" s="2904">
        <v>11493.888051139998</v>
      </c>
      <c r="M14" s="2904">
        <v>8859.3374798099976</v>
      </c>
      <c r="N14" s="2905">
        <v>9015.8344926299978</v>
      </c>
      <c r="O14" s="2904">
        <v>9087.9247493580006</v>
      </c>
      <c r="P14" s="2904">
        <v>9051.4648613080008</v>
      </c>
      <c r="Q14" s="2904">
        <v>8958.4973087880007</v>
      </c>
      <c r="R14" s="2904">
        <v>8790.9922759700003</v>
      </c>
      <c r="S14" s="2904">
        <v>9020.0384257680016</v>
      </c>
      <c r="T14" s="2904">
        <v>9742.9762083580026</v>
      </c>
      <c r="U14" s="2904">
        <v>11641.898893008001</v>
      </c>
      <c r="V14" s="2904">
        <v>11332.447144154001</v>
      </c>
      <c r="W14" s="2904">
        <v>11292.243474820001</v>
      </c>
      <c r="X14" s="2904">
        <v>11496.833460798</v>
      </c>
      <c r="Y14" s="3156">
        <v>11449.947837107999</v>
      </c>
      <c r="Z14" s="2905">
        <v>13397.373833567999</v>
      </c>
      <c r="AA14" s="2904">
        <v>11674.289637717999</v>
      </c>
      <c r="AB14" s="2904">
        <v>10792.628998598</v>
      </c>
      <c r="AC14" s="2904">
        <v>10948.495246128001</v>
      </c>
      <c r="AD14" s="2904">
        <v>11362.398563815999</v>
      </c>
      <c r="AE14" s="2904">
        <v>11320.722254228</v>
      </c>
      <c r="AF14" s="2904">
        <v>11672.316803107999</v>
      </c>
      <c r="AG14" s="2904">
        <v>11311.863223657998</v>
      </c>
      <c r="AH14" s="2904">
        <v>11161.227673178</v>
      </c>
      <c r="AI14" s="2904">
        <v>11878.475677208</v>
      </c>
      <c r="AJ14" s="2904">
        <v>11143.189532458</v>
      </c>
      <c r="AK14" s="4225">
        <v>11099.920803278001</v>
      </c>
      <c r="AL14" s="4359">
        <v>11287.045168867999</v>
      </c>
      <c r="AM14" s="4359">
        <v>12216.968031397999</v>
      </c>
    </row>
    <row r="15" spans="1:39" ht="12.75" customHeight="1">
      <c r="A15" s="2829" t="s">
        <v>629</v>
      </c>
      <c r="B15" s="2905">
        <v>8373.56061572</v>
      </c>
      <c r="C15" s="2904">
        <v>8422.7106108600001</v>
      </c>
      <c r="D15" s="2904">
        <v>7743.8931523000001</v>
      </c>
      <c r="E15" s="2904">
        <v>5779.980411380001</v>
      </c>
      <c r="F15" s="2904">
        <v>5477.8293707500006</v>
      </c>
      <c r="G15" s="2904">
        <v>5458.685876810001</v>
      </c>
      <c r="H15" s="2904">
        <v>5507.1837137600005</v>
      </c>
      <c r="I15" s="2904">
        <v>5128.0042055099993</v>
      </c>
      <c r="J15" s="2904">
        <v>4940.4396807799994</v>
      </c>
      <c r="K15" s="2904">
        <v>5810.0377455099997</v>
      </c>
      <c r="L15" s="2904">
        <v>6641.1905605999982</v>
      </c>
      <c r="M15" s="2904">
        <v>6356.2410751599991</v>
      </c>
      <c r="N15" s="2905">
        <v>6378.9451623999994</v>
      </c>
      <c r="O15" s="2904">
        <v>7185.2793250899995</v>
      </c>
      <c r="P15" s="2904">
        <v>4949.4847324599996</v>
      </c>
      <c r="Q15" s="2904">
        <v>5210.6558099000003</v>
      </c>
      <c r="R15" s="2904">
        <v>4681.6484912799997</v>
      </c>
      <c r="S15" s="2904">
        <v>4111.0260261879994</v>
      </c>
      <c r="T15" s="2904">
        <v>4788.6590940999995</v>
      </c>
      <c r="U15" s="2904">
        <v>4549.272421149999</v>
      </c>
      <c r="V15" s="2904">
        <v>4641.3953730659996</v>
      </c>
      <c r="W15" s="2904">
        <v>6087.4246939800005</v>
      </c>
      <c r="X15" s="2904">
        <v>6208.3283310899997</v>
      </c>
      <c r="Y15" s="3156">
        <v>7792.6906628400002</v>
      </c>
      <c r="Z15" s="2905">
        <v>7326.855609369999</v>
      </c>
      <c r="AA15" s="2904">
        <v>7595.2183437500007</v>
      </c>
      <c r="AB15" s="2904">
        <v>6187.1558618200006</v>
      </c>
      <c r="AC15" s="2904">
        <v>5988.2017116800007</v>
      </c>
      <c r="AD15" s="2904">
        <v>5911.7908912780003</v>
      </c>
      <c r="AE15" s="2904">
        <v>4572.7632459200004</v>
      </c>
      <c r="AF15" s="2904">
        <v>5269.5094927900009</v>
      </c>
      <c r="AG15" s="2904">
        <v>5322.9090427700003</v>
      </c>
      <c r="AH15" s="2904">
        <v>6262.0229080099998</v>
      </c>
      <c r="AI15" s="2904">
        <v>8747.2661276899998</v>
      </c>
      <c r="AJ15" s="2904">
        <v>9630.2212521099991</v>
      </c>
      <c r="AK15" s="4225">
        <v>9841.4823241200011</v>
      </c>
      <c r="AL15" s="4359">
        <v>9585.965549110002</v>
      </c>
      <c r="AM15" s="4359">
        <v>9375.7232732900011</v>
      </c>
    </row>
    <row r="16" spans="1:39" ht="12.75" customHeight="1">
      <c r="A16" s="2829" t="s">
        <v>431</v>
      </c>
      <c r="B16" s="2909">
        <v>7852.9702693299996</v>
      </c>
      <c r="C16" s="2908">
        <v>7740.1718616099997</v>
      </c>
      <c r="D16" s="2908">
        <v>7428.3521944500008</v>
      </c>
      <c r="E16" s="2908">
        <v>7887.09003381</v>
      </c>
      <c r="F16" s="2908">
        <v>7539.1979427200004</v>
      </c>
      <c r="G16" s="2908">
        <v>7634.1519465400006</v>
      </c>
      <c r="H16" s="2908">
        <v>8488.4709574099998</v>
      </c>
      <c r="I16" s="2908">
        <v>8816.3375752400007</v>
      </c>
      <c r="J16" s="2908">
        <v>8148.5440409300008</v>
      </c>
      <c r="K16" s="2908">
        <v>8087.5453327599989</v>
      </c>
      <c r="L16" s="2908">
        <v>8726.3275245700006</v>
      </c>
      <c r="M16" s="2908">
        <v>8916.3578101099993</v>
      </c>
      <c r="N16" s="2909">
        <v>8645.7498455200002</v>
      </c>
      <c r="O16" s="2941">
        <v>9660.0773770300002</v>
      </c>
      <c r="P16" s="2941">
        <v>10700.15555965</v>
      </c>
      <c r="Q16" s="2948">
        <v>10641.633305290001</v>
      </c>
      <c r="R16" s="2948">
        <v>10590.459150010001</v>
      </c>
      <c r="S16" s="2971">
        <v>10554.894532913999</v>
      </c>
      <c r="T16" s="3024">
        <v>9425.7414096800003</v>
      </c>
      <c r="U16" s="3024">
        <v>9506.7169733299997</v>
      </c>
      <c r="V16" s="3024">
        <v>10174.847549348</v>
      </c>
      <c r="W16" s="3024">
        <v>9953.8978062900005</v>
      </c>
      <c r="X16" s="3158">
        <v>10029.284545440001</v>
      </c>
      <c r="Y16" s="3064">
        <v>10827.267098120001</v>
      </c>
      <c r="Z16" s="3170">
        <v>8601.8452696299992</v>
      </c>
      <c r="AA16" s="3024">
        <v>9566.4422132588006</v>
      </c>
      <c r="AB16" s="3024">
        <v>10587.964105219999</v>
      </c>
      <c r="AC16" s="3024">
        <v>10790.379717010001</v>
      </c>
      <c r="AD16" s="3024">
        <v>11281.226075123999</v>
      </c>
      <c r="AE16" s="3158">
        <v>10775.302219950001</v>
      </c>
      <c r="AF16" s="3158">
        <v>10970.402578880001</v>
      </c>
      <c r="AG16" s="3024">
        <v>11410.49251238</v>
      </c>
      <c r="AH16" s="3024">
        <v>11483.575449690001</v>
      </c>
      <c r="AI16" s="3024">
        <v>10725.914489730001</v>
      </c>
      <c r="AJ16" s="4228">
        <v>11051.617693300001</v>
      </c>
      <c r="AK16" s="4227">
        <v>10778.396534760001</v>
      </c>
      <c r="AL16" s="4359">
        <v>11381.053029882001</v>
      </c>
      <c r="AM16" s="4359">
        <v>10864.039467819999</v>
      </c>
    </row>
    <row r="17" spans="1:39" s="132" customFormat="1" ht="14.25" customHeight="1">
      <c r="A17" s="1941" t="s">
        <v>748</v>
      </c>
      <c r="B17" s="2901"/>
      <c r="C17" s="2900"/>
      <c r="D17" s="2900"/>
      <c r="E17" s="2900"/>
      <c r="F17" s="2900"/>
      <c r="G17" s="2900"/>
      <c r="H17" s="2900"/>
      <c r="I17" s="2900"/>
      <c r="J17" s="2900"/>
      <c r="K17" s="2900"/>
      <c r="L17" s="2900"/>
      <c r="M17" s="2933"/>
      <c r="N17" s="2934"/>
      <c r="O17" s="2942"/>
      <c r="P17" s="2942"/>
      <c r="Q17" s="2942"/>
      <c r="R17" s="2954"/>
      <c r="S17" s="2933"/>
      <c r="T17" s="3022"/>
      <c r="U17" s="2954"/>
      <c r="V17" s="2954"/>
      <c r="W17" s="2954"/>
      <c r="X17" s="2942"/>
      <c r="Y17" s="3161"/>
      <c r="Z17" s="3171"/>
      <c r="AA17" s="2933"/>
      <c r="AB17" s="2942"/>
      <c r="AC17" s="2942"/>
      <c r="AD17" s="2942"/>
      <c r="AE17" s="3022"/>
      <c r="AF17" s="3022"/>
      <c r="AG17" s="3022"/>
      <c r="AH17" s="3022"/>
      <c r="AI17" s="3545"/>
      <c r="AJ17" s="3545"/>
      <c r="AK17" s="4226"/>
      <c r="AL17" s="4363"/>
      <c r="AM17" s="4363"/>
    </row>
    <row r="18" spans="1:39" s="132" customFormat="1" ht="12.75" customHeight="1">
      <c r="A18" s="2829" t="s">
        <v>628</v>
      </c>
      <c r="B18" s="2910">
        <v>46.392759557681302</v>
      </c>
      <c r="C18" s="2910">
        <v>47.5852990784906</v>
      </c>
      <c r="D18" s="2910">
        <v>47.535657949840285</v>
      </c>
      <c r="E18" s="2910">
        <v>49.633852766219711</v>
      </c>
      <c r="F18" s="2910">
        <v>52.382904121523467</v>
      </c>
      <c r="G18" s="2910">
        <v>51.005147416027462</v>
      </c>
      <c r="H18" s="2910">
        <v>52.405289418230169</v>
      </c>
      <c r="I18" s="2910">
        <v>52.904388034604445</v>
      </c>
      <c r="J18" s="2910">
        <v>52.483245664275358</v>
      </c>
      <c r="K18" s="2910">
        <v>56.517908858245448</v>
      </c>
      <c r="L18" s="2910">
        <v>54.498612964211006</v>
      </c>
      <c r="M18" s="2910">
        <v>51.649910219733002</v>
      </c>
      <c r="N18" s="2935">
        <v>53.992154558989945</v>
      </c>
      <c r="O18" s="2910">
        <v>54.881954465560057</v>
      </c>
      <c r="P18" s="2910">
        <v>53.762276966153621</v>
      </c>
      <c r="Q18" s="2910">
        <v>53.699963796514368</v>
      </c>
      <c r="R18" s="2910">
        <v>53.034735694794385</v>
      </c>
      <c r="S18" s="2910">
        <v>57.33060243944891</v>
      </c>
      <c r="T18" s="2910">
        <v>56.705512295927853</v>
      </c>
      <c r="U18" s="2910">
        <v>58.998002201663837</v>
      </c>
      <c r="V18" s="2910">
        <v>58.932231703503248</v>
      </c>
      <c r="W18" s="2910">
        <v>57.021602785116805</v>
      </c>
      <c r="X18" s="2910">
        <v>54.741329458604611</v>
      </c>
      <c r="Y18" s="3162">
        <v>56.781255405658172</v>
      </c>
      <c r="Z18" s="2935">
        <v>56.326496679271699</v>
      </c>
      <c r="AA18" s="2910">
        <v>54.734482783163699</v>
      </c>
      <c r="AB18" s="2910">
        <v>50.263596772048523</v>
      </c>
      <c r="AC18" s="2910">
        <v>53.812099192561675</v>
      </c>
      <c r="AD18" s="2910">
        <v>56.96069916240728</v>
      </c>
      <c r="AE18" s="2910">
        <v>57.580874201992017</v>
      </c>
      <c r="AF18" s="2910">
        <v>57.95580616356628</v>
      </c>
      <c r="AG18" s="2910">
        <v>57.16549664968953</v>
      </c>
      <c r="AH18" s="2910">
        <v>56.089725385699218</v>
      </c>
      <c r="AI18" s="2910">
        <v>54.011150301319304</v>
      </c>
      <c r="AJ18" s="2910">
        <v>52.05530312544969</v>
      </c>
      <c r="AK18" s="4229">
        <v>53.133839485655443</v>
      </c>
      <c r="AL18" s="4360">
        <v>52.604288797557572</v>
      </c>
      <c r="AM18" s="4360">
        <v>53.932266806448112</v>
      </c>
    </row>
    <row r="19" spans="1:39" s="132" customFormat="1" ht="12.75" customHeight="1">
      <c r="A19" s="2829" t="s">
        <v>629</v>
      </c>
      <c r="B19" s="2911">
        <v>23.782192740843175</v>
      </c>
      <c r="C19" s="2911">
        <v>23.493591951237391</v>
      </c>
      <c r="D19" s="2911">
        <v>23.192076877500742</v>
      </c>
      <c r="E19" s="2911">
        <v>19.546382905247945</v>
      </c>
      <c r="F19" s="2911">
        <v>19.083768133547586</v>
      </c>
      <c r="G19" s="2911">
        <v>22.524776041946193</v>
      </c>
      <c r="H19" s="2911">
        <v>18.984544664851967</v>
      </c>
      <c r="I19" s="2911">
        <v>17.282392879664524</v>
      </c>
      <c r="J19" s="2911">
        <v>18.923173053573166</v>
      </c>
      <c r="K19" s="2911">
        <v>17.145568489254487</v>
      </c>
      <c r="L19" s="2911">
        <v>18.752086626094993</v>
      </c>
      <c r="M19" s="2911">
        <v>19.098957093991551</v>
      </c>
      <c r="N19" s="2936">
        <v>19.666687331015041</v>
      </c>
      <c r="O19" s="2911">
        <v>17.88096272736513</v>
      </c>
      <c r="P19" s="2911">
        <v>15.922324915057231</v>
      </c>
      <c r="Q19" s="2911">
        <v>15.425425416603142</v>
      </c>
      <c r="R19" s="2911">
        <v>17.301649235465614</v>
      </c>
      <c r="S19" s="2911">
        <v>14.702274670397571</v>
      </c>
      <c r="T19" s="2911">
        <v>15.294811981605683</v>
      </c>
      <c r="U19" s="2911">
        <v>13.842459231054731</v>
      </c>
      <c r="V19" s="2911">
        <v>15.774675875321247</v>
      </c>
      <c r="W19" s="2911">
        <v>17.647983430395911</v>
      </c>
      <c r="X19" s="2911">
        <v>21.73218139193154</v>
      </c>
      <c r="Y19" s="3163">
        <v>18.75308304676566</v>
      </c>
      <c r="Z19" s="2936">
        <v>20.561312005032029</v>
      </c>
      <c r="AA19" s="2911">
        <v>20.590441124355671</v>
      </c>
      <c r="AB19" s="2911">
        <v>21.895380856313096</v>
      </c>
      <c r="AC19" s="2911">
        <v>17.425508764758071</v>
      </c>
      <c r="AD19" s="2911">
        <v>14.822617314573566</v>
      </c>
      <c r="AE19" s="2911">
        <v>12.31515660543409</v>
      </c>
      <c r="AF19" s="2911">
        <v>13.903449599895787</v>
      </c>
      <c r="AG19" s="2911">
        <v>15.398867424517643</v>
      </c>
      <c r="AH19" s="2911">
        <v>16.616518990308496</v>
      </c>
      <c r="AI19" s="2911">
        <v>19.508661387045819</v>
      </c>
      <c r="AJ19" s="2911">
        <v>21.034229566126502</v>
      </c>
      <c r="AK19" s="4230">
        <v>21.646864449956425</v>
      </c>
      <c r="AL19" s="4360">
        <v>21.045339272483176</v>
      </c>
      <c r="AM19" s="4360">
        <v>21.676167263057998</v>
      </c>
    </row>
    <row r="20" spans="1:39" s="132" customFormat="1" ht="12.75" customHeight="1">
      <c r="A20" s="2829" t="s">
        <v>431</v>
      </c>
      <c r="B20" s="2911">
        <v>29.825047701475526</v>
      </c>
      <c r="C20" s="2911">
        <v>28.921108970272023</v>
      </c>
      <c r="D20" s="2911">
        <v>29.272265172658972</v>
      </c>
      <c r="E20" s="2911">
        <v>30.819764328532351</v>
      </c>
      <c r="F20" s="2911">
        <v>28.533327744928947</v>
      </c>
      <c r="G20" s="2911">
        <v>26.470076542026344</v>
      </c>
      <c r="H20" s="2911">
        <v>28.610165916917872</v>
      </c>
      <c r="I20" s="2911">
        <v>29.813219085731028</v>
      </c>
      <c r="J20" s="2911">
        <v>28.593581282151476</v>
      </c>
      <c r="K20" s="2911">
        <v>26.336522652500065</v>
      </c>
      <c r="L20" s="2911">
        <v>26.749300409694008</v>
      </c>
      <c r="M20" s="2911">
        <v>29.251132686275458</v>
      </c>
      <c r="N20" s="2936">
        <v>26.341158109994996</v>
      </c>
      <c r="O20" s="2911">
        <v>27.237082807074817</v>
      </c>
      <c r="P20" s="2911">
        <v>30.315398118789147</v>
      </c>
      <c r="Q20" s="2911">
        <v>30.874610786882467</v>
      </c>
      <c r="R20" s="2911">
        <v>29.663615069740004</v>
      </c>
      <c r="S20" s="2911">
        <v>27.967122890153526</v>
      </c>
      <c r="T20" s="2911">
        <v>27.999675722466467</v>
      </c>
      <c r="U20" s="2911">
        <v>27.159538567281437</v>
      </c>
      <c r="V20" s="2911">
        <v>25.293092421175508</v>
      </c>
      <c r="W20" s="2911">
        <v>25.330413784487277</v>
      </c>
      <c r="X20" s="2911">
        <v>23.526489149463846</v>
      </c>
      <c r="Y20" s="3163">
        <v>24.465661547576175</v>
      </c>
      <c r="Z20" s="2936">
        <v>23.112191315696279</v>
      </c>
      <c r="AA20" s="2911">
        <v>24.675076092480644</v>
      </c>
      <c r="AB20" s="2911">
        <v>27.841022371638388</v>
      </c>
      <c r="AC20" s="2911">
        <v>28.762392042680268</v>
      </c>
      <c r="AD20" s="2911">
        <v>28.21668352301915</v>
      </c>
      <c r="AE20" s="2911">
        <v>30.103969192573885</v>
      </c>
      <c r="AF20" s="2911">
        <v>28.140744236537934</v>
      </c>
      <c r="AG20" s="2911">
        <v>27.435635925792823</v>
      </c>
      <c r="AH20" s="2911">
        <v>27.293755623992283</v>
      </c>
      <c r="AI20" s="2911">
        <v>26.480188311634883</v>
      </c>
      <c r="AJ20" s="2911">
        <v>26.910467308423804</v>
      </c>
      <c r="AK20" s="4230">
        <v>25.219296064388143</v>
      </c>
      <c r="AL20" s="4360">
        <v>26.350371929959245</v>
      </c>
      <c r="AM20" s="4360">
        <v>24.391565930493886</v>
      </c>
    </row>
    <row r="21" spans="1:39" s="132" customFormat="1" ht="12.75" customHeight="1">
      <c r="A21" s="2828" t="s">
        <v>229</v>
      </c>
      <c r="B21" s="2910">
        <v>50.875885176968808</v>
      </c>
      <c r="C21" s="2910">
        <v>49.833013814452471</v>
      </c>
      <c r="D21" s="2910">
        <v>54.99573477141486</v>
      </c>
      <c r="E21" s="2910">
        <v>54.302619952515762</v>
      </c>
      <c r="F21" s="2910">
        <v>56.109460089556237</v>
      </c>
      <c r="G21" s="2910">
        <v>59.722672427160248</v>
      </c>
      <c r="H21" s="2910">
        <v>55.059596558345831</v>
      </c>
      <c r="I21" s="2910">
        <v>54.995322789855351</v>
      </c>
      <c r="J21" s="2910">
        <v>55.736260241339181</v>
      </c>
      <c r="K21" s="2910">
        <v>57.123092186607742</v>
      </c>
      <c r="L21" s="2910">
        <v>50.670973635076038</v>
      </c>
      <c r="M21" s="2910">
        <v>54.298735134902365</v>
      </c>
      <c r="N21" s="2935">
        <v>56.20763714978402</v>
      </c>
      <c r="O21" s="2910">
        <v>53.620368452127877</v>
      </c>
      <c r="P21" s="2910">
        <v>53.941304980676122</v>
      </c>
      <c r="Q21" s="2910">
        <v>54.137282547883174</v>
      </c>
      <c r="R21" s="2910">
        <v>58.176493911209633</v>
      </c>
      <c r="S21" s="2910">
        <v>58.937872108242139</v>
      </c>
      <c r="T21" s="2910">
        <v>59.56287822699958</v>
      </c>
      <c r="U21" s="2910">
        <v>57.542488670455526</v>
      </c>
      <c r="V21" s="2910">
        <v>58.168488117156308</v>
      </c>
      <c r="W21" s="2910">
        <v>57.817202459970126</v>
      </c>
      <c r="X21" s="2910">
        <v>59.01700072270684</v>
      </c>
      <c r="Y21" s="3162">
        <v>55.579997817500903</v>
      </c>
      <c r="Z21" s="2935">
        <v>58.052229119168572</v>
      </c>
      <c r="AA21" s="2910">
        <v>56.313716906072926</v>
      </c>
      <c r="AB21" s="2910">
        <v>55.441832115223242</v>
      </c>
      <c r="AC21" s="2910">
        <v>56.31447321645917</v>
      </c>
      <c r="AD21" s="2910">
        <v>56.411879930817925</v>
      </c>
      <c r="AE21" s="2910">
        <v>57.260346850895012</v>
      </c>
      <c r="AF21" s="2910">
        <v>54.98285834596556</v>
      </c>
      <c r="AG21" s="2910">
        <v>55.515682502833293</v>
      </c>
      <c r="AH21" s="2910">
        <v>54.914556643207703</v>
      </c>
      <c r="AI21" s="2910">
        <v>55.004516277600842</v>
      </c>
      <c r="AJ21" s="2910">
        <v>55.210930318703134</v>
      </c>
      <c r="AK21" s="4229">
        <v>54.400316173683166</v>
      </c>
      <c r="AL21" s="4360">
        <v>53.830334163302076</v>
      </c>
      <c r="AM21" s="4360">
        <v>54.261126400943745</v>
      </c>
    </row>
    <row r="22" spans="1:39" ht="12.75" customHeight="1">
      <c r="A22" s="2829" t="s">
        <v>628</v>
      </c>
      <c r="B22" s="2911">
        <v>31.099980746972356</v>
      </c>
      <c r="C22" s="2911">
        <v>31.836275177368183</v>
      </c>
      <c r="D22" s="2911">
        <v>32.637458902343951</v>
      </c>
      <c r="E22" s="2911">
        <v>33.66077963730968</v>
      </c>
      <c r="F22" s="2911">
        <v>36.117641083809495</v>
      </c>
      <c r="G22" s="2911">
        <v>35.077525962681953</v>
      </c>
      <c r="H22" s="2911">
        <v>35.646103260197734</v>
      </c>
      <c r="I22" s="2911">
        <v>35.673080752171934</v>
      </c>
      <c r="J22" s="2911">
        <v>33.067526237130686</v>
      </c>
      <c r="K22" s="2911">
        <v>38.946365071769193</v>
      </c>
      <c r="L22" s="2911">
        <v>33.390920245781452</v>
      </c>
      <c r="M22" s="2911">
        <v>34.872022089712601</v>
      </c>
      <c r="N22" s="2936">
        <v>37.568860076656982</v>
      </c>
      <c r="O22" s="2911">
        <v>38.628916754206713</v>
      </c>
      <c r="P22" s="2911">
        <v>36.884543887582282</v>
      </c>
      <c r="Q22" s="2911">
        <v>37.140189194955489</v>
      </c>
      <c r="R22" s="2911">
        <v>37.755319483052787</v>
      </c>
      <c r="S22" s="2911">
        <v>41.693406932015719</v>
      </c>
      <c r="T22" s="2911">
        <v>40.260560075044268</v>
      </c>
      <c r="U22" s="2911">
        <v>39.763501350169335</v>
      </c>
      <c r="V22" s="2911">
        <v>40.803086566000943</v>
      </c>
      <c r="W22" s="2911">
        <v>39.594735734357357</v>
      </c>
      <c r="X22" s="2911">
        <v>37.752538275097677</v>
      </c>
      <c r="Y22" s="3163">
        <v>39.867111586513083</v>
      </c>
      <c r="Z22" s="2936">
        <v>37.163005708060673</v>
      </c>
      <c r="AA22" s="2911">
        <v>37.048007442839648</v>
      </c>
      <c r="AB22" s="2911">
        <v>32.819307960616712</v>
      </c>
      <c r="AC22" s="2911">
        <v>36.562145729253274</v>
      </c>
      <c r="AD22" s="2911">
        <v>39.616682846153282</v>
      </c>
      <c r="AE22" s="2911">
        <v>39.438176917764636</v>
      </c>
      <c r="AF22" s="2911">
        <v>39.130568619348189</v>
      </c>
      <c r="AG22" s="2911">
        <v>39.223055417829158</v>
      </c>
      <c r="AH22" s="2911">
        <v>38.681764459314344</v>
      </c>
      <c r="AI22" s="2911">
        <v>36.963318634693515</v>
      </c>
      <c r="AJ22" s="2911">
        <v>36.372894772280667</v>
      </c>
      <c r="AK22" s="4230">
        <v>37.176838353316057</v>
      </c>
      <c r="AL22" s="4361">
        <v>36.447592766815511</v>
      </c>
      <c r="AM22" s="4361">
        <v>36.715796038999798</v>
      </c>
    </row>
    <row r="23" spans="1:39" ht="12.75" customHeight="1">
      <c r="A23" s="2829" t="s">
        <v>629</v>
      </c>
      <c r="B23" s="2911">
        <v>6.3238250332406905</v>
      </c>
      <c r="C23" s="2911">
        <v>5.5578965930006081</v>
      </c>
      <c r="D23" s="2911">
        <v>7.8259821160313079</v>
      </c>
      <c r="E23" s="2911">
        <v>6.9755900334169896</v>
      </c>
      <c r="F23" s="2911">
        <v>7.4584907653463599</v>
      </c>
      <c r="G23" s="2911">
        <v>12.372859498543358</v>
      </c>
      <c r="H23" s="2911">
        <v>7.8954499061771832</v>
      </c>
      <c r="I23" s="2911">
        <v>7.0687908301863178</v>
      </c>
      <c r="J23" s="2911">
        <v>9.544282511365914</v>
      </c>
      <c r="K23" s="2911">
        <v>6.5663822140424575</v>
      </c>
      <c r="L23" s="2911">
        <v>6.5560212899813193</v>
      </c>
      <c r="M23" s="2911">
        <v>7.0614540719526806</v>
      </c>
      <c r="N23" s="2936">
        <v>8.0467651846638297</v>
      </c>
      <c r="O23" s="2911">
        <v>5.0306565179585006</v>
      </c>
      <c r="P23" s="2911">
        <v>6.6933124324465005</v>
      </c>
      <c r="Q23" s="2911">
        <v>5.7935326153849989</v>
      </c>
      <c r="R23" s="2911">
        <v>9.1645864773884789</v>
      </c>
      <c r="S23" s="2911">
        <v>7.5753740217260628</v>
      </c>
      <c r="T23" s="2911">
        <v>7.2121411097401458</v>
      </c>
      <c r="U23" s="2911">
        <v>6.3262468792326869</v>
      </c>
      <c r="V23" s="2911">
        <v>8.3495778988217673</v>
      </c>
      <c r="W23" s="2911">
        <v>8.2535047282626781</v>
      </c>
      <c r="X23" s="2911">
        <v>12.558177612962535</v>
      </c>
      <c r="Y23" s="3163">
        <v>7.2415292401872486</v>
      </c>
      <c r="Z23" s="2936">
        <v>10.081039299218068</v>
      </c>
      <c r="AA23" s="2911">
        <v>9.0837331267143195</v>
      </c>
      <c r="AB23" s="2911">
        <v>11.894987644524575</v>
      </c>
      <c r="AC23" s="2911">
        <v>7.9907692381628479</v>
      </c>
      <c r="AD23" s="2911">
        <v>5.7986249681748454</v>
      </c>
      <c r="AE23" s="2911">
        <v>4.986802684182881</v>
      </c>
      <c r="AF23" s="2911">
        <v>5.4047282563429819</v>
      </c>
      <c r="AG23" s="2911">
        <v>6.9558743654524902</v>
      </c>
      <c r="AH23" s="2911">
        <v>6.8497573674156014</v>
      </c>
      <c r="AI23" s="2911">
        <v>6.954700378886618</v>
      </c>
      <c r="AJ23" s="2911">
        <v>7.4811026299787935</v>
      </c>
      <c r="AK23" s="4230">
        <v>7.4989666970729898</v>
      </c>
      <c r="AL23" s="4361">
        <v>7.3236318441014818</v>
      </c>
      <c r="AM23" s="4361">
        <v>8.4636528942362403</v>
      </c>
    </row>
    <row r="24" spans="1:39" ht="12.75" customHeight="1">
      <c r="A24" s="2829" t="s">
        <v>431</v>
      </c>
      <c r="B24" s="2911">
        <v>13.452079396755762</v>
      </c>
      <c r="C24" s="2911">
        <v>12.438842044083676</v>
      </c>
      <c r="D24" s="2911">
        <v>14.532293753039607</v>
      </c>
      <c r="E24" s="2911">
        <v>13.666250281789091</v>
      </c>
      <c r="F24" s="2911">
        <v>12.533328240400376</v>
      </c>
      <c r="G24" s="2911">
        <v>12.27228696593494</v>
      </c>
      <c r="H24" s="2911">
        <v>11.518043391970917</v>
      </c>
      <c r="I24" s="2911">
        <v>12.2534512074971</v>
      </c>
      <c r="J24" s="2911">
        <v>13.124451492842578</v>
      </c>
      <c r="K24" s="2911">
        <v>11.610344900796091</v>
      </c>
      <c r="L24" s="2911">
        <v>10.724032099313273</v>
      </c>
      <c r="M24" s="2911">
        <v>12.365258973237083</v>
      </c>
      <c r="N24" s="2936">
        <v>10.592011888463208</v>
      </c>
      <c r="O24" s="2911">
        <v>9.9607951799626662</v>
      </c>
      <c r="P24" s="2911">
        <v>10.363448660647336</v>
      </c>
      <c r="Q24" s="2911">
        <v>11.203560737542691</v>
      </c>
      <c r="R24" s="2911">
        <v>11.256587950768365</v>
      </c>
      <c r="S24" s="2911">
        <v>9.6690911545003573</v>
      </c>
      <c r="T24" s="2911">
        <v>12.090177042215165</v>
      </c>
      <c r="U24" s="2911">
        <v>11.452740441053505</v>
      </c>
      <c r="V24" s="2911">
        <v>9.0158236523335997</v>
      </c>
      <c r="W24" s="2911">
        <v>9.9689619973500925</v>
      </c>
      <c r="X24" s="2911">
        <v>8.7062848346466275</v>
      </c>
      <c r="Y24" s="3163">
        <v>8.4713569908005741</v>
      </c>
      <c r="Z24" s="2936">
        <v>10.808184111889826</v>
      </c>
      <c r="AA24" s="2911">
        <v>10.181976336518957</v>
      </c>
      <c r="AB24" s="2911">
        <v>10.727536510081952</v>
      </c>
      <c r="AC24" s="2911">
        <v>11.761558249043048</v>
      </c>
      <c r="AD24" s="2911">
        <v>10.996572116489792</v>
      </c>
      <c r="AE24" s="2911">
        <v>12.83536724894749</v>
      </c>
      <c r="AF24" s="2911">
        <v>10.447561470274389</v>
      </c>
      <c r="AG24" s="2911">
        <v>9.3367527195516491</v>
      </c>
      <c r="AH24" s="2911">
        <v>9.3830348164777586</v>
      </c>
      <c r="AI24" s="2911">
        <v>11.086497264020709</v>
      </c>
      <c r="AJ24" s="2911">
        <v>11.356932916443672</v>
      </c>
      <c r="AK24" s="4230">
        <v>9.7245111232941195</v>
      </c>
      <c r="AL24" s="4361">
        <v>10.059109552385083</v>
      </c>
      <c r="AM24" s="4361">
        <v>9.0816774677077081</v>
      </c>
    </row>
    <row r="25" spans="1:39" s="132" customFormat="1" ht="12.75" customHeight="1">
      <c r="A25" s="2828" t="s">
        <v>631</v>
      </c>
      <c r="B25" s="2910">
        <v>49.124114823031192</v>
      </c>
      <c r="C25" s="2910">
        <v>50.166986185547543</v>
      </c>
      <c r="D25" s="2910">
        <v>45.00426522858514</v>
      </c>
      <c r="E25" s="2910">
        <v>45.697380047484245</v>
      </c>
      <c r="F25" s="2910">
        <v>43.890539910443771</v>
      </c>
      <c r="G25" s="2910">
        <v>40.277327572839752</v>
      </c>
      <c r="H25" s="2910">
        <v>44.940403441654169</v>
      </c>
      <c r="I25" s="2910">
        <v>45.004677210144642</v>
      </c>
      <c r="J25" s="2910">
        <v>44.263739758660812</v>
      </c>
      <c r="K25" s="2910">
        <v>42.876907813392265</v>
      </c>
      <c r="L25" s="2910">
        <v>49.329026364923962</v>
      </c>
      <c r="M25" s="2910">
        <v>45.701264865097642</v>
      </c>
      <c r="N25" s="2935">
        <v>43.792362850215966</v>
      </c>
      <c r="O25" s="2910">
        <v>46.379631547872123</v>
      </c>
      <c r="P25" s="2910">
        <v>46.058695019323878</v>
      </c>
      <c r="Q25" s="2910">
        <v>45.862717452116797</v>
      </c>
      <c r="R25" s="2910">
        <v>41.823506088790367</v>
      </c>
      <c r="S25" s="2910">
        <v>41.062127891757868</v>
      </c>
      <c r="T25" s="2910">
        <v>40.437121773000428</v>
      </c>
      <c r="U25" s="2910">
        <v>42.457511329544488</v>
      </c>
      <c r="V25" s="2910">
        <v>41.831511882843699</v>
      </c>
      <c r="W25" s="2910">
        <v>42.182797540029867</v>
      </c>
      <c r="X25" s="2910">
        <v>40.98299927729316</v>
      </c>
      <c r="Y25" s="3162">
        <v>44.420002182499104</v>
      </c>
      <c r="Z25" s="2935">
        <v>41.947770880831442</v>
      </c>
      <c r="AA25" s="2910">
        <v>43.686283093927095</v>
      </c>
      <c r="AB25" s="2910">
        <v>44.558167884776765</v>
      </c>
      <c r="AC25" s="2910">
        <v>43.685526783540844</v>
      </c>
      <c r="AD25" s="2910">
        <v>43.588120069182075</v>
      </c>
      <c r="AE25" s="2910">
        <v>42.739653149104988</v>
      </c>
      <c r="AF25" s="2910">
        <v>45.017141654034447</v>
      </c>
      <c r="AG25" s="2910">
        <v>44.4843174971667</v>
      </c>
      <c r="AH25" s="2910">
        <v>45.085443356792297</v>
      </c>
      <c r="AI25" s="2910">
        <v>44.995483722399158</v>
      </c>
      <c r="AJ25" s="2910">
        <v>44.789069681296866</v>
      </c>
      <c r="AK25" s="4229">
        <v>45.599683826316841</v>
      </c>
      <c r="AL25" s="4360">
        <v>46.169665836697916</v>
      </c>
      <c r="AM25" s="4360">
        <v>45.738873599056255</v>
      </c>
    </row>
    <row r="26" spans="1:39" ht="12.75" customHeight="1">
      <c r="A26" s="2829" t="s">
        <v>628</v>
      </c>
      <c r="B26" s="2911">
        <v>15.292778810708949</v>
      </c>
      <c r="C26" s="2911">
        <v>15.749023901122417</v>
      </c>
      <c r="D26" s="2911">
        <v>14.898199047496337</v>
      </c>
      <c r="E26" s="2911">
        <v>15.973073128910029</v>
      </c>
      <c r="F26" s="2911">
        <v>16.265263037713972</v>
      </c>
      <c r="G26" s="2911">
        <v>15.927621453345511</v>
      </c>
      <c r="H26" s="2911">
        <v>16.759186158032431</v>
      </c>
      <c r="I26" s="2911">
        <v>17.23130728243251</v>
      </c>
      <c r="J26" s="2911">
        <v>19.415719427144669</v>
      </c>
      <c r="K26" s="2911">
        <v>17.571543786476255</v>
      </c>
      <c r="L26" s="2911">
        <v>21.107692718429558</v>
      </c>
      <c r="M26" s="2911">
        <v>16.777888130020401</v>
      </c>
      <c r="N26" s="2936">
        <v>16.423294482332963</v>
      </c>
      <c r="O26" s="2911">
        <v>16.253037711353347</v>
      </c>
      <c r="P26" s="2911">
        <v>16.877733078571339</v>
      </c>
      <c r="Q26" s="2911">
        <v>16.559774601558882</v>
      </c>
      <c r="R26" s="2911">
        <v>15.2794162117416</v>
      </c>
      <c r="S26" s="2911">
        <v>15.637195507433191</v>
      </c>
      <c r="T26" s="2911">
        <v>16.444952220883586</v>
      </c>
      <c r="U26" s="2911">
        <v>19.234500851494506</v>
      </c>
      <c r="V26" s="2911">
        <v>18.129145137502309</v>
      </c>
      <c r="W26" s="2911">
        <v>17.426867050759448</v>
      </c>
      <c r="X26" s="2911">
        <v>16.988791183506937</v>
      </c>
      <c r="Y26" s="3163">
        <v>16.914143819145089</v>
      </c>
      <c r="Z26" s="2936">
        <v>19.163490971211026</v>
      </c>
      <c r="AA26" s="2911">
        <v>17.686475340324051</v>
      </c>
      <c r="AB26" s="2911">
        <v>17.444288811431811</v>
      </c>
      <c r="AC26" s="2911">
        <v>17.249953463308401</v>
      </c>
      <c r="AD26" s="2911">
        <v>17.344016316253995</v>
      </c>
      <c r="AE26" s="2911">
        <v>18.142697284227385</v>
      </c>
      <c r="AF26" s="2911">
        <v>18.825237544218094</v>
      </c>
      <c r="AG26" s="2911">
        <v>17.942441231860368</v>
      </c>
      <c r="AH26" s="2911">
        <v>17.407960926384874</v>
      </c>
      <c r="AI26" s="2911">
        <v>17.047831666625786</v>
      </c>
      <c r="AJ26" s="2911">
        <v>15.682408353169025</v>
      </c>
      <c r="AK26" s="4230">
        <v>15.957001132339386</v>
      </c>
      <c r="AL26" s="4361">
        <v>16.156696030742062</v>
      </c>
      <c r="AM26" s="4361">
        <v>17.216470767448318</v>
      </c>
    </row>
    <row r="27" spans="1:39" ht="12.75" customHeight="1">
      <c r="A27" s="2829" t="s">
        <v>629</v>
      </c>
      <c r="B27" s="2911">
        <v>17.458367707602484</v>
      </c>
      <c r="C27" s="2911">
        <v>17.935695358236782</v>
      </c>
      <c r="D27" s="2911">
        <v>15.366094761469434</v>
      </c>
      <c r="E27" s="2911">
        <v>12.570792871830955</v>
      </c>
      <c r="F27" s="2911">
        <v>11.625277368201228</v>
      </c>
      <c r="G27" s="2911">
        <v>10.151916543402836</v>
      </c>
      <c r="H27" s="2911">
        <v>11.089094758674783</v>
      </c>
      <c r="I27" s="2911">
        <v>10.213602049478206</v>
      </c>
      <c r="J27" s="2911">
        <v>9.3788905422072499</v>
      </c>
      <c r="K27" s="2911">
        <v>10.579186275212029</v>
      </c>
      <c r="L27" s="2911">
        <v>12.196065336113673</v>
      </c>
      <c r="M27" s="2911">
        <v>12.037503022038869</v>
      </c>
      <c r="N27" s="2936">
        <v>11.619922146351213</v>
      </c>
      <c r="O27" s="2911">
        <v>12.850306209406629</v>
      </c>
      <c r="P27" s="2911">
        <v>9.2290124826107309</v>
      </c>
      <c r="Q27" s="2911">
        <v>9.6318928012181431</v>
      </c>
      <c r="R27" s="2911">
        <v>8.1370627580771355</v>
      </c>
      <c r="S27" s="2911">
        <v>7.1269006486715085</v>
      </c>
      <c r="T27" s="2911">
        <v>8.0826708718655365</v>
      </c>
      <c r="U27" s="2911">
        <v>7.5162123518220438</v>
      </c>
      <c r="V27" s="2911">
        <v>7.4250979764994796</v>
      </c>
      <c r="W27" s="2911">
        <v>9.3944787021332345</v>
      </c>
      <c r="X27" s="2911">
        <v>9.1740037789690039</v>
      </c>
      <c r="Y27" s="3163">
        <v>11.511553806578412</v>
      </c>
      <c r="Z27" s="2936">
        <v>10.48027270581396</v>
      </c>
      <c r="AA27" s="2911">
        <v>11.506707997641353</v>
      </c>
      <c r="AB27" s="2911">
        <v>10.00039321178852</v>
      </c>
      <c r="AC27" s="2911">
        <v>9.4347395265952212</v>
      </c>
      <c r="AD27" s="2911">
        <v>9.0239923463987211</v>
      </c>
      <c r="AE27" s="2911">
        <v>7.3283539212512103</v>
      </c>
      <c r="AF27" s="2911">
        <v>8.4987213435528037</v>
      </c>
      <c r="AG27" s="2911">
        <v>8.4429930590651541</v>
      </c>
      <c r="AH27" s="2911">
        <v>9.7667616228928953</v>
      </c>
      <c r="AI27" s="2911">
        <v>12.553961008159201</v>
      </c>
      <c r="AJ27" s="2911">
        <v>13.553126936147708</v>
      </c>
      <c r="AK27" s="4230">
        <v>14.147897752883434</v>
      </c>
      <c r="AL27" s="4361">
        <v>13.721707428381693</v>
      </c>
      <c r="AM27" s="4361">
        <v>13.212514368821759</v>
      </c>
    </row>
    <row r="28" spans="1:39" ht="12.75" customHeight="1">
      <c r="A28" s="2885" t="s">
        <v>431</v>
      </c>
      <c r="B28" s="2912">
        <v>16.372968304719763</v>
      </c>
      <c r="C28" s="2912">
        <v>16.482266926188345</v>
      </c>
      <c r="D28" s="2912">
        <v>14.739971419619366</v>
      </c>
      <c r="E28" s="2912">
        <v>17.153514046743258</v>
      </c>
      <c r="F28" s="2912">
        <v>15.999999504528573</v>
      </c>
      <c r="G28" s="2912">
        <v>14.197789576091404</v>
      </c>
      <c r="H28" s="2912">
        <v>17.092122524946955</v>
      </c>
      <c r="I28" s="2912">
        <v>17.559767878233927</v>
      </c>
      <c r="J28" s="2912">
        <v>15.469129789308896</v>
      </c>
      <c r="K28" s="2912">
        <v>14.726177751703975</v>
      </c>
      <c r="L28" s="2912">
        <v>16.025268310380735</v>
      </c>
      <c r="M28" s="2912">
        <v>16.885873713038375</v>
      </c>
      <c r="N28" s="2937">
        <v>15.749146221531788</v>
      </c>
      <c r="O28" s="2943">
        <v>17.276287627112151</v>
      </c>
      <c r="P28" s="2943">
        <v>19.951949458141812</v>
      </c>
      <c r="Q28" s="2949">
        <v>19.671050049339776</v>
      </c>
      <c r="R28" s="2949">
        <v>18.407027118971637</v>
      </c>
      <c r="S28" s="2972">
        <v>18.298031735653169</v>
      </c>
      <c r="T28" s="3023">
        <v>15.909498680251302</v>
      </c>
      <c r="U28" s="3023">
        <v>15.706798126227934</v>
      </c>
      <c r="V28" s="3023">
        <v>16.277268768841907</v>
      </c>
      <c r="W28" s="3023">
        <v>15.361451787137186</v>
      </c>
      <c r="X28" s="3159">
        <v>14.820204314817218</v>
      </c>
      <c r="Y28" s="3063">
        <v>15.994304556775601</v>
      </c>
      <c r="Z28" s="3172">
        <v>12.304007203806453</v>
      </c>
      <c r="AA28" s="3023">
        <v>14.493099755961689</v>
      </c>
      <c r="AB28" s="3023">
        <v>17.113485861556434</v>
      </c>
      <c r="AC28" s="3023">
        <v>17.00083379363722</v>
      </c>
      <c r="AD28" s="3023">
        <v>17.220111406529359</v>
      </c>
      <c r="AE28" s="3159">
        <v>17.268601943626393</v>
      </c>
      <c r="AF28" s="3159">
        <v>17.693182766263543</v>
      </c>
      <c r="AG28" s="3023">
        <v>18.098883206241176</v>
      </c>
      <c r="AH28" s="3023">
        <v>17.910720807514526</v>
      </c>
      <c r="AI28" s="3023">
        <v>15.393691047614173</v>
      </c>
      <c r="AJ28" s="4232">
        <v>15.553534391980131</v>
      </c>
      <c r="AK28" s="4231">
        <v>15.494784941094023</v>
      </c>
      <c r="AL28" s="4362">
        <v>16.291262377574164</v>
      </c>
      <c r="AM28" s="4362">
        <v>15.309888462786178</v>
      </c>
    </row>
    <row r="29" spans="1:39">
      <c r="A29" s="1978"/>
      <c r="B29" s="2505"/>
      <c r="C29" s="2505"/>
      <c r="D29" s="2505"/>
      <c r="E29" s="2505"/>
      <c r="F29" s="1828"/>
      <c r="G29" s="1828"/>
      <c r="H29" s="1828"/>
      <c r="I29" s="1828"/>
      <c r="J29" s="1828"/>
      <c r="K29" s="1828"/>
      <c r="L29" s="1828"/>
      <c r="M29" s="1828"/>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978"/>
      <c r="AJ29" s="1978"/>
      <c r="AK29" s="1978"/>
    </row>
  </sheetData>
  <mergeCells count="5">
    <mergeCell ref="Z3:AJ3"/>
    <mergeCell ref="A3:A4"/>
    <mergeCell ref="N3:Y3"/>
    <mergeCell ref="B3:M3"/>
    <mergeCell ref="AL3:AM3"/>
  </mergeCells>
  <phoneticPr fontId="0" type="noConversion"/>
  <pageMargins left="1.1599999999999999" right="0.75" top="0.75" bottom="1" header="0.5" footer="0.5"/>
  <pageSetup paperSize="9" scale="4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8" enableFormatConditionsCalculation="0">
    <tabColor indexed="44"/>
  </sheetPr>
  <dimension ref="A1:F115"/>
  <sheetViews>
    <sheetView topLeftCell="A75" workbookViewId="0">
      <selection activeCell="G76" sqref="G76"/>
    </sheetView>
  </sheetViews>
  <sheetFormatPr defaultRowHeight="12.75"/>
  <cols>
    <col min="1" max="1" width="30.5703125" customWidth="1"/>
    <col min="2" max="2" width="12" customWidth="1"/>
  </cols>
  <sheetData>
    <row r="1" spans="1:1">
      <c r="A1" s="756" t="s">
        <v>50</v>
      </c>
    </row>
    <row r="3" spans="1:1">
      <c r="A3" t="s">
        <v>51</v>
      </c>
    </row>
    <row r="4" spans="1:1">
      <c r="A4" t="s">
        <v>52</v>
      </c>
    </row>
    <row r="5" spans="1:1">
      <c r="A5" t="s">
        <v>1149</v>
      </c>
    </row>
    <row r="6" spans="1:1">
      <c r="A6" s="757" t="s">
        <v>1150</v>
      </c>
    </row>
    <row r="7" spans="1:1">
      <c r="A7" s="757" t="s">
        <v>1151</v>
      </c>
    </row>
    <row r="8" spans="1:1">
      <c r="A8" s="871" t="s">
        <v>1219</v>
      </c>
    </row>
    <row r="9" spans="1:1">
      <c r="A9" s="871" t="s">
        <v>1218</v>
      </c>
    </row>
    <row r="10" spans="1:1">
      <c r="A10" s="871" t="s">
        <v>1262</v>
      </c>
    </row>
    <row r="11" spans="1:1">
      <c r="A11" s="872" t="s">
        <v>54</v>
      </c>
    </row>
    <row r="12" spans="1:1">
      <c r="A12" s="871" t="s">
        <v>55</v>
      </c>
    </row>
    <row r="13" spans="1:1" hidden="1"/>
    <row r="14" spans="1:1" hidden="1"/>
    <row r="15" spans="1:1" hidden="1"/>
    <row r="16" spans="1:1" hidden="1"/>
    <row r="17" spans="1:1" hidden="1"/>
    <row r="21" spans="1:1">
      <c r="A21" s="758" t="s">
        <v>53</v>
      </c>
    </row>
    <row r="22" spans="1:1">
      <c r="A22" t="s">
        <v>1300</v>
      </c>
    </row>
    <row r="23" spans="1:1">
      <c r="A23" t="s">
        <v>1301</v>
      </c>
    </row>
    <row r="24" spans="1:1">
      <c r="A24" t="s">
        <v>1302</v>
      </c>
    </row>
    <row r="25" spans="1:1">
      <c r="A25" t="s">
        <v>1291</v>
      </c>
    </row>
    <row r="28" spans="1:1">
      <c r="A28" s="325" t="s">
        <v>713</v>
      </c>
    </row>
    <row r="30" spans="1:1">
      <c r="A30" t="s">
        <v>714</v>
      </c>
    </row>
    <row r="31" spans="1:1">
      <c r="A31" t="s">
        <v>715</v>
      </c>
    </row>
    <row r="32" spans="1:1">
      <c r="A32" t="s">
        <v>716</v>
      </c>
    </row>
    <row r="33" spans="1:6">
      <c r="A33" t="s">
        <v>717</v>
      </c>
    </row>
    <row r="34" spans="1:6">
      <c r="A34" t="s">
        <v>718</v>
      </c>
    </row>
    <row r="35" spans="1:6" ht="114.75">
      <c r="A35" s="779" t="s">
        <v>733</v>
      </c>
    </row>
    <row r="36" spans="1:6" ht="76.5">
      <c r="A36" s="779" t="s">
        <v>734</v>
      </c>
    </row>
    <row r="37" spans="1:6" ht="51">
      <c r="A37" s="779" t="s">
        <v>737</v>
      </c>
    </row>
    <row r="38" spans="1:6" ht="63.75">
      <c r="A38" s="779" t="s">
        <v>739</v>
      </c>
    </row>
    <row r="39" spans="1:6" ht="63.75">
      <c r="A39" s="779" t="s">
        <v>746</v>
      </c>
    </row>
    <row r="41" spans="1:6">
      <c r="A41" s="870" t="s">
        <v>638</v>
      </c>
    </row>
    <row r="42" spans="1:6" ht="76.5">
      <c r="A42" s="779" t="s">
        <v>648</v>
      </c>
    </row>
    <row r="43" spans="1:6" ht="63.75">
      <c r="A43" s="779" t="s">
        <v>649</v>
      </c>
    </row>
    <row r="46" spans="1:6">
      <c r="A46" s="875" t="s">
        <v>851</v>
      </c>
      <c r="B46" s="35">
        <v>2005</v>
      </c>
      <c r="C46" s="35">
        <v>2006</v>
      </c>
      <c r="D46" s="35">
        <v>2007</v>
      </c>
      <c r="E46" s="35">
        <v>2008</v>
      </c>
    </row>
    <row r="47" spans="1:6">
      <c r="A47" s="132" t="s">
        <v>871</v>
      </c>
      <c r="B47" s="35"/>
      <c r="C47" s="35"/>
      <c r="D47" s="35"/>
      <c r="E47" s="35"/>
    </row>
    <row r="48" spans="1:6">
      <c r="A48" t="s">
        <v>833</v>
      </c>
      <c r="B48" s="889">
        <v>-0.09</v>
      </c>
      <c r="C48" s="889">
        <v>0.05</v>
      </c>
      <c r="D48" s="889">
        <v>0.05</v>
      </c>
      <c r="E48" s="35"/>
      <c r="F48" s="35" t="s">
        <v>834</v>
      </c>
    </row>
    <row r="49" spans="1:6">
      <c r="A49" t="s">
        <v>869</v>
      </c>
      <c r="B49" s="888">
        <v>0.13600000000000001</v>
      </c>
      <c r="C49" s="888">
        <v>0.13600000000000001</v>
      </c>
      <c r="D49" s="888">
        <v>0.13600000000000001</v>
      </c>
      <c r="E49" s="888">
        <v>0.13600000000000001</v>
      </c>
      <c r="F49" s="35" t="s">
        <v>835</v>
      </c>
    </row>
    <row r="50" spans="1:6">
      <c r="A50" t="s">
        <v>836</v>
      </c>
      <c r="B50">
        <v>3240</v>
      </c>
      <c r="C50">
        <v>2160</v>
      </c>
      <c r="D50">
        <v>753</v>
      </c>
    </row>
    <row r="51" spans="1:6">
      <c r="A51" s="35" t="s">
        <v>99</v>
      </c>
    </row>
    <row r="52" spans="1:6">
      <c r="A52" t="s">
        <v>868</v>
      </c>
      <c r="B52" s="888">
        <v>7.9000000000000001E-2</v>
      </c>
      <c r="C52" s="888">
        <v>7.9000000000000001E-2</v>
      </c>
      <c r="D52" s="888">
        <v>7.9000000000000001E-2</v>
      </c>
      <c r="E52" s="888">
        <v>7.9000000000000001E-2</v>
      </c>
      <c r="F52" s="874" t="s">
        <v>872</v>
      </c>
    </row>
    <row r="53" spans="1:6">
      <c r="A53" t="s">
        <v>870</v>
      </c>
      <c r="B53" s="888">
        <v>0.19683135611278105</v>
      </c>
      <c r="C53" s="888">
        <v>0.19683135611278105</v>
      </c>
      <c r="D53" s="888">
        <v>0.19683135611278105</v>
      </c>
      <c r="E53" s="888">
        <v>0.19683135611278105</v>
      </c>
      <c r="F53" s="874" t="s">
        <v>873</v>
      </c>
    </row>
    <row r="54" spans="1:6">
      <c r="A54" t="s">
        <v>1176</v>
      </c>
      <c r="C54" s="737">
        <f>4238.4*20%</f>
        <v>847.68</v>
      </c>
      <c r="D54" s="737">
        <v>4238.3999999999996</v>
      </c>
      <c r="E54" s="888"/>
      <c r="F54" s="874"/>
    </row>
    <row r="55" spans="1:6">
      <c r="A55" t="s">
        <v>1177</v>
      </c>
      <c r="B55" s="887"/>
      <c r="C55" s="4">
        <v>1.75</v>
      </c>
      <c r="D55" s="4">
        <v>1.75</v>
      </c>
      <c r="E55" s="888"/>
      <c r="F55" s="874"/>
    </row>
    <row r="56" spans="1:6">
      <c r="A56" t="s">
        <v>1178</v>
      </c>
      <c r="B56" s="854"/>
      <c r="C56" s="793">
        <f>C55*C54</f>
        <v>1483.4399999999998</v>
      </c>
      <c r="D56" s="793">
        <f>D55*D54</f>
        <v>7417.1999999999989</v>
      </c>
    </row>
    <row r="57" spans="1:6">
      <c r="A57" s="35" t="s">
        <v>457</v>
      </c>
    </row>
    <row r="58" spans="1:6">
      <c r="A58" s="35" t="s">
        <v>867</v>
      </c>
      <c r="B58">
        <f>SUM(B59:B60)</f>
        <v>3730</v>
      </c>
      <c r="C58">
        <f>SUM(C59:C60)</f>
        <v>4809</v>
      </c>
      <c r="D58">
        <f>SUM(D59:D60)</f>
        <v>3000</v>
      </c>
      <c r="F58" t="s">
        <v>865</v>
      </c>
    </row>
    <row r="59" spans="1:6">
      <c r="A59" t="s">
        <v>840</v>
      </c>
      <c r="B59">
        <v>1980</v>
      </c>
      <c r="C59">
        <v>3759</v>
      </c>
      <c r="D59">
        <v>3000</v>
      </c>
      <c r="F59" t="s">
        <v>865</v>
      </c>
    </row>
    <row r="60" spans="1:6">
      <c r="A60" t="s">
        <v>841</v>
      </c>
      <c r="B60">
        <v>1750</v>
      </c>
      <c r="C60">
        <v>1050</v>
      </c>
      <c r="D60">
        <v>0</v>
      </c>
      <c r="F60" t="s">
        <v>865</v>
      </c>
    </row>
    <row r="61" spans="1:6">
      <c r="A61" s="35" t="s">
        <v>860</v>
      </c>
      <c r="B61">
        <v>2700</v>
      </c>
      <c r="C61">
        <v>1800</v>
      </c>
      <c r="D61">
        <v>627</v>
      </c>
      <c r="F61" t="s">
        <v>866</v>
      </c>
    </row>
    <row r="62" spans="1:6">
      <c r="A62" s="35" t="s">
        <v>861</v>
      </c>
    </row>
    <row r="63" spans="1:6">
      <c r="A63" t="s">
        <v>840</v>
      </c>
      <c r="B63">
        <v>1604</v>
      </c>
      <c r="C63">
        <v>2202.9549999999999</v>
      </c>
      <c r="D63">
        <v>2140.61</v>
      </c>
      <c r="F63" t="s">
        <v>865</v>
      </c>
    </row>
    <row r="64" spans="1:6">
      <c r="A64" t="s">
        <v>841</v>
      </c>
      <c r="B64">
        <v>144</v>
      </c>
      <c r="C64">
        <v>144</v>
      </c>
      <c r="D64">
        <v>42</v>
      </c>
      <c r="F64" t="s">
        <v>865</v>
      </c>
    </row>
    <row r="65" spans="1:6">
      <c r="A65" s="35" t="s">
        <v>837</v>
      </c>
    </row>
    <row r="66" spans="1:6">
      <c r="A66" t="s">
        <v>852</v>
      </c>
      <c r="B66" s="218">
        <v>1675.788</v>
      </c>
      <c r="C66" s="218">
        <v>1204.0838999999999</v>
      </c>
      <c r="D66" s="218">
        <v>1692.5909000000001</v>
      </c>
      <c r="F66" t="s">
        <v>853</v>
      </c>
    </row>
    <row r="67" spans="1:6">
      <c r="A67" t="s">
        <v>838</v>
      </c>
      <c r="B67">
        <v>2239</v>
      </c>
      <c r="C67">
        <v>0</v>
      </c>
      <c r="D67">
        <v>0</v>
      </c>
      <c r="F67" t="s">
        <v>853</v>
      </c>
    </row>
    <row r="68" spans="1:6">
      <c r="A68" s="35" t="s">
        <v>839</v>
      </c>
    </row>
    <row r="69" spans="1:6">
      <c r="A69" t="s">
        <v>856</v>
      </c>
      <c r="B69" s="737">
        <v>408.81109649244331</v>
      </c>
      <c r="C69" s="737">
        <v>259.84581558215109</v>
      </c>
      <c r="D69" s="737">
        <v>319.09006619293746</v>
      </c>
      <c r="F69" t="s">
        <v>862</v>
      </c>
    </row>
    <row r="70" spans="1:6">
      <c r="A70" t="s">
        <v>854</v>
      </c>
      <c r="B70">
        <v>207.81</v>
      </c>
      <c r="C70">
        <v>1417.99</v>
      </c>
      <c r="D70">
        <v>1448.44</v>
      </c>
      <c r="F70" t="s">
        <v>864</v>
      </c>
    </row>
    <row r="71" spans="1:6">
      <c r="A71" t="s">
        <v>855</v>
      </c>
      <c r="B71">
        <v>274.25</v>
      </c>
      <c r="C71">
        <v>274.25</v>
      </c>
      <c r="D71">
        <v>274.25</v>
      </c>
      <c r="F71" t="s">
        <v>853</v>
      </c>
    </row>
    <row r="72" spans="1:6">
      <c r="A72" t="s">
        <v>857</v>
      </c>
      <c r="B72">
        <v>213.7</v>
      </c>
      <c r="C72">
        <v>209.4</v>
      </c>
      <c r="D72">
        <v>205</v>
      </c>
      <c r="F72" t="s">
        <v>863</v>
      </c>
    </row>
    <row r="73" spans="1:6">
      <c r="A73" t="s">
        <v>858</v>
      </c>
      <c r="C73">
        <v>1433.3</v>
      </c>
      <c r="D73">
        <v>1433.3</v>
      </c>
      <c r="F73" t="s">
        <v>853</v>
      </c>
    </row>
    <row r="74" spans="1:6">
      <c r="A74" t="s">
        <v>859</v>
      </c>
      <c r="C74" s="700">
        <v>1297</v>
      </c>
      <c r="D74" s="700">
        <v>1297</v>
      </c>
      <c r="E74" s="700"/>
      <c r="F74" t="s">
        <v>853</v>
      </c>
    </row>
    <row r="83" spans="1:6">
      <c r="A83" s="875" t="s">
        <v>689</v>
      </c>
      <c r="B83" s="35">
        <v>2005</v>
      </c>
      <c r="C83" s="35">
        <v>2006</v>
      </c>
      <c r="D83" s="35">
        <v>2007</v>
      </c>
      <c r="E83" s="35">
        <v>2008</v>
      </c>
    </row>
    <row r="84" spans="1:6">
      <c r="A84" t="str">
        <f>A53</f>
        <v>Exports to India excluding Tala</v>
      </c>
      <c r="B84" t="str">
        <f>F53</f>
        <v xml:space="preserve">19.7% 5 year average growth from 2000-01 to 2004-05 </v>
      </c>
    </row>
    <row r="85" spans="1:6">
      <c r="A85" t="s">
        <v>694</v>
      </c>
      <c r="C85" s="737">
        <f>4238.4*20%</f>
        <v>847.68</v>
      </c>
      <c r="D85" s="737">
        <v>4238.3999999999996</v>
      </c>
    </row>
    <row r="86" spans="1:6">
      <c r="A86" t="s">
        <v>692</v>
      </c>
      <c r="B86">
        <f>B56</f>
        <v>0</v>
      </c>
      <c r="C86" s="737">
        <f>C85*1.75</f>
        <v>1483.4399999999998</v>
      </c>
      <c r="D86" s="737">
        <f>D85*1.75</f>
        <v>7417.1999999999989</v>
      </c>
    </row>
    <row r="87" spans="1:6">
      <c r="A87" t="s">
        <v>693</v>
      </c>
      <c r="C87" s="737">
        <f>C85*2</f>
        <v>1695.36</v>
      </c>
      <c r="D87" s="737">
        <f>D85*2</f>
        <v>8476.7999999999993</v>
      </c>
    </row>
    <row r="88" spans="1:6">
      <c r="A88" t="s">
        <v>695</v>
      </c>
      <c r="C88" s="737">
        <f>C87-C86</f>
        <v>211.92000000000007</v>
      </c>
      <c r="D88" s="737">
        <f>D87-D86</f>
        <v>1059.6000000000004</v>
      </c>
    </row>
    <row r="89" spans="1:6">
      <c r="A89" s="35" t="s">
        <v>691</v>
      </c>
    </row>
    <row r="90" spans="1:6">
      <c r="A90" t="str">
        <f>A67</f>
        <v>Tala</v>
      </c>
      <c r="B90">
        <f>B67</f>
        <v>2239</v>
      </c>
      <c r="C90">
        <f>C67</f>
        <v>0</v>
      </c>
      <c r="D90">
        <f>D67</f>
        <v>0</v>
      </c>
    </row>
    <row r="91" spans="1:6">
      <c r="A91" s="35" t="s">
        <v>839</v>
      </c>
    </row>
    <row r="92" spans="1:6">
      <c r="A92" t="str">
        <f t="shared" ref="A92:D95" si="0">A71</f>
        <v>India others (p)</v>
      </c>
      <c r="B92" s="737">
        <f t="shared" si="0"/>
        <v>274.25</v>
      </c>
      <c r="C92" s="737">
        <f t="shared" si="0"/>
        <v>274.25</v>
      </c>
      <c r="D92" s="737">
        <f t="shared" si="0"/>
        <v>274.25</v>
      </c>
      <c r="F92">
        <v>4238.3999999999996</v>
      </c>
    </row>
    <row r="93" spans="1:6">
      <c r="A93" t="str">
        <f t="shared" si="0"/>
        <v>India others (i)</v>
      </c>
      <c r="B93" s="737">
        <f t="shared" si="0"/>
        <v>213.7</v>
      </c>
      <c r="C93" s="737">
        <f t="shared" si="0"/>
        <v>209.4</v>
      </c>
      <c r="D93" s="737">
        <f t="shared" si="0"/>
        <v>205</v>
      </c>
    </row>
    <row r="94" spans="1:6">
      <c r="A94" t="str">
        <f t="shared" si="0"/>
        <v>Tala (p)</v>
      </c>
      <c r="B94" s="737">
        <f t="shared" si="0"/>
        <v>0</v>
      </c>
      <c r="C94" s="737">
        <f t="shared" si="0"/>
        <v>1433.3</v>
      </c>
      <c r="D94" s="737">
        <f t="shared" si="0"/>
        <v>1433.3</v>
      </c>
    </row>
    <row r="95" spans="1:6">
      <c r="A95" t="str">
        <f t="shared" si="0"/>
        <v>Tala (i)</v>
      </c>
      <c r="B95" s="737">
        <f t="shared" si="0"/>
        <v>0</v>
      </c>
      <c r="C95" s="737">
        <f t="shared" si="0"/>
        <v>1297</v>
      </c>
      <c r="D95" s="737">
        <f t="shared" si="0"/>
        <v>1297</v>
      </c>
    </row>
    <row r="96" spans="1:6" s="35" customFormat="1">
      <c r="A96" s="35" t="s">
        <v>457</v>
      </c>
    </row>
    <row r="97" spans="1:4">
      <c r="A97" t="str">
        <f t="shared" ref="A97:D100" si="1">A58</f>
        <v>Grants from India excluding Tala Grants</v>
      </c>
      <c r="B97">
        <f t="shared" si="1"/>
        <v>3730</v>
      </c>
      <c r="C97">
        <f t="shared" si="1"/>
        <v>4809</v>
      </c>
      <c r="D97">
        <f t="shared" si="1"/>
        <v>3000</v>
      </c>
    </row>
    <row r="98" spans="1:4">
      <c r="A98" t="str">
        <f t="shared" si="1"/>
        <v>Project tied</v>
      </c>
      <c r="B98">
        <f t="shared" si="1"/>
        <v>1980</v>
      </c>
      <c r="C98">
        <f t="shared" si="1"/>
        <v>3759</v>
      </c>
      <c r="D98">
        <f t="shared" si="1"/>
        <v>3000</v>
      </c>
    </row>
    <row r="99" spans="1:4">
      <c r="A99" t="str">
        <f t="shared" si="1"/>
        <v>untied grants</v>
      </c>
      <c r="B99">
        <f t="shared" si="1"/>
        <v>1750</v>
      </c>
      <c r="C99">
        <f t="shared" si="1"/>
        <v>1050</v>
      </c>
      <c r="D99">
        <f t="shared" si="1"/>
        <v>0</v>
      </c>
    </row>
    <row r="100" spans="1:4">
      <c r="A100" t="str">
        <f t="shared" si="1"/>
        <v>Tala grants</v>
      </c>
      <c r="B100">
        <f t="shared" si="1"/>
        <v>2700</v>
      </c>
      <c r="C100">
        <f t="shared" si="1"/>
        <v>1800</v>
      </c>
      <c r="D100">
        <f t="shared" si="1"/>
        <v>627</v>
      </c>
    </row>
    <row r="101" spans="1:4">
      <c r="A101" s="35" t="s">
        <v>429</v>
      </c>
    </row>
    <row r="102" spans="1:4">
      <c r="A102" s="35"/>
    </row>
    <row r="103" spans="1:4">
      <c r="A103" s="35"/>
    </row>
    <row r="105" spans="1:4">
      <c r="A105" s="758" t="s">
        <v>690</v>
      </c>
    </row>
    <row r="106" spans="1:4">
      <c r="A106" t="str">
        <f>A48</f>
        <v>COTI imports</v>
      </c>
      <c r="B106" t="str">
        <f>F48</f>
        <v>negative growth of 9 percent 2005 because of Airplane import in the previous year and 5% growth thereafter</v>
      </c>
    </row>
    <row r="107" spans="1:4">
      <c r="A107" t="str">
        <f>A52</f>
        <v>COTI exports</v>
      </c>
      <c r="B107" t="str">
        <f>F52</f>
        <v>7.9% 5 year average growth from 1999-00 to 2003-04</v>
      </c>
    </row>
    <row r="108" spans="1:4">
      <c r="A108" s="35" t="s">
        <v>691</v>
      </c>
      <c r="B108" s="35"/>
      <c r="C108" s="35"/>
      <c r="D108" s="35"/>
    </row>
    <row r="109" spans="1:4">
      <c r="A109" t="str">
        <f>A66</f>
        <v>COTI disbursements</v>
      </c>
      <c r="B109" s="737">
        <f>B66</f>
        <v>1675.788</v>
      </c>
      <c r="C109" s="737">
        <f>C66</f>
        <v>1204.0838999999999</v>
      </c>
      <c r="D109" s="737">
        <f>D66</f>
        <v>1692.5909000000001</v>
      </c>
    </row>
    <row r="110" spans="1:4">
      <c r="A110" s="35" t="s">
        <v>839</v>
      </c>
      <c r="B110" s="876"/>
      <c r="C110" s="876"/>
      <c r="D110" s="876"/>
    </row>
    <row r="111" spans="1:4">
      <c r="A111" t="str">
        <f t="shared" ref="A111:D112" si="2">A69</f>
        <v>COTI (p), including private debt</v>
      </c>
      <c r="B111" s="737">
        <f t="shared" si="2"/>
        <v>408.81109649244331</v>
      </c>
      <c r="C111" s="737">
        <f t="shared" si="2"/>
        <v>259.84581558215109</v>
      </c>
      <c r="D111" s="737">
        <f t="shared" si="2"/>
        <v>319.09006619293746</v>
      </c>
    </row>
    <row r="112" spans="1:4">
      <c r="A112" t="str">
        <f t="shared" si="2"/>
        <v>COTI (i), including private debt</v>
      </c>
      <c r="B112" s="737">
        <f t="shared" si="2"/>
        <v>207.81</v>
      </c>
      <c r="C112" s="737">
        <f t="shared" si="2"/>
        <v>1417.99</v>
      </c>
      <c r="D112" s="737">
        <f t="shared" si="2"/>
        <v>1448.44</v>
      </c>
    </row>
    <row r="113" spans="1:4">
      <c r="A113" s="35" t="str">
        <f>A62</f>
        <v>COTI grants</v>
      </c>
      <c r="B113" s="876"/>
      <c r="C113" s="876"/>
      <c r="D113" s="876"/>
    </row>
    <row r="114" spans="1:4">
      <c r="A114" t="str">
        <f>A63</f>
        <v>Project tied</v>
      </c>
      <c r="B114" s="737">
        <f t="shared" ref="B114:D115" si="3">B63</f>
        <v>1604</v>
      </c>
      <c r="C114" s="737">
        <f t="shared" si="3"/>
        <v>2202.9549999999999</v>
      </c>
      <c r="D114" s="737">
        <f t="shared" si="3"/>
        <v>2140.61</v>
      </c>
    </row>
    <row r="115" spans="1:4">
      <c r="A115" t="str">
        <f>A64</f>
        <v>untied grants</v>
      </c>
      <c r="B115" s="737">
        <f t="shared" si="3"/>
        <v>144</v>
      </c>
      <c r="C115" s="737">
        <f t="shared" si="3"/>
        <v>144</v>
      </c>
      <c r="D115" s="737">
        <f t="shared" si="3"/>
        <v>42</v>
      </c>
    </row>
  </sheetData>
  <phoneticPr fontId="44" type="noConversion"/>
  <pageMargins left="0.75" right="0.75" top="1" bottom="1" header="0.5" footer="0.5"/>
  <pageSetup paperSize="9" orientation="portrait" r:id="rId1"/>
  <headerFooter alignWithMargins="0"/>
  <legacyDrawing r:id="rId2"/>
</worksheet>
</file>

<file path=xl/worksheets/sheet50.xml><?xml version="1.0" encoding="utf-8"?>
<worksheet xmlns="http://schemas.openxmlformats.org/spreadsheetml/2006/main" xmlns:r="http://schemas.openxmlformats.org/officeDocument/2006/relationships">
  <dimension ref="A1:EW131"/>
  <sheetViews>
    <sheetView zoomScale="70" zoomScaleNormal="70" zoomScaleSheetLayoutView="70" workbookViewId="0">
      <pane xSplit="2" ySplit="5" topLeftCell="BL24" activePane="bottomRight" state="frozen"/>
      <selection activeCell="L12" sqref="L12"/>
      <selection pane="topRight" activeCell="L12" sqref="L12"/>
      <selection pane="bottomLeft" activeCell="L12" sqref="L12"/>
      <selection pane="bottomRight" activeCell="BS5" sqref="BS5"/>
    </sheetView>
  </sheetViews>
  <sheetFormatPr defaultColWidth="12.5703125" defaultRowHeight="18"/>
  <cols>
    <col min="1" max="1" width="12.5703125" style="3346"/>
    <col min="2" max="2" width="79" style="3346" customWidth="1"/>
    <col min="3" max="3" width="12.140625" style="3346" customWidth="1"/>
    <col min="4" max="8" width="11.140625" style="3346" hidden="1" customWidth="1"/>
    <col min="9" max="9" width="9.7109375" style="3346" hidden="1" customWidth="1"/>
    <col min="10" max="12" width="11.140625" style="3346" hidden="1" customWidth="1"/>
    <col min="13" max="13" width="11.7109375" style="3346" hidden="1" customWidth="1"/>
    <col min="14" max="14" width="9.85546875" style="3346" hidden="1" customWidth="1"/>
    <col min="15" max="15" width="12.7109375" style="3346" customWidth="1"/>
    <col min="16" max="24" width="11.140625" style="3346" hidden="1" customWidth="1"/>
    <col min="25" max="25" width="10.140625" style="3346" hidden="1" customWidth="1"/>
    <col min="26" max="26" width="11.140625" style="3346" hidden="1" customWidth="1"/>
    <col min="27" max="27" width="13.5703125" style="3346" customWidth="1"/>
    <col min="28" max="28" width="12" style="3346" hidden="1" customWidth="1"/>
    <col min="29" max="29" width="11.85546875" style="3346" hidden="1" customWidth="1"/>
    <col min="30" max="37" width="12.28515625" style="3346" hidden="1" customWidth="1"/>
    <col min="38" max="38" width="9.42578125" style="3346" hidden="1" customWidth="1"/>
    <col min="39" max="39" width="14.42578125" style="3346" customWidth="1"/>
    <col min="40" max="45" width="11.7109375" style="3346" hidden="1" customWidth="1"/>
    <col min="46" max="46" width="11.5703125" style="3346" hidden="1" customWidth="1"/>
    <col min="47" max="47" width="12.7109375" style="3346" hidden="1" customWidth="1"/>
    <col min="48" max="48" width="12.5703125" style="3346" hidden="1" customWidth="1"/>
    <col min="49" max="49" width="11.5703125" style="3346" hidden="1" customWidth="1"/>
    <col min="50" max="50" width="14.28515625" style="3346" hidden="1" customWidth="1"/>
    <col min="51" max="51" width="14.7109375" style="3346" customWidth="1"/>
    <col min="52" max="53" width="12.85546875" style="3346" hidden="1" customWidth="1"/>
    <col min="54" max="57" width="13.5703125" style="3346" hidden="1" customWidth="1"/>
    <col min="58" max="62" width="13.140625" style="3346" hidden="1" customWidth="1"/>
    <col min="63" max="63" width="14.140625" style="3346" customWidth="1"/>
    <col min="64" max="64" width="13.28515625" style="3346" customWidth="1"/>
    <col min="65" max="67" width="13.140625" style="3346" customWidth="1"/>
    <col min="68" max="68" width="12" style="3346" customWidth="1"/>
    <col min="69" max="16384" width="12.5703125" style="3346"/>
  </cols>
  <sheetData>
    <row r="1" spans="1:71">
      <c r="A1" s="3345"/>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c r="AN1" s="3345"/>
      <c r="AO1" s="3345"/>
      <c r="AP1" s="3345"/>
      <c r="AQ1" s="3345"/>
      <c r="AR1" s="3345"/>
      <c r="AS1" s="3345"/>
      <c r="AT1" s="3345"/>
      <c r="AU1" s="3345"/>
      <c r="AV1" s="3345"/>
      <c r="AW1" s="3345"/>
      <c r="AX1" s="3345"/>
      <c r="AY1" s="3345"/>
      <c r="AZ1" s="3345"/>
      <c r="BA1" s="3345"/>
      <c r="BB1" s="3345"/>
      <c r="BC1" s="3345"/>
      <c r="BD1" s="3345"/>
      <c r="BE1" s="3345"/>
      <c r="BF1" s="3345"/>
      <c r="BG1" s="3345"/>
      <c r="BH1" s="3345"/>
      <c r="BI1" s="3345"/>
      <c r="BJ1" s="3345"/>
      <c r="BK1" s="3345"/>
      <c r="BL1" s="3345"/>
      <c r="BM1" s="3345"/>
      <c r="BN1" s="3345"/>
      <c r="BO1" s="3345"/>
      <c r="BP1" s="3345"/>
      <c r="BQ1" s="3345"/>
    </row>
    <row r="2" spans="1:71" ht="16.5" customHeight="1">
      <c r="A2" s="3345"/>
      <c r="B2" s="3881" t="s">
        <v>2030</v>
      </c>
      <c r="C2" s="3562"/>
      <c r="D2" s="3562"/>
      <c r="E2" s="3562"/>
      <c r="F2" s="3562"/>
      <c r="G2" s="3562"/>
      <c r="H2" s="3562"/>
      <c r="I2" s="3562"/>
      <c r="J2" s="3562"/>
      <c r="K2" s="3562"/>
      <c r="L2" s="3562"/>
      <c r="M2" s="3562"/>
      <c r="N2" s="3562"/>
      <c r="O2" s="3562"/>
      <c r="P2" s="3562"/>
      <c r="Q2" s="3562"/>
      <c r="R2" s="3562"/>
      <c r="S2" s="3562"/>
      <c r="T2" s="3562"/>
      <c r="U2" s="3562"/>
      <c r="V2" s="3562"/>
      <c r="W2" s="3562"/>
      <c r="X2" s="3562"/>
      <c r="Y2" s="3562"/>
      <c r="Z2" s="3562"/>
      <c r="AA2" s="3562"/>
      <c r="AB2" s="3562"/>
      <c r="AC2" s="3562"/>
      <c r="AD2" s="3562"/>
      <c r="AE2" s="3562"/>
      <c r="AF2" s="3562"/>
      <c r="AG2" s="3562"/>
      <c r="AH2" s="3562"/>
      <c r="AI2" s="3562"/>
      <c r="AJ2" s="3562"/>
      <c r="AK2" s="3562"/>
      <c r="AL2" s="3562"/>
      <c r="AM2" s="3562"/>
      <c r="AN2" s="3562"/>
      <c r="AO2" s="3562"/>
      <c r="AP2" s="3562"/>
      <c r="AQ2" s="3562"/>
      <c r="AR2" s="3562"/>
      <c r="AS2" s="3562"/>
      <c r="AT2" s="3562"/>
      <c r="AU2" s="3562"/>
      <c r="AV2" s="3562"/>
      <c r="AW2" s="3562"/>
      <c r="AX2" s="3562"/>
      <c r="AY2" s="3562"/>
      <c r="AZ2" s="3345"/>
      <c r="BA2" s="3345"/>
      <c r="BB2" s="3345"/>
      <c r="BC2" s="3345"/>
      <c r="BD2" s="3345"/>
      <c r="BE2" s="3345"/>
      <c r="BF2" s="3345"/>
      <c r="BG2" s="3345"/>
      <c r="BH2" s="3345"/>
      <c r="BI2" s="3345"/>
      <c r="BJ2" s="3345"/>
      <c r="BK2" s="3345"/>
      <c r="BL2" s="3345"/>
      <c r="BM2" s="3345"/>
      <c r="BN2" s="3345"/>
      <c r="BO2" s="3345"/>
      <c r="BP2" s="3345"/>
      <c r="BQ2" s="3345"/>
    </row>
    <row r="3" spans="1:71" s="3348" customFormat="1" ht="18.75">
      <c r="A3" s="3347"/>
      <c r="B3" s="3349"/>
      <c r="C3" s="3884" t="s">
        <v>1390</v>
      </c>
      <c r="D3" s="3350"/>
      <c r="E3" s="3350"/>
      <c r="F3" s="3350"/>
      <c r="G3" s="3350"/>
      <c r="H3" s="3350"/>
      <c r="I3" s="3350"/>
      <c r="J3" s="3350"/>
      <c r="K3" s="3350"/>
      <c r="L3" s="3350"/>
      <c r="M3" s="3350"/>
      <c r="N3" s="3350"/>
      <c r="O3" s="3884" t="s">
        <v>1889</v>
      </c>
      <c r="P3" s="3350"/>
      <c r="Q3" s="3350"/>
      <c r="R3" s="3350"/>
      <c r="S3" s="3350"/>
      <c r="T3" s="3350"/>
      <c r="U3" s="3350"/>
      <c r="V3" s="3350"/>
      <c r="W3" s="3350"/>
      <c r="X3" s="3350"/>
      <c r="Y3" s="3350"/>
      <c r="Z3" s="3350"/>
      <c r="AA3" s="3884" t="s">
        <v>1890</v>
      </c>
      <c r="AB3" s="3350"/>
      <c r="AC3" s="3350"/>
      <c r="AD3" s="3350"/>
      <c r="AE3" s="3350"/>
      <c r="AF3" s="3350"/>
      <c r="AG3" s="3350"/>
      <c r="AH3" s="3347"/>
      <c r="AI3" s="3347"/>
      <c r="AJ3" s="3347"/>
      <c r="AK3" s="3347"/>
      <c r="AL3" s="3347"/>
      <c r="AM3" s="3477" t="s">
        <v>1891</v>
      </c>
      <c r="AN3" s="3347"/>
      <c r="AO3" s="3347"/>
      <c r="AP3" s="3347"/>
      <c r="AQ3" s="3347"/>
      <c r="AR3" s="3347"/>
      <c r="AS3" s="3347"/>
      <c r="AT3" s="3347"/>
      <c r="AU3" s="3347"/>
      <c r="AV3" s="3347"/>
      <c r="AW3" s="3347"/>
      <c r="AX3" s="3347"/>
      <c r="AY3" s="3477" t="s">
        <v>1892</v>
      </c>
      <c r="AZ3" s="3347"/>
      <c r="BA3" s="3347"/>
      <c r="BB3" s="3347"/>
      <c r="BC3" s="3347"/>
      <c r="BD3" s="3347"/>
      <c r="BE3" s="3347"/>
      <c r="BF3" s="3347"/>
      <c r="BG3" s="3347"/>
      <c r="BH3" s="3347"/>
      <c r="BI3" s="3347"/>
      <c r="BJ3" s="3347"/>
      <c r="BK3" s="3477" t="s">
        <v>1802</v>
      </c>
      <c r="BL3" s="3347"/>
      <c r="BM3" s="3347"/>
      <c r="BN3" s="3347"/>
      <c r="BO3" s="3347"/>
      <c r="BP3" s="3347"/>
      <c r="BQ3" s="3347"/>
    </row>
    <row r="4" spans="1:71" s="3352" customFormat="1" ht="19.5" customHeight="1">
      <c r="A4" s="3351"/>
      <c r="B4" s="4743" t="s">
        <v>146</v>
      </c>
      <c r="C4" s="4737">
        <v>2010</v>
      </c>
      <c r="D4" s="4737"/>
      <c r="E4" s="4737"/>
      <c r="F4" s="4737"/>
      <c r="G4" s="4737"/>
      <c r="H4" s="4737"/>
      <c r="I4" s="4737"/>
      <c r="J4" s="4737">
        <v>2011</v>
      </c>
      <c r="K4" s="4737"/>
      <c r="L4" s="4737"/>
      <c r="M4" s="4737"/>
      <c r="N4" s="4737"/>
      <c r="O4" s="4737"/>
      <c r="P4" s="4737"/>
      <c r="Q4" s="4737"/>
      <c r="R4" s="4737"/>
      <c r="S4" s="4737"/>
      <c r="T4" s="4737"/>
      <c r="U4" s="4737"/>
      <c r="V4" s="4738">
        <v>2012</v>
      </c>
      <c r="W4" s="4739"/>
      <c r="X4" s="4739"/>
      <c r="Y4" s="4739"/>
      <c r="Z4" s="4739"/>
      <c r="AA4" s="4739"/>
      <c r="AB4" s="4739"/>
      <c r="AC4" s="4739"/>
      <c r="AD4" s="4739"/>
      <c r="AE4" s="4739"/>
      <c r="AF4" s="4739"/>
      <c r="AG4" s="4740"/>
      <c r="AH4" s="4736">
        <v>2013</v>
      </c>
      <c r="AI4" s="4745"/>
      <c r="AJ4" s="4745"/>
      <c r="AK4" s="4745"/>
      <c r="AL4" s="4745"/>
      <c r="AM4" s="4745"/>
      <c r="AN4" s="4745"/>
      <c r="AO4" s="4745"/>
      <c r="AP4" s="4745"/>
      <c r="AQ4" s="4745"/>
      <c r="AR4" s="4745"/>
      <c r="AS4" s="4746"/>
      <c r="AT4" s="4735">
        <v>2014</v>
      </c>
      <c r="AU4" s="4735"/>
      <c r="AV4" s="4735"/>
      <c r="AW4" s="4735"/>
      <c r="AX4" s="4735"/>
      <c r="AY4" s="4735"/>
      <c r="AZ4" s="4735"/>
      <c r="BA4" s="4735"/>
      <c r="BB4" s="4735"/>
      <c r="BC4" s="4735"/>
      <c r="BD4" s="4735"/>
      <c r="BE4" s="4735"/>
      <c r="BF4" s="4735">
        <v>2015</v>
      </c>
      <c r="BG4" s="4735"/>
      <c r="BH4" s="4735"/>
      <c r="BI4" s="4735"/>
      <c r="BJ4" s="4735"/>
      <c r="BK4" s="4735"/>
      <c r="BL4" s="4735"/>
      <c r="BM4" s="4735"/>
      <c r="BN4" s="4735"/>
      <c r="BO4" s="4735"/>
      <c r="BP4" s="4736"/>
      <c r="BQ4" s="4242"/>
      <c r="BR4" s="4733">
        <v>2016</v>
      </c>
      <c r="BS4" s="4734"/>
    </row>
    <row r="5" spans="1:71" s="3353" customFormat="1" ht="18.75" customHeight="1">
      <c r="A5" s="3477"/>
      <c r="B5" s="4744"/>
      <c r="C5" s="3612" t="s">
        <v>166</v>
      </c>
      <c r="D5" s="3577" t="s">
        <v>167</v>
      </c>
      <c r="E5" s="3577" t="s">
        <v>168</v>
      </c>
      <c r="F5" s="3577" t="s">
        <v>169</v>
      </c>
      <c r="G5" s="3577" t="s">
        <v>170</v>
      </c>
      <c r="H5" s="3577" t="s">
        <v>171</v>
      </c>
      <c r="I5" s="3577" t="s">
        <v>148</v>
      </c>
      <c r="J5" s="3578" t="s">
        <v>161</v>
      </c>
      <c r="K5" s="3577" t="s">
        <v>162</v>
      </c>
      <c r="L5" s="3577" t="s">
        <v>163</v>
      </c>
      <c r="M5" s="3577" t="s">
        <v>164</v>
      </c>
      <c r="N5" s="3577" t="s">
        <v>165</v>
      </c>
      <c r="O5" s="3608" t="s">
        <v>166</v>
      </c>
      <c r="P5" s="3577" t="s">
        <v>167</v>
      </c>
      <c r="Q5" s="3577" t="s">
        <v>168</v>
      </c>
      <c r="R5" s="3577" t="s">
        <v>183</v>
      </c>
      <c r="S5" s="3577" t="s">
        <v>170</v>
      </c>
      <c r="T5" s="3577" t="s">
        <v>171</v>
      </c>
      <c r="U5" s="3579" t="s">
        <v>148</v>
      </c>
      <c r="V5" s="3590" t="s">
        <v>161</v>
      </c>
      <c r="W5" s="3576" t="s">
        <v>162</v>
      </c>
      <c r="X5" s="3576" t="s">
        <v>163</v>
      </c>
      <c r="Y5" s="3576" t="s">
        <v>164</v>
      </c>
      <c r="Z5" s="3576" t="s">
        <v>165</v>
      </c>
      <c r="AA5" s="3611" t="s">
        <v>166</v>
      </c>
      <c r="AB5" s="3576" t="s">
        <v>167</v>
      </c>
      <c r="AC5" s="3576" t="s">
        <v>168</v>
      </c>
      <c r="AD5" s="3576" t="s">
        <v>169</v>
      </c>
      <c r="AE5" s="3576" t="s">
        <v>170</v>
      </c>
      <c r="AF5" s="3576" t="s">
        <v>171</v>
      </c>
      <c r="AG5" s="3576" t="s">
        <v>148</v>
      </c>
      <c r="AH5" s="3590" t="s">
        <v>161</v>
      </c>
      <c r="AI5" s="3577" t="s">
        <v>162</v>
      </c>
      <c r="AJ5" s="3579" t="s">
        <v>163</v>
      </c>
      <c r="AK5" s="3577" t="s">
        <v>164</v>
      </c>
      <c r="AL5" s="3577" t="s">
        <v>165</v>
      </c>
      <c r="AM5" s="3608" t="s">
        <v>166</v>
      </c>
      <c r="AN5" s="3608" t="s">
        <v>167</v>
      </c>
      <c r="AO5" s="3608" t="s">
        <v>168</v>
      </c>
      <c r="AP5" s="3608" t="s">
        <v>183</v>
      </c>
      <c r="AQ5" s="3608" t="s">
        <v>170</v>
      </c>
      <c r="AR5" s="3608" t="s">
        <v>171</v>
      </c>
      <c r="AS5" s="3608" t="s">
        <v>148</v>
      </c>
      <c r="AT5" s="3609" t="s">
        <v>161</v>
      </c>
      <c r="AU5" s="3608" t="s">
        <v>162</v>
      </c>
      <c r="AV5" s="3608" t="s">
        <v>163</v>
      </c>
      <c r="AW5" s="3608" t="s">
        <v>164</v>
      </c>
      <c r="AX5" s="3608" t="s">
        <v>165</v>
      </c>
      <c r="AY5" s="3608" t="s">
        <v>166</v>
      </c>
      <c r="AZ5" s="3579" t="s">
        <v>167</v>
      </c>
      <c r="BA5" s="3579" t="s">
        <v>168</v>
      </c>
      <c r="BB5" s="3579" t="s">
        <v>169</v>
      </c>
      <c r="BC5" s="3579" t="s">
        <v>170</v>
      </c>
      <c r="BD5" s="3579" t="s">
        <v>171</v>
      </c>
      <c r="BE5" s="3579" t="s">
        <v>148</v>
      </c>
      <c r="BF5" s="3610" t="s">
        <v>161</v>
      </c>
      <c r="BG5" s="3579" t="s">
        <v>162</v>
      </c>
      <c r="BH5" s="3579" t="s">
        <v>163</v>
      </c>
      <c r="BI5" s="3579" t="s">
        <v>164</v>
      </c>
      <c r="BJ5" s="3579" t="s">
        <v>165</v>
      </c>
      <c r="BK5" s="3577" t="s">
        <v>166</v>
      </c>
      <c r="BL5" s="3579" t="s">
        <v>167</v>
      </c>
      <c r="BM5" s="3579" t="s">
        <v>168</v>
      </c>
      <c r="BN5" s="3586" t="s">
        <v>169</v>
      </c>
      <c r="BO5" s="3586" t="s">
        <v>170</v>
      </c>
      <c r="BP5" s="4233" t="s">
        <v>171</v>
      </c>
      <c r="BQ5" s="4247" t="s">
        <v>2096</v>
      </c>
      <c r="BR5" s="3590" t="s">
        <v>161</v>
      </c>
      <c r="BS5" s="4382" t="s">
        <v>162</v>
      </c>
    </row>
    <row r="6" spans="1:71" s="3363" customFormat="1" ht="23.25" customHeight="1">
      <c r="A6" s="3354"/>
      <c r="B6" s="3355" t="s">
        <v>1855</v>
      </c>
      <c r="C6" s="3358">
        <v>1378.55935965</v>
      </c>
      <c r="D6" s="3358">
        <v>1620.7033266400001</v>
      </c>
      <c r="E6" s="3358">
        <v>6723.3296231000004</v>
      </c>
      <c r="F6" s="3358">
        <v>5453.1756056699996</v>
      </c>
      <c r="G6" s="3358">
        <v>4021.9580445399997</v>
      </c>
      <c r="H6" s="3358">
        <v>5735.9914301600002</v>
      </c>
      <c r="I6" s="3358">
        <v>6035.1563509399994</v>
      </c>
      <c r="J6" s="3565">
        <v>1283.8390489400001</v>
      </c>
      <c r="K6" s="3358">
        <v>2016.18413478</v>
      </c>
      <c r="L6" s="3358">
        <v>1135.07709718</v>
      </c>
      <c r="M6" s="3358">
        <v>5098.0722280400005</v>
      </c>
      <c r="N6" s="3358">
        <v>5160.6427976099994</v>
      </c>
      <c r="O6" s="3358">
        <v>774.57534202000011</v>
      </c>
      <c r="P6" s="3358">
        <v>539.70370983999999</v>
      </c>
      <c r="Q6" s="3358">
        <v>1051.5344136799999</v>
      </c>
      <c r="R6" s="3358">
        <v>272.33702831999994</v>
      </c>
      <c r="S6" s="3358">
        <v>1126.5150565999998</v>
      </c>
      <c r="T6" s="3358">
        <v>1783.73756903</v>
      </c>
      <c r="U6" s="3358">
        <v>1064.8094936999998</v>
      </c>
      <c r="V6" s="3565">
        <v>964.26433315999998</v>
      </c>
      <c r="W6" s="3358">
        <v>482.80068061000003</v>
      </c>
      <c r="X6" s="3358">
        <v>1082.5803389399998</v>
      </c>
      <c r="Y6" s="3358">
        <v>1008.7230098799999</v>
      </c>
      <c r="Z6" s="3358">
        <v>1302.6097534</v>
      </c>
      <c r="AA6" s="3359">
        <v>1516.26950203</v>
      </c>
      <c r="AB6" s="3360">
        <v>2269.0867408700005</v>
      </c>
      <c r="AC6" s="3360">
        <v>1051.6078147200001</v>
      </c>
      <c r="AD6" s="3360">
        <v>2372.8919892700001</v>
      </c>
      <c r="AE6" s="3360">
        <v>1413.3396072699998</v>
      </c>
      <c r="AF6" s="3360">
        <v>873.8349942100001</v>
      </c>
      <c r="AG6" s="3360">
        <v>1366.0830823545598</v>
      </c>
      <c r="AH6" s="3595">
        <v>1442.3250934100001</v>
      </c>
      <c r="AI6" s="3360">
        <v>969.69871689000013</v>
      </c>
      <c r="AJ6" s="3360">
        <v>2233.4307295499998</v>
      </c>
      <c r="AK6" s="3360">
        <v>752.6467614899999</v>
      </c>
      <c r="AL6" s="3360">
        <v>825.19430690000002</v>
      </c>
      <c r="AM6" s="3359">
        <v>11352.235015309998</v>
      </c>
      <c r="AN6" s="3360">
        <v>7394.7863508100008</v>
      </c>
      <c r="AO6" s="3360">
        <v>5699.2420335500001</v>
      </c>
      <c r="AP6" s="3360">
        <v>4300.4424082400001</v>
      </c>
      <c r="AQ6" s="3360">
        <v>5948.7794276299992</v>
      </c>
      <c r="AR6" s="3360">
        <v>6323.7188114700002</v>
      </c>
      <c r="AS6" s="3360">
        <v>6160.1966993899996</v>
      </c>
      <c r="AT6" s="3595">
        <v>5763.36440227</v>
      </c>
      <c r="AU6" s="3360">
        <v>5881.8884749200006</v>
      </c>
      <c r="AV6" s="3360">
        <v>5532.2177679799988</v>
      </c>
      <c r="AW6" s="3360">
        <v>4877.7779240700011</v>
      </c>
      <c r="AX6" s="3360">
        <v>14389.50257726</v>
      </c>
      <c r="AY6" s="3360">
        <v>10133.27073629</v>
      </c>
      <c r="AZ6" s="3360">
        <v>7406.5776615500008</v>
      </c>
      <c r="BA6" s="3360">
        <v>7838.0134477199999</v>
      </c>
      <c r="BB6" s="3360">
        <v>13844.867459680001</v>
      </c>
      <c r="BC6" s="3360">
        <v>15774.10158156</v>
      </c>
      <c r="BD6" s="3361">
        <v>20277.27643296</v>
      </c>
      <c r="BE6" s="3360">
        <v>20891.564786629999</v>
      </c>
      <c r="BF6" s="3362">
        <v>21148.984201269999</v>
      </c>
      <c r="BG6" s="3361">
        <v>16828.324785299999</v>
      </c>
      <c r="BH6" s="3361">
        <v>10981.025024840003</v>
      </c>
      <c r="BI6" s="3361">
        <v>10156.229691920002</v>
      </c>
      <c r="BJ6" s="3361">
        <v>9870.6609075799988</v>
      </c>
      <c r="BK6" s="3605">
        <v>10865.881086239999</v>
      </c>
      <c r="BL6" s="3361">
        <v>9751.3072973299986</v>
      </c>
      <c r="BM6" s="3360">
        <v>14934.609494629998</v>
      </c>
      <c r="BN6" s="3605">
        <v>20396.385747100001</v>
      </c>
      <c r="BO6" s="3605">
        <v>18883.668980729999</v>
      </c>
      <c r="BP6" s="4234">
        <v>16290.060734299999</v>
      </c>
      <c r="BQ6" s="4238">
        <v>14191.603560200001</v>
      </c>
      <c r="BR6" s="3354">
        <v>14565.856917660001</v>
      </c>
      <c r="BS6" s="4238">
        <v>16290.50313899</v>
      </c>
    </row>
    <row r="7" spans="1:71" ht="15" customHeight="1">
      <c r="A7" s="3345"/>
      <c r="B7" s="3364" t="s">
        <v>142</v>
      </c>
      <c r="C7" s="3365"/>
      <c r="D7" s="3365"/>
      <c r="E7" s="3365"/>
      <c r="F7" s="3365"/>
      <c r="G7" s="3365"/>
      <c r="H7" s="3365"/>
      <c r="I7" s="3365"/>
      <c r="J7" s="3566"/>
      <c r="K7" s="3365"/>
      <c r="L7" s="3365"/>
      <c r="M7" s="3365"/>
      <c r="N7" s="3365"/>
      <c r="O7" s="3365"/>
      <c r="P7" s="3365"/>
      <c r="Q7" s="3365"/>
      <c r="R7" s="3365"/>
      <c r="S7" s="3365"/>
      <c r="T7" s="3365"/>
      <c r="U7" s="3365"/>
      <c r="V7" s="3566"/>
      <c r="W7" s="3365"/>
      <c r="X7" s="3365"/>
      <c r="Y7" s="3365"/>
      <c r="Z7" s="3365"/>
      <c r="AA7" s="3366"/>
      <c r="AB7" s="3367"/>
      <c r="AC7" s="3368"/>
      <c r="AD7" s="3368"/>
      <c r="AE7" s="3368"/>
      <c r="AF7" s="3368"/>
      <c r="AG7" s="3368"/>
      <c r="AH7" s="3596"/>
      <c r="AI7" s="3368"/>
      <c r="AJ7" s="3368"/>
      <c r="AK7" s="3368"/>
      <c r="AL7" s="3368"/>
      <c r="AM7" s="3368"/>
      <c r="AN7" s="3368"/>
      <c r="AO7" s="3368"/>
      <c r="AP7" s="3368"/>
      <c r="AQ7" s="3368"/>
      <c r="AR7" s="3368"/>
      <c r="AS7" s="3368"/>
      <c r="AT7" s="3596"/>
      <c r="AU7" s="3368"/>
      <c r="AV7" s="3368"/>
      <c r="AW7" s="3368"/>
      <c r="AX7" s="3368"/>
      <c r="AY7" s="3368"/>
      <c r="AZ7" s="3368"/>
      <c r="BA7" s="3368"/>
      <c r="BB7" s="3368"/>
      <c r="BC7" s="3368"/>
      <c r="BD7" s="3368"/>
      <c r="BE7" s="3368"/>
      <c r="BF7" s="3369"/>
      <c r="BG7" s="3368"/>
      <c r="BH7" s="3368"/>
      <c r="BI7" s="3368"/>
      <c r="BJ7" s="3368"/>
      <c r="BK7" s="3368"/>
      <c r="BL7" s="3368"/>
      <c r="BM7" s="3368"/>
      <c r="BN7" s="3368"/>
      <c r="BO7" s="3368"/>
      <c r="BP7" s="3345"/>
      <c r="BQ7" s="4239"/>
      <c r="BR7" s="3370"/>
      <c r="BS7" s="4240"/>
    </row>
    <row r="8" spans="1:71" s="3373" customFormat="1" ht="15.75" customHeight="1">
      <c r="A8" s="3370"/>
      <c r="B8" s="3371" t="s">
        <v>1438</v>
      </c>
      <c r="C8" s="3365">
        <v>137.25040540999998</v>
      </c>
      <c r="D8" s="3365">
        <v>138.84720540999999</v>
      </c>
      <c r="E8" s="3365">
        <v>145.16970541000001</v>
      </c>
      <c r="F8" s="3365">
        <v>4483.9360864999999</v>
      </c>
      <c r="G8" s="3365">
        <v>3126.9205264099996</v>
      </c>
      <c r="H8" s="3365">
        <v>4388.3884664099996</v>
      </c>
      <c r="I8" s="3365">
        <v>4919.3477864099996</v>
      </c>
      <c r="J8" s="3566">
        <v>371.53856540999999</v>
      </c>
      <c r="K8" s="3365">
        <v>1378.36525641</v>
      </c>
      <c r="L8" s="3365">
        <v>172.56190641000001</v>
      </c>
      <c r="M8" s="3365">
        <v>4048.7127955300002</v>
      </c>
      <c r="N8" s="3365">
        <v>4544.8287868200005</v>
      </c>
      <c r="O8" s="3365">
        <v>91.16480541</v>
      </c>
      <c r="P8" s="3365">
        <v>174.66210000000001</v>
      </c>
      <c r="Q8" s="3365">
        <v>185.52230541</v>
      </c>
      <c r="R8" s="3365">
        <v>149.33020540999999</v>
      </c>
      <c r="S8" s="3365">
        <v>198.72930540999999</v>
      </c>
      <c r="T8" s="3365">
        <v>193.58920541000001</v>
      </c>
      <c r="U8" s="3365">
        <v>273.76218838</v>
      </c>
      <c r="V8" s="3566">
        <v>154.04090540999999</v>
      </c>
      <c r="W8" s="3365">
        <v>122.64940541</v>
      </c>
      <c r="X8" s="3365">
        <v>253.84975040999998</v>
      </c>
      <c r="Y8" s="3365">
        <v>264.41610541</v>
      </c>
      <c r="Z8" s="3365">
        <v>347.24740000000003</v>
      </c>
      <c r="AA8" s="3366">
        <v>229.88390000000001</v>
      </c>
      <c r="AB8" s="3367">
        <v>314.54739999999998</v>
      </c>
      <c r="AC8" s="3367">
        <v>188.09889999999999</v>
      </c>
      <c r="AD8" s="3367">
        <v>231.40270000000001</v>
      </c>
      <c r="AE8" s="3367">
        <v>182.3417</v>
      </c>
      <c r="AF8" s="3367">
        <v>165.3194</v>
      </c>
      <c r="AG8" s="3367">
        <v>137.2774</v>
      </c>
      <c r="AH8" s="3597">
        <v>163.30840000000001</v>
      </c>
      <c r="AI8" s="3367">
        <v>149.88120000000001</v>
      </c>
      <c r="AJ8" s="3367">
        <v>174.5376</v>
      </c>
      <c r="AK8" s="3367">
        <v>121.4893</v>
      </c>
      <c r="AL8" s="3367">
        <v>221.9033</v>
      </c>
      <c r="AM8" s="3366">
        <v>10706.431701799998</v>
      </c>
      <c r="AN8" s="3367">
        <v>6688.1898428000004</v>
      </c>
      <c r="AO8" s="3367">
        <v>5249.8293267999998</v>
      </c>
      <c r="AP8" s="3367">
        <v>3605.1634760699999</v>
      </c>
      <c r="AQ8" s="3367">
        <v>5170.3899150699999</v>
      </c>
      <c r="AR8" s="3367">
        <v>5669.1989360699999</v>
      </c>
      <c r="AS8" s="3367">
        <v>5746.5170950599995</v>
      </c>
      <c r="AT8" s="3597">
        <v>4890.5490250599996</v>
      </c>
      <c r="AU8" s="3367">
        <v>5026.8295800599999</v>
      </c>
      <c r="AV8" s="3367">
        <v>5076.8707070399996</v>
      </c>
      <c r="AW8" s="3367">
        <v>4262.5274764899996</v>
      </c>
      <c r="AX8" s="3367">
        <v>13436.862382490001</v>
      </c>
      <c r="AY8" s="3367">
        <v>9493.073401489999</v>
      </c>
      <c r="AZ8" s="3367">
        <v>6646.3214034900002</v>
      </c>
      <c r="BA8" s="3367">
        <v>7051.7279924899995</v>
      </c>
      <c r="BB8" s="3367">
        <v>12839.647976980001</v>
      </c>
      <c r="BC8" s="3367">
        <v>15038.107690980001</v>
      </c>
      <c r="BD8" s="3367">
        <v>19106.139342980001</v>
      </c>
      <c r="BE8" s="3367">
        <v>19731.00684998</v>
      </c>
      <c r="BF8" s="3372">
        <v>20241.608671279999</v>
      </c>
      <c r="BG8" s="3367">
        <v>15948.96099028</v>
      </c>
      <c r="BH8" s="3367">
        <v>9693.0511642800011</v>
      </c>
      <c r="BI8" s="3367">
        <v>9290.1223632800011</v>
      </c>
      <c r="BJ8" s="3367">
        <v>8934.5788662800005</v>
      </c>
      <c r="BK8" s="3367">
        <v>9826.5454037299987</v>
      </c>
      <c r="BL8" s="3367">
        <v>9132.6738427299988</v>
      </c>
      <c r="BM8" s="3367">
        <v>14045.540605729999</v>
      </c>
      <c r="BN8" s="3367">
        <v>18205.644736729999</v>
      </c>
      <c r="BO8" s="3367">
        <v>17568.521337729999</v>
      </c>
      <c r="BP8" s="3370">
        <v>15038.454050729999</v>
      </c>
      <c r="BQ8" s="4240">
        <v>12210.032573690001</v>
      </c>
      <c r="BR8" s="3370">
        <v>12501.126228370002</v>
      </c>
      <c r="BS8" s="4240">
        <v>14798.932825870001</v>
      </c>
    </row>
    <row r="9" spans="1:71" s="3373" customFormat="1" ht="9.9499999999999993" customHeight="1">
      <c r="A9" s="3370"/>
      <c r="B9" s="3371" t="s">
        <v>142</v>
      </c>
      <c r="C9" s="3365"/>
      <c r="D9" s="3365"/>
      <c r="E9" s="3365"/>
      <c r="F9" s="3365"/>
      <c r="G9" s="3365"/>
      <c r="H9" s="3365"/>
      <c r="I9" s="3365"/>
      <c r="J9" s="3566"/>
      <c r="K9" s="3365"/>
      <c r="L9" s="3365"/>
      <c r="M9" s="3365"/>
      <c r="N9" s="3365"/>
      <c r="O9" s="3365"/>
      <c r="P9" s="3365"/>
      <c r="Q9" s="3365"/>
      <c r="R9" s="3365"/>
      <c r="S9" s="3365"/>
      <c r="T9" s="3365"/>
      <c r="U9" s="3365"/>
      <c r="V9" s="3566"/>
      <c r="W9" s="3365"/>
      <c r="X9" s="3365"/>
      <c r="Y9" s="3365"/>
      <c r="Z9" s="3365"/>
      <c r="AA9" s="3366"/>
      <c r="AB9" s="3367"/>
      <c r="AC9" s="3368"/>
      <c r="AD9" s="3368"/>
      <c r="AE9" s="3368"/>
      <c r="AF9" s="3368"/>
      <c r="AG9" s="3367"/>
      <c r="AH9" s="3597"/>
      <c r="AI9" s="3367"/>
      <c r="AJ9" s="3367"/>
      <c r="AK9" s="3368"/>
      <c r="AL9" s="3368"/>
      <c r="AM9" s="3368"/>
      <c r="AN9" s="3368"/>
      <c r="AO9" s="3368"/>
      <c r="AP9" s="3368"/>
      <c r="AQ9" s="3368"/>
      <c r="AR9" s="3368"/>
      <c r="AS9" s="3368"/>
      <c r="AT9" s="3596"/>
      <c r="AU9" s="3368"/>
      <c r="AV9" s="3368"/>
      <c r="AW9" s="3368"/>
      <c r="AX9" s="3368"/>
      <c r="AY9" s="3368"/>
      <c r="AZ9" s="3368"/>
      <c r="BA9" s="3368"/>
      <c r="BB9" s="3368"/>
      <c r="BC9" s="3368"/>
      <c r="BD9" s="3368"/>
      <c r="BE9" s="3368"/>
      <c r="BF9" s="3369"/>
      <c r="BG9" s="3368"/>
      <c r="BH9" s="3368"/>
      <c r="BI9" s="3368"/>
      <c r="BJ9" s="3368"/>
      <c r="BK9" s="3368"/>
      <c r="BL9" s="3368"/>
      <c r="BM9" s="3368"/>
      <c r="BN9" s="3368"/>
      <c r="BO9" s="3368"/>
      <c r="BP9" s="3370"/>
      <c r="BQ9" s="4240"/>
      <c r="BR9" s="3370"/>
      <c r="BS9" s="4240"/>
    </row>
    <row r="10" spans="1:71" s="3373" customFormat="1" ht="15.75" customHeight="1">
      <c r="A10" s="3370"/>
      <c r="B10" s="3371" t="s">
        <v>1437</v>
      </c>
      <c r="C10" s="3365">
        <v>922.97869889000003</v>
      </c>
      <c r="D10" s="3365">
        <v>1290.88848031</v>
      </c>
      <c r="E10" s="3365">
        <v>1909.02975896</v>
      </c>
      <c r="F10" s="3365">
        <v>371.45607261999999</v>
      </c>
      <c r="G10" s="3365">
        <v>391.87706844000002</v>
      </c>
      <c r="H10" s="3365">
        <v>452.04248082999999</v>
      </c>
      <c r="I10" s="3365">
        <v>423.99485613999991</v>
      </c>
      <c r="J10" s="3566">
        <v>388.86821642000001</v>
      </c>
      <c r="K10" s="3365">
        <v>260.79663438</v>
      </c>
      <c r="L10" s="3365">
        <v>541.95105623000006</v>
      </c>
      <c r="M10" s="3365">
        <v>642.37405315000001</v>
      </c>
      <c r="N10" s="3365">
        <v>227.87406141999998</v>
      </c>
      <c r="O10" s="3365">
        <v>329.40445267000001</v>
      </c>
      <c r="P10" s="3365">
        <v>291.24705940999996</v>
      </c>
      <c r="Q10" s="3365">
        <v>375.11761219999994</v>
      </c>
      <c r="R10" s="3365">
        <v>226.25613347999999</v>
      </c>
      <c r="S10" s="3365">
        <v>442.80493592999994</v>
      </c>
      <c r="T10" s="3365">
        <v>1037.24907891</v>
      </c>
      <c r="U10" s="3365">
        <v>559.61926434999987</v>
      </c>
      <c r="V10" s="3566">
        <v>359.74633005999999</v>
      </c>
      <c r="W10" s="3365">
        <v>217.23938017999998</v>
      </c>
      <c r="X10" s="3365">
        <v>558.61609004999991</v>
      </c>
      <c r="Y10" s="3365">
        <v>583.61151026999994</v>
      </c>
      <c r="Z10" s="3365">
        <v>506.23773267000001</v>
      </c>
      <c r="AA10" s="3366">
        <v>857.25221132999991</v>
      </c>
      <c r="AB10" s="3367">
        <v>1662.6284968500001</v>
      </c>
      <c r="AC10" s="3367">
        <v>504.42763638999992</v>
      </c>
      <c r="AD10" s="3367">
        <v>1090.2250871899998</v>
      </c>
      <c r="AE10" s="3367">
        <v>937.32466858999987</v>
      </c>
      <c r="AF10" s="3367">
        <v>500.80200520000005</v>
      </c>
      <c r="AG10" s="3367">
        <v>586.16023544999985</v>
      </c>
      <c r="AH10" s="3597">
        <v>669.07946568000011</v>
      </c>
      <c r="AI10" s="3367">
        <v>653.1188563500001</v>
      </c>
      <c r="AJ10" s="3367">
        <v>1373.0398293899998</v>
      </c>
      <c r="AK10" s="3367">
        <v>370.15455782999999</v>
      </c>
      <c r="AL10" s="3367">
        <v>413.94032076000008</v>
      </c>
      <c r="AM10" s="3366">
        <v>229.82999749000001</v>
      </c>
      <c r="AN10" s="3367">
        <v>336.15830944999999</v>
      </c>
      <c r="AO10" s="3367">
        <v>283.07870281999993</v>
      </c>
      <c r="AP10" s="3367">
        <v>335.13301362999994</v>
      </c>
      <c r="AQ10" s="3367">
        <v>619.79720982000003</v>
      </c>
      <c r="AR10" s="3367">
        <v>465.53176041</v>
      </c>
      <c r="AS10" s="3367">
        <v>288.44857960000002</v>
      </c>
      <c r="AT10" s="3597">
        <v>564.4269468600005</v>
      </c>
      <c r="AU10" s="3367">
        <v>657.71556243000009</v>
      </c>
      <c r="AV10" s="3367">
        <v>361.47318421000006</v>
      </c>
      <c r="AW10" s="3367">
        <v>401.80586223000063</v>
      </c>
      <c r="AX10" s="3367">
        <v>671.54709690999994</v>
      </c>
      <c r="AY10" s="3367">
        <v>447.9077928000001</v>
      </c>
      <c r="AZ10" s="3367">
        <v>401.49096391999996</v>
      </c>
      <c r="BA10" s="3367">
        <v>419.48791566</v>
      </c>
      <c r="BB10" s="3367">
        <v>807.22408808</v>
      </c>
      <c r="BC10" s="3367">
        <v>410.28274141999998</v>
      </c>
      <c r="BD10" s="3367">
        <v>667.75920401999997</v>
      </c>
      <c r="BE10" s="3367">
        <v>477.55598298000001</v>
      </c>
      <c r="BF10" s="3372">
        <v>439.98406376999998</v>
      </c>
      <c r="BG10" s="3367">
        <v>463.88342289000002</v>
      </c>
      <c r="BH10" s="3367">
        <v>501.82548233999995</v>
      </c>
      <c r="BI10" s="3367">
        <v>395.62987571999997</v>
      </c>
      <c r="BJ10" s="3367">
        <v>431.18474932999999</v>
      </c>
      <c r="BK10" s="3367">
        <v>598.03921423999998</v>
      </c>
      <c r="BL10" s="3367">
        <v>304.10610737000002</v>
      </c>
      <c r="BM10" s="3367">
        <v>278.55393621999997</v>
      </c>
      <c r="BN10" s="3367">
        <v>1221.63147656</v>
      </c>
      <c r="BO10" s="3367">
        <v>666.12322932999996</v>
      </c>
      <c r="BP10" s="3370">
        <v>611.61794485999997</v>
      </c>
      <c r="BQ10" s="4240">
        <v>898.29259141</v>
      </c>
      <c r="BR10" s="3370">
        <v>1565.58832082</v>
      </c>
      <c r="BS10" s="4240">
        <v>857.93828307000001</v>
      </c>
    </row>
    <row r="11" spans="1:71" s="3373" customFormat="1" ht="9.9499999999999993" customHeight="1">
      <c r="A11" s="3370"/>
      <c r="B11" s="3371"/>
      <c r="C11" s="3365"/>
      <c r="D11" s="3365"/>
      <c r="E11" s="3365"/>
      <c r="F11" s="3365"/>
      <c r="G11" s="3365"/>
      <c r="H11" s="3365"/>
      <c r="I11" s="3365"/>
      <c r="J11" s="3566"/>
      <c r="K11" s="3365"/>
      <c r="L11" s="3365"/>
      <c r="M11" s="3365"/>
      <c r="N11" s="3365"/>
      <c r="O11" s="3365"/>
      <c r="P11" s="3365"/>
      <c r="Q11" s="3365"/>
      <c r="R11" s="3365"/>
      <c r="S11" s="3365"/>
      <c r="T11" s="3365"/>
      <c r="U11" s="3365"/>
      <c r="V11" s="3566"/>
      <c r="W11" s="3365"/>
      <c r="X11" s="3365"/>
      <c r="Y11" s="3365"/>
      <c r="Z11" s="3365"/>
      <c r="AA11" s="3366"/>
      <c r="AB11" s="3367"/>
      <c r="AC11" s="3368"/>
      <c r="AD11" s="3368"/>
      <c r="AE11" s="3368"/>
      <c r="AF11" s="3368"/>
      <c r="AG11" s="3367"/>
      <c r="AH11" s="3597"/>
      <c r="AI11" s="3367"/>
      <c r="AJ11" s="3367"/>
      <c r="AK11" s="3368"/>
      <c r="AL11" s="3368"/>
      <c r="AM11" s="3368"/>
      <c r="AN11" s="3368"/>
      <c r="AO11" s="3368"/>
      <c r="AP11" s="3368"/>
      <c r="AQ11" s="3368"/>
      <c r="AR11" s="3368"/>
      <c r="AS11" s="3368"/>
      <c r="AT11" s="3596"/>
      <c r="AU11" s="3368"/>
      <c r="AV11" s="3368"/>
      <c r="AW11" s="3368"/>
      <c r="AX11" s="3368"/>
      <c r="AY11" s="3368"/>
      <c r="AZ11" s="3368"/>
      <c r="BA11" s="3368"/>
      <c r="BB11" s="3368"/>
      <c r="BC11" s="3368"/>
      <c r="BD11" s="3368"/>
      <c r="BE11" s="3368"/>
      <c r="BF11" s="3369"/>
      <c r="BG11" s="3368"/>
      <c r="BH11" s="3368"/>
      <c r="BI11" s="3368"/>
      <c r="BJ11" s="3368"/>
      <c r="BK11" s="3368"/>
      <c r="BL11" s="3368"/>
      <c r="BM11" s="3368"/>
      <c r="BN11" s="3368"/>
      <c r="BO11" s="3368"/>
      <c r="BP11" s="3370"/>
      <c r="BQ11" s="4240"/>
      <c r="BR11" s="3370"/>
      <c r="BS11" s="4240"/>
    </row>
    <row r="12" spans="1:71" s="3373" customFormat="1" ht="15.75" customHeight="1">
      <c r="A12" s="3370"/>
      <c r="B12" s="3371" t="s">
        <v>1436</v>
      </c>
      <c r="C12" s="3365">
        <v>196.26197336000001</v>
      </c>
      <c r="D12" s="3365">
        <v>62.754264419999991</v>
      </c>
      <c r="E12" s="3365">
        <v>317.36292141999996</v>
      </c>
      <c r="F12" s="3365">
        <v>278.99842959999995</v>
      </c>
      <c r="G12" s="3365">
        <v>177.94756899000001</v>
      </c>
      <c r="H12" s="3365">
        <v>218.70513853999998</v>
      </c>
      <c r="I12" s="3365">
        <v>172.34087756</v>
      </c>
      <c r="J12" s="3566">
        <v>190.47447550999999</v>
      </c>
      <c r="K12" s="3365">
        <v>120.35242725000001</v>
      </c>
      <c r="L12" s="3365">
        <v>166.28469422000001</v>
      </c>
      <c r="M12" s="3365">
        <v>42.119079440000007</v>
      </c>
      <c r="N12" s="3365">
        <v>112.7285095</v>
      </c>
      <c r="O12" s="3365">
        <v>99.462977199999997</v>
      </c>
      <c r="P12" s="3365">
        <v>21.637495640000012</v>
      </c>
      <c r="Q12" s="3365">
        <v>72.654942840000004</v>
      </c>
      <c r="R12" s="3365">
        <v>-160.22382543000003</v>
      </c>
      <c r="S12" s="3365">
        <v>155.77434921</v>
      </c>
      <c r="T12" s="3365">
        <v>73.941903490000016</v>
      </c>
      <c r="U12" s="3365">
        <v>129.20657556</v>
      </c>
      <c r="V12" s="3566">
        <v>129.25993108999998</v>
      </c>
      <c r="W12" s="3365">
        <v>53.415781950000003</v>
      </c>
      <c r="X12" s="3365">
        <v>125.76735958999998</v>
      </c>
      <c r="Y12" s="3365">
        <v>107.03502487</v>
      </c>
      <c r="Z12" s="3365">
        <v>34.92868553000001</v>
      </c>
      <c r="AA12" s="3366">
        <v>171.79358432000004</v>
      </c>
      <c r="AB12" s="3367">
        <v>112.63177263000003</v>
      </c>
      <c r="AC12" s="3367">
        <v>77.669388280000007</v>
      </c>
      <c r="AD12" s="3367">
        <v>187.72928467000003</v>
      </c>
      <c r="AE12" s="3367">
        <v>56.50564164</v>
      </c>
      <c r="AF12" s="3367">
        <v>92.665159729999999</v>
      </c>
      <c r="AG12" s="3367">
        <v>102.89486625999997</v>
      </c>
      <c r="AH12" s="3597">
        <v>66.76345348000001</v>
      </c>
      <c r="AI12" s="3367">
        <v>27.977413500000004</v>
      </c>
      <c r="AJ12" s="3367">
        <v>47.430799019999995</v>
      </c>
      <c r="AK12" s="3367">
        <v>154.35384420999998</v>
      </c>
      <c r="AL12" s="3367">
        <v>-24.418176320000004</v>
      </c>
      <c r="AM12" s="3366">
        <v>56.463762280000012</v>
      </c>
      <c r="AN12" s="3367">
        <v>91.319718740000013</v>
      </c>
      <c r="AO12" s="3367">
        <v>21.323639969999988</v>
      </c>
      <c r="AP12" s="3367">
        <v>158.03908591000004</v>
      </c>
      <c r="AQ12" s="3367">
        <v>25.108036350000006</v>
      </c>
      <c r="AR12" s="3367">
        <v>71.922881869999998</v>
      </c>
      <c r="AS12" s="3367">
        <v>43.164731950000004</v>
      </c>
      <c r="AT12" s="3597">
        <v>100.99604765999996</v>
      </c>
      <c r="AU12" s="3367">
        <v>42.460326090000009</v>
      </c>
      <c r="AV12" s="3367">
        <v>41.225783360000008</v>
      </c>
      <c r="AW12" s="3367">
        <v>82.833766279999992</v>
      </c>
      <c r="AX12" s="3367">
        <v>50.528999860000013</v>
      </c>
      <c r="AY12" s="3367">
        <v>61.905128969999993</v>
      </c>
      <c r="AZ12" s="3367">
        <v>166.79213217000006</v>
      </c>
      <c r="BA12" s="3367">
        <v>179.29019674</v>
      </c>
      <c r="BB12" s="3367">
        <v>80.224702840000006</v>
      </c>
      <c r="BC12" s="3367">
        <v>56.796544240000003</v>
      </c>
      <c r="BD12" s="3367">
        <v>110.75947270000002</v>
      </c>
      <c r="BE12" s="3367">
        <v>365.00692605</v>
      </c>
      <c r="BF12" s="3372">
        <v>274.60796794999999</v>
      </c>
      <c r="BG12" s="3367">
        <v>185.25701680000003</v>
      </c>
      <c r="BH12" s="3367">
        <v>310.40347921999989</v>
      </c>
      <c r="BI12" s="3367">
        <v>186.20054036000002</v>
      </c>
      <c r="BJ12" s="3367">
        <v>234.62012743999998</v>
      </c>
      <c r="BK12" s="3367">
        <v>193.90713925</v>
      </c>
      <c r="BL12" s="3367">
        <v>29.354652420000022</v>
      </c>
      <c r="BM12" s="3367">
        <v>185.33232040999999</v>
      </c>
      <c r="BN12" s="3367">
        <v>381.50555548999989</v>
      </c>
      <c r="BO12" s="3367">
        <v>228.10948335</v>
      </c>
      <c r="BP12" s="3370">
        <v>263.68403752</v>
      </c>
      <c r="BQ12" s="4240">
        <v>315.82777470999986</v>
      </c>
      <c r="BR12" s="3370">
        <v>262.74598848999995</v>
      </c>
      <c r="BS12" s="4240">
        <v>449.04339261999991</v>
      </c>
    </row>
    <row r="13" spans="1:71" s="3373" customFormat="1" ht="9.9499999999999993" customHeight="1">
      <c r="A13" s="3370"/>
      <c r="B13" s="3374"/>
      <c r="C13" s="3365"/>
      <c r="D13" s="3365"/>
      <c r="E13" s="3365"/>
      <c r="F13" s="3365"/>
      <c r="G13" s="3365"/>
      <c r="H13" s="3365"/>
      <c r="I13" s="3365"/>
      <c r="J13" s="3566"/>
      <c r="K13" s="3365"/>
      <c r="L13" s="3365"/>
      <c r="M13" s="3365"/>
      <c r="N13" s="3365"/>
      <c r="O13" s="3365"/>
      <c r="P13" s="3365"/>
      <c r="Q13" s="3365"/>
      <c r="R13" s="3365"/>
      <c r="S13" s="3365"/>
      <c r="T13" s="3365"/>
      <c r="U13" s="3365"/>
      <c r="V13" s="3566"/>
      <c r="W13" s="3365"/>
      <c r="X13" s="3365"/>
      <c r="Y13" s="3365"/>
      <c r="Z13" s="3365"/>
      <c r="AA13" s="3366"/>
      <c r="AB13" s="3367"/>
      <c r="AC13" s="3368"/>
      <c r="AD13" s="3368"/>
      <c r="AE13" s="3368"/>
      <c r="AF13" s="3368"/>
      <c r="AG13" s="3367"/>
      <c r="AH13" s="3597"/>
      <c r="AI13" s="3367"/>
      <c r="AJ13" s="3367"/>
      <c r="AK13" s="3368"/>
      <c r="AL13" s="3368"/>
      <c r="AM13" s="3366"/>
      <c r="AN13" s="3368"/>
      <c r="AO13" s="3368"/>
      <c r="AP13" s="3368"/>
      <c r="AQ13" s="3368"/>
      <c r="AR13" s="3368"/>
      <c r="AS13" s="3368"/>
      <c r="AT13" s="3596"/>
      <c r="AU13" s="3368"/>
      <c r="AV13" s="3368"/>
      <c r="AW13" s="3368"/>
      <c r="AX13" s="3368"/>
      <c r="AY13" s="3368"/>
      <c r="AZ13" s="3368"/>
      <c r="BA13" s="3368"/>
      <c r="BB13" s="3368"/>
      <c r="BC13" s="3368"/>
      <c r="BD13" s="3368"/>
      <c r="BE13" s="3368"/>
      <c r="BF13" s="3369"/>
      <c r="BG13" s="3368"/>
      <c r="BH13" s="3368"/>
      <c r="BI13" s="3368"/>
      <c r="BJ13" s="3368"/>
      <c r="BK13" s="3368"/>
      <c r="BL13" s="3368"/>
      <c r="BM13" s="3368"/>
      <c r="BN13" s="3368"/>
      <c r="BO13" s="3368"/>
      <c r="BP13" s="3370"/>
      <c r="BQ13" s="4240"/>
      <c r="BR13" s="3370"/>
      <c r="BS13" s="4240"/>
    </row>
    <row r="14" spans="1:71" s="3373" customFormat="1" ht="15.75" customHeight="1">
      <c r="A14" s="3370"/>
      <c r="B14" s="3371" t="s">
        <v>1856</v>
      </c>
      <c r="C14" s="3365">
        <v>50</v>
      </c>
      <c r="D14" s="3365">
        <v>63.965102929999993</v>
      </c>
      <c r="E14" s="3365">
        <v>47.303611409999995</v>
      </c>
      <c r="F14" s="3365">
        <v>63.480410909999996</v>
      </c>
      <c r="G14" s="3365">
        <v>86.756513359999985</v>
      </c>
      <c r="H14" s="3365">
        <v>68.126569920000009</v>
      </c>
      <c r="I14" s="3365">
        <v>89.505824770000004</v>
      </c>
      <c r="J14" s="3566">
        <v>64.571366420000004</v>
      </c>
      <c r="K14" s="3365">
        <v>43.561754890000003</v>
      </c>
      <c r="L14" s="3365">
        <v>46.840173230000005</v>
      </c>
      <c r="M14" s="3365">
        <v>25.117155219999997</v>
      </c>
      <c r="N14" s="3365">
        <v>31.175225370000003</v>
      </c>
      <c r="O14" s="3365">
        <v>39.816364409999998</v>
      </c>
      <c r="P14" s="3365">
        <v>41.429090309999999</v>
      </c>
      <c r="Q14" s="3365">
        <v>23.908417919999998</v>
      </c>
      <c r="R14" s="3365">
        <v>46.964835980000004</v>
      </c>
      <c r="S14" s="3365">
        <v>22.277684140000002</v>
      </c>
      <c r="T14" s="3365">
        <v>16.07447092</v>
      </c>
      <c r="U14" s="3365">
        <v>82.816778360000001</v>
      </c>
      <c r="V14" s="3566">
        <v>39.852301450000006</v>
      </c>
      <c r="W14" s="3365">
        <v>42.793263989999993</v>
      </c>
      <c r="X14" s="3365">
        <v>39.410563199999999</v>
      </c>
      <c r="Y14" s="3365">
        <v>50.911398989999995</v>
      </c>
      <c r="Z14" s="3365">
        <v>101.98632023</v>
      </c>
      <c r="AA14" s="3366">
        <v>53.268431749999998</v>
      </c>
      <c r="AB14" s="3367">
        <v>83.495095259999999</v>
      </c>
      <c r="AC14" s="3367">
        <v>47.786475020000005</v>
      </c>
      <c r="AD14" s="3367">
        <v>77.921014790000001</v>
      </c>
      <c r="AE14" s="3367">
        <v>91.975174639999992</v>
      </c>
      <c r="AF14" s="3367">
        <v>88.037154509999993</v>
      </c>
      <c r="AG14" s="3367">
        <v>63.252057564560005</v>
      </c>
      <c r="AH14" s="3597">
        <v>66.675251169999996</v>
      </c>
      <c r="AI14" s="3367">
        <v>39.783212810000002</v>
      </c>
      <c r="AJ14" s="3367">
        <v>28.322164749999999</v>
      </c>
      <c r="AK14" s="3367">
        <v>63.224345909999997</v>
      </c>
      <c r="AL14" s="3367">
        <v>57.571376890000003</v>
      </c>
      <c r="AM14" s="3366">
        <v>115.71528969999999</v>
      </c>
      <c r="AN14" s="3367">
        <v>136.84004687000001</v>
      </c>
      <c r="AO14" s="3367">
        <v>51.332379000000003</v>
      </c>
      <c r="AP14" s="3367">
        <v>23.967027990000002</v>
      </c>
      <c r="AQ14" s="3367">
        <v>54.685781040000002</v>
      </c>
      <c r="AR14" s="3367">
        <v>38.569385099999991</v>
      </c>
      <c r="AS14" s="3367">
        <v>31.357857859999999</v>
      </c>
      <c r="AT14" s="3597">
        <v>55.834723420000003</v>
      </c>
      <c r="AU14" s="3367">
        <v>80.983259390000001</v>
      </c>
      <c r="AV14" s="3367">
        <v>29.394482870000004</v>
      </c>
      <c r="AW14" s="3367">
        <v>26.604437040000004</v>
      </c>
      <c r="AX14" s="3367">
        <v>62.313476479999999</v>
      </c>
      <c r="AY14" s="3367">
        <v>74.909584819999992</v>
      </c>
      <c r="AZ14" s="3367">
        <v>57.152384820000002</v>
      </c>
      <c r="BA14" s="3367">
        <v>52.136478830000001</v>
      </c>
      <c r="BB14" s="3367">
        <v>34.081274610000001</v>
      </c>
      <c r="BC14" s="3367">
        <v>24.511402739999998</v>
      </c>
      <c r="BD14" s="3367">
        <v>87.507275270000008</v>
      </c>
      <c r="BE14" s="3367">
        <v>42.073725240000002</v>
      </c>
      <c r="BF14" s="3372">
        <v>34.716767189999999</v>
      </c>
      <c r="BG14" s="3367">
        <v>44.767825880000004</v>
      </c>
      <c r="BH14" s="3367">
        <v>74.967852959999988</v>
      </c>
      <c r="BI14" s="3367">
        <v>76.892407810000009</v>
      </c>
      <c r="BJ14" s="3367">
        <v>48.190168469999996</v>
      </c>
      <c r="BK14" s="3367">
        <v>77.254219019999994</v>
      </c>
      <c r="BL14" s="3367">
        <v>68.701979909999991</v>
      </c>
      <c r="BM14" s="3367">
        <v>61.509328759999988</v>
      </c>
      <c r="BN14" s="3367">
        <v>79.721617890000005</v>
      </c>
      <c r="BO14" s="3367">
        <v>93.115428299999991</v>
      </c>
      <c r="BP14" s="3370">
        <v>60.38632879</v>
      </c>
      <c r="BQ14" s="4240">
        <v>50.541721960000004</v>
      </c>
      <c r="BR14" s="3370">
        <v>67.253509219999998</v>
      </c>
      <c r="BS14" s="4240">
        <v>98.390611710000002</v>
      </c>
    </row>
    <row r="15" spans="1:71" s="3373" customFormat="1" ht="9.9499999999999993" customHeight="1">
      <c r="A15" s="3370"/>
      <c r="B15" s="3371"/>
      <c r="C15" s="3365"/>
      <c r="D15" s="3365"/>
      <c r="E15" s="3365"/>
      <c r="F15" s="3365"/>
      <c r="G15" s="3365"/>
      <c r="H15" s="3365"/>
      <c r="I15" s="3365"/>
      <c r="J15" s="3566"/>
      <c r="K15" s="3365"/>
      <c r="L15" s="3365"/>
      <c r="M15" s="3365"/>
      <c r="N15" s="3365"/>
      <c r="O15" s="3365"/>
      <c r="P15" s="3365"/>
      <c r="Q15" s="3365"/>
      <c r="R15" s="3365"/>
      <c r="S15" s="3365"/>
      <c r="T15" s="3365"/>
      <c r="U15" s="3365"/>
      <c r="V15" s="3566"/>
      <c r="W15" s="3365"/>
      <c r="X15" s="3365"/>
      <c r="Y15" s="3365"/>
      <c r="Z15" s="3365"/>
      <c r="AA15" s="3366"/>
      <c r="AB15" s="3367"/>
      <c r="AC15" s="3368"/>
      <c r="AD15" s="3368"/>
      <c r="AE15" s="3368"/>
      <c r="AF15" s="3368"/>
      <c r="AG15" s="3367"/>
      <c r="AH15" s="3597"/>
      <c r="AI15" s="3367"/>
      <c r="AJ15" s="3367"/>
      <c r="AK15" s="3368"/>
      <c r="AL15" s="3368"/>
      <c r="AM15" s="3366"/>
      <c r="AN15" s="3368"/>
      <c r="AO15" s="3368"/>
      <c r="AP15" s="3368"/>
      <c r="AQ15" s="3368"/>
      <c r="AR15" s="3368"/>
      <c r="AS15" s="3368"/>
      <c r="AT15" s="3596"/>
      <c r="AU15" s="3368"/>
      <c r="AV15" s="3368"/>
      <c r="AW15" s="3368"/>
      <c r="AX15" s="3368"/>
      <c r="AY15" s="3368"/>
      <c r="AZ15" s="3368"/>
      <c r="BA15" s="3368"/>
      <c r="BB15" s="3368"/>
      <c r="BC15" s="3368"/>
      <c r="BD15" s="3368"/>
      <c r="BE15" s="3368"/>
      <c r="BF15" s="3369"/>
      <c r="BG15" s="3368"/>
      <c r="BH15" s="3368"/>
      <c r="BI15" s="3368"/>
      <c r="BJ15" s="3368"/>
      <c r="BK15" s="3368"/>
      <c r="BL15" s="3368"/>
      <c r="BM15" s="3368"/>
      <c r="BN15" s="3368"/>
      <c r="BO15" s="3368"/>
      <c r="BP15" s="3370"/>
      <c r="BQ15" s="4240"/>
      <c r="BR15" s="3370"/>
      <c r="BS15" s="4240"/>
    </row>
    <row r="16" spans="1:71" s="3373" customFormat="1" ht="18" customHeight="1">
      <c r="A16" s="3370"/>
      <c r="B16" s="3371" t="s">
        <v>1434</v>
      </c>
      <c r="C16" s="3365">
        <v>72.068281989999988</v>
      </c>
      <c r="D16" s="3365">
        <v>64.248273569999995</v>
      </c>
      <c r="E16" s="3365">
        <v>4304.4636258999999</v>
      </c>
      <c r="F16" s="3365">
        <v>255.30460603999998</v>
      </c>
      <c r="G16" s="3365">
        <v>238.45636734000001</v>
      </c>
      <c r="H16" s="3365">
        <v>608.72877446000007</v>
      </c>
      <c r="I16" s="3365">
        <v>429.96700606000002</v>
      </c>
      <c r="J16" s="3566">
        <v>268.38642518</v>
      </c>
      <c r="K16" s="3365">
        <v>213.10806184999998</v>
      </c>
      <c r="L16" s="3365">
        <v>207.43926709000002</v>
      </c>
      <c r="M16" s="3365">
        <v>339.74914469999999</v>
      </c>
      <c r="N16" s="3365">
        <v>244.03621449999997</v>
      </c>
      <c r="O16" s="3365">
        <v>214.72674233000004</v>
      </c>
      <c r="P16" s="3365">
        <v>10.727964480000001</v>
      </c>
      <c r="Q16" s="3365">
        <v>394.33113530999998</v>
      </c>
      <c r="R16" s="3365">
        <v>10.009678880000001</v>
      </c>
      <c r="S16" s="3365">
        <v>306.92878190999994</v>
      </c>
      <c r="T16" s="3365">
        <v>462.88291029999999</v>
      </c>
      <c r="U16" s="3365">
        <v>19.40468705</v>
      </c>
      <c r="V16" s="3566">
        <v>281.36486514999996</v>
      </c>
      <c r="W16" s="3365">
        <v>46.70284908</v>
      </c>
      <c r="X16" s="3365">
        <v>104.93657569</v>
      </c>
      <c r="Y16" s="3365">
        <v>2.7489703400000001</v>
      </c>
      <c r="Z16" s="3365">
        <v>312.20961496999996</v>
      </c>
      <c r="AA16" s="3366">
        <v>204.07137463000004</v>
      </c>
      <c r="AB16" s="3367">
        <v>95.783976129999999</v>
      </c>
      <c r="AC16" s="3367">
        <v>233.62541503</v>
      </c>
      <c r="AD16" s="3367">
        <v>785.61390261999998</v>
      </c>
      <c r="AE16" s="3367">
        <v>145.1924224</v>
      </c>
      <c r="AF16" s="3367">
        <v>27.011274770000004</v>
      </c>
      <c r="AG16" s="3367">
        <v>476.49852307999998</v>
      </c>
      <c r="AH16" s="3597">
        <v>476.49852307999998</v>
      </c>
      <c r="AI16" s="3367">
        <v>98.938034229999985</v>
      </c>
      <c r="AJ16" s="3367">
        <v>610.10033639000005</v>
      </c>
      <c r="AK16" s="3367">
        <v>43.424713539999999</v>
      </c>
      <c r="AL16" s="3367">
        <v>156.19748557</v>
      </c>
      <c r="AM16" s="3366">
        <v>243.79426404000003</v>
      </c>
      <c r="AN16" s="3367">
        <v>142.27843295</v>
      </c>
      <c r="AO16" s="3367">
        <v>93.677984960000003</v>
      </c>
      <c r="AP16" s="3367">
        <v>178.13980464000002</v>
      </c>
      <c r="AQ16" s="3367">
        <v>78.798485349999993</v>
      </c>
      <c r="AR16" s="3367">
        <v>78.495848019999997</v>
      </c>
      <c r="AS16" s="3367">
        <v>50.708434919999995</v>
      </c>
      <c r="AT16" s="3597">
        <v>151.55765927000002</v>
      </c>
      <c r="AU16" s="3367">
        <v>73.899746950000008</v>
      </c>
      <c r="AV16" s="3367">
        <v>23.253610500000001</v>
      </c>
      <c r="AW16" s="3367">
        <v>104.00638203</v>
      </c>
      <c r="AX16" s="3367">
        <v>168.25062152000001</v>
      </c>
      <c r="AY16" s="3367">
        <v>55.474828210000005</v>
      </c>
      <c r="AZ16" s="3367">
        <v>134.82077715</v>
      </c>
      <c r="BA16" s="3367">
        <v>135.37086400000001</v>
      </c>
      <c r="BB16" s="3367">
        <v>83.689417169999999</v>
      </c>
      <c r="BC16" s="3367">
        <v>244.40320217999999</v>
      </c>
      <c r="BD16" s="3367">
        <v>305.11113799000003</v>
      </c>
      <c r="BE16" s="3367">
        <v>275.92130237999999</v>
      </c>
      <c r="BF16" s="3372">
        <v>158.06673107999998</v>
      </c>
      <c r="BG16" s="3367">
        <v>185.45552945</v>
      </c>
      <c r="BH16" s="3367">
        <v>400.77704604000002</v>
      </c>
      <c r="BI16" s="3367">
        <v>207.38450474999999</v>
      </c>
      <c r="BJ16" s="3367">
        <v>222.08699605999999</v>
      </c>
      <c r="BK16" s="3367">
        <v>170.13511</v>
      </c>
      <c r="BL16" s="3367">
        <v>216.47071489999999</v>
      </c>
      <c r="BM16" s="3367">
        <v>363.67330350999998</v>
      </c>
      <c r="BN16" s="3367">
        <v>507.88236043000001</v>
      </c>
      <c r="BO16" s="3367">
        <v>327.79950201999998</v>
      </c>
      <c r="BP16" s="3370">
        <v>315.91837240000001</v>
      </c>
      <c r="BQ16" s="4240">
        <v>716.90889842999991</v>
      </c>
      <c r="BR16" s="3370">
        <v>169.14287075999999</v>
      </c>
      <c r="BS16" s="4240">
        <v>86.198025720000004</v>
      </c>
    </row>
    <row r="17" spans="1:153" s="3373" customFormat="1" ht="9.75" customHeight="1">
      <c r="A17" s="3370"/>
      <c r="B17" s="3371" t="s">
        <v>142</v>
      </c>
      <c r="C17" s="3365"/>
      <c r="D17" s="3365"/>
      <c r="E17" s="3365"/>
      <c r="F17" s="3365"/>
      <c r="G17" s="3365"/>
      <c r="H17" s="3365"/>
      <c r="I17" s="3365"/>
      <c r="J17" s="3566"/>
      <c r="K17" s="3365"/>
      <c r="L17" s="3365"/>
      <c r="M17" s="3365"/>
      <c r="N17" s="3365"/>
      <c r="O17" s="3365"/>
      <c r="P17" s="3365"/>
      <c r="Q17" s="3365"/>
      <c r="R17" s="3365"/>
      <c r="S17" s="3365"/>
      <c r="T17" s="3365"/>
      <c r="U17" s="3365"/>
      <c r="V17" s="3566"/>
      <c r="W17" s="3365"/>
      <c r="X17" s="3365"/>
      <c r="Y17" s="3365"/>
      <c r="Z17" s="3365"/>
      <c r="AA17" s="3366"/>
      <c r="AB17" s="3367"/>
      <c r="AC17" s="3368"/>
      <c r="AD17" s="3368"/>
      <c r="AE17" s="3368"/>
      <c r="AF17" s="3368"/>
      <c r="AG17" s="3368"/>
      <c r="AH17" s="3596"/>
      <c r="AI17" s="3368"/>
      <c r="AJ17" s="3368"/>
      <c r="AK17" s="3368"/>
      <c r="AL17" s="3368"/>
      <c r="AM17" s="3368"/>
      <c r="AN17" s="3368"/>
      <c r="AO17" s="3368"/>
      <c r="AP17" s="3368"/>
      <c r="AQ17" s="3368"/>
      <c r="AR17" s="3368"/>
      <c r="AS17" s="3368"/>
      <c r="AT17" s="3596"/>
      <c r="AU17" s="3368"/>
      <c r="AV17" s="3368"/>
      <c r="AW17" s="3368"/>
      <c r="AX17" s="3368"/>
      <c r="AY17" s="3368"/>
      <c r="AZ17" s="3368"/>
      <c r="BA17" s="3368"/>
      <c r="BB17" s="3368"/>
      <c r="BC17" s="3368"/>
      <c r="BD17" s="3368"/>
      <c r="BE17" s="3368"/>
      <c r="BF17" s="3369"/>
      <c r="BG17" s="3368"/>
      <c r="BH17" s="3368"/>
      <c r="BI17" s="3368"/>
      <c r="BJ17" s="3368"/>
      <c r="BK17" s="3368"/>
      <c r="BL17" s="3368"/>
      <c r="BM17" s="3368"/>
      <c r="BN17" s="3368"/>
      <c r="BO17" s="3368"/>
      <c r="BP17" s="3370"/>
      <c r="BQ17" s="4240"/>
      <c r="BR17" s="3370"/>
      <c r="BS17" s="4240"/>
    </row>
    <row r="18" spans="1:153" ht="18" customHeight="1">
      <c r="A18" s="3345"/>
      <c r="B18" s="3364" t="s">
        <v>142</v>
      </c>
      <c r="C18" s="3365"/>
      <c r="D18" s="3365"/>
      <c r="E18" s="3365"/>
      <c r="F18" s="3365"/>
      <c r="G18" s="3365"/>
      <c r="H18" s="3365"/>
      <c r="I18" s="3365"/>
      <c r="J18" s="3566"/>
      <c r="K18" s="3365"/>
      <c r="L18" s="3365"/>
      <c r="M18" s="3365"/>
      <c r="N18" s="3365"/>
      <c r="O18" s="3365"/>
      <c r="P18" s="3365"/>
      <c r="Q18" s="3365"/>
      <c r="R18" s="3365"/>
      <c r="S18" s="3365"/>
      <c r="T18" s="3365"/>
      <c r="U18" s="3365"/>
      <c r="V18" s="3566"/>
      <c r="W18" s="3365"/>
      <c r="X18" s="3365"/>
      <c r="Y18" s="3365"/>
      <c r="Z18" s="3365"/>
      <c r="AA18" s="3366"/>
      <c r="AB18" s="3367"/>
      <c r="AC18" s="3368"/>
      <c r="AD18" s="3368"/>
      <c r="AE18" s="3368"/>
      <c r="AF18" s="3368"/>
      <c r="AG18" s="3368"/>
      <c r="AH18" s="3596"/>
      <c r="AI18" s="3368"/>
      <c r="AJ18" s="3368"/>
      <c r="AK18" s="3368"/>
      <c r="AL18" s="3368"/>
      <c r="AM18" s="3368"/>
      <c r="AN18" s="3368"/>
      <c r="AO18" s="3368"/>
      <c r="AP18" s="3368"/>
      <c r="AQ18" s="3368"/>
      <c r="AR18" s="3368"/>
      <c r="AS18" s="3368"/>
      <c r="AT18" s="3596"/>
      <c r="AU18" s="3368"/>
      <c r="AV18" s="3368"/>
      <c r="AW18" s="3368"/>
      <c r="AX18" s="3368"/>
      <c r="AY18" s="3368"/>
      <c r="AZ18" s="3368"/>
      <c r="BA18" s="3368"/>
      <c r="BB18" s="3368"/>
      <c r="BC18" s="3368"/>
      <c r="BD18" s="3368"/>
      <c r="BE18" s="3368"/>
      <c r="BF18" s="3369"/>
      <c r="BG18" s="3368"/>
      <c r="BH18" s="3368"/>
      <c r="BI18" s="3368"/>
      <c r="BJ18" s="3368"/>
      <c r="BK18" s="3368"/>
      <c r="BL18" s="3368"/>
      <c r="BM18" s="3368"/>
      <c r="BN18" s="3368"/>
      <c r="BO18" s="3368"/>
      <c r="BP18" s="3345"/>
      <c r="BQ18" s="4239"/>
      <c r="BR18" s="3370"/>
      <c r="BS18" s="4240"/>
    </row>
    <row r="19" spans="1:153" s="3363" customFormat="1" ht="15.75" customHeight="1">
      <c r="A19" s="3354"/>
      <c r="B19" s="3356" t="s">
        <v>1857</v>
      </c>
      <c r="C19" s="3358">
        <v>729.84503769275511</v>
      </c>
      <c r="D19" s="3358">
        <v>768.62219577385315</v>
      </c>
      <c r="E19" s="3358">
        <v>775.42656315451234</v>
      </c>
      <c r="F19" s="3358">
        <v>777.41705307480606</v>
      </c>
      <c r="G19" s="3358">
        <v>812.93921527951966</v>
      </c>
      <c r="H19" s="3358">
        <v>808.88311301683814</v>
      </c>
      <c r="I19" s="3358">
        <v>801.04638869912139</v>
      </c>
      <c r="J19" s="3565">
        <v>812.30058427788606</v>
      </c>
      <c r="K19" s="3358">
        <v>812.25026107345832</v>
      </c>
      <c r="L19" s="3358">
        <v>852.62060560936447</v>
      </c>
      <c r="M19" s="3358">
        <v>853.10405893378947</v>
      </c>
      <c r="N19" s="3358">
        <v>896.78850135315724</v>
      </c>
      <c r="O19" s="3358">
        <v>778.86133767731963</v>
      </c>
      <c r="P19" s="3358">
        <v>896.38814658479498</v>
      </c>
      <c r="Q19" s="3358">
        <v>897.36257718017816</v>
      </c>
      <c r="R19" s="3358">
        <v>925.0801671047974</v>
      </c>
      <c r="S19" s="3358">
        <v>896.8949559830196</v>
      </c>
      <c r="T19" s="3358">
        <v>926.56542725652071</v>
      </c>
      <c r="U19" s="3358">
        <v>719.89272955633805</v>
      </c>
      <c r="V19" s="3565">
        <v>698.67263780372377</v>
      </c>
      <c r="W19" s="3358">
        <v>732.16008740684231</v>
      </c>
      <c r="X19" s="3358">
        <v>747.59581629096033</v>
      </c>
      <c r="Y19" s="3358">
        <v>744.66623362951964</v>
      </c>
      <c r="Z19" s="3358">
        <v>757.85663446690182</v>
      </c>
      <c r="AA19" s="3359">
        <v>647.36539093874876</v>
      </c>
      <c r="AB19" s="3360">
        <v>730.57569651190704</v>
      </c>
      <c r="AC19" s="3360">
        <v>734.20778533559451</v>
      </c>
      <c r="AD19" s="3360">
        <v>782.28620928572798</v>
      </c>
      <c r="AE19" s="3360">
        <v>777.48668924738547</v>
      </c>
      <c r="AF19" s="3360">
        <v>806.07664584138001</v>
      </c>
      <c r="AG19" s="3360">
        <v>870.64853042702214</v>
      </c>
      <c r="AH19" s="3595">
        <v>852.80206811630933</v>
      </c>
      <c r="AI19" s="3360">
        <v>872.67565118078619</v>
      </c>
      <c r="AJ19" s="3360">
        <v>916.24013857891168</v>
      </c>
      <c r="AK19" s="3360">
        <v>913.80572290119699</v>
      </c>
      <c r="AL19" s="3360">
        <v>919.12263022614059</v>
      </c>
      <c r="AM19" s="3359">
        <v>726.70824777678195</v>
      </c>
      <c r="AN19" s="3360">
        <v>717.53863404123354</v>
      </c>
      <c r="AO19" s="3360">
        <v>732.46655503783745</v>
      </c>
      <c r="AP19" s="3360">
        <v>762.52053979897107</v>
      </c>
      <c r="AQ19" s="3360">
        <v>794.8436936196058</v>
      </c>
      <c r="AR19" s="3360">
        <v>819.412731720024</v>
      </c>
      <c r="AS19" s="3360">
        <v>833.75846711680742</v>
      </c>
      <c r="AT19" s="3595">
        <v>826.14053360676735</v>
      </c>
      <c r="AU19" s="3360">
        <v>859.19192970614756</v>
      </c>
      <c r="AV19" s="3360">
        <v>873.37172545657234</v>
      </c>
      <c r="AW19" s="3360">
        <v>838.11265360386483</v>
      </c>
      <c r="AX19" s="3360">
        <v>823.56542334874814</v>
      </c>
      <c r="AY19" s="3360">
        <v>829.26035618220351</v>
      </c>
      <c r="AZ19" s="3360">
        <v>855.87579723972465</v>
      </c>
      <c r="BA19" s="3360">
        <v>862.24409323086593</v>
      </c>
      <c r="BB19" s="3360">
        <v>877.94810741404888</v>
      </c>
      <c r="BC19" s="3360">
        <v>860.66216760112684</v>
      </c>
      <c r="BD19" s="3360">
        <v>869.53823722961636</v>
      </c>
      <c r="BE19" s="3360">
        <v>854.02085471068904</v>
      </c>
      <c r="BF19" s="3362">
        <v>839.97901747674371</v>
      </c>
      <c r="BG19" s="3360">
        <v>862.32808341533064</v>
      </c>
      <c r="BH19" s="3360">
        <v>834.85059915450836</v>
      </c>
      <c r="BI19" s="3360">
        <v>783.98722845717066</v>
      </c>
      <c r="BJ19" s="3360">
        <v>773.98134884907051</v>
      </c>
      <c r="BK19" s="3360">
        <v>788.01851531584248</v>
      </c>
      <c r="BL19" s="3360">
        <v>780.07755848350303</v>
      </c>
      <c r="BM19" s="3360">
        <v>793.63794756618529</v>
      </c>
      <c r="BN19" s="3360">
        <v>833.22386428364075</v>
      </c>
      <c r="BO19" s="3360">
        <v>825.15139873174553</v>
      </c>
      <c r="BP19" s="3354">
        <v>828.3763353032449</v>
      </c>
      <c r="BQ19" s="4238">
        <v>825.91509147920885</v>
      </c>
      <c r="BR19" s="3354">
        <v>785.17059728112031</v>
      </c>
      <c r="BS19" s="4238">
        <v>784.85442852177334</v>
      </c>
    </row>
    <row r="20" spans="1:153" ht="9.9499999999999993" customHeight="1">
      <c r="A20" s="3345"/>
      <c r="B20" s="3376" t="s">
        <v>142</v>
      </c>
      <c r="C20" s="3365"/>
      <c r="D20" s="3365"/>
      <c r="E20" s="3365"/>
      <c r="F20" s="3365"/>
      <c r="G20" s="3365"/>
      <c r="H20" s="3365"/>
      <c r="I20" s="3365"/>
      <c r="J20" s="3566"/>
      <c r="K20" s="3365"/>
      <c r="L20" s="3365"/>
      <c r="M20" s="3365"/>
      <c r="N20" s="3365"/>
      <c r="O20" s="3365"/>
      <c r="P20" s="3365"/>
      <c r="Q20" s="3365"/>
      <c r="R20" s="3365"/>
      <c r="S20" s="3365"/>
      <c r="T20" s="3365"/>
      <c r="U20" s="3365"/>
      <c r="V20" s="3566"/>
      <c r="W20" s="3365"/>
      <c r="X20" s="3365"/>
      <c r="Y20" s="3365"/>
      <c r="Z20" s="3365"/>
      <c r="AA20" s="3366"/>
      <c r="AB20" s="3367"/>
      <c r="AC20" s="3368"/>
      <c r="AD20" s="3368"/>
      <c r="AE20" s="3368"/>
      <c r="AF20" s="3368"/>
      <c r="AG20" s="3368"/>
      <c r="AH20" s="3596"/>
      <c r="AI20" s="3368"/>
      <c r="AJ20" s="3368"/>
      <c r="AK20" s="3368"/>
      <c r="AL20" s="3368"/>
      <c r="AM20" s="3368"/>
      <c r="AN20" s="3368"/>
      <c r="AO20" s="3368"/>
      <c r="AP20" s="3368"/>
      <c r="AQ20" s="3368"/>
      <c r="AR20" s="3368"/>
      <c r="AS20" s="3368"/>
      <c r="AT20" s="3596"/>
      <c r="AU20" s="3368"/>
      <c r="AV20" s="3368"/>
      <c r="AW20" s="3368"/>
      <c r="AX20" s="3368"/>
      <c r="AY20" s="3368"/>
      <c r="AZ20" s="3368"/>
      <c r="BA20" s="3368"/>
      <c r="BB20" s="3368"/>
      <c r="BC20" s="3368"/>
      <c r="BD20" s="3368"/>
      <c r="BE20" s="3368"/>
      <c r="BF20" s="3369"/>
      <c r="BG20" s="3368"/>
      <c r="BH20" s="3368"/>
      <c r="BI20" s="3368"/>
      <c r="BJ20" s="3368"/>
      <c r="BK20" s="3368"/>
      <c r="BL20" s="3368"/>
      <c r="BM20" s="3368"/>
      <c r="BN20" s="3368"/>
      <c r="BO20" s="3368"/>
      <c r="BP20" s="3345"/>
      <c r="BQ20" s="4239"/>
      <c r="BR20" s="3370"/>
      <c r="BS20" s="4240"/>
    </row>
    <row r="21" spans="1:153" s="3373" customFormat="1" ht="21" customHeight="1">
      <c r="A21" s="3370"/>
      <c r="B21" s="3377" t="s">
        <v>1858</v>
      </c>
      <c r="C21" s="3365">
        <v>698.46045068634464</v>
      </c>
      <c r="D21" s="3365">
        <v>741.54587523107011</v>
      </c>
      <c r="E21" s="3365">
        <v>746.44320630128345</v>
      </c>
      <c r="F21" s="3365">
        <v>745.32766934741289</v>
      </c>
      <c r="G21" s="3365">
        <v>759.29165554890687</v>
      </c>
      <c r="H21" s="3365">
        <v>778.0478013542255</v>
      </c>
      <c r="I21" s="3365">
        <v>776.63739608788694</v>
      </c>
      <c r="J21" s="3566">
        <v>782.55768890069282</v>
      </c>
      <c r="K21" s="3365">
        <v>777.94666036984358</v>
      </c>
      <c r="L21" s="3365">
        <v>786.780179884473</v>
      </c>
      <c r="M21" s="3365">
        <v>804.50410750911885</v>
      </c>
      <c r="N21" s="3365">
        <v>844.63746002962466</v>
      </c>
      <c r="O21" s="3365">
        <v>731.7663341606891</v>
      </c>
      <c r="P21" s="3365">
        <v>839.6856166895526</v>
      </c>
      <c r="Q21" s="3365">
        <v>855.18936258906842</v>
      </c>
      <c r="R21" s="3365">
        <v>888.2232376831023</v>
      </c>
      <c r="S21" s="3365">
        <v>865.11736668263723</v>
      </c>
      <c r="T21" s="3365">
        <v>896.51109156384757</v>
      </c>
      <c r="U21" s="3365">
        <v>695.11801510239957</v>
      </c>
      <c r="V21" s="3587">
        <v>670.54451821544023</v>
      </c>
      <c r="W21" s="3378">
        <v>693.70281488101045</v>
      </c>
      <c r="X21" s="3378">
        <v>704.90501129563017</v>
      </c>
      <c r="Y21" s="3378">
        <v>711.79506722757367</v>
      </c>
      <c r="Z21" s="3378">
        <v>731.42563854719697</v>
      </c>
      <c r="AA21" s="3379">
        <v>623.60532785345163</v>
      </c>
      <c r="AB21" s="3380">
        <v>707.1428982007634</v>
      </c>
      <c r="AC21" s="3381">
        <v>711.24412483112587</v>
      </c>
      <c r="AD21" s="3381">
        <v>742.30255658083013</v>
      </c>
      <c r="AE21" s="3381">
        <v>740.76796737906068</v>
      </c>
      <c r="AF21" s="3381">
        <v>777.03102520114078</v>
      </c>
      <c r="AG21" s="3381">
        <v>811.02912017382835</v>
      </c>
      <c r="AH21" s="3598">
        <v>809.61642578017995</v>
      </c>
      <c r="AI21" s="3381">
        <v>815.58198786781611</v>
      </c>
      <c r="AJ21" s="3367">
        <v>853.13737452881355</v>
      </c>
      <c r="AK21" s="3381">
        <v>869.39326570925323</v>
      </c>
      <c r="AL21" s="3381">
        <v>864.54754715146953</v>
      </c>
      <c r="AM21" s="3381">
        <v>692.67917828574764</v>
      </c>
      <c r="AN21" s="3367">
        <v>681.82355321704961</v>
      </c>
      <c r="AO21" s="3367">
        <v>699.46220281820877</v>
      </c>
      <c r="AP21" s="3367">
        <v>724.41504524300308</v>
      </c>
      <c r="AQ21" s="3367">
        <v>750.20944016349119</v>
      </c>
      <c r="AR21" s="3367">
        <v>775.32249016043295</v>
      </c>
      <c r="AS21" s="3367">
        <v>787.74679460379195</v>
      </c>
      <c r="AT21" s="3597">
        <v>772.8088046385069</v>
      </c>
      <c r="AU21" s="3367">
        <v>784.29474465894418</v>
      </c>
      <c r="AV21" s="3367">
        <v>808.11862061630609</v>
      </c>
      <c r="AW21" s="3367">
        <v>770.36741246892495</v>
      </c>
      <c r="AX21" s="3367">
        <v>771.26454888284718</v>
      </c>
      <c r="AY21" s="3367">
        <v>789.1477667165891</v>
      </c>
      <c r="AZ21" s="3367">
        <v>800.86755680111526</v>
      </c>
      <c r="BA21" s="3367">
        <v>819.25973589909802</v>
      </c>
      <c r="BB21" s="3367">
        <v>827.98325449325228</v>
      </c>
      <c r="BC21" s="3367">
        <v>812.24007876563303</v>
      </c>
      <c r="BD21" s="3367">
        <v>835.38356830009468</v>
      </c>
      <c r="BE21" s="3367">
        <v>819.50445490016818</v>
      </c>
      <c r="BF21" s="3372">
        <v>804.31764030053023</v>
      </c>
      <c r="BG21" s="3367">
        <v>812.1964381537382</v>
      </c>
      <c r="BH21" s="3367">
        <v>779.88225115831722</v>
      </c>
      <c r="BI21" s="3367">
        <v>752.60863881311138</v>
      </c>
      <c r="BJ21" s="3367">
        <v>746.52247607255174</v>
      </c>
      <c r="BK21" s="3367">
        <v>759.44028859522962</v>
      </c>
      <c r="BL21" s="3367">
        <v>751.58616885137815</v>
      </c>
      <c r="BM21" s="3367">
        <v>766.11758543861652</v>
      </c>
      <c r="BN21" s="3367">
        <v>790.54460141781942</v>
      </c>
      <c r="BO21" s="3367">
        <v>776.33301148964108</v>
      </c>
      <c r="BP21" s="3367">
        <v>785.19543434478578</v>
      </c>
      <c r="BQ21" s="4243">
        <v>792.73194534677202</v>
      </c>
      <c r="BR21" s="3370">
        <v>758.05439404803303</v>
      </c>
      <c r="BS21" s="4240">
        <v>760.99589321397343</v>
      </c>
      <c r="BT21" s="3560"/>
      <c r="BU21" s="3560"/>
      <c r="BV21" s="3560"/>
    </row>
    <row r="22" spans="1:153" s="3373" customFormat="1" ht="9.9499999999999993" customHeight="1">
      <c r="A22" s="3370"/>
      <c r="B22" s="3377" t="s">
        <v>142</v>
      </c>
      <c r="C22" s="3365"/>
      <c r="D22" s="3365"/>
      <c r="E22" s="3365"/>
      <c r="F22" s="3365"/>
      <c r="G22" s="3365"/>
      <c r="H22" s="3365"/>
      <c r="I22" s="3365"/>
      <c r="J22" s="3566"/>
      <c r="K22" s="3365"/>
      <c r="L22" s="3365"/>
      <c r="M22" s="3365"/>
      <c r="N22" s="3365"/>
      <c r="O22" s="3365"/>
      <c r="P22" s="3365"/>
      <c r="Q22" s="3365"/>
      <c r="R22" s="3365"/>
      <c r="S22" s="3365"/>
      <c r="T22" s="3365"/>
      <c r="U22" s="3365"/>
      <c r="V22" s="3566"/>
      <c r="W22" s="3365"/>
      <c r="X22" s="3365"/>
      <c r="Y22" s="3365"/>
      <c r="Z22" s="3365"/>
      <c r="AA22" s="3366"/>
      <c r="AB22" s="3367"/>
      <c r="AC22" s="3368"/>
      <c r="AD22" s="3368"/>
      <c r="AE22" s="3368"/>
      <c r="AF22" s="3368"/>
      <c r="AG22" s="3381"/>
      <c r="AH22" s="3598"/>
      <c r="AI22" s="3381"/>
      <c r="AJ22" s="3381"/>
      <c r="AK22" s="3368"/>
      <c r="AL22" s="3368"/>
      <c r="AM22" s="3368"/>
      <c r="AN22" s="3368"/>
      <c r="AO22" s="3368"/>
      <c r="AP22" s="3368"/>
      <c r="AQ22" s="3368"/>
      <c r="AR22" s="3368"/>
      <c r="AS22" s="3368"/>
      <c r="AT22" s="3596"/>
      <c r="AU22" s="3368"/>
      <c r="AV22" s="3368"/>
      <c r="AW22" s="3368"/>
      <c r="AX22" s="3368"/>
      <c r="AY22" s="3368"/>
      <c r="AZ22" s="3368"/>
      <c r="BA22" s="3368"/>
      <c r="BB22" s="3368"/>
      <c r="BC22" s="3368"/>
      <c r="BD22" s="3368"/>
      <c r="BE22" s="3368"/>
      <c r="BF22" s="3369"/>
      <c r="BG22" s="3368"/>
      <c r="BH22" s="3368"/>
      <c r="BI22" s="3368"/>
      <c r="BJ22" s="3368"/>
      <c r="BK22" s="3368"/>
      <c r="BL22" s="3368"/>
      <c r="BM22" s="3368"/>
      <c r="BN22" s="3368"/>
      <c r="BO22" s="3368"/>
      <c r="BP22" s="3370"/>
      <c r="BQ22" s="4240"/>
      <c r="BR22" s="3370"/>
      <c r="BS22" s="4240"/>
    </row>
    <row r="23" spans="1:153" s="3373" customFormat="1" ht="15.75" customHeight="1">
      <c r="A23" s="3370"/>
      <c r="B23" s="3377" t="s">
        <v>1437</v>
      </c>
      <c r="C23" s="3365">
        <v>15.356527539219792</v>
      </c>
      <c r="D23" s="3365">
        <v>12.339767875413141</v>
      </c>
      <c r="E23" s="3365">
        <v>10.313132283736802</v>
      </c>
      <c r="F23" s="3365">
        <v>10.701639742287067</v>
      </c>
      <c r="G23" s="3365">
        <v>15.30967879915068</v>
      </c>
      <c r="H23" s="3365">
        <v>9.4189101756022779</v>
      </c>
      <c r="I23" s="3365">
        <v>7.8295260591995852</v>
      </c>
      <c r="J23" s="3566">
        <v>6.1128593457357159</v>
      </c>
      <c r="K23" s="3365">
        <v>8.3885447575533494</v>
      </c>
      <c r="L23" s="3365">
        <v>45.067826840929555</v>
      </c>
      <c r="M23" s="3365">
        <v>34.422357034134869</v>
      </c>
      <c r="N23" s="3365">
        <v>27.070737938523216</v>
      </c>
      <c r="O23" s="3365">
        <v>35.143173608488546</v>
      </c>
      <c r="P23" s="3365">
        <v>34.84565165808754</v>
      </c>
      <c r="Q23" s="3365">
        <v>20.358550418487532</v>
      </c>
      <c r="R23" s="3365">
        <v>22.115780425336823</v>
      </c>
      <c r="S23" s="3365">
        <v>19.502181317744316</v>
      </c>
      <c r="T23" s="3365">
        <v>12.914817392923986</v>
      </c>
      <c r="U23" s="3365">
        <v>11.075731354970468</v>
      </c>
      <c r="V23" s="3566">
        <v>14.818223605928408</v>
      </c>
      <c r="W23" s="3365">
        <v>15.992673937637296</v>
      </c>
      <c r="X23" s="3365">
        <v>18.131679419947144</v>
      </c>
      <c r="Y23" s="3365">
        <v>17.120869426674133</v>
      </c>
      <c r="Z23" s="3365">
        <v>11.387348124059184</v>
      </c>
      <c r="AA23" s="3366">
        <v>8.9519644799232818</v>
      </c>
      <c r="AB23" s="3367">
        <v>11.453045158851042</v>
      </c>
      <c r="AC23" s="3367">
        <v>8.9785805688955893</v>
      </c>
      <c r="AD23" s="3367">
        <v>14.199123500009486</v>
      </c>
      <c r="AE23" s="3367">
        <v>16.744995544920357</v>
      </c>
      <c r="AF23" s="3367">
        <v>18.94690638276801</v>
      </c>
      <c r="AG23" s="3367">
        <v>17.211511980717376</v>
      </c>
      <c r="AH23" s="3597">
        <v>22.644554923530183</v>
      </c>
      <c r="AI23" s="3367">
        <v>28.146759814592688</v>
      </c>
      <c r="AJ23" s="3367">
        <v>35.847456423414172</v>
      </c>
      <c r="AK23" s="3367">
        <v>27.728843116988511</v>
      </c>
      <c r="AL23" s="3367">
        <v>25.571728981269409</v>
      </c>
      <c r="AM23" s="3381">
        <v>21.578253805140744</v>
      </c>
      <c r="AN23" s="3367">
        <v>22.699717701873514</v>
      </c>
      <c r="AO23" s="3367">
        <v>19.777858069191964</v>
      </c>
      <c r="AP23" s="3367">
        <v>22.424419744333118</v>
      </c>
      <c r="AQ23" s="3367">
        <v>24.486058547305003</v>
      </c>
      <c r="AR23" s="3367">
        <v>28.902849306875126</v>
      </c>
      <c r="AS23" s="3367">
        <v>29.446833889598537</v>
      </c>
      <c r="AT23" s="3597">
        <v>36.862246612033232</v>
      </c>
      <c r="AU23" s="3367">
        <v>50.951527108035833</v>
      </c>
      <c r="AV23" s="3367">
        <v>42.71488699034942</v>
      </c>
      <c r="AW23" s="3367">
        <v>42.122044243428689</v>
      </c>
      <c r="AX23" s="3367">
        <v>36.456245176677847</v>
      </c>
      <c r="AY23" s="3367">
        <v>22.707090443094462</v>
      </c>
      <c r="AZ23" s="3367">
        <v>30.059185523760302</v>
      </c>
      <c r="BA23" s="3367">
        <v>23.422508685479002</v>
      </c>
      <c r="BB23" s="3367">
        <v>23.787679758746069</v>
      </c>
      <c r="BC23" s="3367">
        <v>26.023214367346277</v>
      </c>
      <c r="BD23" s="3367">
        <v>19.173425916742367</v>
      </c>
      <c r="BE23" s="3367">
        <v>25.047032440254849</v>
      </c>
      <c r="BF23" s="3372">
        <v>22.491425050560657</v>
      </c>
      <c r="BG23" s="3367">
        <v>29.240027027000782</v>
      </c>
      <c r="BH23" s="3367">
        <v>33.005328918307484</v>
      </c>
      <c r="BI23" s="3367">
        <v>22.586584439900598</v>
      </c>
      <c r="BJ23" s="3367">
        <v>20.7986832301624</v>
      </c>
      <c r="BK23" s="3367">
        <v>20.263612254901194</v>
      </c>
      <c r="BL23" s="3367">
        <v>18.934023787992892</v>
      </c>
      <c r="BM23" s="3367">
        <v>18.032641768492237</v>
      </c>
      <c r="BN23" s="3367">
        <v>20.791371236869086</v>
      </c>
      <c r="BO23" s="3367">
        <v>17.027460570104765</v>
      </c>
      <c r="BP23" s="3370">
        <v>18.084284831205061</v>
      </c>
      <c r="BQ23" s="4240">
        <v>18.217559842897206</v>
      </c>
      <c r="BR23" s="3370">
        <v>16.454351923572734</v>
      </c>
      <c r="BS23" s="4240">
        <v>15.014932089891676</v>
      </c>
    </row>
    <row r="24" spans="1:153" s="3373" customFormat="1" ht="9.9499999999999993" customHeight="1">
      <c r="A24" s="3370"/>
      <c r="B24" s="3377"/>
      <c r="C24" s="3365"/>
      <c r="D24" s="3365"/>
      <c r="E24" s="3365"/>
      <c r="F24" s="3365"/>
      <c r="G24" s="3365"/>
      <c r="H24" s="3365"/>
      <c r="I24" s="3365"/>
      <c r="J24" s="3566"/>
      <c r="K24" s="3365"/>
      <c r="L24" s="3365"/>
      <c r="M24" s="3365"/>
      <c r="N24" s="3365"/>
      <c r="O24" s="3365"/>
      <c r="P24" s="3365"/>
      <c r="Q24" s="3365"/>
      <c r="R24" s="3365"/>
      <c r="S24" s="3365"/>
      <c r="T24" s="3365"/>
      <c r="U24" s="3365"/>
      <c r="V24" s="3566"/>
      <c r="W24" s="3365"/>
      <c r="X24" s="3365"/>
      <c r="Y24" s="3365"/>
      <c r="Z24" s="3365"/>
      <c r="AA24" s="3366"/>
      <c r="AB24" s="3367"/>
      <c r="AC24" s="3368"/>
      <c r="AD24" s="3368"/>
      <c r="AE24" s="3368"/>
      <c r="AF24" s="3368"/>
      <c r="AG24" s="3381"/>
      <c r="AH24" s="3598"/>
      <c r="AI24" s="3381"/>
      <c r="AJ24" s="3381"/>
      <c r="AK24" s="3368"/>
      <c r="AL24" s="3368"/>
      <c r="AM24" s="3381"/>
      <c r="AN24" s="3368"/>
      <c r="AO24" s="3368"/>
      <c r="AP24" s="3368"/>
      <c r="AQ24" s="3368"/>
      <c r="AR24" s="3368"/>
      <c r="AS24" s="3368"/>
      <c r="AT24" s="3596"/>
      <c r="AU24" s="3368"/>
      <c r="AV24" s="3368"/>
      <c r="AW24" s="3368"/>
      <c r="AX24" s="3368"/>
      <c r="AY24" s="3368"/>
      <c r="AZ24" s="3368"/>
      <c r="BA24" s="3368"/>
      <c r="BB24" s="3368"/>
      <c r="BC24" s="3368"/>
      <c r="BD24" s="3368"/>
      <c r="BE24" s="3368"/>
      <c r="BF24" s="3369"/>
      <c r="BG24" s="3368"/>
      <c r="BH24" s="3368"/>
      <c r="BI24" s="3368"/>
      <c r="BJ24" s="3368"/>
      <c r="BK24" s="3368"/>
      <c r="BL24" s="3368"/>
      <c r="BM24" s="3368"/>
      <c r="BN24" s="3368"/>
      <c r="BO24" s="3368"/>
      <c r="BP24" s="3370"/>
      <c r="BQ24" s="4240"/>
      <c r="BR24" s="3370"/>
      <c r="BS24" s="4240"/>
    </row>
    <row r="25" spans="1:153" s="3373" customFormat="1" ht="15.75" customHeight="1">
      <c r="A25" s="3370"/>
      <c r="B25" s="3371" t="s">
        <v>1436</v>
      </c>
      <c r="C25" s="3365">
        <v>15.845335464570647</v>
      </c>
      <c r="D25" s="3365">
        <v>14.593045621354333</v>
      </c>
      <c r="E25" s="3365">
        <v>18.560984763491824</v>
      </c>
      <c r="F25" s="3365">
        <v>20.247969139364731</v>
      </c>
      <c r="G25" s="3365">
        <v>26.851168137143414</v>
      </c>
      <c r="H25" s="3365">
        <v>17.256950692301711</v>
      </c>
      <c r="I25" s="3365">
        <v>11.434016872346881</v>
      </c>
      <c r="J25" s="3566">
        <v>15.283674415182455</v>
      </c>
      <c r="K25" s="3365">
        <v>19.537160536173321</v>
      </c>
      <c r="L25" s="3365">
        <v>15.248654403360783</v>
      </c>
      <c r="M25" s="3365">
        <v>12.88054321797336</v>
      </c>
      <c r="N25" s="3365">
        <v>10.211523622006906</v>
      </c>
      <c r="O25" s="3365">
        <v>9.9926836625250779</v>
      </c>
      <c r="P25" s="3365">
        <v>14.767142381123165</v>
      </c>
      <c r="Q25" s="3365">
        <v>20.643042196378737</v>
      </c>
      <c r="R25" s="3365">
        <v>14.335578728414559</v>
      </c>
      <c r="S25" s="3365">
        <v>11.390250758167891</v>
      </c>
      <c r="T25" s="3365">
        <v>16.128066610717003</v>
      </c>
      <c r="U25" s="3365">
        <v>13.57269616667037</v>
      </c>
      <c r="V25" s="3566">
        <v>11.540176027149144</v>
      </c>
      <c r="W25" s="3365">
        <v>17.764420624237246</v>
      </c>
      <c r="X25" s="3365">
        <v>22.646943168730012</v>
      </c>
      <c r="Y25" s="3365">
        <v>14.179107003455398</v>
      </c>
      <c r="Z25" s="3365">
        <v>11.129146054264421</v>
      </c>
      <c r="AA25" s="3366">
        <v>14.171934210339378</v>
      </c>
      <c r="AB25" s="3367">
        <v>10.446632526564768</v>
      </c>
      <c r="AC25" s="3367">
        <v>12.444711524891426</v>
      </c>
      <c r="AD25" s="3367">
        <v>24.351386847828152</v>
      </c>
      <c r="AE25" s="3367">
        <v>18.744185769060202</v>
      </c>
      <c r="AF25" s="3367">
        <v>8.8982241891557319</v>
      </c>
      <c r="AG25" s="3367">
        <v>41.401554939987932</v>
      </c>
      <c r="AH25" s="3597">
        <v>19.535535682411002</v>
      </c>
      <c r="AI25" s="3367">
        <v>24.835275802579339</v>
      </c>
      <c r="AJ25" s="3367">
        <v>25.358996153287503</v>
      </c>
      <c r="AK25" s="3367">
        <v>14.927697732529191</v>
      </c>
      <c r="AL25" s="3367">
        <v>12.83140993507482</v>
      </c>
      <c r="AM25" s="3381">
        <v>10.608769896565297</v>
      </c>
      <c r="AN25" s="3367">
        <v>11.561691019389675</v>
      </c>
      <c r="AO25" s="3367">
        <v>11.849762015916074</v>
      </c>
      <c r="AP25" s="3367">
        <v>14.460495776797233</v>
      </c>
      <c r="AQ25" s="3367">
        <v>18.856839586223742</v>
      </c>
      <c r="AR25" s="3367">
        <v>12.823868530767689</v>
      </c>
      <c r="AS25" s="3367">
        <v>12.59468766507319</v>
      </c>
      <c r="AT25" s="3597">
        <v>12.660372282119821</v>
      </c>
      <c r="AU25" s="3367">
        <v>17.396032962527386</v>
      </c>
      <c r="AV25" s="3367">
        <v>11.442917566056572</v>
      </c>
      <c r="AW25" s="3367">
        <v>22.861395053697503</v>
      </c>
      <c r="AX25" s="3367">
        <v>13.076262882576144</v>
      </c>
      <c r="AY25" s="3367">
        <v>14.797922175517069</v>
      </c>
      <c r="AZ25" s="3367">
        <v>21.83402589267337</v>
      </c>
      <c r="BA25" s="3367">
        <v>16.765990278877876</v>
      </c>
      <c r="BB25" s="3367">
        <v>17.562056871951764</v>
      </c>
      <c r="BC25" s="3367">
        <v>14.800137439584418</v>
      </c>
      <c r="BD25" s="3367">
        <v>8.3620842180978805</v>
      </c>
      <c r="BE25" s="3367">
        <v>5.061953291174218</v>
      </c>
      <c r="BF25" s="3372">
        <v>10.362304231388901</v>
      </c>
      <c r="BG25" s="3367">
        <v>18.423694240728398</v>
      </c>
      <c r="BH25" s="3367">
        <v>19.578301964026657</v>
      </c>
      <c r="BI25" s="3367">
        <v>7.3850392108905591</v>
      </c>
      <c r="BJ25" s="3367">
        <v>5.4055320058342406</v>
      </c>
      <c r="BK25" s="3367">
        <v>6.9393335876928681</v>
      </c>
      <c r="BL25" s="3367">
        <v>7.619354228549466</v>
      </c>
      <c r="BM25" s="3367">
        <v>5.8510602057273671</v>
      </c>
      <c r="BN25" s="3367">
        <v>17.972892823930135</v>
      </c>
      <c r="BO25" s="3367">
        <v>28.762548985719786</v>
      </c>
      <c r="BP25" s="3370">
        <v>23.91816210075088</v>
      </c>
      <c r="BQ25" s="4240">
        <v>12.969420578958477</v>
      </c>
      <c r="BR25" s="3370">
        <v>9.4021777293399911</v>
      </c>
      <c r="BS25" s="4240">
        <v>7.9183281431444552</v>
      </c>
    </row>
    <row r="26" spans="1:153" s="3373" customFormat="1" ht="9.9499999999999993" customHeight="1">
      <c r="A26" s="3370"/>
      <c r="B26" s="3371"/>
      <c r="C26" s="3365"/>
      <c r="D26" s="3365"/>
      <c r="E26" s="3365"/>
      <c r="F26" s="3365"/>
      <c r="G26" s="3365"/>
      <c r="H26" s="3365"/>
      <c r="I26" s="3365"/>
      <c r="J26" s="3566"/>
      <c r="K26" s="3365"/>
      <c r="L26" s="3365"/>
      <c r="M26" s="3365"/>
      <c r="N26" s="3365"/>
      <c r="O26" s="3365"/>
      <c r="P26" s="3365"/>
      <c r="Q26" s="3365"/>
      <c r="R26" s="3365"/>
      <c r="S26" s="3365" t="s">
        <v>1472</v>
      </c>
      <c r="T26" s="3365"/>
      <c r="U26" s="3365"/>
      <c r="V26" s="3566"/>
      <c r="W26" s="3365"/>
      <c r="X26" s="3365"/>
      <c r="Y26" s="3365"/>
      <c r="Z26" s="3365"/>
      <c r="AA26" s="3366"/>
      <c r="AB26" s="3367"/>
      <c r="AC26" s="3368"/>
      <c r="AD26" s="3368"/>
      <c r="AE26" s="3368"/>
      <c r="AF26" s="3368"/>
      <c r="AG26" s="3381"/>
      <c r="AH26" s="3598"/>
      <c r="AI26" s="3381"/>
      <c r="AJ26" s="3381"/>
      <c r="AK26" s="3368"/>
      <c r="AL26" s="3368"/>
      <c r="AM26" s="3381"/>
      <c r="AN26" s="3368"/>
      <c r="AO26" s="3368"/>
      <c r="AP26" s="3368"/>
      <c r="AQ26" s="3368"/>
      <c r="AR26" s="3368"/>
      <c r="AS26" s="3368"/>
      <c r="AT26" s="3596"/>
      <c r="AU26" s="3368"/>
      <c r="AV26" s="3368"/>
      <c r="AW26" s="3368"/>
      <c r="AX26" s="3368"/>
      <c r="AY26" s="3368"/>
      <c r="AZ26" s="3368"/>
      <c r="BA26" s="3368"/>
      <c r="BB26" s="3368"/>
      <c r="BC26" s="3368"/>
      <c r="BD26" s="3368"/>
      <c r="BE26" s="3368"/>
      <c r="BF26" s="3369"/>
      <c r="BG26" s="3368"/>
      <c r="BH26" s="3368"/>
      <c r="BI26" s="3368"/>
      <c r="BJ26" s="3368"/>
      <c r="BK26" s="3368"/>
      <c r="BL26" s="3368"/>
      <c r="BM26" s="3368"/>
      <c r="BN26" s="3368"/>
      <c r="BO26" s="3368"/>
      <c r="BP26" s="3370"/>
      <c r="BQ26" s="4240"/>
      <c r="BR26" s="3370"/>
      <c r="BS26" s="4240"/>
    </row>
    <row r="27" spans="1:153" s="3373" customFormat="1" ht="15.75" customHeight="1">
      <c r="A27" s="3370"/>
      <c r="B27" s="3371" t="s">
        <v>1856</v>
      </c>
      <c r="C27" s="3365">
        <v>0</v>
      </c>
      <c r="D27" s="3365">
        <v>0</v>
      </c>
      <c r="E27" s="3365">
        <v>0</v>
      </c>
      <c r="F27" s="3365">
        <v>0</v>
      </c>
      <c r="G27" s="3365">
        <v>0</v>
      </c>
      <c r="H27" s="3365">
        <v>0</v>
      </c>
      <c r="I27" s="3365">
        <v>9.9182667502230995E-2</v>
      </c>
      <c r="J27" s="3566">
        <v>0.10625042791527609</v>
      </c>
      <c r="K27" s="3365">
        <v>0</v>
      </c>
      <c r="L27" s="3365">
        <v>0.13624999877749255</v>
      </c>
      <c r="M27" s="3365">
        <v>0.1410884316345129</v>
      </c>
      <c r="N27" s="3365">
        <v>0.31558264728811664</v>
      </c>
      <c r="O27" s="3365">
        <v>0.21196353025112991</v>
      </c>
      <c r="P27" s="3365">
        <v>0.31405763540243326</v>
      </c>
      <c r="Q27" s="3365">
        <v>0.13648605950767395</v>
      </c>
      <c r="R27" s="3365">
        <v>5.2910658526668104E-2</v>
      </c>
      <c r="S27" s="3365">
        <v>3.3547884052792604E-2</v>
      </c>
      <c r="T27" s="3365">
        <v>9.339278394880586E-3</v>
      </c>
      <c r="U27" s="3365">
        <v>2.5767079651528958E-2</v>
      </c>
      <c r="V27" s="3566">
        <v>0.45223241089860949</v>
      </c>
      <c r="W27" s="3365">
        <v>0.36513579285656173</v>
      </c>
      <c r="X27" s="3365">
        <v>0.22789273552848599</v>
      </c>
      <c r="Y27" s="3365">
        <v>0.17000789066270297</v>
      </c>
      <c r="Z27" s="3365">
        <v>5.5609478283217703E-2</v>
      </c>
      <c r="AA27" s="3366">
        <v>0.11182403026159229</v>
      </c>
      <c r="AB27" s="3367">
        <v>0.23573622681742434</v>
      </c>
      <c r="AC27" s="3367">
        <v>0.27008659757366932</v>
      </c>
      <c r="AD27" s="3367">
        <v>0.25384231986640604</v>
      </c>
      <c r="AE27" s="3367">
        <v>0.1681192462766547</v>
      </c>
      <c r="AF27" s="3367">
        <v>9.2060510210631538E-2</v>
      </c>
      <c r="AG27" s="3367">
        <v>4.6277651224399384E-2</v>
      </c>
      <c r="AH27" s="3597">
        <v>1.7411392782750664E-2</v>
      </c>
      <c r="AI27" s="3367">
        <v>7.7576854770472464E-2</v>
      </c>
      <c r="AJ27" s="3367">
        <v>6.6038359199327809E-2</v>
      </c>
      <c r="AK27" s="3367">
        <v>6.5279236614470937E-2</v>
      </c>
      <c r="AL27" s="3367">
        <v>6.3341334223075002E-2</v>
      </c>
      <c r="AM27" s="3381">
        <v>0.11905604217790769</v>
      </c>
      <c r="AN27" s="3367">
        <v>8.3614546510676568E-2</v>
      </c>
      <c r="AO27" s="3367">
        <v>0.11597660324870593</v>
      </c>
      <c r="AP27" s="3367">
        <v>8.1506449017952426E-2</v>
      </c>
      <c r="AQ27" s="3367">
        <v>0.11175453199804594</v>
      </c>
      <c r="AR27" s="3367">
        <v>0.51378082212868315</v>
      </c>
      <c r="AS27" s="3367">
        <v>5.0743714799976761E-2</v>
      </c>
      <c r="AT27" s="3597">
        <v>1.575187140867839E-2</v>
      </c>
      <c r="AU27" s="3367">
        <v>5.2529013564892389E-2</v>
      </c>
      <c r="AV27" s="3367">
        <v>4.0694720965058231E-2</v>
      </c>
      <c r="AW27" s="3367">
        <v>9.8045732042825393E-2</v>
      </c>
      <c r="AX27" s="3367">
        <v>1.1264286682250905E-2</v>
      </c>
      <c r="AY27" s="3367">
        <v>0.12797178953394139</v>
      </c>
      <c r="AZ27" s="3367">
        <v>0.52557617700760217</v>
      </c>
      <c r="BA27" s="3367">
        <v>0.34782089740303762</v>
      </c>
      <c r="BB27" s="3367">
        <v>0.31484513377749995</v>
      </c>
      <c r="BC27" s="3367">
        <v>0.73660005976420018</v>
      </c>
      <c r="BD27" s="3367">
        <v>1.5897711336473466E-2</v>
      </c>
      <c r="BE27" s="3367">
        <v>0.31511065899276036</v>
      </c>
      <c r="BF27" s="3372">
        <v>0.10149682062907341</v>
      </c>
      <c r="BG27" s="3367">
        <v>0.2038618716702163</v>
      </c>
      <c r="BH27" s="3367">
        <v>5.9446485266205266E-2</v>
      </c>
      <c r="BI27" s="3367">
        <v>8.030560366793546E-2</v>
      </c>
      <c r="BJ27" s="3367">
        <v>0.13545937862189569</v>
      </c>
      <c r="BK27" s="3367">
        <v>0.11423945422234215</v>
      </c>
      <c r="BL27" s="3367">
        <v>5.8329298465441978E-2</v>
      </c>
      <c r="BM27" s="3367">
        <v>0.22375151298068652</v>
      </c>
      <c r="BN27" s="3367">
        <v>0.34775163472858978</v>
      </c>
      <c r="BO27" s="3367">
        <v>0.42709256229771347</v>
      </c>
      <c r="BP27" s="3370">
        <v>8.2734559558660659E-2</v>
      </c>
      <c r="BQ27" s="4240">
        <v>0.37252057880770734</v>
      </c>
      <c r="BR27" s="3370">
        <v>0.21832485403594479</v>
      </c>
      <c r="BS27" s="4240">
        <v>0.16607756762271189</v>
      </c>
    </row>
    <row r="28" spans="1:153" s="3373" customFormat="1" ht="9.9499999999999993" customHeight="1">
      <c r="A28" s="3370"/>
      <c r="B28" s="3371"/>
      <c r="C28" s="3365"/>
      <c r="D28" s="3365"/>
      <c r="E28" s="3365"/>
      <c r="F28" s="3365"/>
      <c r="G28" s="3365"/>
      <c r="H28" s="3365"/>
      <c r="I28" s="3365"/>
      <c r="J28" s="3566"/>
      <c r="K28" s="3365"/>
      <c r="L28" s="3365"/>
      <c r="M28" s="3365"/>
      <c r="N28" s="3365"/>
      <c r="O28" s="3365"/>
      <c r="P28" s="3365"/>
      <c r="Q28" s="3365"/>
      <c r="R28" s="3365"/>
      <c r="S28" s="3365"/>
      <c r="T28" s="3365"/>
      <c r="U28" s="3365"/>
      <c r="V28" s="3566"/>
      <c r="W28" s="3365"/>
      <c r="X28" s="3365"/>
      <c r="Y28" s="3365"/>
      <c r="Z28" s="3365"/>
      <c r="AA28" s="3366"/>
      <c r="AB28" s="3367"/>
      <c r="AC28" s="3368"/>
      <c r="AD28" s="3368"/>
      <c r="AE28" s="3368"/>
      <c r="AF28" s="3368"/>
      <c r="AG28" s="3381"/>
      <c r="AH28" s="3598"/>
      <c r="AI28" s="3381"/>
      <c r="AJ28" s="3381"/>
      <c r="AK28" s="3368"/>
      <c r="AL28" s="3368"/>
      <c r="AM28" s="3381"/>
      <c r="AN28" s="3368"/>
      <c r="AO28" s="3368"/>
      <c r="AP28" s="3368"/>
      <c r="AQ28" s="3368"/>
      <c r="AR28" s="3368"/>
      <c r="AS28" s="3368"/>
      <c r="AT28" s="3596"/>
      <c r="AU28" s="3368"/>
      <c r="AV28" s="3368"/>
      <c r="AW28" s="3368"/>
      <c r="AX28" s="3368"/>
      <c r="AY28" s="3368"/>
      <c r="AZ28" s="3368"/>
      <c r="BA28" s="3368"/>
      <c r="BB28" s="3368"/>
      <c r="BC28" s="3368"/>
      <c r="BD28" s="3368"/>
      <c r="BE28" s="3368"/>
      <c r="BF28" s="3369"/>
      <c r="BG28" s="3368"/>
      <c r="BH28" s="3368"/>
      <c r="BI28" s="3368"/>
      <c r="BJ28" s="3368"/>
      <c r="BK28" s="3368"/>
      <c r="BL28" s="3368"/>
      <c r="BM28" s="3368"/>
      <c r="BN28" s="3368"/>
      <c r="BO28" s="3368"/>
      <c r="BP28" s="3370"/>
      <c r="BQ28" s="4240"/>
      <c r="BR28" s="3370"/>
      <c r="BS28" s="4240"/>
    </row>
    <row r="29" spans="1:153" s="3373" customFormat="1" ht="16.5" customHeight="1">
      <c r="A29" s="3370"/>
      <c r="B29" s="3371" t="s">
        <v>1434</v>
      </c>
      <c r="C29" s="3365">
        <v>0.18272400262002167</v>
      </c>
      <c r="D29" s="3365">
        <v>0.14350704601549222</v>
      </c>
      <c r="E29" s="3365">
        <v>0.10923980600037364</v>
      </c>
      <c r="F29" s="3365">
        <v>1.1397748457413317</v>
      </c>
      <c r="G29" s="3365">
        <v>11.486712794318638</v>
      </c>
      <c r="H29" s="3365">
        <v>4.159450794708607</v>
      </c>
      <c r="I29" s="3365">
        <v>5.0462670121858046</v>
      </c>
      <c r="J29" s="3566">
        <v>8.2401111883598226</v>
      </c>
      <c r="K29" s="3365">
        <v>6.377895409888021</v>
      </c>
      <c r="L29" s="3365">
        <v>5.3876944818235364</v>
      </c>
      <c r="M29" s="3365">
        <v>1.1559627409278213</v>
      </c>
      <c r="N29" s="3365">
        <v>14.553197115714445</v>
      </c>
      <c r="O29" s="3365">
        <v>1.7471827153657491</v>
      </c>
      <c r="P29" s="3365">
        <v>6.7756782206294002</v>
      </c>
      <c r="Q29" s="3365">
        <v>1.035135916735813</v>
      </c>
      <c r="R29" s="3365">
        <v>0.35265960941693408</v>
      </c>
      <c r="S29" s="3365">
        <v>0.85160934041728176</v>
      </c>
      <c r="T29" s="3365">
        <v>1.0021124106372281</v>
      </c>
      <c r="U29" s="3365">
        <v>0.10051985264618089</v>
      </c>
      <c r="V29" s="3566">
        <v>1.3174875443072491</v>
      </c>
      <c r="W29" s="3365">
        <v>4.335042171100806</v>
      </c>
      <c r="X29" s="3365">
        <v>1.6842896711245354</v>
      </c>
      <c r="Y29" s="3365">
        <v>1.4011820811536011</v>
      </c>
      <c r="Z29" s="3365">
        <v>3.8588922630979918</v>
      </c>
      <c r="AA29" s="3366">
        <v>0.52434036477294932</v>
      </c>
      <c r="AB29" s="3367">
        <v>1.2973843989105309</v>
      </c>
      <c r="AC29" s="3367">
        <v>1.2702818131079285</v>
      </c>
      <c r="AD29" s="3367">
        <v>1.1793000371937681</v>
      </c>
      <c r="AE29" s="3367">
        <v>1.0614213080675561</v>
      </c>
      <c r="AF29" s="3367">
        <v>1.1084295581047747</v>
      </c>
      <c r="AG29" s="3367">
        <v>0.96006568126416436</v>
      </c>
      <c r="AH29" s="3597">
        <v>0.98814033740546825</v>
      </c>
      <c r="AI29" s="3367">
        <v>4.0340508410276446</v>
      </c>
      <c r="AJ29" s="3367">
        <v>1.8302731141970938</v>
      </c>
      <c r="AK29" s="3367">
        <v>1.6906371058116156</v>
      </c>
      <c r="AL29" s="3367">
        <v>16.108602824103738</v>
      </c>
      <c r="AM29" s="3381">
        <v>1.7229897471503111</v>
      </c>
      <c r="AN29" s="3367">
        <v>1.3700575564100463</v>
      </c>
      <c r="AO29" s="3367">
        <v>1.2607555312718737</v>
      </c>
      <c r="AP29" s="3367">
        <v>1.1390725858196473</v>
      </c>
      <c r="AQ29" s="3367">
        <v>1.1796007905878521</v>
      </c>
      <c r="AR29" s="3367">
        <v>1.8497428998196035</v>
      </c>
      <c r="AS29" s="3367">
        <v>3.9194072435438403</v>
      </c>
      <c r="AT29" s="3597">
        <v>3.7933582026985939</v>
      </c>
      <c r="AU29" s="3367">
        <v>6.4970959630751386</v>
      </c>
      <c r="AV29" s="3367">
        <v>11.054605562895174</v>
      </c>
      <c r="AW29" s="3367">
        <v>2.6637561057708243</v>
      </c>
      <c r="AX29" s="3367">
        <v>2.7571021199647663</v>
      </c>
      <c r="AY29" s="3367">
        <v>2.4796050574689694</v>
      </c>
      <c r="AZ29" s="3367">
        <v>2.589452845168144</v>
      </c>
      <c r="BA29" s="3367">
        <v>2.4480374700080194</v>
      </c>
      <c r="BB29" s="3367">
        <v>8.3002711563212621</v>
      </c>
      <c r="BC29" s="3367">
        <v>6.862136968798854</v>
      </c>
      <c r="BD29" s="3367">
        <v>6.6032610833449175</v>
      </c>
      <c r="BE29" s="3367">
        <v>4.0923034200990029</v>
      </c>
      <c r="BF29" s="3372">
        <v>2.7061510736347811</v>
      </c>
      <c r="BG29" s="3367">
        <v>2.2640621221929478</v>
      </c>
      <c r="BH29" s="3367">
        <v>2.3252706285907832</v>
      </c>
      <c r="BI29" s="3367">
        <v>1.3266603896001763</v>
      </c>
      <c r="BJ29" s="3367">
        <v>1.1191981619002065</v>
      </c>
      <c r="BK29" s="3367">
        <v>1.2610414237964453</v>
      </c>
      <c r="BL29" s="3367">
        <v>1.8796823171169932</v>
      </c>
      <c r="BM29" s="3367">
        <v>3.4129086403684723</v>
      </c>
      <c r="BN29" s="3367">
        <v>3.5672471702934816</v>
      </c>
      <c r="BO29" s="3367">
        <v>2.6012851239821475</v>
      </c>
      <c r="BP29" s="3370">
        <v>1.0957194669444494</v>
      </c>
      <c r="BQ29" s="4240">
        <v>1.6236451317733622</v>
      </c>
      <c r="BR29" s="3370">
        <v>1.0413487261385788</v>
      </c>
      <c r="BS29" s="4240">
        <v>0.75919750714119161</v>
      </c>
    </row>
    <row r="30" spans="1:153" s="3373" customFormat="1" ht="9.9499999999999993" customHeight="1">
      <c r="A30" s="3370"/>
      <c r="B30" s="3371"/>
      <c r="C30" s="3375"/>
      <c r="D30" s="3375"/>
      <c r="E30" s="3375"/>
      <c r="F30" s="3375"/>
      <c r="G30" s="3375"/>
      <c r="H30" s="3375"/>
      <c r="I30" s="3375"/>
      <c r="J30" s="3567"/>
      <c r="K30" s="3571"/>
      <c r="L30" s="3571"/>
      <c r="M30" s="3571"/>
      <c r="N30" s="3571"/>
      <c r="O30" s="3571"/>
      <c r="P30" s="3375"/>
      <c r="Q30" s="3375"/>
      <c r="R30" s="3375"/>
      <c r="S30" s="3375"/>
      <c r="T30" s="3375"/>
      <c r="U30" s="3571"/>
      <c r="V30" s="3567"/>
      <c r="W30" s="3375"/>
      <c r="X30" s="3375"/>
      <c r="Y30" s="3375"/>
      <c r="Z30" s="3375"/>
      <c r="AA30" s="3382"/>
      <c r="AB30" s="3383"/>
      <c r="AC30" s="3384"/>
      <c r="AD30" s="3384"/>
      <c r="AE30" s="3384"/>
      <c r="AF30" s="3384"/>
      <c r="AG30" s="3563"/>
      <c r="AH30" s="3599"/>
      <c r="AI30" s="3384"/>
      <c r="AJ30" s="3385"/>
      <c r="AK30" s="3385"/>
      <c r="AL30" s="3385"/>
      <c r="AM30" s="3385"/>
      <c r="AN30" s="3385"/>
      <c r="AO30" s="3385"/>
      <c r="AP30" s="3385"/>
      <c r="AQ30" s="3385"/>
      <c r="AR30" s="3385"/>
      <c r="AS30" s="3385"/>
      <c r="AT30" s="3603"/>
      <c r="AU30" s="3385"/>
      <c r="AV30" s="3385"/>
      <c r="AW30" s="3385"/>
      <c r="AX30" s="3385"/>
      <c r="AY30" s="3385"/>
      <c r="AZ30" s="3368"/>
      <c r="BA30" s="3368"/>
      <c r="BB30" s="3386"/>
      <c r="BC30" s="3386"/>
      <c r="BD30" s="3386"/>
      <c r="BE30" s="3386"/>
      <c r="BF30" s="3387"/>
      <c r="BG30" s="3386"/>
      <c r="BH30" s="3368"/>
      <c r="BI30" s="3368"/>
      <c r="BJ30" s="3368"/>
      <c r="BK30" s="3368"/>
      <c r="BL30" s="3368"/>
      <c r="BM30" s="3368"/>
      <c r="BN30" s="3368"/>
      <c r="BO30" s="3607"/>
      <c r="BP30" s="4235"/>
      <c r="BQ30" s="4240"/>
      <c r="BR30" s="3370"/>
      <c r="BS30" s="4240"/>
    </row>
    <row r="31" spans="1:153" ht="7.5" customHeight="1">
      <c r="A31" s="3345"/>
      <c r="B31" s="3388"/>
      <c r="C31" s="3390"/>
      <c r="D31" s="3390"/>
      <c r="E31" s="3390"/>
      <c r="F31" s="3390"/>
      <c r="G31" s="3390"/>
      <c r="H31" s="3390"/>
      <c r="I31" s="3390"/>
      <c r="J31" s="3389"/>
      <c r="K31" s="3572"/>
      <c r="L31" s="3572"/>
      <c r="M31" s="3572"/>
      <c r="N31" s="3572"/>
      <c r="O31" s="3572"/>
      <c r="P31" s="3390"/>
      <c r="Q31" s="3390"/>
      <c r="R31" s="3390"/>
      <c r="S31" s="3391"/>
      <c r="T31" s="3391"/>
      <c r="U31" s="3588"/>
      <c r="V31" s="3591"/>
      <c r="W31" s="3391"/>
      <c r="X31" s="3391"/>
      <c r="Y31" s="3391"/>
      <c r="Z31" s="3391"/>
      <c r="AA31" s="3391"/>
      <c r="AB31" s="3392"/>
      <c r="AC31" s="3392"/>
      <c r="AD31" s="3392"/>
      <c r="AE31" s="3392"/>
      <c r="AF31" s="3392"/>
      <c r="AG31" s="3555"/>
      <c r="AH31" s="3600"/>
      <c r="AI31" s="3392"/>
      <c r="AJ31" s="3392"/>
      <c r="AK31" s="3392"/>
      <c r="AL31" s="3555"/>
      <c r="AM31" s="3555"/>
      <c r="AN31" s="3555"/>
      <c r="AO31" s="3555"/>
      <c r="AP31" s="3555"/>
      <c r="AQ31" s="3555"/>
      <c r="AR31" s="3555"/>
      <c r="AS31" s="3555"/>
      <c r="AT31" s="3600"/>
      <c r="AU31" s="3555"/>
      <c r="AV31" s="3555"/>
      <c r="AW31" s="3555"/>
      <c r="AX31" s="3555"/>
      <c r="AY31" s="3555"/>
      <c r="AZ31" s="3393"/>
      <c r="BA31" s="3393"/>
      <c r="BB31" s="3394"/>
      <c r="BC31" s="3394"/>
      <c r="BD31" s="3394"/>
      <c r="BE31" s="3394"/>
      <c r="BF31" s="3395"/>
      <c r="BG31" s="3394"/>
      <c r="BH31" s="3393"/>
      <c r="BI31" s="3393"/>
      <c r="BJ31" s="3393"/>
      <c r="BK31" s="3606"/>
      <c r="BL31" s="3393"/>
      <c r="BM31" s="3393"/>
      <c r="BN31" s="3606"/>
      <c r="BO31" s="3394"/>
      <c r="BP31" s="3392"/>
      <c r="BQ31" s="4244"/>
      <c r="BR31" s="4383"/>
      <c r="BS31" s="4384"/>
      <c r="BT31" s="3561"/>
      <c r="BU31" s="3561"/>
      <c r="BV31" s="3561"/>
      <c r="BW31" s="3561"/>
      <c r="BX31" s="3561"/>
      <c r="BY31" s="3561"/>
      <c r="BZ31" s="3561"/>
      <c r="CA31" s="3561"/>
      <c r="CB31" s="3561"/>
      <c r="CC31" s="3561"/>
      <c r="CD31" s="3561"/>
      <c r="CE31" s="3561"/>
      <c r="CF31" s="3561"/>
      <c r="CG31" s="3561"/>
      <c r="CH31" s="3561"/>
      <c r="CI31" s="3561"/>
      <c r="CJ31" s="3561"/>
      <c r="CK31" s="3561"/>
      <c r="CL31" s="3561"/>
      <c r="CM31" s="3561"/>
      <c r="CN31" s="3561"/>
      <c r="CO31" s="3561"/>
      <c r="CP31" s="3561"/>
      <c r="CQ31" s="3561"/>
      <c r="CR31" s="3561"/>
      <c r="CS31" s="3561"/>
      <c r="CT31" s="3561"/>
      <c r="CU31" s="3561"/>
      <c r="CV31" s="3561"/>
      <c r="CW31" s="3561"/>
      <c r="CX31" s="3561"/>
      <c r="CY31" s="3561"/>
      <c r="CZ31" s="3561"/>
      <c r="DA31" s="3561"/>
      <c r="DB31" s="3561"/>
      <c r="DC31" s="3561"/>
      <c r="DD31" s="3561"/>
      <c r="DE31" s="3561"/>
      <c r="DF31" s="3561"/>
      <c r="DG31" s="3561"/>
      <c r="DH31" s="3561"/>
      <c r="DI31" s="3561"/>
      <c r="DJ31" s="3561"/>
      <c r="DK31" s="3561"/>
      <c r="DL31" s="3561"/>
      <c r="DM31" s="3561"/>
      <c r="DN31" s="3561"/>
      <c r="DO31" s="3561"/>
      <c r="DP31" s="3561"/>
      <c r="DQ31" s="3561"/>
      <c r="DR31" s="3561"/>
      <c r="DS31" s="3561"/>
      <c r="DT31" s="3561"/>
      <c r="DU31" s="3561"/>
      <c r="DV31" s="3561"/>
      <c r="DW31" s="3561"/>
      <c r="DX31" s="3561"/>
      <c r="DY31" s="3561"/>
      <c r="DZ31" s="3561"/>
      <c r="EA31" s="3561"/>
      <c r="EB31" s="3561"/>
      <c r="EC31" s="3561"/>
      <c r="ED31" s="3561"/>
      <c r="EE31" s="3561"/>
      <c r="EF31" s="3561"/>
      <c r="EG31" s="3561"/>
      <c r="EH31" s="3561"/>
      <c r="EI31" s="3561"/>
      <c r="EJ31" s="3561"/>
      <c r="EK31" s="3561"/>
      <c r="EL31" s="3561"/>
      <c r="EM31" s="3561"/>
      <c r="EN31" s="3561"/>
      <c r="EO31" s="3561"/>
      <c r="EP31" s="3561"/>
      <c r="EQ31" s="3561"/>
      <c r="ER31" s="3561"/>
      <c r="ES31" s="3561"/>
      <c r="ET31" s="3561"/>
      <c r="EU31" s="3561"/>
      <c r="EV31" s="3561"/>
      <c r="EW31" s="3561"/>
    </row>
    <row r="32" spans="1:153" s="3363" customFormat="1">
      <c r="A32" s="3354"/>
      <c r="B32" s="3356" t="s">
        <v>1859</v>
      </c>
      <c r="C32" s="3358">
        <v>759.42785656936451</v>
      </c>
      <c r="D32" s="3358">
        <v>803.2256949035899</v>
      </c>
      <c r="E32" s="3358">
        <v>919.80595596832291</v>
      </c>
      <c r="F32" s="3358">
        <v>895.81249382840474</v>
      </c>
      <c r="G32" s="3358">
        <v>903.49958411174703</v>
      </c>
      <c r="H32" s="3358">
        <v>936.30286866554468</v>
      </c>
      <c r="I32" s="3358">
        <v>934.68847525399065</v>
      </c>
      <c r="J32" s="3565">
        <v>840.58240363794073</v>
      </c>
      <c r="K32" s="3358">
        <v>856.623635403957</v>
      </c>
      <c r="L32" s="3358">
        <v>877.85042806082538</v>
      </c>
      <c r="M32" s="3358">
        <v>967.96249820679861</v>
      </c>
      <c r="N32" s="3358">
        <v>1011.7376671313062</v>
      </c>
      <c r="O32" s="3358">
        <v>796.18189541479728</v>
      </c>
      <c r="P32" s="3358">
        <v>908.5392759169963</v>
      </c>
      <c r="Q32" s="3358">
        <v>920.58626429369531</v>
      </c>
      <c r="R32" s="3358">
        <v>930.79696821214839</v>
      </c>
      <c r="S32" s="3358">
        <v>919.76515399791697</v>
      </c>
      <c r="T32" s="3358">
        <v>961.64845427029559</v>
      </c>
      <c r="U32" s="3358">
        <v>740.11020011471919</v>
      </c>
      <c r="V32" s="3565">
        <v>717.45237396934522</v>
      </c>
      <c r="W32" s="3358">
        <v>741.98029488812938</v>
      </c>
      <c r="X32" s="3358">
        <v>769.1084514466545</v>
      </c>
      <c r="Y32" s="3358">
        <v>764.13852306989952</v>
      </c>
      <c r="Z32" s="3358">
        <v>781.76913865972779</v>
      </c>
      <c r="AA32" s="3396">
        <v>674.2930490756363</v>
      </c>
      <c r="AB32" s="3397">
        <v>771.23523278638879</v>
      </c>
      <c r="AC32" s="3397">
        <v>753.08018429327728</v>
      </c>
      <c r="AD32" s="3397">
        <v>827.31518606372288</v>
      </c>
      <c r="AE32" s="3397">
        <v>803.60257688680304</v>
      </c>
      <c r="AF32" s="3397">
        <v>822.10252306089717</v>
      </c>
      <c r="AG32" s="3397">
        <v>895.55555561066035</v>
      </c>
      <c r="AH32" s="3601">
        <v>879.86816230854413</v>
      </c>
      <c r="AI32" s="3397">
        <v>890.70867333649483</v>
      </c>
      <c r="AJ32" s="3397">
        <v>957.30392740410343</v>
      </c>
      <c r="AK32" s="3397">
        <v>927.68732826997916</v>
      </c>
      <c r="AL32" s="3397">
        <v>933.7289249754848</v>
      </c>
      <c r="AM32" s="3396">
        <v>916.86453074916858</v>
      </c>
      <c r="AN32" s="3397">
        <v>838.53652900662667</v>
      </c>
      <c r="AO32" s="3397">
        <v>818.07392296039598</v>
      </c>
      <c r="AP32" s="3397">
        <v>831.02401094668437</v>
      </c>
      <c r="AQ32" s="3397">
        <v>891.7135751963848</v>
      </c>
      <c r="AR32" s="3397">
        <v>920.81531839422723</v>
      </c>
      <c r="AS32" s="3397">
        <v>933.11199146393369</v>
      </c>
      <c r="AT32" s="3601">
        <v>918.38831122525096</v>
      </c>
      <c r="AU32" s="3397">
        <v>953.95105580036079</v>
      </c>
      <c r="AV32" s="3397">
        <v>965.42193790216299</v>
      </c>
      <c r="AW32" s="3397">
        <v>918.95354862971919</v>
      </c>
      <c r="AX32" s="3397">
        <v>1067.3148317788055</v>
      </c>
      <c r="AY32" s="3397">
        <v>997.88598892811694</v>
      </c>
      <c r="AZ32" s="3360">
        <v>978.81470872845421</v>
      </c>
      <c r="BA32" s="3360">
        <v>991.85266292090057</v>
      </c>
      <c r="BB32" s="3360">
        <v>1102.6532038568739</v>
      </c>
      <c r="BC32" s="3360">
        <v>1117.5358905942221</v>
      </c>
      <c r="BD32" s="3360">
        <v>1197.300529691041</v>
      </c>
      <c r="BE32" s="3360">
        <v>1183.8972161837316</v>
      </c>
      <c r="BF32" s="3362">
        <v>1182.4310953825852</v>
      </c>
      <c r="BG32" s="3360">
        <v>1134.6716165189641</v>
      </c>
      <c r="BH32" s="3360">
        <v>1010.2921181132052</v>
      </c>
      <c r="BI32" s="3360">
        <v>943.73163205464152</v>
      </c>
      <c r="BJ32" s="3360">
        <v>928.78731965559166</v>
      </c>
      <c r="BK32" s="3360">
        <v>958.45060894692028</v>
      </c>
      <c r="BL32" s="3360">
        <v>932.42888036150077</v>
      </c>
      <c r="BM32" s="3360">
        <v>1018.874946438538</v>
      </c>
      <c r="BN32" s="3360">
        <v>1143.4737471146555</v>
      </c>
      <c r="BO32" s="3360">
        <v>1114.6756467470959</v>
      </c>
      <c r="BP32" s="3354">
        <v>1072.1855023485703</v>
      </c>
      <c r="BQ32" s="4238">
        <v>1039.8825184339476</v>
      </c>
      <c r="BR32" s="4389">
        <v>999.76474748759892</v>
      </c>
      <c r="BS32" s="4390">
        <v>1022.2699458790953</v>
      </c>
    </row>
    <row r="33" spans="1:71" ht="6" customHeight="1">
      <c r="A33" s="3345"/>
      <c r="B33" s="3398"/>
      <c r="C33" s="3401"/>
      <c r="D33" s="3401"/>
      <c r="E33" s="3401"/>
      <c r="F33" s="3401"/>
      <c r="G33" s="3401"/>
      <c r="H33" s="3401"/>
      <c r="I33" s="3401"/>
      <c r="J33" s="3568"/>
      <c r="K33" s="3557"/>
      <c r="L33" s="3557"/>
      <c r="M33" s="3557"/>
      <c r="N33" s="3557"/>
      <c r="O33" s="3557"/>
      <c r="P33" s="3401"/>
      <c r="Q33" s="3401"/>
      <c r="R33" s="3401"/>
      <c r="S33" s="3399"/>
      <c r="T33" s="3399"/>
      <c r="U33" s="3589"/>
      <c r="V33" s="3592"/>
      <c r="W33" s="3399"/>
      <c r="X33" s="3399"/>
      <c r="Y33" s="3399"/>
      <c r="Z33" s="3399"/>
      <c r="AA33" s="3382"/>
      <c r="AB33" s="3384"/>
      <c r="AC33" s="3384"/>
      <c r="AD33" s="3384"/>
      <c r="AE33" s="3384"/>
      <c r="AF33" s="3384"/>
      <c r="AG33" s="3563"/>
      <c r="AH33" s="3599"/>
      <c r="AI33" s="3384"/>
      <c r="AJ33" s="3384"/>
      <c r="AK33" s="3384"/>
      <c r="AL33" s="3563"/>
      <c r="AM33" s="3385"/>
      <c r="AN33" s="3385"/>
      <c r="AO33" s="3385"/>
      <c r="AP33" s="3385"/>
      <c r="AQ33" s="3385"/>
      <c r="AR33" s="3385"/>
      <c r="AS33" s="3385"/>
      <c r="AT33" s="3603"/>
      <c r="AU33" s="3385"/>
      <c r="AV33" s="3385"/>
      <c r="AW33" s="3385"/>
      <c r="AX33" s="3385"/>
      <c r="AY33" s="3385"/>
      <c r="AZ33" s="3386"/>
      <c r="BA33" s="3386"/>
      <c r="BB33" s="3368"/>
      <c r="BC33" s="3368"/>
      <c r="BD33" s="3386"/>
      <c r="BE33" s="3386"/>
      <c r="BF33" s="3387"/>
      <c r="BG33" s="3386"/>
      <c r="BH33" s="3386"/>
      <c r="BI33" s="3386"/>
      <c r="BJ33" s="3386"/>
      <c r="BK33" s="3607"/>
      <c r="BL33" s="3386"/>
      <c r="BM33" s="3386"/>
      <c r="BN33" s="3607"/>
      <c r="BO33" s="3607"/>
      <c r="BP33" s="4236"/>
      <c r="BQ33" s="4241"/>
      <c r="BR33" s="4385"/>
      <c r="BS33" s="4386"/>
    </row>
    <row r="34" spans="1:71" s="3410" customFormat="1" ht="24.95" customHeight="1">
      <c r="A34" s="3402"/>
      <c r="B34" s="3403" t="s">
        <v>1860</v>
      </c>
      <c r="C34" s="3405">
        <v>46.6</v>
      </c>
      <c r="D34" s="3405">
        <v>46.836399999999998</v>
      </c>
      <c r="E34" s="3405">
        <v>46.567100000000003</v>
      </c>
      <c r="F34" s="3405">
        <v>46.058999999999997</v>
      </c>
      <c r="G34" s="3405">
        <v>44.411900000000003</v>
      </c>
      <c r="H34" s="3405">
        <v>45.016500000000001</v>
      </c>
      <c r="I34" s="3405">
        <v>45.159100000000002</v>
      </c>
      <c r="J34" s="3404">
        <v>45.394500000000001</v>
      </c>
      <c r="K34" s="3405">
        <v>45.436799999999998</v>
      </c>
      <c r="L34" s="3405">
        <v>44.9895</v>
      </c>
      <c r="M34" s="3405">
        <v>44.368099999999998</v>
      </c>
      <c r="N34" s="3405">
        <v>44.904800000000002</v>
      </c>
      <c r="O34" s="3405">
        <v>44.72</v>
      </c>
      <c r="P34" s="3405">
        <v>44.415930000000003</v>
      </c>
      <c r="Q34" s="3405">
        <v>45.278529999999996</v>
      </c>
      <c r="R34" s="3405">
        <v>47.638009999999994</v>
      </c>
      <c r="S34" s="3405">
        <v>49.256900000000002</v>
      </c>
      <c r="T34" s="3405">
        <v>50.843319999999999</v>
      </c>
      <c r="U34" s="3405">
        <v>52.667789999999997</v>
      </c>
      <c r="V34" s="3404">
        <v>51.345999999999997</v>
      </c>
      <c r="W34" s="3405">
        <v>49.164000000000001</v>
      </c>
      <c r="X34" s="3405">
        <v>50.323</v>
      </c>
      <c r="Y34" s="3405">
        <v>51.802999999999997</v>
      </c>
      <c r="Z34" s="3405">
        <v>54.473999999999997</v>
      </c>
      <c r="AA34" s="3406">
        <v>56.308999999999997</v>
      </c>
      <c r="AB34" s="3407">
        <v>55.807000000000002</v>
      </c>
      <c r="AC34" s="3407">
        <v>55.722000000000001</v>
      </c>
      <c r="AD34" s="3407">
        <v>52.697000000000003</v>
      </c>
      <c r="AE34" s="3407">
        <v>54.118000000000002</v>
      </c>
      <c r="AF34" s="3407">
        <v>54.526499999999999</v>
      </c>
      <c r="AG34" s="3407">
        <v>54.847299999999997</v>
      </c>
      <c r="AH34" s="3408">
        <v>53.289000000000001</v>
      </c>
      <c r="AI34" s="3407">
        <v>53.773499999999999</v>
      </c>
      <c r="AJ34" s="3407">
        <v>54.389299999999999</v>
      </c>
      <c r="AK34" s="3407">
        <v>54.219000000000001</v>
      </c>
      <c r="AL34" s="3407">
        <v>56.495800000000003</v>
      </c>
      <c r="AM34" s="3406">
        <v>59.6995</v>
      </c>
      <c r="AN34" s="3407">
        <v>61.115000000000002</v>
      </c>
      <c r="AO34" s="3407">
        <v>66.574200000000005</v>
      </c>
      <c r="AP34" s="3407">
        <v>62.777000000000001</v>
      </c>
      <c r="AQ34" s="3407">
        <v>61.41</v>
      </c>
      <c r="AR34" s="3407">
        <v>62.362499999999997</v>
      </c>
      <c r="AS34" s="3407">
        <v>62.002800000000001</v>
      </c>
      <c r="AT34" s="3408">
        <v>62.476999999999997</v>
      </c>
      <c r="AU34" s="3407">
        <v>62.072000000000003</v>
      </c>
      <c r="AV34" s="3407">
        <v>60.1</v>
      </c>
      <c r="AW34" s="3407">
        <v>60.338000000000001</v>
      </c>
      <c r="AX34" s="3407">
        <v>59.033999999999999</v>
      </c>
      <c r="AY34" s="3407">
        <v>60.093299999999999</v>
      </c>
      <c r="AZ34" s="3409">
        <v>60.246000000000002</v>
      </c>
      <c r="BA34" s="3409">
        <v>60.474499999999999</v>
      </c>
      <c r="BB34" s="3407">
        <v>61.613500000000002</v>
      </c>
      <c r="BC34" s="3407">
        <v>61.408000000000001</v>
      </c>
      <c r="BD34" s="3407">
        <v>61.8658</v>
      </c>
      <c r="BE34" s="3407">
        <v>63.331499999999998</v>
      </c>
      <c r="BF34" s="3408">
        <v>61.7575</v>
      </c>
      <c r="BG34" s="3407">
        <v>61.790799999999997</v>
      </c>
      <c r="BH34" s="3407">
        <v>62.590800000000002</v>
      </c>
      <c r="BI34" s="3407">
        <v>63.578000000000003</v>
      </c>
      <c r="BJ34" s="3407">
        <v>63.761499999999998</v>
      </c>
      <c r="BK34" s="3407">
        <v>63.754899999999999</v>
      </c>
      <c r="BL34" s="3407">
        <v>64.005399999999995</v>
      </c>
      <c r="BM34" s="3407">
        <v>66.306200000000004</v>
      </c>
      <c r="BN34" s="3564">
        <v>65.741799999999998</v>
      </c>
      <c r="BO34" s="3407">
        <v>65.223100000000002</v>
      </c>
      <c r="BP34" s="3407">
        <v>66.814800000000005</v>
      </c>
      <c r="BQ34" s="4245">
        <v>66.325999999999993</v>
      </c>
      <c r="BR34" s="4387">
        <v>67.876300000000001</v>
      </c>
      <c r="BS34" s="4388">
        <v>68.616</v>
      </c>
    </row>
    <row r="35" spans="1:71" ht="21" customHeight="1">
      <c r="A35" s="3345"/>
      <c r="B35" s="3411" t="s">
        <v>1861</v>
      </c>
      <c r="C35" s="3414"/>
      <c r="D35" s="3414"/>
      <c r="E35" s="3414"/>
      <c r="F35" s="3414"/>
      <c r="G35" s="3414"/>
      <c r="H35" s="3414"/>
      <c r="I35" s="3414"/>
      <c r="J35" s="3424"/>
      <c r="K35" s="3573"/>
      <c r="L35" s="3573"/>
      <c r="M35" s="3573"/>
      <c r="N35" s="3573"/>
      <c r="O35" s="3573"/>
      <c r="P35" s="3414"/>
      <c r="Q35" s="3414"/>
      <c r="R35" s="3414"/>
      <c r="S35" s="3415"/>
      <c r="T35" s="3415"/>
      <c r="U35" s="3558"/>
      <c r="V35" s="3593"/>
      <c r="W35" s="3415"/>
      <c r="X35" s="3415"/>
      <c r="Y35" s="3415"/>
      <c r="Z35" s="3415"/>
      <c r="AA35" s="3413"/>
      <c r="AB35" s="3345"/>
      <c r="AC35" s="3345"/>
      <c r="AD35" s="3345"/>
      <c r="AE35" s="3345"/>
      <c r="AF35" s="3345"/>
      <c r="AG35" s="3345"/>
      <c r="AH35" s="3602"/>
      <c r="AI35" s="3345"/>
      <c r="AJ35" s="3345"/>
      <c r="AK35" s="3345"/>
      <c r="AL35" s="3345"/>
      <c r="AM35" s="3345"/>
      <c r="AN35" s="3345"/>
      <c r="AO35" s="3345"/>
      <c r="AP35" s="3345"/>
      <c r="AQ35" s="3345"/>
      <c r="AR35" s="3345"/>
      <c r="AS35" s="3345"/>
      <c r="AT35" s="3602"/>
      <c r="AU35" s="3345"/>
      <c r="AV35" s="3345"/>
      <c r="AW35" s="3345"/>
      <c r="AX35" s="3345"/>
      <c r="AY35" s="3345"/>
      <c r="AZ35" s="3345"/>
      <c r="BA35" s="3345"/>
      <c r="BB35" s="3345"/>
      <c r="BC35" s="3345"/>
      <c r="BD35" s="3416"/>
      <c r="BE35" s="3345"/>
      <c r="BF35" s="3417"/>
      <c r="BG35" s="3416"/>
      <c r="BH35" s="3416"/>
      <c r="BI35" s="3345"/>
      <c r="BJ35" s="3416"/>
      <c r="BK35" s="3556"/>
      <c r="BL35" s="3345"/>
      <c r="BM35" s="3345"/>
      <c r="BN35" s="3345"/>
      <c r="BO35" s="3345"/>
      <c r="BP35" s="3416"/>
      <c r="BQ35" s="4239"/>
      <c r="BR35" s="3370"/>
      <c r="BS35" s="4240"/>
    </row>
    <row r="36" spans="1:71" ht="20.100000000000001" customHeight="1">
      <c r="A36" s="3345"/>
      <c r="B36" s="3418" t="s">
        <v>1201</v>
      </c>
      <c r="C36" s="3419">
        <v>11.462641251238111</v>
      </c>
      <c r="D36" s="3419">
        <v>8.8526038379279672</v>
      </c>
      <c r="E36" s="3419">
        <v>10.079183232282993</v>
      </c>
      <c r="F36" s="3419">
        <v>9.7091575879624479</v>
      </c>
      <c r="G36" s="3419">
        <v>9.4422879512592779</v>
      </c>
      <c r="H36" s="3419">
        <v>9.9183175811828193</v>
      </c>
      <c r="I36" s="3419">
        <v>9.932580559849745</v>
      </c>
      <c r="J36" s="3569">
        <v>8.9791135068495613</v>
      </c>
      <c r="K36" s="3419">
        <v>9.1589928663312943</v>
      </c>
      <c r="L36" s="3419">
        <v>9.2935496201988208</v>
      </c>
      <c r="M36" s="3419">
        <v>10.105999981013747</v>
      </c>
      <c r="N36" s="3419">
        <v>10.690810113651661</v>
      </c>
      <c r="O36" s="3419">
        <v>8.3784565726262876</v>
      </c>
      <c r="P36" s="3419">
        <v>9.5177239615765963</v>
      </c>
      <c r="Q36" s="3419">
        <v>9.8312207514213235</v>
      </c>
      <c r="R36" s="3419">
        <v>10.458254588816677</v>
      </c>
      <c r="S36" s="3419">
        <v>10.685495515405268</v>
      </c>
      <c r="T36" s="3419">
        <v>11.531900274221698</v>
      </c>
      <c r="U36" s="3419">
        <v>9.1937380042778454</v>
      </c>
      <c r="V36" s="3569">
        <v>8.6886105638514568</v>
      </c>
      <c r="W36" s="3419">
        <v>8.6037982916927529</v>
      </c>
      <c r="X36" s="3419">
        <v>9.128611947173308</v>
      </c>
      <c r="Y36" s="3419">
        <v>9.3363611839591449</v>
      </c>
      <c r="Z36" s="3419">
        <v>10.044271124807322</v>
      </c>
      <c r="AA36" s="3419">
        <v>8.9552380741685038</v>
      </c>
      <c r="AB36" s="3358">
        <v>10.199130265692087</v>
      </c>
      <c r="AC36" s="3358">
        <v>9.9438717978751505</v>
      </c>
      <c r="AD36" s="3358">
        <v>10.331050594996164</v>
      </c>
      <c r="AE36" s="3358">
        <v>10.305537771119328</v>
      </c>
      <c r="AF36" s="3358">
        <v>10.622364578153542</v>
      </c>
      <c r="AG36" s="3358">
        <v>11.639528442775566</v>
      </c>
      <c r="AH36" s="3565">
        <v>11.110734606843799</v>
      </c>
      <c r="AI36" s="3358">
        <v>11.349888271212969</v>
      </c>
      <c r="AJ36" s="3358">
        <v>12.338174561696977</v>
      </c>
      <c r="AK36" s="3358">
        <v>11.919024927509586</v>
      </c>
      <c r="AL36" s="3358">
        <v>12.500419154531658</v>
      </c>
      <c r="AM36" s="3358">
        <v>12.970701545125184</v>
      </c>
      <c r="AN36" s="3358">
        <v>10.779972871689832</v>
      </c>
      <c r="AO36" s="3358">
        <v>11.456352580552693</v>
      </c>
      <c r="AP36" s="3358">
        <v>10.973925189180338</v>
      </c>
      <c r="AQ36" s="3358">
        <v>11.518935356228251</v>
      </c>
      <c r="AR36" s="3358">
        <v>12.079359808357228</v>
      </c>
      <c r="AS36" s="3358">
        <v>12.170066136462847</v>
      </c>
      <c r="AT36" s="3565">
        <v>12.069641776776793</v>
      </c>
      <c r="AU36" s="3358">
        <v>12.455744675619501</v>
      </c>
      <c r="AV36" s="3358">
        <v>12.20504825267248</v>
      </c>
      <c r="AW36" s="3358">
        <v>11.66359242742627</v>
      </c>
      <c r="AX36" s="3358">
        <v>13.253867387727691</v>
      </c>
      <c r="AY36" s="3358">
        <v>12.614058593946883</v>
      </c>
      <c r="AZ36" s="3358">
        <v>11.427604867107384</v>
      </c>
      <c r="BA36" s="3358">
        <v>11.623741976946947</v>
      </c>
      <c r="BB36" s="3358">
        <v>13.165620567056941</v>
      </c>
      <c r="BC36" s="3358">
        <v>13.298814975686415</v>
      </c>
      <c r="BD36" s="3358">
        <v>14.354243820695853</v>
      </c>
      <c r="BE36" s="3358">
        <v>14.52982169138058</v>
      </c>
      <c r="BF36" s="3357">
        <v>14.151160615563093</v>
      </c>
      <c r="BG36" s="3358">
        <v>13.586904419206949</v>
      </c>
      <c r="BH36" s="3358">
        <v>12.254172182699602</v>
      </c>
      <c r="BI36" s="3358">
        <v>11.627380506130773</v>
      </c>
      <c r="BJ36" s="3358">
        <v>11.476284708501826</v>
      </c>
      <c r="BK36" s="3358">
        <v>11.841584475954551</v>
      </c>
      <c r="BL36" s="3358">
        <v>11.56535168592986</v>
      </c>
      <c r="BM36" s="3358">
        <v>13.091865459188032</v>
      </c>
      <c r="BN36" s="3358">
        <v>14.567811052668064</v>
      </c>
      <c r="BO36" s="3358">
        <v>14.088879686291456</v>
      </c>
      <c r="BP36" s="3358">
        <v>13.88254578007281</v>
      </c>
      <c r="BQ36" s="4238">
        <v>13.365788816571406</v>
      </c>
      <c r="BR36" s="3354">
        <v>13.150506812350631</v>
      </c>
      <c r="BS36" s="4238">
        <v>13.593068361513412</v>
      </c>
    </row>
    <row r="37" spans="1:71" ht="17.25" customHeight="1">
      <c r="A37" s="3345"/>
      <c r="B37" s="3420" t="s">
        <v>110</v>
      </c>
      <c r="C37" s="3419">
        <v>0.58419375097816129</v>
      </c>
      <c r="D37" s="3419">
        <v>0.47878260351945695</v>
      </c>
      <c r="E37" s="3419">
        <v>1.9861829172282146</v>
      </c>
      <c r="F37" s="3419">
        <v>1.610958385174845</v>
      </c>
      <c r="G37" s="3419">
        <v>1.1881530149031527</v>
      </c>
      <c r="H37" s="3419">
        <v>1.6945068635052667</v>
      </c>
      <c r="I37" s="3419">
        <v>1.7828851356407913</v>
      </c>
      <c r="J37" s="3569">
        <v>0.37926731700228866</v>
      </c>
      <c r="K37" s="3419">
        <v>0.59561418389006193</v>
      </c>
      <c r="L37" s="3419">
        <v>0.33532057277245497</v>
      </c>
      <c r="M37" s="3419">
        <v>1.5060549664765448</v>
      </c>
      <c r="N37" s="3419">
        <v>1.5245393489727088</v>
      </c>
      <c r="O37" s="3419">
        <v>0.22882238394805582</v>
      </c>
      <c r="P37" s="3419">
        <v>0.16053859513931118</v>
      </c>
      <c r="Q37" s="3419">
        <v>0.31278617218116261</v>
      </c>
      <c r="R37" s="3419">
        <v>8.100852955757698E-2</v>
      </c>
      <c r="S37" s="3419">
        <v>0.33508968215812324</v>
      </c>
      <c r="T37" s="3419">
        <v>0.53058505659370003</v>
      </c>
      <c r="U37" s="3419">
        <v>0.31673493639737399</v>
      </c>
      <c r="V37" s="3569">
        <v>0.28682708413166819</v>
      </c>
      <c r="W37" s="3419">
        <v>0.14361239618013866</v>
      </c>
      <c r="X37" s="3419">
        <v>0.3220209970214773</v>
      </c>
      <c r="Y37" s="3419">
        <v>0.30005162450864187</v>
      </c>
      <c r="Z37" s="3419">
        <v>0.38747026565297427</v>
      </c>
      <c r="AA37" s="3419">
        <v>0.45102483320087444</v>
      </c>
      <c r="AB37" s="3358">
        <v>0.60471224970117665</v>
      </c>
      <c r="AC37" s="3358">
        <v>0.28025377610679109</v>
      </c>
      <c r="AD37" s="3358">
        <v>0.63237637736986385</v>
      </c>
      <c r="AE37" s="3358">
        <v>0.37665539977388818</v>
      </c>
      <c r="AF37" s="3358">
        <v>0.2328772698278341</v>
      </c>
      <c r="AG37" s="3358">
        <v>0.36406152269551839</v>
      </c>
      <c r="AH37" s="3565">
        <v>0.38438003991950087</v>
      </c>
      <c r="AI37" s="3358">
        <v>0.25842497867581143</v>
      </c>
      <c r="AJ37" s="3358">
        <v>0.59520991273347601</v>
      </c>
      <c r="AK37" s="3358">
        <v>0.20058057198660356</v>
      </c>
      <c r="AL37" s="3358">
        <v>0.21991451308502047</v>
      </c>
      <c r="AM37" s="3358">
        <v>3.0253737997748398</v>
      </c>
      <c r="AN37" s="3358">
        <v>1.8772233388461403</v>
      </c>
      <c r="AO37" s="3358">
        <v>1.4467963848531056</v>
      </c>
      <c r="AP37" s="3358">
        <v>1.0917003511842571</v>
      </c>
      <c r="AQ37" s="3358">
        <v>1.5101433698583597</v>
      </c>
      <c r="AR37" s="3358">
        <v>1.60532461358962</v>
      </c>
      <c r="AS37" s="3358">
        <v>1.5638132688865554</v>
      </c>
      <c r="AT37" s="3565">
        <v>1.4630743408876428</v>
      </c>
      <c r="AU37" s="3358">
        <v>1.4931625875033554</v>
      </c>
      <c r="AV37" s="3358">
        <v>1.4043959915750364</v>
      </c>
      <c r="AW37" s="3358">
        <v>1.2382614082920314</v>
      </c>
      <c r="AX37" s="3358">
        <v>3.6528858023680861</v>
      </c>
      <c r="AY37" s="3358">
        <v>2.5724086434121993</v>
      </c>
      <c r="AZ37" s="3358">
        <v>1.7456554062027436</v>
      </c>
      <c r="BA37" s="3358">
        <v>1.8473404552189419</v>
      </c>
      <c r="BB37" s="3358">
        <v>3.2630951612938386</v>
      </c>
      <c r="BC37" s="3358">
        <v>3.7177961215192168</v>
      </c>
      <c r="BD37" s="3358">
        <v>4.7791488654770173</v>
      </c>
      <c r="BE37" s="3358">
        <v>4.9239304143316618</v>
      </c>
      <c r="BF37" s="3357">
        <v>4.9846015654843283</v>
      </c>
      <c r="BG37" s="3358">
        <v>3.96626586274758</v>
      </c>
      <c r="BH37" s="3358">
        <v>2.5881164791901989</v>
      </c>
      <c r="BI37" s="3358">
        <v>2.3937205654880973</v>
      </c>
      <c r="BJ37" s="3358">
        <v>2.3264148927461807</v>
      </c>
      <c r="BK37" s="3358">
        <v>2.560978218026472</v>
      </c>
      <c r="BL37" s="3358">
        <v>2.2982844545730496</v>
      </c>
      <c r="BM37" s="3358">
        <v>3.5199363316163188</v>
      </c>
      <c r="BN37" s="3358">
        <v>4.8072217255291037</v>
      </c>
      <c r="BO37" s="3358">
        <v>4.4506896911759108</v>
      </c>
      <c r="BP37" s="3358">
        <v>3.8394024727272962</v>
      </c>
      <c r="BQ37" s="4238">
        <v>3.3448173514952066</v>
      </c>
      <c r="BR37" s="3354">
        <v>3.4330250807047666</v>
      </c>
      <c r="BS37" s="4238">
        <v>3.8395067430359493</v>
      </c>
    </row>
    <row r="38" spans="1:71" ht="17.25" customHeight="1">
      <c r="A38" s="3345"/>
      <c r="B38" s="3421" t="s">
        <v>965</v>
      </c>
      <c r="C38" s="3422">
        <v>46.743827436679233</v>
      </c>
      <c r="D38" s="3422">
        <v>41.63865471728937</v>
      </c>
      <c r="E38" s="3422">
        <v>41.765735006971809</v>
      </c>
      <c r="F38" s="3422">
        <v>41.416064585548071</v>
      </c>
      <c r="G38" s="3422">
        <v>41.75973065907484</v>
      </c>
      <c r="H38" s="3422">
        <v>42.117031772035631</v>
      </c>
      <c r="I38" s="3422">
        <v>41.841110889048629</v>
      </c>
      <c r="J38" s="3570">
        <v>42.650120666214974</v>
      </c>
      <c r="K38" s="3574">
        <v>42.687218669397261</v>
      </c>
      <c r="L38" s="3574">
        <v>44.3677344058787</v>
      </c>
      <c r="M38" s="3574">
        <v>43.779732237712636</v>
      </c>
      <c r="N38" s="3574">
        <v>46.578238382210863</v>
      </c>
      <c r="O38" s="3574">
        <v>40.286747146142588</v>
      </c>
      <c r="P38" s="3422">
        <v>45.345758381220776</v>
      </c>
      <c r="Q38" s="3422">
        <v>46.276667578771367</v>
      </c>
      <c r="R38" s="3422">
        <v>50.192032902734184</v>
      </c>
      <c r="S38" s="3422">
        <v>50.31650440628276</v>
      </c>
      <c r="T38" s="3422">
        <v>53.655197488392908</v>
      </c>
      <c r="U38" s="3574">
        <v>43.183186647679392</v>
      </c>
      <c r="V38" s="3570">
        <v>40.85847531586402</v>
      </c>
      <c r="W38" s="3422">
        <v>40.997281971969898</v>
      </c>
      <c r="X38" s="3422">
        <v>42.848457320066792</v>
      </c>
      <c r="Y38" s="3422">
        <v>43.935783685922495</v>
      </c>
      <c r="Z38" s="3422">
        <v>47.019513146454237</v>
      </c>
      <c r="AA38" s="3422">
        <v>41.517299503693373</v>
      </c>
      <c r="AB38" s="3401">
        <v>87.18169931612475</v>
      </c>
      <c r="AC38" s="3401">
        <v>87.481679760576796</v>
      </c>
      <c r="AD38" s="3401">
        <v>88.150138361619412</v>
      </c>
      <c r="AE38" s="3401">
        <v>89.971742794893458</v>
      </c>
      <c r="AF38" s="3401">
        <v>93.984317619885104</v>
      </c>
      <c r="AG38" s="3557">
        <v>102.11030106329531</v>
      </c>
      <c r="AH38" s="3568">
        <v>97.175603755907161</v>
      </c>
      <c r="AI38" s="3401">
        <v>100.34427410732933</v>
      </c>
      <c r="AJ38" s="3401">
        <v>106.5600007776206</v>
      </c>
      <c r="AK38" s="3401">
        <v>105.94410808098012</v>
      </c>
      <c r="AL38" s="3401">
        <v>111.03529588792622</v>
      </c>
      <c r="AM38" s="3557">
        <v>92.768859037280691</v>
      </c>
      <c r="AN38" s="3557">
        <v>53.825884970856308</v>
      </c>
      <c r="AO38" s="3557">
        <v>59.853813899912545</v>
      </c>
      <c r="AP38" s="3557">
        <v>58.755723402333288</v>
      </c>
      <c r="AQ38" s="3557">
        <v>59.912701627500994</v>
      </c>
      <c r="AR38" s="3557">
        <v>62.722635422731244</v>
      </c>
      <c r="AS38" s="3557">
        <v>63.452630804255946</v>
      </c>
      <c r="AT38" s="3568">
        <v>63.353727421869614</v>
      </c>
      <c r="AU38" s="3557">
        <v>65.461205876572023</v>
      </c>
      <c r="AV38" s="3557">
        <v>64.427558403012455</v>
      </c>
      <c r="AW38" s="3557">
        <v>62.071377235792305</v>
      </c>
      <c r="AX38" s="3557">
        <v>59.675819152678201</v>
      </c>
      <c r="AY38" s="3557">
        <v>61.166697248630754</v>
      </c>
      <c r="AZ38" s="3557">
        <v>56.204512364652103</v>
      </c>
      <c r="BA38" s="3401">
        <v>56.837469683842883</v>
      </c>
      <c r="BB38" s="3401">
        <v>58.962643767435338</v>
      </c>
      <c r="BC38" s="3401">
        <v>57.608940400075035</v>
      </c>
      <c r="BD38" s="3401">
        <v>58.636972502692196</v>
      </c>
      <c r="BE38" s="3401">
        <v>58.954976654305</v>
      </c>
      <c r="BF38" s="3400">
        <v>56.544499716695668</v>
      </c>
      <c r="BG38" s="3401">
        <v>58.080262337400718</v>
      </c>
      <c r="BH38" s="3401">
        <v>56.957574514001848</v>
      </c>
      <c r="BI38" s="3401">
        <v>54.331046611335779</v>
      </c>
      <c r="BJ38" s="3401">
        <v>53.792439735857883</v>
      </c>
      <c r="BK38" s="3557">
        <v>54.762367073548518</v>
      </c>
      <c r="BL38" s="3401">
        <v>54.423519234474419</v>
      </c>
      <c r="BM38" s="3401">
        <v>57.359952877843668</v>
      </c>
      <c r="BN38" s="3557">
        <v>59.708410803535536</v>
      </c>
      <c r="BO38" s="3557">
        <v>58.663409185511313</v>
      </c>
      <c r="BP38" s="4237">
        <v>60.329896148247244</v>
      </c>
      <c r="BQ38" s="4246">
        <v>59.710599243347453</v>
      </c>
      <c r="BR38" s="4391">
        <v>58.091743323032844</v>
      </c>
      <c r="BS38" s="4392">
        <v>58.701166490478577</v>
      </c>
    </row>
    <row r="39" spans="1:71" ht="21" customHeight="1">
      <c r="A39" s="3345"/>
      <c r="B39" s="3423" t="s">
        <v>1862</v>
      </c>
      <c r="C39" s="3425"/>
      <c r="D39" s="3425"/>
      <c r="E39" s="3425"/>
      <c r="F39" s="3425"/>
      <c r="G39" s="3425"/>
      <c r="H39" s="3425"/>
      <c r="I39" s="3425"/>
      <c r="J39" s="3426"/>
      <c r="K39" s="3575"/>
      <c r="L39" s="3575"/>
      <c r="M39" s="3575"/>
      <c r="N39" s="3575"/>
      <c r="O39" s="3575"/>
      <c r="P39" s="3425"/>
      <c r="Q39" s="3425"/>
      <c r="R39" s="3419"/>
      <c r="S39" s="3427"/>
      <c r="T39" s="3427"/>
      <c r="U39" s="3427"/>
      <c r="V39" s="3594"/>
      <c r="W39" s="3428"/>
      <c r="X39" s="3427"/>
      <c r="Y39" s="3427"/>
      <c r="Z39" s="3427"/>
      <c r="AA39" s="3427"/>
      <c r="AB39" s="3345"/>
      <c r="AC39" s="3345"/>
      <c r="AD39" s="3345"/>
      <c r="AE39" s="3345"/>
      <c r="AF39" s="3345"/>
      <c r="AG39" s="3345"/>
      <c r="AH39" s="3602"/>
      <c r="AI39" s="3345"/>
      <c r="AJ39" s="3345"/>
      <c r="AK39" s="3345"/>
      <c r="AL39" s="3345"/>
      <c r="AM39" s="3413"/>
      <c r="AN39" s="3413"/>
      <c r="AO39" s="3413"/>
      <c r="AP39" s="3413"/>
      <c r="AQ39" s="3413"/>
      <c r="AR39" s="3413"/>
      <c r="AS39" s="3413"/>
      <c r="AT39" s="3604"/>
      <c r="AU39" s="3413"/>
      <c r="AV39" s="3413"/>
      <c r="AW39" s="3413"/>
      <c r="AX39" s="3413"/>
      <c r="AY39" s="3413"/>
      <c r="AZ39" s="3413"/>
      <c r="BA39" s="3413"/>
      <c r="BB39" s="3413"/>
      <c r="BC39" s="3413"/>
      <c r="BD39" s="3415"/>
      <c r="BE39" s="3413"/>
      <c r="BF39" s="3412"/>
      <c r="BG39" s="3413"/>
      <c r="BH39" s="3415"/>
      <c r="BI39" s="3415"/>
      <c r="BJ39" s="3415"/>
      <c r="BK39" s="3558"/>
      <c r="BL39" s="3413"/>
      <c r="BM39" s="3413"/>
      <c r="BN39" s="3413"/>
      <c r="BO39" s="3413"/>
      <c r="BP39" s="3413"/>
      <c r="BQ39" s="4239"/>
      <c r="BR39" s="3370"/>
      <c r="BS39" s="4240"/>
    </row>
    <row r="40" spans="1:71" ht="20.100000000000001" customHeight="1">
      <c r="A40" s="3345"/>
      <c r="B40" s="3418" t="s">
        <v>1201</v>
      </c>
      <c r="C40" s="3419">
        <v>9.7459615636461407</v>
      </c>
      <c r="D40" s="3419">
        <v>7.6538512093844577</v>
      </c>
      <c r="E40" s="3419">
        <v>8.7143365030636133</v>
      </c>
      <c r="F40" s="3419">
        <v>8.3944169316995154</v>
      </c>
      <c r="G40" s="3419">
        <v>8.1636847619307353</v>
      </c>
      <c r="H40" s="3419">
        <v>8.5752540612461701</v>
      </c>
      <c r="I40" s="3419">
        <v>8.5875856552627869</v>
      </c>
      <c r="J40" s="3569">
        <v>7.7632298961755515</v>
      </c>
      <c r="K40" s="3419">
        <v>7.9187513538526648</v>
      </c>
      <c r="L40" s="3419">
        <v>8.0350874502345491</v>
      </c>
      <c r="M40" s="3419">
        <v>8.7375219305900611</v>
      </c>
      <c r="N40" s="3419">
        <v>9.2431415000294912</v>
      </c>
      <c r="O40" s="3419">
        <v>7.243909379116694</v>
      </c>
      <c r="P40" s="3419">
        <v>7.967932456075066</v>
      </c>
      <c r="Q40" s="3419">
        <v>8.2303818879732127</v>
      </c>
      <c r="R40" s="3419">
        <v>8.7553144542263865</v>
      </c>
      <c r="S40" s="3419">
        <v>8.945553250983199</v>
      </c>
      <c r="T40" s="3419">
        <v>9.6541360987287295</v>
      </c>
      <c r="U40" s="3419">
        <v>7.6967018304659529</v>
      </c>
      <c r="V40" s="3569">
        <v>7.2738253798275547</v>
      </c>
      <c r="W40" s="3419">
        <v>7.2028232727339958</v>
      </c>
      <c r="X40" s="3419">
        <v>7.642180389601064</v>
      </c>
      <c r="Y40" s="3419">
        <v>7.8161013704146818</v>
      </c>
      <c r="Z40" s="3419">
        <v>8.4087408098892453</v>
      </c>
      <c r="AA40" s="3419">
        <v>7.4970373579973622</v>
      </c>
      <c r="AB40" s="3358">
        <v>8.5542801004372286</v>
      </c>
      <c r="AC40" s="3358">
        <v>8.3401880774086017</v>
      </c>
      <c r="AD40" s="3358">
        <v>8.6649251670665866</v>
      </c>
      <c r="AE40" s="3358">
        <v>8.6435268874182007</v>
      </c>
      <c r="AF40" s="3358">
        <v>8.909257903700496</v>
      </c>
      <c r="AG40" s="3358">
        <v>9.7623801189631862</v>
      </c>
      <c r="AH40" s="3565">
        <v>9.3188667535970247</v>
      </c>
      <c r="AI40" s="3358">
        <v>9.5194512523499668</v>
      </c>
      <c r="AJ40" s="3358">
        <v>10.348353082995288</v>
      </c>
      <c r="AK40" s="3358">
        <v>9.9968012073519557</v>
      </c>
      <c r="AL40" s="3358">
        <v>10.484431910869253</v>
      </c>
      <c r="AM40" s="3358">
        <v>10.878870180666887</v>
      </c>
      <c r="AN40" s="3358">
        <v>8.9528659478968322</v>
      </c>
      <c r="AO40" s="3358">
        <v>9.5146054750184277</v>
      </c>
      <c r="AP40" s="3358">
        <v>9.113945119379407</v>
      </c>
      <c r="AQ40" s="3358">
        <v>9.5665810419275061</v>
      </c>
      <c r="AR40" s="3358">
        <v>10.032018669049084</v>
      </c>
      <c r="AS40" s="3358">
        <v>10.107351103167559</v>
      </c>
      <c r="AT40" s="3565">
        <v>10.023947755044691</v>
      </c>
      <c r="AU40" s="3358">
        <v>10.344609739687634</v>
      </c>
      <c r="AV40" s="3358">
        <v>10.136404070250721</v>
      </c>
      <c r="AW40" s="3358">
        <v>9.6867200610388053</v>
      </c>
      <c r="AX40" s="3358">
        <v>11.007457943159633</v>
      </c>
      <c r="AY40" s="3358">
        <v>10.476090895098849</v>
      </c>
      <c r="AZ40" s="3358">
        <v>9.6526611134059603</v>
      </c>
      <c r="BA40" s="3358">
        <v>9.8183340671929429</v>
      </c>
      <c r="BB40" s="3358">
        <v>11.120726972917838</v>
      </c>
      <c r="BC40" s="3358">
        <v>11.233233530823201</v>
      </c>
      <c r="BD40" s="3358">
        <v>12.124732413455494</v>
      </c>
      <c r="BE40" s="3358">
        <v>12.273039403804038</v>
      </c>
      <c r="BF40" s="3357">
        <v>11.953192236859675</v>
      </c>
      <c r="BG40" s="3358">
        <v>11.476576716118103</v>
      </c>
      <c r="BH40" s="3358">
        <v>10.350845402906069</v>
      </c>
      <c r="BI40" s="3358">
        <v>9.8214074574239802</v>
      </c>
      <c r="BJ40" s="3358">
        <v>9.6937799670502098</v>
      </c>
      <c r="BK40" s="3358">
        <v>10.002341113592522</v>
      </c>
      <c r="BL40" s="3358">
        <v>9.7690129979001643</v>
      </c>
      <c r="BM40" s="3358">
        <v>11.058427561105791</v>
      </c>
      <c r="BN40" s="3358">
        <v>12.305128230350562</v>
      </c>
      <c r="BO40" s="3358">
        <v>11.900584826026149</v>
      </c>
      <c r="BP40" s="3358">
        <v>11.726298849559935</v>
      </c>
      <c r="BQ40" s="4238">
        <v>11.289804946884914</v>
      </c>
      <c r="BR40" s="3354">
        <v>11.107960697392242</v>
      </c>
      <c r="BS40" s="4238">
        <v>11.481783270501001</v>
      </c>
    </row>
    <row r="41" spans="1:71" ht="18.75" customHeight="1">
      <c r="A41" s="3345"/>
      <c r="B41" s="3420" t="s">
        <v>110</v>
      </c>
      <c r="C41" s="3419">
        <v>0.52907216445847316</v>
      </c>
      <c r="D41" s="3419">
        <v>0.43977362051095492</v>
      </c>
      <c r="E41" s="3419">
        <v>1.8243579572142199</v>
      </c>
      <c r="F41" s="3419">
        <v>1.4797049774429252</v>
      </c>
      <c r="G41" s="3419">
        <v>1.0913478251799758</v>
      </c>
      <c r="H41" s="3419">
        <v>1.5564463137685616</v>
      </c>
      <c r="I41" s="3419">
        <v>1.6376239347302279</v>
      </c>
      <c r="J41" s="3569">
        <v>0.34836637737777454</v>
      </c>
      <c r="K41" s="3419">
        <v>0.54708630629342736</v>
      </c>
      <c r="L41" s="3419">
        <v>0.3080002097736137</v>
      </c>
      <c r="M41" s="3419">
        <v>1.3833486021155721</v>
      </c>
      <c r="N41" s="3419">
        <v>1.4003269629697317</v>
      </c>
      <c r="O41" s="3419">
        <v>0.2101789987837244</v>
      </c>
      <c r="P41" s="3419">
        <v>0.14500910252814525</v>
      </c>
      <c r="Q41" s="3419">
        <v>0.28252920783220281</v>
      </c>
      <c r="R41" s="3419">
        <v>7.317227460521411E-2</v>
      </c>
      <c r="S41" s="3419">
        <v>0.30267521672296221</v>
      </c>
      <c r="T41" s="3419">
        <v>0.47925959987834327</v>
      </c>
      <c r="U41" s="3419">
        <v>0.28609599346771408</v>
      </c>
      <c r="V41" s="3569">
        <v>0.25908123846857578</v>
      </c>
      <c r="W41" s="3419">
        <v>0.12972023745397088</v>
      </c>
      <c r="X41" s="3419">
        <v>0.29087071387899854</v>
      </c>
      <c r="Y41" s="3419">
        <v>0.27102652009850448</v>
      </c>
      <c r="Z41" s="3419">
        <v>0.3499888324668749</v>
      </c>
      <c r="AA41" s="3419">
        <v>0.40739553142102974</v>
      </c>
      <c r="AB41" s="3358">
        <v>0.54017219653471882</v>
      </c>
      <c r="AC41" s="3358">
        <v>0.25034270084914417</v>
      </c>
      <c r="AD41" s="3358">
        <v>0.56488377235511278</v>
      </c>
      <c r="AE41" s="3358">
        <v>0.33645552034552723</v>
      </c>
      <c r="AF41" s="3358">
        <v>0.20802261973041156</v>
      </c>
      <c r="AG41" s="3358">
        <v>0.32520576933143264</v>
      </c>
      <c r="AH41" s="3565">
        <v>0.34335572095657463</v>
      </c>
      <c r="AI41" s="3358">
        <v>0.23084365901258391</v>
      </c>
      <c r="AJ41" s="3358">
        <v>0.53168403008101728</v>
      </c>
      <c r="AK41" s="3358">
        <v>0.17917290117032517</v>
      </c>
      <c r="AL41" s="3358">
        <v>0.19644335903845261</v>
      </c>
      <c r="AM41" s="3358">
        <v>2.7024800829990259</v>
      </c>
      <c r="AN41" s="3358">
        <v>1.6795847881315007</v>
      </c>
      <c r="AO41" s="3358">
        <v>1.2944742105201856</v>
      </c>
      <c r="AP41" s="3358">
        <v>0.97676353426009688</v>
      </c>
      <c r="AQ41" s="3358">
        <v>1.3511518738472448</v>
      </c>
      <c r="AR41" s="3358">
        <v>1.4363122092097511</v>
      </c>
      <c r="AS41" s="3358">
        <v>1.3991712778909418</v>
      </c>
      <c r="AT41" s="3565">
        <v>1.3090383845168114</v>
      </c>
      <c r="AU41" s="3358">
        <v>1.3359588687615698</v>
      </c>
      <c r="AV41" s="3358">
        <v>1.2565378317809295</v>
      </c>
      <c r="AW41" s="3358">
        <v>1.1078942936943985</v>
      </c>
      <c r="AX41" s="3358">
        <v>3.2683012721385243</v>
      </c>
      <c r="AY41" s="3358">
        <v>2.301579325659151</v>
      </c>
      <c r="AZ41" s="3358">
        <v>1.5935277490717779</v>
      </c>
      <c r="BA41" s="3358">
        <v>1.686351307889443</v>
      </c>
      <c r="BB41" s="3358">
        <v>2.9787280289725526</v>
      </c>
      <c r="BC41" s="3358">
        <v>3.3938034184647266</v>
      </c>
      <c r="BD41" s="3358">
        <v>4.3626630473700887</v>
      </c>
      <c r="BE41" s="3358">
        <v>4.4948273994144179</v>
      </c>
      <c r="BF41" s="3357">
        <v>4.550211275628687</v>
      </c>
      <c r="BG41" s="3358">
        <v>3.6206199058683666</v>
      </c>
      <c r="BH41" s="3358">
        <v>2.3625713372553987</v>
      </c>
      <c r="BI41" s="3358">
        <v>2.1851163357185808</v>
      </c>
      <c r="BJ41" s="3358">
        <v>2.1236761128641222</v>
      </c>
      <c r="BK41" s="3358">
        <v>2.3377980789867312</v>
      </c>
      <c r="BL41" s="3358">
        <v>2.0979971422819825</v>
      </c>
      <c r="BM41" s="3358">
        <v>3.2131864052125927</v>
      </c>
      <c r="BN41" s="3358">
        <v>4.3882894575595524</v>
      </c>
      <c r="BO41" s="3358">
        <v>4.0628279213617038</v>
      </c>
      <c r="BP41" s="3358">
        <v>3.504812208873695</v>
      </c>
      <c r="BQ41" s="4238">
        <v>3.053328421087786</v>
      </c>
      <c r="BR41" s="3354">
        <v>3.1338491605639702</v>
      </c>
      <c r="BS41" s="4238">
        <v>3.504907392395971</v>
      </c>
    </row>
    <row r="42" spans="1:71" ht="17.25" customHeight="1">
      <c r="A42" s="3345"/>
      <c r="B42" s="3421" t="s">
        <v>965</v>
      </c>
      <c r="C42" s="3422">
        <v>33.16303672219901</v>
      </c>
      <c r="D42" s="3422">
        <v>29.270595959684883</v>
      </c>
      <c r="E42" s="3422">
        <v>29.359929196769265</v>
      </c>
      <c r="F42" s="3422">
        <v>29.114122465162804</v>
      </c>
      <c r="G42" s="3422">
        <v>29.355708338951292</v>
      </c>
      <c r="H42" s="3422">
        <v>29.606879194120111</v>
      </c>
      <c r="I42" s="3422">
        <v>29.412915946806109</v>
      </c>
      <c r="J42" s="3570">
        <v>29.981623040626751</v>
      </c>
      <c r="K42" s="3574">
        <v>30.00770170886021</v>
      </c>
      <c r="L42" s="3574">
        <v>31.189048643827732</v>
      </c>
      <c r="M42" s="3574">
        <v>30.775702583426288</v>
      </c>
      <c r="N42" s="3574">
        <v>32.742959767945521</v>
      </c>
      <c r="O42" s="3574">
        <v>28.320249687487824</v>
      </c>
      <c r="P42" s="3422">
        <v>29.6534101654537</v>
      </c>
      <c r="Q42" s="3422">
        <v>30.262169027301134</v>
      </c>
      <c r="R42" s="3422">
        <v>32.822583452901448</v>
      </c>
      <c r="S42" s="3422">
        <v>32.903980361463574</v>
      </c>
      <c r="T42" s="3422">
        <v>35.087285678535437</v>
      </c>
      <c r="U42" s="3574">
        <v>28.239217770923663</v>
      </c>
      <c r="V42" s="3570">
        <v>26.718995789871784</v>
      </c>
      <c r="W42" s="3422">
        <v>26.809767029655639</v>
      </c>
      <c r="X42" s="3422">
        <v>28.02032483803551</v>
      </c>
      <c r="Y42" s="3422">
        <v>28.731371159928855</v>
      </c>
      <c r="Z42" s="3422">
        <v>30.747945538588063</v>
      </c>
      <c r="AA42" s="3422">
        <v>27.149827350883154</v>
      </c>
      <c r="AB42" s="3401">
        <v>49.076774514575838</v>
      </c>
      <c r="AC42" s="3401">
        <v>49.245641062792259</v>
      </c>
      <c r="AD42" s="3401">
        <v>49.621933246737214</v>
      </c>
      <c r="AE42" s="3401">
        <v>50.647360265570356</v>
      </c>
      <c r="AF42" s="3401">
        <v>52.906139704990593</v>
      </c>
      <c r="AG42" s="3557">
        <v>57.480460465995286</v>
      </c>
      <c r="AH42" s="3568">
        <v>54.702595054422829</v>
      </c>
      <c r="AI42" s="3401">
        <v>56.486319409047852</v>
      </c>
      <c r="AJ42" s="3401">
        <v>59.985308516108091</v>
      </c>
      <c r="AK42" s="3401">
        <v>59.638607003803315</v>
      </c>
      <c r="AL42" s="3401">
        <v>62.504564859325875</v>
      </c>
      <c r="AM42" s="3557">
        <v>52.221927453357516</v>
      </c>
      <c r="AN42" s="3557">
        <v>33.1873016637525</v>
      </c>
      <c r="AO42" s="3557">
        <v>36.903927890791145</v>
      </c>
      <c r="AP42" s="3557">
        <v>36.22688076714433</v>
      </c>
      <c r="AQ42" s="3557">
        <v>36.940236161074644</v>
      </c>
      <c r="AR42" s="3557">
        <v>38.672750555737579</v>
      </c>
      <c r="AS42" s="3557">
        <v>39.122842123259844</v>
      </c>
      <c r="AT42" s="3568">
        <v>39.061861493055666</v>
      </c>
      <c r="AU42" s="3557">
        <v>40.361264619710013</v>
      </c>
      <c r="AV42" s="3557">
        <v>39.723950982645412</v>
      </c>
      <c r="AW42" s="3557">
        <v>38.271205798551819</v>
      </c>
      <c r="AX42" s="3557">
        <v>36.794182080309298</v>
      </c>
      <c r="AY42" s="3557">
        <v>37.713409346912485</v>
      </c>
      <c r="AZ42" s="3401">
        <v>35.286988408394038</v>
      </c>
      <c r="BA42" s="3401">
        <v>35.684379234247736</v>
      </c>
      <c r="BB42" s="3401">
        <v>37.018631416118978</v>
      </c>
      <c r="BC42" s="3401">
        <v>36.168733195802972</v>
      </c>
      <c r="BD42" s="3401">
        <v>36.814164592007444</v>
      </c>
      <c r="BE42" s="3401">
        <v>37.013817757557177</v>
      </c>
      <c r="BF42" s="3400">
        <v>35.50044332946382</v>
      </c>
      <c r="BG42" s="3401">
        <v>36.464644165212846</v>
      </c>
      <c r="BH42" s="3401">
        <v>35.759784883568472</v>
      </c>
      <c r="BI42" s="3401">
        <v>34.110766757507996</v>
      </c>
      <c r="BJ42" s="3401">
        <v>33.772612154397819</v>
      </c>
      <c r="BK42" s="3557">
        <v>34.38156352292885</v>
      </c>
      <c r="BL42" s="3401">
        <v>34.168824024504929</v>
      </c>
      <c r="BM42" s="3401">
        <v>36.012410875028984</v>
      </c>
      <c r="BN42" s="3557">
        <v>37.486847786140913</v>
      </c>
      <c r="BO42" s="3557">
        <v>36.830762386044725</v>
      </c>
      <c r="BP42" s="4237">
        <v>37.877036139925494</v>
      </c>
      <c r="BQ42" s="4246">
        <v>37.488221758568152</v>
      </c>
      <c r="BR42" s="4391">
        <v>36.471852294771715</v>
      </c>
      <c r="BS42" s="4392">
        <v>36.854467628322567</v>
      </c>
    </row>
    <row r="43" spans="1:71" ht="16.5" customHeight="1">
      <c r="A43" s="3345"/>
      <c r="B43" s="3429" t="s">
        <v>1863</v>
      </c>
      <c r="C43" s="3430"/>
      <c r="D43" s="3430"/>
      <c r="E43" s="3430"/>
      <c r="F43" s="3430"/>
      <c r="G43" s="3430"/>
      <c r="H43" s="3430"/>
      <c r="I43" s="3430"/>
      <c r="J43" s="3430"/>
      <c r="K43" s="3430"/>
      <c r="L43" s="3430"/>
      <c r="M43" s="3430"/>
      <c r="N43" s="3430"/>
      <c r="O43" s="3430"/>
      <c r="P43" s="3430"/>
      <c r="Q43" s="3430"/>
      <c r="R43" s="3430"/>
      <c r="S43" s="3430"/>
      <c r="T43" s="3430"/>
      <c r="U43" s="3430"/>
      <c r="V43" s="3430"/>
      <c r="W43" s="3430"/>
      <c r="X43" s="3430"/>
      <c r="Y43" s="3430"/>
      <c r="Z43" s="3430"/>
      <c r="AA43" s="3430"/>
      <c r="AB43" s="3430"/>
      <c r="AC43" s="3430"/>
      <c r="AD43" s="3430"/>
      <c r="AE43" s="3430"/>
      <c r="AF43" s="3430"/>
      <c r="AG43" s="3430"/>
      <c r="AH43" s="3430"/>
      <c r="AI43" s="3430"/>
      <c r="AJ43" s="3430"/>
      <c r="AK43" s="3430"/>
      <c r="AL43" s="3430"/>
      <c r="AM43" s="3431"/>
      <c r="AN43" s="3431"/>
      <c r="AO43" s="3431"/>
      <c r="AP43" s="3431"/>
      <c r="AQ43" s="3431"/>
      <c r="AR43" s="3431"/>
      <c r="AS43" s="3431"/>
      <c r="AT43" s="3431"/>
      <c r="AU43" s="3431"/>
      <c r="AV43" s="3431"/>
      <c r="AW43" s="3431"/>
      <c r="AX43" s="3431"/>
      <c r="AY43" s="3431"/>
      <c r="AZ43" s="3430"/>
      <c r="BA43" s="3430"/>
      <c r="BB43" s="3430"/>
      <c r="BC43" s="3430"/>
      <c r="BD43" s="3430"/>
      <c r="BE43" s="3430"/>
      <c r="BF43" s="3430"/>
      <c r="BG43" s="3430"/>
      <c r="BH43" s="3430"/>
      <c r="BI43" s="3430"/>
      <c r="BJ43" s="3430"/>
      <c r="BK43" s="3430"/>
      <c r="BL43" s="3431"/>
      <c r="BM43" s="3431"/>
      <c r="BN43" s="3987"/>
      <c r="BO43" s="3987"/>
      <c r="BP43" s="3345"/>
      <c r="BQ43" s="3345"/>
    </row>
    <row r="44" spans="1:71" ht="117" customHeight="1">
      <c r="A44" s="3345"/>
      <c r="B44" s="3478" t="s">
        <v>1864</v>
      </c>
      <c r="C44" s="3478"/>
      <c r="D44" s="3478"/>
      <c r="E44" s="3478"/>
      <c r="F44" s="3478"/>
      <c r="G44" s="3478"/>
      <c r="H44" s="3478"/>
      <c r="I44" s="3478"/>
      <c r="J44" s="3478"/>
      <c r="K44" s="3478"/>
      <c r="L44" s="3478"/>
      <c r="M44" s="3478"/>
      <c r="N44" s="3478"/>
      <c r="O44" s="3478"/>
      <c r="P44" s="3478"/>
      <c r="Q44" s="3478"/>
      <c r="R44" s="3478"/>
      <c r="S44" s="3478"/>
      <c r="T44" s="3478"/>
      <c r="U44" s="3478"/>
      <c r="V44" s="3478"/>
      <c r="W44" s="3478"/>
      <c r="X44" s="3478"/>
      <c r="Y44" s="3478"/>
      <c r="Z44" s="3478"/>
      <c r="AA44" s="3478"/>
      <c r="AB44" s="3478"/>
      <c r="AC44" s="3478"/>
      <c r="AD44" s="3478"/>
      <c r="AE44" s="3478"/>
      <c r="AF44" s="3478"/>
      <c r="AG44" s="3478"/>
      <c r="AH44" s="3478"/>
      <c r="AI44" s="3478"/>
      <c r="AJ44" s="3478"/>
      <c r="AK44" s="3478"/>
      <c r="AL44" s="3478"/>
      <c r="AM44" s="3478"/>
      <c r="AN44" s="3478"/>
      <c r="AO44" s="3478"/>
      <c r="AP44" s="3478"/>
      <c r="AQ44" s="3478"/>
      <c r="AR44" s="3478"/>
      <c r="AS44" s="3478"/>
      <c r="AT44" s="3478"/>
      <c r="AU44" s="3478"/>
      <c r="AV44" s="3478"/>
      <c r="AW44" s="3478"/>
      <c r="AX44" s="3478"/>
      <c r="AY44" s="3478"/>
      <c r="AZ44" s="3478"/>
      <c r="BA44" s="3478"/>
      <c r="BB44" s="3478"/>
      <c r="BC44" s="3478"/>
      <c r="BD44" s="3478"/>
      <c r="BE44" s="3478"/>
      <c r="BF44" s="3988"/>
      <c r="BG44" s="3988"/>
      <c r="BH44" s="3988"/>
      <c r="BI44" s="3988"/>
      <c r="BJ44" s="3988"/>
      <c r="BK44" s="3988"/>
      <c r="BL44" s="3988"/>
      <c r="BM44" s="3432"/>
      <c r="BN44" s="3988"/>
      <c r="BO44" s="3988"/>
      <c r="BP44" s="3345"/>
      <c r="BQ44" s="3345"/>
    </row>
    <row r="45" spans="1:71">
      <c r="B45" s="4034"/>
      <c r="C45" s="4034"/>
      <c r="D45" s="4034"/>
      <c r="E45" s="4034"/>
      <c r="F45" s="4034"/>
      <c r="G45" s="4034"/>
      <c r="H45" s="4034"/>
      <c r="I45" s="4034"/>
      <c r="J45" s="4034"/>
      <c r="K45" s="4034"/>
      <c r="L45" s="4034"/>
      <c r="M45" s="4034"/>
      <c r="N45" s="4034"/>
      <c r="O45" s="4034"/>
      <c r="P45" s="4034"/>
      <c r="Q45" s="4034"/>
      <c r="R45" s="4034"/>
      <c r="S45" s="4034"/>
      <c r="T45" s="4034"/>
      <c r="U45" s="4034"/>
      <c r="V45" s="4034"/>
      <c r="W45" s="4034"/>
      <c r="X45" s="4034"/>
      <c r="Y45" s="4034"/>
      <c r="Z45" s="4034"/>
      <c r="AA45" s="4034"/>
      <c r="AB45" s="4034"/>
      <c r="AC45" s="4034"/>
      <c r="AD45" s="4034"/>
      <c r="AE45" s="4034"/>
      <c r="AF45" s="4034"/>
      <c r="AG45" s="4034"/>
      <c r="AH45" s="4034"/>
      <c r="AI45" s="4034"/>
      <c r="AJ45" s="4034"/>
      <c r="AK45" s="4034"/>
      <c r="AL45" s="4034"/>
      <c r="AM45" s="4034"/>
      <c r="AN45" s="4034"/>
      <c r="AO45" s="4034"/>
      <c r="AP45" s="4034"/>
      <c r="AQ45" s="4034"/>
      <c r="AR45" s="4034"/>
      <c r="AS45" s="4034"/>
      <c r="AT45" s="4034"/>
      <c r="AU45" s="4034"/>
      <c r="AV45" s="4034"/>
      <c r="AW45" s="4034"/>
      <c r="AX45" s="4034"/>
      <c r="AY45" s="4034"/>
      <c r="AZ45" s="4034"/>
      <c r="BA45" s="4034"/>
      <c r="BB45" s="4034"/>
      <c r="BC45" s="4034"/>
      <c r="BD45" s="4034"/>
      <c r="BE45" s="4034"/>
      <c r="BF45" s="4034"/>
      <c r="BG45" s="4034"/>
      <c r="BH45" s="4034"/>
      <c r="BI45" s="4034"/>
      <c r="BJ45" s="4034"/>
      <c r="BK45" s="4034"/>
      <c r="BL45" s="4034"/>
      <c r="BM45" s="4033"/>
      <c r="BN45" s="4033"/>
      <c r="BO45" s="4033"/>
    </row>
    <row r="46" spans="1:71">
      <c r="B46" s="4032"/>
      <c r="C46" s="3559"/>
      <c r="D46" s="3559"/>
      <c r="E46" s="3559"/>
      <c r="F46" s="3559"/>
      <c r="G46" s="3559"/>
      <c r="H46" s="3559"/>
      <c r="I46" s="3559"/>
      <c r="J46" s="3559"/>
      <c r="K46" s="3559"/>
      <c r="L46" s="3559"/>
      <c r="M46" s="3559"/>
      <c r="N46" s="3559"/>
      <c r="O46" s="3559"/>
      <c r="P46" s="3559"/>
      <c r="Q46" s="3559"/>
      <c r="R46" s="3559"/>
      <c r="S46" s="3559"/>
      <c r="T46" s="3559"/>
      <c r="U46" s="3559"/>
      <c r="V46" s="3559"/>
      <c r="W46" s="3559"/>
      <c r="X46" s="3559"/>
      <c r="Y46" s="3559"/>
      <c r="Z46" s="3559"/>
      <c r="AA46" s="3559"/>
      <c r="AB46" s="3559"/>
      <c r="AC46" s="3559"/>
      <c r="AD46" s="3559"/>
      <c r="AE46" s="3559"/>
      <c r="AF46" s="3559"/>
      <c r="AG46" s="3559"/>
      <c r="AH46" s="3559"/>
      <c r="AI46" s="3559"/>
      <c r="AJ46" s="3559"/>
      <c r="AK46" s="3559"/>
      <c r="AL46" s="3559"/>
      <c r="AM46" s="3559"/>
      <c r="AN46" s="3559"/>
      <c r="AO46" s="3559"/>
      <c r="AP46" s="3559"/>
      <c r="AQ46" s="3559"/>
      <c r="AR46" s="3559"/>
      <c r="AS46" s="3559"/>
      <c r="AT46" s="3559"/>
      <c r="AU46" s="3559"/>
      <c r="AV46" s="3559"/>
      <c r="AW46" s="3559"/>
      <c r="AX46" s="3559"/>
      <c r="AY46" s="3559"/>
      <c r="AZ46" s="3559"/>
      <c r="BA46" s="3559"/>
      <c r="BB46" s="3559"/>
      <c r="BC46" s="3559"/>
      <c r="BD46" s="3559"/>
      <c r="BE46" s="3559"/>
      <c r="BF46" s="3559"/>
      <c r="BG46" s="3559"/>
      <c r="BH46" s="3559"/>
      <c r="BI46" s="3559"/>
      <c r="BJ46" s="3559"/>
      <c r="BK46" s="3559"/>
      <c r="BL46" s="3559"/>
      <c r="BM46" s="3559"/>
      <c r="BN46" s="3559"/>
      <c r="BO46" s="3559"/>
    </row>
    <row r="47" spans="1:71">
      <c r="B47" s="3559"/>
      <c r="C47" s="3559"/>
      <c r="D47" s="3559"/>
      <c r="E47" s="3559"/>
      <c r="F47" s="3559"/>
      <c r="G47" s="3559"/>
      <c r="H47" s="3559"/>
      <c r="I47" s="3559"/>
      <c r="J47" s="3559"/>
      <c r="K47" s="3559"/>
      <c r="L47" s="3559"/>
      <c r="M47" s="3559"/>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c r="AR47" s="3559"/>
      <c r="AS47" s="3559"/>
      <c r="AT47" s="3559"/>
      <c r="AU47" s="3559"/>
      <c r="AV47" s="3559"/>
      <c r="AW47" s="3559"/>
      <c r="AX47" s="3559"/>
      <c r="AY47" s="3559"/>
      <c r="AZ47" s="3559"/>
      <c r="BA47" s="3559"/>
      <c r="BB47" s="3559"/>
      <c r="BC47" s="3559"/>
      <c r="BD47" s="3559"/>
      <c r="BE47" s="3559"/>
      <c r="BF47" s="3559"/>
      <c r="BG47" s="3559"/>
      <c r="BH47" s="3559"/>
      <c r="BI47" s="3559"/>
      <c r="BJ47" s="3559"/>
      <c r="BK47" s="3559"/>
      <c r="BL47" s="3559"/>
      <c r="BM47" s="3559"/>
      <c r="BN47" s="3559"/>
      <c r="BO47" s="3559"/>
    </row>
    <row r="53" spans="45:50">
      <c r="AU53" s="3580"/>
    </row>
    <row r="54" spans="45:50">
      <c r="AT54" s="3581"/>
      <c r="AU54" s="3580"/>
      <c r="AW54" s="3581"/>
      <c r="AX54" s="3582"/>
    </row>
    <row r="55" spans="45:50">
      <c r="AS55" s="3583"/>
      <c r="AT55" s="3581"/>
      <c r="AU55" s="3581"/>
      <c r="AV55" s="3581"/>
      <c r="AW55" s="3581"/>
      <c r="AX55" s="3582"/>
    </row>
    <row r="56" spans="45:50">
      <c r="AS56" s="3583"/>
      <c r="AT56" s="3581"/>
      <c r="AU56" s="3581"/>
      <c r="AV56" s="3581"/>
      <c r="AW56" s="3581"/>
      <c r="AX56" s="3582"/>
    </row>
    <row r="57" spans="45:50">
      <c r="AS57" s="3583"/>
      <c r="AT57" s="3581"/>
      <c r="AU57" s="3581"/>
      <c r="AV57" s="3581"/>
      <c r="AW57" s="3581"/>
      <c r="AX57" s="3582"/>
    </row>
    <row r="58" spans="45:50">
      <c r="AS58" s="3584"/>
      <c r="AT58" s="3581"/>
      <c r="AU58" s="3581"/>
      <c r="AV58" s="3581"/>
      <c r="AW58" s="3581"/>
      <c r="AX58" s="3581"/>
    </row>
    <row r="59" spans="45:50">
      <c r="AS59" s="3583"/>
      <c r="AT59" s="3581"/>
      <c r="AU59" s="3580"/>
      <c r="AV59" s="3581"/>
      <c r="AW59" s="3581"/>
      <c r="AX59" s="3583"/>
    </row>
    <row r="60" spans="45:50">
      <c r="AS60" s="3583"/>
      <c r="AT60" s="3581"/>
      <c r="AU60" s="3581"/>
      <c r="AV60" s="3581"/>
      <c r="AW60" s="3581"/>
      <c r="AX60" s="3583"/>
    </row>
    <row r="61" spans="45:50">
      <c r="AS61" s="3583"/>
      <c r="AT61" s="3581"/>
      <c r="AU61" s="3580"/>
      <c r="AV61" s="3581"/>
      <c r="AW61" s="3581"/>
      <c r="AX61" s="3582"/>
    </row>
    <row r="62" spans="45:50">
      <c r="AS62" s="3584"/>
      <c r="AT62" s="3581"/>
      <c r="AU62" s="3581"/>
      <c r="AV62" s="3581"/>
      <c r="AW62" s="3581"/>
      <c r="AX62" s="3581"/>
    </row>
    <row r="63" spans="45:50">
      <c r="AS63" s="3583"/>
      <c r="AT63" s="3581"/>
      <c r="AU63" s="3581"/>
      <c r="AV63" s="3581"/>
      <c r="AW63" s="3581"/>
      <c r="AX63" s="3582"/>
    </row>
    <row r="64" spans="45:50">
      <c r="AS64" s="3583"/>
      <c r="AT64" s="3581"/>
      <c r="AU64" s="3580"/>
      <c r="AV64" s="3581"/>
      <c r="AW64" s="3581"/>
      <c r="AX64" s="3582"/>
    </row>
    <row r="65" spans="45:53">
      <c r="AS65" s="3583"/>
      <c r="AT65" s="3581"/>
      <c r="AU65" s="3580"/>
      <c r="AV65" s="3581"/>
      <c r="AW65" s="3581"/>
      <c r="AX65" s="3582"/>
    </row>
    <row r="66" spans="45:53">
      <c r="AS66" s="3584"/>
      <c r="AT66" s="3581"/>
      <c r="AU66" s="3581"/>
      <c r="AV66" s="3581"/>
      <c r="AW66" s="4741"/>
      <c r="AX66" s="4741"/>
    </row>
    <row r="67" spans="45:53">
      <c r="AS67" s="3583"/>
      <c r="AT67" s="3581"/>
      <c r="AU67" s="3580"/>
      <c r="AV67" s="3581"/>
      <c r="AW67" s="3581"/>
      <c r="AX67" s="3582"/>
      <c r="BA67" s="3436"/>
    </row>
    <row r="68" spans="45:53">
      <c r="AS68" s="3581"/>
      <c r="AT68" s="3581"/>
      <c r="AU68" s="3580"/>
      <c r="AV68" s="3581"/>
      <c r="AW68" s="3581"/>
      <c r="AX68" s="3581"/>
    </row>
    <row r="69" spans="45:53">
      <c r="AS69" s="3581"/>
      <c r="AT69" s="3581"/>
      <c r="AU69" s="3580"/>
      <c r="AV69" s="3580"/>
      <c r="AW69" s="3581"/>
      <c r="AX69" s="3581"/>
      <c r="BA69" s="3436"/>
    </row>
    <row r="70" spans="45:53">
      <c r="AS70" s="3584"/>
      <c r="AT70" s="3581"/>
      <c r="AU70" s="3580"/>
      <c r="AV70" s="3580"/>
      <c r="AW70" s="3580"/>
      <c r="AX70" s="3581"/>
    </row>
    <row r="71" spans="45:53">
      <c r="AS71" s="3584"/>
      <c r="AT71" s="3581"/>
      <c r="AU71" s="3580"/>
      <c r="AV71" s="3581"/>
      <c r="AW71" s="3581"/>
      <c r="AX71" s="3581"/>
    </row>
    <row r="72" spans="45:53">
      <c r="AS72" s="4742"/>
      <c r="AT72" s="4742"/>
      <c r="AU72" s="4742"/>
      <c r="AV72" s="4742"/>
      <c r="AW72" s="4742"/>
      <c r="AX72" s="4742"/>
    </row>
    <row r="75" spans="45:53">
      <c r="AU75" s="3434"/>
    </row>
    <row r="76" spans="45:53">
      <c r="AT76" s="3581"/>
      <c r="AU76" s="3580"/>
      <c r="AW76" s="3581"/>
      <c r="AX76" s="3582"/>
    </row>
    <row r="77" spans="45:53">
      <c r="AS77" s="3583"/>
      <c r="AT77" s="3581"/>
      <c r="AU77" s="3581"/>
      <c r="AV77" s="3581"/>
      <c r="AW77" s="3581"/>
      <c r="AX77" s="3582"/>
    </row>
    <row r="78" spans="45:53">
      <c r="AS78" s="3583"/>
      <c r="AT78" s="3581"/>
      <c r="AU78" s="3581"/>
      <c r="AV78" s="3581"/>
      <c r="AW78" s="3581"/>
      <c r="AX78" s="3582"/>
    </row>
    <row r="79" spans="45:53">
      <c r="AS79" s="3583"/>
      <c r="AT79" s="3581"/>
      <c r="AU79" s="3581"/>
      <c r="AV79" s="3581"/>
      <c r="AW79" s="3581"/>
      <c r="AX79" s="3582"/>
    </row>
    <row r="80" spans="45:53">
      <c r="AS80" s="3584"/>
      <c r="AT80" s="3581"/>
      <c r="AU80" s="3581"/>
      <c r="AV80" s="3581"/>
      <c r="AW80" s="3581"/>
      <c r="AX80" s="3581"/>
    </row>
    <row r="81" spans="45:50">
      <c r="AS81" s="3583"/>
      <c r="AT81" s="3581"/>
      <c r="AU81" s="3580"/>
      <c r="AV81" s="3581"/>
      <c r="AW81" s="3581"/>
      <c r="AX81" s="3583"/>
    </row>
    <row r="82" spans="45:50">
      <c r="AS82" s="3583"/>
      <c r="AT82" s="3581"/>
      <c r="AU82" s="3581"/>
      <c r="AV82" s="3581"/>
      <c r="AW82" s="3581"/>
      <c r="AX82" s="3583"/>
    </row>
    <row r="83" spans="45:50">
      <c r="AS83" s="3583"/>
      <c r="AT83" s="3581"/>
      <c r="AU83" s="3580"/>
      <c r="AV83" s="3581"/>
      <c r="AW83" s="3581"/>
      <c r="AX83" s="3582"/>
    </row>
    <row r="84" spans="45:50">
      <c r="AS84" s="3584"/>
      <c r="AT84" s="3581"/>
      <c r="AU84" s="3581"/>
      <c r="AV84" s="3581"/>
      <c r="AW84" s="3581"/>
      <c r="AX84" s="3581"/>
    </row>
    <row r="85" spans="45:50">
      <c r="AS85" s="3583"/>
      <c r="AT85" s="3581"/>
      <c r="AU85" s="3581"/>
      <c r="AV85" s="3581"/>
      <c r="AW85" s="3581"/>
      <c r="AX85" s="3582"/>
    </row>
    <row r="86" spans="45:50">
      <c r="AS86" s="3583"/>
      <c r="AT86" s="3581"/>
      <c r="AU86" s="3580"/>
      <c r="AV86" s="3581"/>
      <c r="AW86" s="3581"/>
      <c r="AX86" s="3582"/>
    </row>
    <row r="87" spans="45:50">
      <c r="AS87" s="3583"/>
      <c r="AT87" s="3581"/>
      <c r="AU87" s="3580"/>
      <c r="AV87" s="3581"/>
      <c r="AW87" s="3581"/>
      <c r="AX87" s="3582"/>
    </row>
    <row r="88" spans="45:50">
      <c r="AS88" s="3584"/>
      <c r="AT88" s="3581"/>
      <c r="AU88" s="3581"/>
      <c r="AV88" s="3581"/>
      <c r="AW88" s="4741"/>
      <c r="AX88" s="4741"/>
    </row>
    <row r="89" spans="45:50">
      <c r="AS89" s="3583"/>
      <c r="AT89" s="3581"/>
      <c r="AU89" s="3580"/>
      <c r="AV89" s="3581"/>
      <c r="AW89" s="3581"/>
      <c r="AX89" s="3582"/>
    </row>
    <row r="90" spans="45:50">
      <c r="AS90" s="3581"/>
      <c r="AT90" s="3581"/>
      <c r="AU90" s="3580"/>
      <c r="AV90" s="3581"/>
      <c r="AW90" s="3581"/>
      <c r="AX90" s="3581"/>
    </row>
    <row r="91" spans="45:50">
      <c r="AS91" s="3581"/>
      <c r="AT91" s="3581"/>
      <c r="AU91" s="3580"/>
      <c r="AV91" s="3581"/>
      <c r="AW91" s="3581"/>
      <c r="AX91" s="3581"/>
    </row>
    <row r="92" spans="45:50">
      <c r="AS92" s="3584"/>
      <c r="AT92" s="3581"/>
      <c r="AU92" s="3580"/>
      <c r="AV92" s="3580"/>
      <c r="AW92" s="3581"/>
      <c r="AX92" s="3581"/>
    </row>
    <row r="109" spans="45:50">
      <c r="AU109" s="3585"/>
    </row>
    <row r="111" spans="45:50">
      <c r="AS111" s="3583"/>
      <c r="AT111" s="3581"/>
      <c r="AU111" s="3580"/>
      <c r="AV111" s="3581"/>
      <c r="AW111" s="3581"/>
      <c r="AX111" s="3582"/>
    </row>
    <row r="112" spans="45:50">
      <c r="AS112" s="3583"/>
      <c r="AT112" s="3581"/>
      <c r="AU112" s="3581"/>
      <c r="AV112" s="3581"/>
      <c r="AW112" s="3581"/>
      <c r="AX112" s="3582"/>
    </row>
    <row r="113" spans="45:50">
      <c r="AT113" s="3581"/>
      <c r="AU113" s="3580"/>
      <c r="AW113" s="3581"/>
      <c r="AX113" s="3582"/>
    </row>
    <row r="114" spans="45:50">
      <c r="AS114" s="3583"/>
      <c r="AT114" s="3581"/>
      <c r="AU114" s="3581"/>
      <c r="AV114" s="3581"/>
      <c r="AW114" s="3581"/>
      <c r="AX114" s="3582"/>
    </row>
    <row r="115" spans="45:50">
      <c r="AS115" s="3583"/>
      <c r="AT115" s="3581"/>
      <c r="AU115" s="3581"/>
      <c r="AV115" s="3581"/>
      <c r="AW115" s="3581"/>
      <c r="AX115" s="3582"/>
    </row>
    <row r="116" spans="45:50">
      <c r="AS116" s="3583"/>
      <c r="AT116" s="3581"/>
      <c r="AU116" s="3581"/>
      <c r="AV116" s="3581"/>
      <c r="AW116" s="3581"/>
      <c r="AX116" s="3582"/>
    </row>
    <row r="117" spans="45:50">
      <c r="AS117" s="3584"/>
      <c r="AT117" s="3581"/>
      <c r="AU117" s="3581"/>
      <c r="AV117" s="3581"/>
      <c r="AW117" s="3581"/>
      <c r="AX117" s="3581"/>
    </row>
    <row r="118" spans="45:50">
      <c r="AS118" s="3583"/>
      <c r="AT118" s="3581"/>
      <c r="AU118" s="3580"/>
      <c r="AV118" s="3581"/>
      <c r="AW118" s="3581"/>
      <c r="AX118" s="3583"/>
    </row>
    <row r="119" spans="45:50">
      <c r="AS119" s="3583"/>
      <c r="AT119" s="3581"/>
      <c r="AU119" s="3581"/>
      <c r="AV119" s="3581"/>
      <c r="AW119" s="3581"/>
      <c r="AX119" s="3583"/>
    </row>
    <row r="120" spans="45:50">
      <c r="AS120" s="3583"/>
      <c r="AT120" s="3581"/>
      <c r="AU120" s="3580"/>
      <c r="AV120" s="3581"/>
      <c r="AW120" s="3581"/>
      <c r="AX120" s="3582"/>
    </row>
    <row r="121" spans="45:50">
      <c r="AS121" s="3584"/>
      <c r="AT121" s="3581"/>
      <c r="AU121" s="3581"/>
      <c r="AV121" s="3581"/>
      <c r="AW121" s="3581"/>
      <c r="AX121" s="3581"/>
    </row>
    <row r="122" spans="45:50">
      <c r="AS122" s="3583"/>
      <c r="AT122" s="3581"/>
      <c r="AU122" s="3581"/>
      <c r="AV122" s="3581"/>
      <c r="AW122" s="3581"/>
      <c r="AX122" s="3582"/>
    </row>
    <row r="123" spans="45:50">
      <c r="AS123" s="3583"/>
      <c r="AT123" s="3581"/>
      <c r="AU123" s="3580"/>
      <c r="AV123" s="3581"/>
      <c r="AW123" s="3581"/>
      <c r="AX123" s="3582"/>
    </row>
    <row r="124" spans="45:50">
      <c r="AS124" s="3583"/>
      <c r="AT124" s="3581"/>
      <c r="AU124" s="3580"/>
      <c r="AV124" s="3581"/>
      <c r="AW124" s="3581"/>
      <c r="AX124" s="3582"/>
    </row>
    <row r="125" spans="45:50">
      <c r="AS125" s="3584"/>
      <c r="AT125" s="3581"/>
      <c r="AU125" s="3581"/>
      <c r="AV125" s="3581"/>
      <c r="AW125" s="4741"/>
      <c r="AX125" s="4741"/>
    </row>
    <row r="126" spans="45:50">
      <c r="AS126" s="3583"/>
      <c r="AT126" s="3581"/>
      <c r="AU126" s="3580"/>
      <c r="AV126" s="3581"/>
      <c r="AW126" s="3581"/>
      <c r="AX126" s="3582"/>
    </row>
    <row r="127" spans="45:50">
      <c r="AS127" s="4742"/>
      <c r="AT127" s="4742"/>
      <c r="AU127" s="4742"/>
      <c r="AV127" s="4742"/>
      <c r="AW127" s="4742"/>
      <c r="AX127" s="4742"/>
    </row>
    <row r="128" spans="45:50">
      <c r="AU128" s="3436"/>
      <c r="AV128" s="3436"/>
    </row>
    <row r="129" spans="47:50">
      <c r="AV129" s="3436"/>
      <c r="AX129" s="3437"/>
    </row>
    <row r="130" spans="47:50">
      <c r="AU130" s="3580"/>
      <c r="AV130" s="3436"/>
    </row>
    <row r="131" spans="47:50">
      <c r="AV131" s="3436"/>
    </row>
  </sheetData>
  <mergeCells count="13">
    <mergeCell ref="AW88:AX88"/>
    <mergeCell ref="AW125:AX125"/>
    <mergeCell ref="AS127:AX127"/>
    <mergeCell ref="B4:B5"/>
    <mergeCell ref="AH4:AS4"/>
    <mergeCell ref="AW66:AX66"/>
    <mergeCell ref="AS72:AX72"/>
    <mergeCell ref="AT4:BE4"/>
    <mergeCell ref="BR4:BS4"/>
    <mergeCell ref="BF4:BP4"/>
    <mergeCell ref="J4:U4"/>
    <mergeCell ref="C4:I4"/>
    <mergeCell ref="V4:AG4"/>
  </mergeCells>
  <printOptions horizontalCentered="1"/>
  <pageMargins left="0.16" right="0.06" top="0.74" bottom="0.37" header="0.3" footer="0.3"/>
  <pageSetup paperSize="9" scale="43" orientation="landscape" r:id="rId1"/>
</worksheet>
</file>

<file path=xl/worksheets/sheet51.xml><?xml version="1.0" encoding="utf-8"?>
<worksheet xmlns="http://schemas.openxmlformats.org/spreadsheetml/2006/main" xmlns:r="http://schemas.openxmlformats.org/officeDocument/2006/relationships">
  <dimension ref="A1:J36"/>
  <sheetViews>
    <sheetView zoomScale="70" zoomScaleNormal="70" zoomScaleSheetLayoutView="69" workbookViewId="0">
      <pane xSplit="2" ySplit="5" topLeftCell="C21" activePane="bottomRight" state="frozen"/>
      <selection pane="topRight" activeCell="C1" sqref="C1"/>
      <selection pane="bottomLeft" activeCell="A5" sqref="A5"/>
      <selection pane="bottomRight" activeCell="M15" sqref="M15"/>
    </sheetView>
  </sheetViews>
  <sheetFormatPr defaultRowHeight="20.25"/>
  <cols>
    <col min="1" max="1" width="9.140625" style="3624"/>
    <col min="2" max="2" width="53.28515625" style="3624" customWidth="1"/>
    <col min="3" max="3" width="17.28515625" style="3624" customWidth="1"/>
    <col min="4" max="7" width="16.7109375" style="3624" customWidth="1"/>
    <col min="8" max="9" width="17.28515625" style="3624" customWidth="1"/>
    <col min="10" max="16384" width="9.140625" style="3624"/>
  </cols>
  <sheetData>
    <row r="1" spans="1:10">
      <c r="A1" s="3623"/>
      <c r="B1" s="3623"/>
      <c r="C1" s="3623"/>
      <c r="D1" s="3623"/>
      <c r="E1" s="3623"/>
      <c r="F1" s="3623"/>
      <c r="G1" s="3623"/>
      <c r="H1" s="3623"/>
      <c r="I1" s="3623"/>
      <c r="J1" s="3623"/>
    </row>
    <row r="2" spans="1:10" ht="23.25">
      <c r="A2" s="3623"/>
      <c r="B2" s="3809" t="s">
        <v>1887</v>
      </c>
      <c r="C2" s="3623"/>
      <c r="D2" s="3623"/>
      <c r="E2" s="3623"/>
      <c r="F2" s="3623"/>
      <c r="G2" s="3623"/>
      <c r="H2" s="3623"/>
      <c r="I2" s="3623"/>
      <c r="J2" s="3623"/>
    </row>
    <row r="3" spans="1:10" ht="20.25" customHeight="1">
      <c r="A3" s="3623"/>
      <c r="B3" s="3623"/>
      <c r="C3" s="3623"/>
      <c r="D3" s="3623"/>
      <c r="E3" s="3623"/>
      <c r="F3" s="3623"/>
      <c r="G3" s="3623"/>
      <c r="H3" s="3623"/>
      <c r="I3" s="3623"/>
      <c r="J3" s="3623"/>
    </row>
    <row r="4" spans="1:10">
      <c r="A4" s="3625"/>
      <c r="B4" s="4756" t="s">
        <v>1887</v>
      </c>
      <c r="C4" s="4754" t="s">
        <v>1390</v>
      </c>
      <c r="D4" s="4754" t="s">
        <v>1889</v>
      </c>
      <c r="E4" s="4748" t="s">
        <v>1890</v>
      </c>
      <c r="F4" s="4748" t="s">
        <v>1891</v>
      </c>
      <c r="G4" s="4748" t="s">
        <v>1892</v>
      </c>
      <c r="H4" s="4748" t="s">
        <v>1802</v>
      </c>
      <c r="I4" s="4750" t="s">
        <v>2095</v>
      </c>
      <c r="J4" s="4280"/>
    </row>
    <row r="5" spans="1:10">
      <c r="A5" s="3625"/>
      <c r="B5" s="4757"/>
      <c r="C5" s="4755"/>
      <c r="D5" s="4755"/>
      <c r="E5" s="4749"/>
      <c r="F5" s="4749"/>
      <c r="G5" s="4749"/>
      <c r="H5" s="4749"/>
      <c r="I5" s="4751"/>
      <c r="J5" s="4280"/>
    </row>
    <row r="6" spans="1:10">
      <c r="A6" s="3623"/>
      <c r="B6" s="3630" t="s">
        <v>1893</v>
      </c>
      <c r="C6" s="3631">
        <v>771.20416929914745</v>
      </c>
      <c r="D6" s="3631">
        <v>1036.3473880639096</v>
      </c>
      <c r="E6" s="3631">
        <v>1268.7637351532094</v>
      </c>
      <c r="F6" s="3631">
        <v>1606.8241250921074</v>
      </c>
      <c r="G6" s="3631">
        <v>1758.9586962638498</v>
      </c>
      <c r="H6" s="3631">
        <v>1854.5794296908707</v>
      </c>
      <c r="I6" s="4273">
        <v>1941.4021938474002</v>
      </c>
      <c r="J6" s="4280"/>
    </row>
    <row r="7" spans="1:10" ht="18" customHeight="1">
      <c r="A7" s="3623"/>
      <c r="B7" s="3632" t="s">
        <v>1894</v>
      </c>
      <c r="C7" s="3633">
        <v>237.08906679021115</v>
      </c>
      <c r="D7" s="3633">
        <v>337.99933124821109</v>
      </c>
      <c r="E7" s="3633">
        <v>346.63465122084767</v>
      </c>
      <c r="F7" s="3633">
        <v>579.31607675250666</v>
      </c>
      <c r="G7" s="3633">
        <v>629.54568694267755</v>
      </c>
      <c r="H7" s="3633">
        <v>581.20839551592906</v>
      </c>
      <c r="I7" s="4274">
        <v>585.82819832528185</v>
      </c>
      <c r="J7" s="4280"/>
    </row>
    <row r="8" spans="1:10" ht="18" customHeight="1">
      <c r="A8" s="3623"/>
      <c r="B8" s="3632" t="s">
        <v>1895</v>
      </c>
      <c r="C8" s="3633">
        <v>22777.905623446266</v>
      </c>
      <c r="D8" s="3633">
        <v>34062.295361010001</v>
      </c>
      <c r="E8" s="3633">
        <v>45550.872790939997</v>
      </c>
      <c r="F8" s="3633">
        <v>61341.716731849992</v>
      </c>
      <c r="G8" s="3633">
        <v>67870.154793039997</v>
      </c>
      <c r="H8" s="3633">
        <v>81183.642946720007</v>
      </c>
      <c r="I8" s="4274">
        <v>89909.800826999999</v>
      </c>
      <c r="J8" s="4280"/>
    </row>
    <row r="9" spans="1:10" ht="18" customHeight="1">
      <c r="A9" s="3623"/>
      <c r="B9" s="3634"/>
      <c r="C9" s="3635"/>
      <c r="D9" s="3635"/>
      <c r="E9" s="3635"/>
      <c r="F9" s="3635"/>
      <c r="G9" s="3635"/>
      <c r="H9" s="3635"/>
      <c r="I9" s="4275"/>
      <c r="J9" s="4280"/>
    </row>
    <row r="10" spans="1:10" ht="18" customHeight="1">
      <c r="A10" s="3623"/>
      <c r="B10" s="3634" t="s">
        <v>1896</v>
      </c>
      <c r="C10" s="3635"/>
      <c r="D10" s="3635"/>
      <c r="E10" s="3635"/>
      <c r="F10" s="3635"/>
      <c r="G10" s="3635"/>
      <c r="H10" s="3635"/>
      <c r="I10" s="4275"/>
      <c r="J10" s="4280"/>
    </row>
    <row r="11" spans="1:10" ht="18" customHeight="1">
      <c r="A11" s="3623"/>
      <c r="B11" s="3636" t="s">
        <v>152</v>
      </c>
      <c r="C11" s="3637">
        <v>55.273490610662421</v>
      </c>
      <c r="D11" s="3637">
        <v>67.834350204908489</v>
      </c>
      <c r="E11" s="3637">
        <v>76.597429861256458</v>
      </c>
      <c r="F11" s="3637">
        <v>98.433743680988499</v>
      </c>
      <c r="G11" s="3637">
        <v>100.30678277102687</v>
      </c>
      <c r="H11" s="3638">
        <v>98.906507409923407</v>
      </c>
      <c r="I11" s="4276">
        <v>107.71227074916727</v>
      </c>
      <c r="J11" s="4280"/>
    </row>
    <row r="12" spans="1:10" ht="18" customHeight="1">
      <c r="A12" s="3623"/>
      <c r="B12" s="3632" t="s">
        <v>1897</v>
      </c>
      <c r="C12" s="3633">
        <v>18.067192520476862</v>
      </c>
      <c r="D12" s="3633">
        <v>20.849697104020709</v>
      </c>
      <c r="E12" s="3633">
        <v>22.976631625665309</v>
      </c>
      <c r="F12" s="3633">
        <v>35.488793900243024</v>
      </c>
      <c r="G12" s="3633">
        <v>35.90061699500172</v>
      </c>
      <c r="H12" s="3639">
        <v>30.996403582125264</v>
      </c>
      <c r="I12" s="4277">
        <v>32.502737305276533</v>
      </c>
      <c r="J12" s="4280"/>
    </row>
    <row r="13" spans="1:10" ht="18" customHeight="1">
      <c r="A13" s="3623"/>
      <c r="B13" s="3632" t="s">
        <v>1898</v>
      </c>
      <c r="C13" s="3633">
        <v>37.206298090185555</v>
      </c>
      <c r="D13" s="3633">
        <v>46.984653100887776</v>
      </c>
      <c r="E13" s="3633">
        <v>53.62079823559116</v>
      </c>
      <c r="F13" s="3633">
        <v>62.944949780745482</v>
      </c>
      <c r="G13" s="3633">
        <v>64.406165776025148</v>
      </c>
      <c r="H13" s="3639">
        <v>67.910103827798153</v>
      </c>
      <c r="I13" s="4277">
        <v>75.209533443890734</v>
      </c>
      <c r="J13" s="4280"/>
    </row>
    <row r="14" spans="1:10" ht="18" customHeight="1">
      <c r="A14" s="3623"/>
      <c r="B14" s="3632"/>
      <c r="C14" s="3633"/>
      <c r="D14" s="3633"/>
      <c r="E14" s="3633"/>
      <c r="F14" s="3633"/>
      <c r="G14" s="3633"/>
      <c r="H14" s="3639"/>
      <c r="I14" s="4277"/>
      <c r="J14" s="4280"/>
    </row>
    <row r="15" spans="1:10" ht="18" customHeight="1">
      <c r="A15" s="3623"/>
      <c r="B15" s="3634"/>
      <c r="C15" s="3640"/>
      <c r="D15" s="3640"/>
      <c r="E15" s="3640"/>
      <c r="F15" s="3640"/>
      <c r="G15" s="3640"/>
      <c r="H15" s="3639"/>
      <c r="I15" s="4277"/>
      <c r="J15" s="4280"/>
    </row>
    <row r="16" spans="1:10" ht="18" customHeight="1">
      <c r="A16" s="3623"/>
      <c r="B16" s="3634" t="s">
        <v>1899</v>
      </c>
      <c r="C16" s="3640"/>
      <c r="D16" s="3640"/>
      <c r="E16" s="3640"/>
      <c r="F16" s="3640"/>
      <c r="G16" s="3640"/>
      <c r="H16" s="3639"/>
      <c r="I16" s="4277"/>
      <c r="J16" s="4280"/>
    </row>
    <row r="17" spans="1:10" ht="18" customHeight="1">
      <c r="A17" s="3623"/>
      <c r="B17" s="3636" t="s">
        <v>152</v>
      </c>
      <c r="C17" s="3637">
        <v>30.730766815927158</v>
      </c>
      <c r="D17" s="3637">
        <v>51.659469672899327</v>
      </c>
      <c r="E17" s="3637">
        <v>127.12988281751313</v>
      </c>
      <c r="F17" s="3637">
        <v>229.20411266075956</v>
      </c>
      <c r="G17" s="3637">
        <v>27.140829328373229</v>
      </c>
      <c r="H17" s="3637">
        <v>19.863695781106479</v>
      </c>
      <c r="I17" s="4278">
        <v>8.5023527833659092</v>
      </c>
      <c r="J17" s="4280"/>
    </row>
    <row r="18" spans="1:10" ht="18" customHeight="1">
      <c r="A18" s="3623"/>
      <c r="B18" s="3632" t="s">
        <v>1897</v>
      </c>
      <c r="C18" s="3633">
        <v>21.438019353704586</v>
      </c>
      <c r="D18" s="3633">
        <v>12.379099870073087</v>
      </c>
      <c r="E18" s="3633">
        <v>14.476771382263868</v>
      </c>
      <c r="F18" s="3633">
        <v>15.844403516883043</v>
      </c>
      <c r="G18" s="3633">
        <v>16.995270451503227</v>
      </c>
      <c r="H18" s="3633">
        <v>17.098355826431831</v>
      </c>
      <c r="I18" s="4274">
        <v>9.938998483715368</v>
      </c>
      <c r="J18" s="4280"/>
    </row>
    <row r="19" spans="1:10" ht="18" customHeight="1">
      <c r="A19" s="3623"/>
      <c r="B19" s="3632" t="s">
        <v>1898</v>
      </c>
      <c r="C19" s="3633">
        <v>32.677097500050095</v>
      </c>
      <c r="D19" s="3633">
        <v>63.498318342640381</v>
      </c>
      <c r="E19" s="3633">
        <v>158.6803163914106</v>
      </c>
      <c r="F19" s="3633">
        <v>285.336095658597</v>
      </c>
      <c r="G19" s="3633">
        <v>30.11479022397759</v>
      </c>
      <c r="H19" s="3633">
        <v>20.743660029130091</v>
      </c>
      <c r="I19" s="4274">
        <v>8.0451949387228634</v>
      </c>
      <c r="J19" s="4280"/>
    </row>
    <row r="20" spans="1:10" ht="18" customHeight="1">
      <c r="A20" s="3623"/>
      <c r="B20" s="3632"/>
      <c r="C20" s="3633"/>
      <c r="D20" s="3633"/>
      <c r="E20" s="3633"/>
      <c r="F20" s="3633"/>
      <c r="G20" s="3633"/>
      <c r="H20" s="3639"/>
      <c r="I20" s="4277"/>
      <c r="J20" s="4280"/>
    </row>
    <row r="21" spans="1:10" ht="20.25" customHeight="1">
      <c r="A21" s="3623"/>
      <c r="B21" s="3634" t="s">
        <v>1900</v>
      </c>
      <c r="C21" s="3633">
        <v>15.371560128827191</v>
      </c>
      <c r="D21" s="3633">
        <v>12.513835014133024</v>
      </c>
      <c r="E21" s="3633">
        <v>12.929783992199162</v>
      </c>
      <c r="F21" s="3633">
        <v>17.519105144373619</v>
      </c>
      <c r="G21" s="3633">
        <v>27.140829328373229</v>
      </c>
      <c r="H21" s="3633">
        <v>19.863695781106479</v>
      </c>
      <c r="I21" s="4274">
        <v>8.5023527833659092</v>
      </c>
      <c r="J21" s="4280"/>
    </row>
    <row r="22" spans="1:10" ht="18" customHeight="1">
      <c r="A22" s="3623"/>
      <c r="B22" s="3634"/>
      <c r="C22" s="3633"/>
      <c r="D22" s="3633"/>
      <c r="E22" s="3633"/>
      <c r="F22" s="3633"/>
      <c r="G22" s="3633"/>
      <c r="H22" s="3639"/>
      <c r="I22" s="4277"/>
      <c r="J22" s="4280"/>
    </row>
    <row r="23" spans="1:10" ht="18" customHeight="1">
      <c r="A23" s="3623"/>
      <c r="B23" s="3641" t="s">
        <v>1888</v>
      </c>
      <c r="C23" s="3642">
        <v>61220.564239511703</v>
      </c>
      <c r="D23" s="3642">
        <v>72496.641164658067</v>
      </c>
      <c r="E23" s="3642">
        <v>84950.008746242995</v>
      </c>
      <c r="F23" s="3642">
        <v>97452.96</v>
      </c>
      <c r="G23" s="3642">
        <v>105378.35</v>
      </c>
      <c r="H23" s="3642">
        <v>119545.75</v>
      </c>
      <c r="I23" s="4279">
        <v>119545.75</v>
      </c>
      <c r="J23" s="4280"/>
    </row>
    <row r="24" spans="1:10" ht="18.75" customHeight="1">
      <c r="A24" s="3623"/>
      <c r="B24" s="4752" t="s">
        <v>1901</v>
      </c>
      <c r="C24" s="4752"/>
      <c r="D24" s="4752"/>
      <c r="E24" s="4752"/>
      <c r="F24" s="4752"/>
      <c r="G24" s="4752"/>
      <c r="H24" s="4752"/>
      <c r="I24" s="4752"/>
      <c r="J24" s="3623"/>
    </row>
    <row r="25" spans="1:10" ht="18.75" customHeight="1">
      <c r="A25" s="3623"/>
      <c r="B25" s="4753" t="s">
        <v>1902</v>
      </c>
      <c r="C25" s="4753"/>
      <c r="D25" s="4753"/>
      <c r="E25" s="4753"/>
      <c r="F25" s="4753"/>
      <c r="G25" s="4753"/>
      <c r="H25" s="4753"/>
      <c r="I25" s="4753"/>
      <c r="J25" s="3623"/>
    </row>
    <row r="26" spans="1:10" ht="17.25" customHeight="1">
      <c r="A26" s="3623"/>
      <c r="B26" s="4753"/>
      <c r="C26" s="4753"/>
      <c r="D26" s="4753"/>
      <c r="E26" s="4753"/>
      <c r="F26" s="4753"/>
      <c r="G26" s="4753"/>
      <c r="H26" s="4753"/>
      <c r="I26" s="4753"/>
      <c r="J26" s="3623"/>
    </row>
    <row r="27" spans="1:10" ht="18" customHeight="1">
      <c r="A27" s="3623"/>
      <c r="B27" s="4753"/>
      <c r="C27" s="4753"/>
      <c r="D27" s="4753"/>
      <c r="E27" s="4753"/>
      <c r="F27" s="4753"/>
      <c r="G27" s="4753"/>
      <c r="H27" s="4753"/>
      <c r="I27" s="4753"/>
      <c r="J27" s="3623"/>
    </row>
    <row r="28" spans="1:10" ht="23.25" customHeight="1">
      <c r="A28" s="3623"/>
      <c r="B28" s="4753"/>
      <c r="C28" s="4753"/>
      <c r="D28" s="4753"/>
      <c r="E28" s="4753"/>
      <c r="F28" s="4753"/>
      <c r="G28" s="4753"/>
      <c r="H28" s="4753"/>
      <c r="I28" s="4753"/>
      <c r="J28" s="3623"/>
    </row>
    <row r="29" spans="1:10" ht="18.75" customHeight="1">
      <c r="A29" s="3623"/>
      <c r="B29" s="4747"/>
      <c r="C29" s="4747"/>
      <c r="D29" s="4747"/>
      <c r="E29" s="4747"/>
      <c r="F29" s="4747"/>
      <c r="G29" s="4747"/>
      <c r="H29" s="3627"/>
      <c r="I29" s="3627"/>
      <c r="J29" s="3623"/>
    </row>
    <row r="30" spans="1:10" ht="21.75" customHeight="1">
      <c r="A30" s="3623"/>
      <c r="B30" s="3628"/>
      <c r="C30" s="3628"/>
      <c r="D30" s="3628"/>
      <c r="E30" s="3628"/>
      <c r="F30" s="3628"/>
      <c r="G30" s="3628"/>
      <c r="H30" s="3628"/>
      <c r="I30" s="3628"/>
      <c r="J30" s="3623"/>
    </row>
    <row r="31" spans="1:10">
      <c r="A31" s="3623"/>
      <c r="B31" s="3643"/>
      <c r="C31" s="3623"/>
      <c r="D31" s="3623"/>
      <c r="E31" s="3623"/>
      <c r="F31" s="3623"/>
      <c r="G31" s="3623"/>
      <c r="H31" s="3623"/>
      <c r="I31" s="3623"/>
      <c r="J31" s="3623"/>
    </row>
    <row r="32" spans="1:10">
      <c r="A32" s="3623"/>
      <c r="B32" s="3643"/>
      <c r="C32" s="3623"/>
      <c r="D32" s="3623"/>
      <c r="E32" s="3623"/>
      <c r="F32" s="3623"/>
      <c r="G32" s="3623"/>
      <c r="H32" s="3623"/>
      <c r="I32" s="3623"/>
      <c r="J32" s="3623"/>
    </row>
    <row r="33" spans="2:2">
      <c r="B33" s="3629"/>
    </row>
    <row r="34" spans="2:2">
      <c r="B34" s="3629"/>
    </row>
    <row r="35" spans="2:2">
      <c r="B35" s="3629"/>
    </row>
    <row r="36" spans="2:2">
      <c r="B36" s="3626"/>
    </row>
  </sheetData>
  <mergeCells count="11">
    <mergeCell ref="B29:G29"/>
    <mergeCell ref="G4:G5"/>
    <mergeCell ref="H4:H5"/>
    <mergeCell ref="I4:I5"/>
    <mergeCell ref="B24:I24"/>
    <mergeCell ref="B25:I28"/>
    <mergeCell ref="C4:C5"/>
    <mergeCell ref="D4:D5"/>
    <mergeCell ref="E4:E5"/>
    <mergeCell ref="F4:F5"/>
    <mergeCell ref="B4:B5"/>
  </mergeCells>
  <pageMargins left="0.75" right="0.3" top="1" bottom="1" header="0.5" footer="0.5"/>
  <pageSetup paperSize="9" scale="55" orientation="portrait" r:id="rId1"/>
  <headerFooter alignWithMargins="0"/>
</worksheet>
</file>

<file path=xl/worksheets/sheet52.xml><?xml version="1.0" encoding="utf-8"?>
<worksheet xmlns="http://schemas.openxmlformats.org/spreadsheetml/2006/main" xmlns:r="http://schemas.openxmlformats.org/officeDocument/2006/relationships">
  <dimension ref="A1:X40"/>
  <sheetViews>
    <sheetView zoomScale="70" zoomScaleNormal="70" workbookViewId="0">
      <pane xSplit="2" ySplit="6" topLeftCell="I7" activePane="bottomRight" state="frozen"/>
      <selection activeCell="O44" sqref="O44:AA44"/>
      <selection pane="topRight" activeCell="O44" sqref="O44:AA44"/>
      <selection pane="bottomLeft" activeCell="O44" sqref="O44:AA44"/>
      <selection pane="bottomRight" activeCell="Y8" sqref="Y8"/>
    </sheetView>
  </sheetViews>
  <sheetFormatPr defaultRowHeight="15.75"/>
  <cols>
    <col min="1" max="1" width="11.7109375" style="3725" customWidth="1"/>
    <col min="2" max="2" width="68.140625" style="3670" customWidth="1"/>
    <col min="3" max="16" width="10.7109375" style="3670" customWidth="1"/>
    <col min="17" max="22" width="11.140625" style="3737" customWidth="1"/>
    <col min="23" max="23" width="10.7109375" style="3709" customWidth="1"/>
    <col min="24" max="16384" width="9.140625" style="3709"/>
  </cols>
  <sheetData>
    <row r="1" spans="1:24" s="3707" customFormat="1">
      <c r="A1" s="3706"/>
      <c r="B1" s="3669"/>
      <c r="C1" s="3669"/>
      <c r="D1" s="3669"/>
      <c r="E1" s="3669"/>
      <c r="F1" s="3669"/>
      <c r="G1" s="3669"/>
      <c r="H1" s="3669"/>
      <c r="I1" s="3669"/>
      <c r="J1" s="3669"/>
      <c r="K1" s="3669"/>
      <c r="L1" s="3669"/>
      <c r="M1" s="3669"/>
      <c r="N1" s="3669"/>
      <c r="O1" s="3669"/>
      <c r="P1" s="3669"/>
      <c r="Q1" s="3669"/>
      <c r="R1" s="3669"/>
      <c r="S1" s="3669"/>
      <c r="T1" s="3669"/>
      <c r="U1" s="3669"/>
      <c r="V1" s="3669"/>
    </row>
    <row r="2" spans="1:24" ht="43.5" customHeight="1">
      <c r="A2" s="3708"/>
      <c r="B2" s="3883" t="s">
        <v>2033</v>
      </c>
      <c r="C2" s="3883"/>
      <c r="D2" s="3883"/>
      <c r="E2" s="3883"/>
      <c r="F2" s="3883"/>
      <c r="G2" s="3883"/>
      <c r="H2" s="3883"/>
      <c r="I2" s="3883"/>
      <c r="J2" s="3883"/>
      <c r="K2" s="3883"/>
      <c r="L2" s="3883"/>
      <c r="M2" s="3883"/>
      <c r="N2" s="3883"/>
      <c r="O2" s="3883"/>
      <c r="P2" s="3883"/>
      <c r="Q2" s="3883"/>
      <c r="R2" s="3883"/>
      <c r="S2" s="3883"/>
      <c r="T2" s="3883"/>
      <c r="U2" s="3883"/>
      <c r="V2" s="3883"/>
      <c r="W2" s="3707"/>
      <c r="X2" s="3707"/>
    </row>
    <row r="3" spans="1:24" ht="18" customHeight="1">
      <c r="A3" s="3710"/>
      <c r="B3" s="3711" t="s">
        <v>1935</v>
      </c>
      <c r="C3" s="3712"/>
      <c r="D3" s="3711"/>
      <c r="E3" s="3669"/>
      <c r="F3" s="3669"/>
      <c r="G3" s="3713"/>
      <c r="H3" s="3669"/>
      <c r="I3" s="3669"/>
      <c r="J3" s="3669"/>
      <c r="K3" s="3669"/>
      <c r="L3" s="3669"/>
      <c r="M3" s="3669"/>
      <c r="N3" s="3669"/>
      <c r="O3" s="3669"/>
      <c r="P3" s="3669"/>
      <c r="Q3" s="3669"/>
      <c r="R3" s="3669"/>
      <c r="S3" s="3669"/>
      <c r="T3" s="3669"/>
      <c r="U3" s="3669"/>
      <c r="V3" s="3669"/>
      <c r="W3" s="3707"/>
      <c r="X3" s="3707"/>
    </row>
    <row r="4" spans="1:24" s="3714" customFormat="1" ht="20.100000000000001" customHeight="1">
      <c r="A4" s="3706"/>
      <c r="B4" s="4760" t="s">
        <v>146</v>
      </c>
      <c r="C4" s="4763" t="s">
        <v>1936</v>
      </c>
      <c r="D4" s="4765" t="s">
        <v>1937</v>
      </c>
      <c r="E4" s="4765" t="s">
        <v>1938</v>
      </c>
      <c r="F4" s="4765" t="s">
        <v>1939</v>
      </c>
      <c r="G4" s="4763" t="s">
        <v>1940</v>
      </c>
      <c r="H4" s="4765" t="s">
        <v>1941</v>
      </c>
      <c r="I4" s="4765" t="s">
        <v>1942</v>
      </c>
      <c r="J4" s="4765" t="s">
        <v>1943</v>
      </c>
      <c r="K4" s="4763" t="s">
        <v>1944</v>
      </c>
      <c r="L4" s="4765" t="s">
        <v>1945</v>
      </c>
      <c r="M4" s="4765" t="s">
        <v>1946</v>
      </c>
      <c r="N4" s="4776" t="s">
        <v>1947</v>
      </c>
      <c r="O4" s="4763" t="s">
        <v>1948</v>
      </c>
      <c r="P4" s="4765" t="s">
        <v>1949</v>
      </c>
      <c r="Q4" s="4765" t="s">
        <v>1950</v>
      </c>
      <c r="R4" s="4776" t="s">
        <v>1951</v>
      </c>
      <c r="S4" s="4763" t="s">
        <v>1952</v>
      </c>
      <c r="T4" s="4765" t="s">
        <v>1953</v>
      </c>
      <c r="U4" s="4765" t="s">
        <v>1954</v>
      </c>
      <c r="V4" s="4765" t="s">
        <v>1955</v>
      </c>
      <c r="W4" s="4758" t="s">
        <v>2086</v>
      </c>
      <c r="X4" s="3740"/>
    </row>
    <row r="5" spans="1:24" ht="20.100000000000001" customHeight="1">
      <c r="A5" s="3715"/>
      <c r="B5" s="4761"/>
      <c r="C5" s="4764"/>
      <c r="D5" s="4766"/>
      <c r="E5" s="4766"/>
      <c r="F5" s="4766"/>
      <c r="G5" s="4764"/>
      <c r="H5" s="4766"/>
      <c r="I5" s="4766"/>
      <c r="J5" s="4766"/>
      <c r="K5" s="4764"/>
      <c r="L5" s="4766"/>
      <c r="M5" s="4766"/>
      <c r="N5" s="4777"/>
      <c r="O5" s="4764"/>
      <c r="P5" s="4766"/>
      <c r="Q5" s="4766"/>
      <c r="R5" s="4777"/>
      <c r="S5" s="4764"/>
      <c r="T5" s="4766"/>
      <c r="U5" s="4766"/>
      <c r="V5" s="4766"/>
      <c r="W5" s="4759"/>
      <c r="X5" s="3707"/>
    </row>
    <row r="6" spans="1:24" ht="20.100000000000001" customHeight="1">
      <c r="A6" s="3715"/>
      <c r="B6" s="4762"/>
      <c r="C6" s="3770"/>
      <c r="D6" s="3770"/>
      <c r="E6" s="3770"/>
      <c r="F6" s="3770"/>
      <c r="G6" s="4769" t="s">
        <v>1958</v>
      </c>
      <c r="H6" s="4770"/>
      <c r="I6" s="4770"/>
      <c r="J6" s="4771"/>
      <c r="K6" s="4772" t="s">
        <v>1956</v>
      </c>
      <c r="L6" s="4773"/>
      <c r="M6" s="4773"/>
      <c r="N6" s="4774"/>
      <c r="O6" s="4772" t="s">
        <v>1956</v>
      </c>
      <c r="P6" s="4773"/>
      <c r="Q6" s="4773"/>
      <c r="R6" s="4774"/>
      <c r="S6" s="4772" t="s">
        <v>1957</v>
      </c>
      <c r="T6" s="4773"/>
      <c r="U6" s="4773"/>
      <c r="V6" s="4775"/>
      <c r="W6" s="4271" t="s">
        <v>1957</v>
      </c>
      <c r="X6" s="3707"/>
    </row>
    <row r="7" spans="1:24" s="3716" customFormat="1" ht="20.100000000000001" customHeight="1">
      <c r="A7" s="3717"/>
      <c r="B7" s="3659" t="s">
        <v>1959</v>
      </c>
      <c r="C7" s="3771">
        <v>1507.1756589167321</v>
      </c>
      <c r="D7" s="3771">
        <v>-5881.696736562305</v>
      </c>
      <c r="E7" s="3771">
        <v>-10041.230108228436</v>
      </c>
      <c r="F7" s="3771">
        <v>-9015.2996681931745</v>
      </c>
      <c r="G7" s="3772">
        <v>89.065270940693836</v>
      </c>
      <c r="H7" s="3771">
        <v>-2890.1718325486399</v>
      </c>
      <c r="I7" s="3771">
        <v>-9367.7048034213003</v>
      </c>
      <c r="J7" s="3773">
        <v>-7431.7925735133485</v>
      </c>
      <c r="K7" s="3771">
        <v>-2386.2438352342378</v>
      </c>
      <c r="L7" s="3771">
        <v>-10984.709055646874</v>
      </c>
      <c r="M7" s="3771">
        <v>-7948.3633233272103</v>
      </c>
      <c r="N7" s="3771">
        <v>-4450.0029849735029</v>
      </c>
      <c r="O7" s="3772">
        <v>-3584.4345052427566</v>
      </c>
      <c r="P7" s="3771">
        <v>-8379.9664024102003</v>
      </c>
      <c r="Q7" s="3771">
        <v>-10206.586029419457</v>
      </c>
      <c r="R7" s="3773">
        <v>-7523.0946993615471</v>
      </c>
      <c r="S7" s="3772">
        <v>-3105.2332361616686</v>
      </c>
      <c r="T7" s="3771">
        <v>-8610.899392436475</v>
      </c>
      <c r="U7" s="3771">
        <v>-14704.94394653647</v>
      </c>
      <c r="V7" s="3771">
        <v>-9663.672456768636</v>
      </c>
      <c r="W7" s="4249">
        <v>-5111.6345990100326</v>
      </c>
      <c r="X7" s="3742"/>
    </row>
    <row r="8" spans="1:24" ht="20.100000000000001" customHeight="1">
      <c r="A8" s="3717"/>
      <c r="B8" s="3774" t="s">
        <v>1960</v>
      </c>
      <c r="C8" s="3775">
        <v>468.61332379287091</v>
      </c>
      <c r="D8" s="3775">
        <v>-6953.6974021817905</v>
      </c>
      <c r="E8" s="3775">
        <v>-9691.6690507605945</v>
      </c>
      <c r="F8" s="3775">
        <v>-8941.7122628386533</v>
      </c>
      <c r="G8" s="3776">
        <v>-1837.4107816297369</v>
      </c>
      <c r="H8" s="3775">
        <v>-4940.1679141924124</v>
      </c>
      <c r="I8" s="3775">
        <v>-9353.4417422340612</v>
      </c>
      <c r="J8" s="3777">
        <v>-8499.550166918867</v>
      </c>
      <c r="K8" s="3775">
        <v>-1658.498434393719</v>
      </c>
      <c r="L8" s="3775">
        <v>-8335.0824829156954</v>
      </c>
      <c r="M8" s="3775">
        <v>-7793.0050549873549</v>
      </c>
      <c r="N8" s="3775">
        <v>-5894.581354661258</v>
      </c>
      <c r="O8" s="3776">
        <v>-2372.9857762993806</v>
      </c>
      <c r="P8" s="3775">
        <v>-8727.0574398314311</v>
      </c>
      <c r="Q8" s="3775">
        <v>-9282.4073676140124</v>
      </c>
      <c r="R8" s="3777">
        <v>-7784.0221975823879</v>
      </c>
      <c r="S8" s="3776">
        <v>-2516.3263420359717</v>
      </c>
      <c r="T8" s="3775">
        <v>-6314.374061965158</v>
      </c>
      <c r="U8" s="3775">
        <v>-13267.049587386931</v>
      </c>
      <c r="V8" s="3775">
        <v>-7624.9320952351482</v>
      </c>
      <c r="W8" s="4250">
        <v>-4154.5200028700474</v>
      </c>
      <c r="X8" s="3707"/>
    </row>
    <row r="9" spans="1:24" s="3716" customFormat="1" ht="20.100000000000001" customHeight="1">
      <c r="A9" s="3717"/>
      <c r="B9" s="3778" t="s">
        <v>1961</v>
      </c>
      <c r="C9" s="3779">
        <v>1301.3454765347615</v>
      </c>
      <c r="D9" s="3779">
        <v>-6456.7947931327135</v>
      </c>
      <c r="E9" s="3779">
        <v>-8396.3848844508211</v>
      </c>
      <c r="F9" s="3779">
        <v>-7283.5035579278883</v>
      </c>
      <c r="G9" s="3780">
        <v>-724.81934808604717</v>
      </c>
      <c r="H9" s="3779">
        <v>-4181.9103274921963</v>
      </c>
      <c r="I9" s="3779">
        <v>-7695.3153464348634</v>
      </c>
      <c r="J9" s="3781">
        <v>-7278.5775829299673</v>
      </c>
      <c r="K9" s="3779">
        <v>-1330.8682605530719</v>
      </c>
      <c r="L9" s="3779">
        <v>-7356.1189306213973</v>
      </c>
      <c r="M9" s="3779">
        <v>-7057.7089530846279</v>
      </c>
      <c r="N9" s="3779">
        <v>-4963.8252205076633</v>
      </c>
      <c r="O9" s="3780">
        <v>-1647.2444770706311</v>
      </c>
      <c r="P9" s="3779">
        <v>-8061.0445163314998</v>
      </c>
      <c r="Q9" s="3779">
        <v>-7585.5848830974674</v>
      </c>
      <c r="R9" s="3781">
        <v>-6876.6333609855819</v>
      </c>
      <c r="S9" s="3780">
        <v>-916.98422371295953</v>
      </c>
      <c r="T9" s="3779">
        <v>-6172.2171635231825</v>
      </c>
      <c r="U9" s="3779">
        <v>-11759.942049542664</v>
      </c>
      <c r="V9" s="3779">
        <v>-7172.4966674526931</v>
      </c>
      <c r="W9" s="4249">
        <v>-2965.8526279837852</v>
      </c>
      <c r="X9" s="3742"/>
    </row>
    <row r="10" spans="1:24" ht="20.100000000000001" customHeight="1">
      <c r="A10" s="3718"/>
      <c r="B10" s="3782" t="s">
        <v>1962</v>
      </c>
      <c r="C10" s="3721">
        <v>10530.539316600001</v>
      </c>
      <c r="D10" s="3721">
        <v>7711.6044600000005</v>
      </c>
      <c r="E10" s="3721">
        <v>4665.0743277500005</v>
      </c>
      <c r="F10" s="3721">
        <v>7252.8809037899991</v>
      </c>
      <c r="G10" s="3783">
        <v>10868.99378823</v>
      </c>
      <c r="H10" s="3721">
        <v>8082.56068323</v>
      </c>
      <c r="I10" s="3721">
        <v>5740.2185295000018</v>
      </c>
      <c r="J10" s="3784">
        <v>6305.6719375000021</v>
      </c>
      <c r="K10" s="3721">
        <v>10486.970408500001</v>
      </c>
      <c r="L10" s="3721">
        <v>6476.6226905000021</v>
      </c>
      <c r="M10" s="3721">
        <v>5303.6236849199995</v>
      </c>
      <c r="N10" s="3721">
        <v>7664.2558683199995</v>
      </c>
      <c r="O10" s="3783">
        <v>10783.276189060001</v>
      </c>
      <c r="P10" s="3721">
        <v>7738.7791957199988</v>
      </c>
      <c r="Q10" s="3721">
        <v>6196.4510077399991</v>
      </c>
      <c r="R10" s="3784">
        <v>8158.0612525200004</v>
      </c>
      <c r="S10" s="3783">
        <v>12542.85172461</v>
      </c>
      <c r="T10" s="3721">
        <v>8474.5195438299997</v>
      </c>
      <c r="U10" s="3721">
        <v>6289.3529687700002</v>
      </c>
      <c r="V10" s="3721">
        <v>8595.0272645700006</v>
      </c>
      <c r="W10" s="4250">
        <v>12601.722213149998</v>
      </c>
      <c r="X10" s="3707"/>
    </row>
    <row r="11" spans="1:24" ht="20.100000000000001" customHeight="1">
      <c r="A11" s="3717"/>
      <c r="B11" s="3782" t="s">
        <v>1963</v>
      </c>
      <c r="C11" s="3721">
        <v>9229.1938400652398</v>
      </c>
      <c r="D11" s="3721">
        <v>14168.399253132713</v>
      </c>
      <c r="E11" s="3721">
        <v>13061.459212200822</v>
      </c>
      <c r="F11" s="3721">
        <v>14536.384461717887</v>
      </c>
      <c r="G11" s="3783">
        <v>11593.813136316046</v>
      </c>
      <c r="H11" s="3721">
        <v>12264.471010722196</v>
      </c>
      <c r="I11" s="3721">
        <v>13435.533875934867</v>
      </c>
      <c r="J11" s="3784">
        <v>13584.24952042997</v>
      </c>
      <c r="K11" s="3721">
        <v>11817.838669053073</v>
      </c>
      <c r="L11" s="3721">
        <v>13832.7416211214</v>
      </c>
      <c r="M11" s="3721">
        <v>12361.332638004627</v>
      </c>
      <c r="N11" s="3721">
        <v>12628.081088827663</v>
      </c>
      <c r="O11" s="3783">
        <v>12430.520666130631</v>
      </c>
      <c r="P11" s="3721">
        <v>15799.823712051497</v>
      </c>
      <c r="Q11" s="3721">
        <v>13782.035890837467</v>
      </c>
      <c r="R11" s="3784">
        <v>15034.69461350558</v>
      </c>
      <c r="S11" s="3783">
        <v>13459.83594832296</v>
      </c>
      <c r="T11" s="3721">
        <v>14646.736707353182</v>
      </c>
      <c r="U11" s="3721">
        <v>18049.295018312663</v>
      </c>
      <c r="V11" s="3721">
        <v>15767.523932022694</v>
      </c>
      <c r="W11" s="4250">
        <v>15567.574841133785</v>
      </c>
      <c r="X11" s="3707"/>
    </row>
    <row r="12" spans="1:24" s="3716" customFormat="1" ht="20.100000000000001" customHeight="1">
      <c r="A12" s="3717"/>
      <c r="B12" s="3778" t="s">
        <v>594</v>
      </c>
      <c r="C12" s="3779">
        <v>-832.73215274188976</v>
      </c>
      <c r="D12" s="3779">
        <v>-496.90260904907734</v>
      </c>
      <c r="E12" s="3779">
        <v>-1295.2841663097724</v>
      </c>
      <c r="F12" s="3779">
        <v>-1658.2087049107652</v>
      </c>
      <c r="G12" s="3780">
        <v>-1112.5914335436889</v>
      </c>
      <c r="H12" s="3779">
        <v>-758.25758670021582</v>
      </c>
      <c r="I12" s="3779">
        <v>-1658.1263957991982</v>
      </c>
      <c r="J12" s="3781">
        <v>-1220.972583988899</v>
      </c>
      <c r="K12" s="3779">
        <v>-327.63017384064602</v>
      </c>
      <c r="L12" s="3779">
        <v>-978.9635522942998</v>
      </c>
      <c r="M12" s="3779">
        <v>-735.29610190272797</v>
      </c>
      <c r="N12" s="3779">
        <v>-930.75613415359499</v>
      </c>
      <c r="O12" s="3780">
        <v>-725.74129922875068</v>
      </c>
      <c r="P12" s="3779">
        <v>-666.01292349993059</v>
      </c>
      <c r="Q12" s="3779">
        <v>-1696.822484516545</v>
      </c>
      <c r="R12" s="3781">
        <v>-907.38883659680607</v>
      </c>
      <c r="S12" s="3780">
        <v>-1599.3421183230112</v>
      </c>
      <c r="T12" s="3779">
        <v>-142.15689844197561</v>
      </c>
      <c r="U12" s="3779">
        <v>-1507.107537844267</v>
      </c>
      <c r="V12" s="3779">
        <v>-452.43542778245433</v>
      </c>
      <c r="W12" s="4249">
        <v>-1188.6673748862627</v>
      </c>
      <c r="X12" s="3742"/>
    </row>
    <row r="13" spans="1:24" ht="20.100000000000001" customHeight="1">
      <c r="A13" s="3717"/>
      <c r="B13" s="3782" t="s">
        <v>433</v>
      </c>
      <c r="C13" s="3721">
        <v>740.52431192914378</v>
      </c>
      <c r="D13" s="3721">
        <v>1123.4200054692258</v>
      </c>
      <c r="E13" s="3721">
        <v>851.68962662669401</v>
      </c>
      <c r="F13" s="3721">
        <v>988.18671813702645</v>
      </c>
      <c r="G13" s="3783">
        <v>1033.331072277045</v>
      </c>
      <c r="H13" s="3721">
        <v>1636.4718346580221</v>
      </c>
      <c r="I13" s="3721">
        <v>1195.1011457404088</v>
      </c>
      <c r="J13" s="3784">
        <v>1281.1149788629905</v>
      </c>
      <c r="K13" s="3721">
        <v>1544.4370583625046</v>
      </c>
      <c r="L13" s="3721">
        <v>2038.6957468416103</v>
      </c>
      <c r="M13" s="3721">
        <v>1404.2108984445463</v>
      </c>
      <c r="N13" s="3721">
        <v>1777.2648487885222</v>
      </c>
      <c r="O13" s="3783">
        <v>1665.7311855541668</v>
      </c>
      <c r="P13" s="3721">
        <v>2692.1073893625266</v>
      </c>
      <c r="Q13" s="3721">
        <v>1242.1178934798641</v>
      </c>
      <c r="R13" s="3784">
        <v>2046.2835235747827</v>
      </c>
      <c r="S13" s="3783">
        <v>1507.2486542435674</v>
      </c>
      <c r="T13" s="3721">
        <v>2588.6456409928956</v>
      </c>
      <c r="U13" s="3721">
        <v>1750.1470138585607</v>
      </c>
      <c r="V13" s="3721">
        <v>1839.4696857486899</v>
      </c>
      <c r="W13" s="4250">
        <v>1949.400869384941</v>
      </c>
      <c r="X13" s="3707"/>
    </row>
    <row r="14" spans="1:24" ht="20.100000000000001" customHeight="1">
      <c r="A14" s="3718"/>
      <c r="B14" s="3782" t="s">
        <v>1964</v>
      </c>
      <c r="C14" s="3721">
        <v>1573.2564646710337</v>
      </c>
      <c r="D14" s="3721">
        <v>1620.322614518303</v>
      </c>
      <c r="E14" s="3721">
        <v>2146.9737929364665</v>
      </c>
      <c r="F14" s="3721">
        <v>2646.3954230477916</v>
      </c>
      <c r="G14" s="3783">
        <v>2145.9225058207339</v>
      </c>
      <c r="H14" s="3721">
        <v>2394.7294213582381</v>
      </c>
      <c r="I14" s="3721">
        <v>2853.227541539607</v>
      </c>
      <c r="J14" s="3784">
        <v>2502.0875628518897</v>
      </c>
      <c r="K14" s="3721">
        <v>1872.0672322031505</v>
      </c>
      <c r="L14" s="3721">
        <v>3017.6592991359103</v>
      </c>
      <c r="M14" s="3721">
        <v>2139.5070003472742</v>
      </c>
      <c r="N14" s="3721">
        <v>2708.0209829421169</v>
      </c>
      <c r="O14" s="3783">
        <v>2391.4724847829175</v>
      </c>
      <c r="P14" s="3721">
        <v>3358.120312862457</v>
      </c>
      <c r="Q14" s="3721">
        <v>2938.9403779964096</v>
      </c>
      <c r="R14" s="3784">
        <v>2953.6723601715889</v>
      </c>
      <c r="S14" s="3783">
        <v>3106.5907725665784</v>
      </c>
      <c r="T14" s="3721">
        <v>2730.8025394348715</v>
      </c>
      <c r="U14" s="3721">
        <v>3257.2545517028275</v>
      </c>
      <c r="V14" s="3721">
        <v>2291.9051135311443</v>
      </c>
      <c r="W14" s="4250">
        <v>3138.0682442712036</v>
      </c>
      <c r="X14" s="3707"/>
    </row>
    <row r="15" spans="1:24" s="3716" customFormat="1" ht="20.100000000000001" customHeight="1">
      <c r="A15" s="3717"/>
      <c r="B15" s="3778" t="s">
        <v>1965</v>
      </c>
      <c r="C15" s="3779">
        <v>-513.54210654058943</v>
      </c>
      <c r="D15" s="3779">
        <v>-452.55334825814339</v>
      </c>
      <c r="E15" s="3779">
        <v>-1866.2804247300835</v>
      </c>
      <c r="F15" s="3779">
        <v>-1686.928420522426</v>
      </c>
      <c r="G15" s="3780">
        <v>-776.41591579149042</v>
      </c>
      <c r="H15" s="3779">
        <v>-856.91578840970215</v>
      </c>
      <c r="I15" s="3779">
        <v>-2561.6253052467328</v>
      </c>
      <c r="J15" s="3781">
        <v>-1553.7513357938581</v>
      </c>
      <c r="K15" s="3779">
        <v>-1687.0779144686685</v>
      </c>
      <c r="L15" s="3779">
        <v>-3546.165850600652</v>
      </c>
      <c r="M15" s="3779">
        <v>-1328.5994258330061</v>
      </c>
      <c r="N15" s="3779">
        <v>-2523.8585442150838</v>
      </c>
      <c r="O15" s="3780">
        <v>-2038.7052928940725</v>
      </c>
      <c r="P15" s="3779">
        <v>-1351.9075750813133</v>
      </c>
      <c r="Q15" s="3779">
        <v>-1463.7244015712449</v>
      </c>
      <c r="R15" s="3781">
        <v>-2585.3189344824295</v>
      </c>
      <c r="S15" s="3780">
        <v>-2600.9079736780818</v>
      </c>
      <c r="T15" s="3779">
        <v>-3293.1783913741729</v>
      </c>
      <c r="U15" s="3779">
        <v>-1896.1961740792262</v>
      </c>
      <c r="V15" s="3779">
        <v>-3551.3682782154315</v>
      </c>
      <c r="W15" s="4249">
        <v>-3063.3946649628019</v>
      </c>
      <c r="X15" s="3742"/>
    </row>
    <row r="16" spans="1:24" ht="20.100000000000001" customHeight="1">
      <c r="A16" s="3718"/>
      <c r="B16" s="3782" t="s">
        <v>433</v>
      </c>
      <c r="C16" s="3721">
        <v>139.54415058128666</v>
      </c>
      <c r="D16" s="3721">
        <v>172.36347992106056</v>
      </c>
      <c r="E16" s="3721">
        <v>270.43252534383163</v>
      </c>
      <c r="F16" s="3721">
        <v>171.28515659164367</v>
      </c>
      <c r="G16" s="3783">
        <v>198.61766414472484</v>
      </c>
      <c r="H16" s="3721">
        <v>259.37385803157338</v>
      </c>
      <c r="I16" s="3721">
        <v>191.38797177848474</v>
      </c>
      <c r="J16" s="3784">
        <v>225.75537711702455</v>
      </c>
      <c r="K16" s="3721">
        <v>236.89935384056932</v>
      </c>
      <c r="L16" s="3721">
        <v>245.62352447863557</v>
      </c>
      <c r="M16" s="3721">
        <v>238.51102202915388</v>
      </c>
      <c r="N16" s="3721">
        <v>244.82608015804416</v>
      </c>
      <c r="O16" s="3783">
        <v>263.73608811411748</v>
      </c>
      <c r="P16" s="3721">
        <v>325.76238984126599</v>
      </c>
      <c r="Q16" s="3721">
        <v>270.82967809372133</v>
      </c>
      <c r="R16" s="3784">
        <v>332.10681599042653</v>
      </c>
      <c r="S16" s="3783">
        <v>352.72498414938411</v>
      </c>
      <c r="T16" s="3721">
        <v>505.99603423579356</v>
      </c>
      <c r="U16" s="3721">
        <v>493.42522227475501</v>
      </c>
      <c r="V16" s="3721">
        <v>55.078273876812396</v>
      </c>
      <c r="W16" s="4250">
        <v>304.58934086987978</v>
      </c>
      <c r="X16" s="3707"/>
    </row>
    <row r="17" spans="1:24" ht="20.100000000000001" customHeight="1">
      <c r="A17" s="3718"/>
      <c r="B17" s="3782" t="s">
        <v>1964</v>
      </c>
      <c r="C17" s="3721">
        <v>653.08625712187609</v>
      </c>
      <c r="D17" s="3721">
        <v>624.91682817920389</v>
      </c>
      <c r="E17" s="3721">
        <v>2136.7129500739152</v>
      </c>
      <c r="F17" s="3721">
        <v>1858.2135771140697</v>
      </c>
      <c r="G17" s="3783">
        <v>975.03357993621523</v>
      </c>
      <c r="H17" s="3721">
        <v>1116.2896464412756</v>
      </c>
      <c r="I17" s="3721">
        <v>2753.0132770252176</v>
      </c>
      <c r="J17" s="3784">
        <v>1779.5067129108825</v>
      </c>
      <c r="K17" s="3721">
        <v>1923.9772683092378</v>
      </c>
      <c r="L17" s="3721">
        <v>3791.7893750792873</v>
      </c>
      <c r="M17" s="3721">
        <v>1567.1104478621598</v>
      </c>
      <c r="N17" s="3721">
        <v>2768.6846243731279</v>
      </c>
      <c r="O17" s="3783">
        <v>2302.4413810081901</v>
      </c>
      <c r="P17" s="3721">
        <v>1677.6699649225793</v>
      </c>
      <c r="Q17" s="3721">
        <v>1734.5540796649664</v>
      </c>
      <c r="R17" s="3784">
        <v>2917.4257504728562</v>
      </c>
      <c r="S17" s="3783">
        <v>2953.6329578274658</v>
      </c>
      <c r="T17" s="3721">
        <v>3799.1744256099664</v>
      </c>
      <c r="U17" s="3721">
        <v>2389.6213963539813</v>
      </c>
      <c r="V17" s="3721">
        <v>3606.4465520922436</v>
      </c>
      <c r="W17" s="4250">
        <v>3367.9840058326818</v>
      </c>
      <c r="X17" s="3707"/>
    </row>
    <row r="18" spans="1:24" s="3720" customFormat="1" ht="20.100000000000001" hidden="1" customHeight="1">
      <c r="A18" s="3719"/>
      <c r="B18" s="3785"/>
      <c r="C18" s="3721">
        <v>100.847247</v>
      </c>
      <c r="D18" s="3721">
        <v>218.33356000000003</v>
      </c>
      <c r="E18" s="3721">
        <v>1678.4607493835615</v>
      </c>
      <c r="F18" s="3721">
        <v>316.39959452054802</v>
      </c>
      <c r="G18" s="3783"/>
      <c r="H18" s="3721"/>
      <c r="I18" s="3721"/>
      <c r="J18" s="3784"/>
      <c r="K18" s="3721"/>
      <c r="L18" s="3721"/>
      <c r="M18" s="3721"/>
      <c r="N18" s="3721"/>
      <c r="O18" s="3783"/>
      <c r="P18" s="3721"/>
      <c r="Q18" s="3721"/>
      <c r="R18" s="3784"/>
      <c r="S18" s="3783"/>
      <c r="T18" s="3721"/>
      <c r="U18" s="3721"/>
      <c r="V18" s="3721"/>
      <c r="W18" s="4250"/>
      <c r="X18" s="3707"/>
    </row>
    <row r="19" spans="1:24" s="3716" customFormat="1" ht="20.100000000000001" customHeight="1">
      <c r="A19" s="3717"/>
      <c r="B19" s="3778" t="s">
        <v>1966</v>
      </c>
      <c r="C19" s="3779">
        <v>1552.1044416644527</v>
      </c>
      <c r="D19" s="3779">
        <v>1524.55401387763</v>
      </c>
      <c r="E19" s="3779">
        <v>1516.7193672622423</v>
      </c>
      <c r="F19" s="3779">
        <v>1613.3410151679022</v>
      </c>
      <c r="G19" s="3780">
        <v>2702.8919683619224</v>
      </c>
      <c r="H19" s="3779">
        <v>2906.9118700534741</v>
      </c>
      <c r="I19" s="3779">
        <v>2547.3622440594945</v>
      </c>
      <c r="J19" s="3781">
        <v>2621.508929199375</v>
      </c>
      <c r="K19" s="3779">
        <v>959.33251362814929</v>
      </c>
      <c r="L19" s="3779">
        <v>896.53927786947384</v>
      </c>
      <c r="M19" s="3779">
        <v>1173.2411574931498</v>
      </c>
      <c r="N19" s="3779">
        <v>3968.436913902839</v>
      </c>
      <c r="O19" s="3780">
        <v>827.25656395069859</v>
      </c>
      <c r="P19" s="3779">
        <v>1698.9986125025418</v>
      </c>
      <c r="Q19" s="3779">
        <v>539.54573976580355</v>
      </c>
      <c r="R19" s="3781">
        <v>2846.2464327032685</v>
      </c>
      <c r="S19" s="3780">
        <v>2012.0010795523863</v>
      </c>
      <c r="T19" s="3779">
        <v>996.65306090285446</v>
      </c>
      <c r="U19" s="3779">
        <v>458.30181492968734</v>
      </c>
      <c r="V19" s="3779">
        <v>1512.6279166819413</v>
      </c>
      <c r="W19" s="4249">
        <v>2106.2800688228203</v>
      </c>
      <c r="X19" s="3742"/>
    </row>
    <row r="20" spans="1:24" ht="20.100000000000001" customHeight="1">
      <c r="A20" s="3718"/>
      <c r="B20" s="3782" t="s">
        <v>433</v>
      </c>
      <c r="C20" s="3721">
        <v>2107.2161425529694</v>
      </c>
      <c r="D20" s="3721">
        <v>2139.5516965825454</v>
      </c>
      <c r="E20" s="3721">
        <v>2130.8292691846409</v>
      </c>
      <c r="F20" s="3721">
        <v>2184.6454894270832</v>
      </c>
      <c r="G20" s="3783">
        <v>3242.868891271668</v>
      </c>
      <c r="H20" s="3721">
        <v>3385.5682500753333</v>
      </c>
      <c r="I20" s="3721">
        <v>3133.7434060700666</v>
      </c>
      <c r="J20" s="3784">
        <v>3145.1327278995295</v>
      </c>
      <c r="K20" s="3721">
        <v>1528.3694573119092</v>
      </c>
      <c r="L20" s="3721">
        <v>1440.5765177043538</v>
      </c>
      <c r="M20" s="3721">
        <v>1360.1487239960145</v>
      </c>
      <c r="N20" s="3721">
        <v>4355.5905651267403</v>
      </c>
      <c r="O20" s="3783">
        <v>1271.2628222685671</v>
      </c>
      <c r="P20" s="3721">
        <v>2060.148988572435</v>
      </c>
      <c r="Q20" s="3721">
        <v>750.86834822324192</v>
      </c>
      <c r="R20" s="3784">
        <v>3251.0748471250536</v>
      </c>
      <c r="S20" s="3783">
        <v>2379.4592600355327</v>
      </c>
      <c r="T20" s="3721">
        <v>1593.044660459148</v>
      </c>
      <c r="U20" s="3721">
        <v>857.69544457294535</v>
      </c>
      <c r="V20" s="3721">
        <v>2043.957262491434</v>
      </c>
      <c r="W20" s="4250">
        <v>2597.4217948914561</v>
      </c>
      <c r="X20" s="3707"/>
    </row>
    <row r="21" spans="1:24" ht="20.100000000000001" customHeight="1">
      <c r="A21" s="3718"/>
      <c r="B21" s="3785" t="s">
        <v>1967</v>
      </c>
      <c r="C21" s="3721">
        <v>1635.0117500000001</v>
      </c>
      <c r="D21" s="3721">
        <v>1635.0117500000001</v>
      </c>
      <c r="E21" s="3721">
        <v>1635.0117500000001</v>
      </c>
      <c r="F21" s="3721">
        <v>1635.0117500000001</v>
      </c>
      <c r="G21" s="3783">
        <v>2255.1787499999996</v>
      </c>
      <c r="H21" s="3721">
        <v>2255.1787499999996</v>
      </c>
      <c r="I21" s="3721">
        <v>2255.1787499999996</v>
      </c>
      <c r="J21" s="3784">
        <v>2255.1787499999996</v>
      </c>
      <c r="K21" s="3721">
        <v>1179.0377500000002</v>
      </c>
      <c r="L21" s="3721">
        <v>1179.0377500000002</v>
      </c>
      <c r="M21" s="3721">
        <v>1179.0377500000002</v>
      </c>
      <c r="N21" s="3721">
        <v>1179.0377500000002</v>
      </c>
      <c r="O21" s="3783">
        <v>958.73916194000003</v>
      </c>
      <c r="P21" s="3721">
        <v>1541.0853972800001</v>
      </c>
      <c r="Q21" s="3721">
        <v>474.53668645999994</v>
      </c>
      <c r="R21" s="3784">
        <v>882.16633144000002</v>
      </c>
      <c r="S21" s="3783">
        <v>1589.8724873399999</v>
      </c>
      <c r="T21" s="3721">
        <v>1229.7024999999999</v>
      </c>
      <c r="U21" s="3721">
        <v>456.572</v>
      </c>
      <c r="V21" s="3721">
        <v>1508.8679999999999</v>
      </c>
      <c r="W21" s="4250">
        <v>2028.2239470896</v>
      </c>
      <c r="X21" s="3707"/>
    </row>
    <row r="22" spans="1:24" ht="20.100000000000001" customHeight="1">
      <c r="A22" s="3718"/>
      <c r="B22" s="3782" t="s">
        <v>1964</v>
      </c>
      <c r="C22" s="3721">
        <v>555.11170088851679</v>
      </c>
      <c r="D22" s="3721">
        <v>614.99768270491541</v>
      </c>
      <c r="E22" s="3721">
        <v>614.10990192239865</v>
      </c>
      <c r="F22" s="3721">
        <v>571.30447425918078</v>
      </c>
      <c r="G22" s="3783">
        <v>539.97692290974578</v>
      </c>
      <c r="H22" s="3721">
        <v>478.65638002185926</v>
      </c>
      <c r="I22" s="3721">
        <v>586.38116201057221</v>
      </c>
      <c r="J22" s="3784">
        <v>523.62379870015434</v>
      </c>
      <c r="K22" s="3721">
        <v>569.03694368376</v>
      </c>
      <c r="L22" s="3721">
        <v>544.03723983487998</v>
      </c>
      <c r="M22" s="3721">
        <v>186.90756650286482</v>
      </c>
      <c r="N22" s="3721">
        <v>387.15365122390091</v>
      </c>
      <c r="O22" s="3783">
        <v>444.00625831786863</v>
      </c>
      <c r="P22" s="3721">
        <v>361.15037606989284</v>
      </c>
      <c r="Q22" s="3721">
        <v>211.32260845743835</v>
      </c>
      <c r="R22" s="3784">
        <v>404.82841442178494</v>
      </c>
      <c r="S22" s="3783">
        <v>367.45818048314635</v>
      </c>
      <c r="T22" s="3721">
        <v>596.3915995562935</v>
      </c>
      <c r="U22" s="3721">
        <v>399.39362964325807</v>
      </c>
      <c r="V22" s="3721">
        <v>531.32934580949291</v>
      </c>
      <c r="W22" s="4250">
        <v>491.14172606863542</v>
      </c>
      <c r="X22" s="3707"/>
    </row>
    <row r="23" spans="1:24" s="3716" customFormat="1" ht="20.100000000000001" customHeight="1">
      <c r="A23" s="3717"/>
      <c r="B23" s="3659" t="s">
        <v>1968</v>
      </c>
      <c r="C23" s="3786">
        <v>2348.2600000000002</v>
      </c>
      <c r="D23" s="3786">
        <v>1113.393</v>
      </c>
      <c r="E23" s="3786">
        <v>2087.607</v>
      </c>
      <c r="F23" s="3786">
        <v>2060.42</v>
      </c>
      <c r="G23" s="3787">
        <v>859.13299999999981</v>
      </c>
      <c r="H23" s="3786">
        <v>1537.9329999999998</v>
      </c>
      <c r="I23" s="3786">
        <v>1498.9329999999998</v>
      </c>
      <c r="J23" s="3788">
        <v>859.13299999999981</v>
      </c>
      <c r="K23" s="3786">
        <v>1720.2565</v>
      </c>
      <c r="L23" s="3786">
        <v>1174.6565000000001</v>
      </c>
      <c r="M23" s="3786">
        <v>5174.6565000000001</v>
      </c>
      <c r="N23" s="3786">
        <v>6389.4234999999999</v>
      </c>
      <c r="O23" s="3787">
        <v>1760.8177520000002</v>
      </c>
      <c r="P23" s="3786">
        <v>4461.8522670000002</v>
      </c>
      <c r="Q23" s="3786">
        <v>4601.6345332500005</v>
      </c>
      <c r="R23" s="3788">
        <v>6077.4340461900001</v>
      </c>
      <c r="S23" s="3787">
        <v>4190.7074614900002</v>
      </c>
      <c r="T23" s="3786">
        <v>4983.2244000000001</v>
      </c>
      <c r="U23" s="3786">
        <v>2964.509</v>
      </c>
      <c r="V23" s="3786">
        <v>1842.6030000000001</v>
      </c>
      <c r="W23" s="4249">
        <v>3705.6821</v>
      </c>
      <c r="X23" s="3742"/>
    </row>
    <row r="24" spans="1:24" ht="20.100000000000001" customHeight="1">
      <c r="A24" s="3718"/>
      <c r="B24" s="3789" t="s">
        <v>1969</v>
      </c>
      <c r="C24" s="3721">
        <v>989.42</v>
      </c>
      <c r="D24" s="3721">
        <v>989.42</v>
      </c>
      <c r="E24" s="3721">
        <v>989.42</v>
      </c>
      <c r="F24" s="3721">
        <v>989.42</v>
      </c>
      <c r="G24" s="3783">
        <v>859.13299999999981</v>
      </c>
      <c r="H24" s="3721">
        <v>859.13299999999981</v>
      </c>
      <c r="I24" s="3721">
        <v>859.13299999999981</v>
      </c>
      <c r="J24" s="3784">
        <v>859.13299999999981</v>
      </c>
      <c r="K24" s="3721">
        <v>1174.6565000000001</v>
      </c>
      <c r="L24" s="3721">
        <v>1174.6565000000001</v>
      </c>
      <c r="M24" s="3721">
        <v>1174.6565000000001</v>
      </c>
      <c r="N24" s="3721">
        <v>1174.6565000000001</v>
      </c>
      <c r="O24" s="3783">
        <v>668.81775199999993</v>
      </c>
      <c r="P24" s="3721">
        <v>2635.8522670000002</v>
      </c>
      <c r="Q24" s="3721">
        <v>1790.0345332500001</v>
      </c>
      <c r="R24" s="3784">
        <v>2446.8340461900002</v>
      </c>
      <c r="S24" s="3783">
        <v>257.17446149</v>
      </c>
      <c r="T24" s="3721">
        <v>3254.3244</v>
      </c>
      <c r="U24" s="3721">
        <v>655.92899999999997</v>
      </c>
      <c r="V24" s="3721">
        <v>240.60300000000001</v>
      </c>
      <c r="W24" s="4250">
        <v>1272.1819999999998</v>
      </c>
      <c r="X24" s="3707"/>
    </row>
    <row r="25" spans="1:24" s="3720" customFormat="1" ht="20.100000000000001" hidden="1" customHeight="1">
      <c r="A25" s="3719"/>
      <c r="B25" s="3789" t="s">
        <v>1970</v>
      </c>
      <c r="C25" s="3721">
        <v>1358.84</v>
      </c>
      <c r="D25" s="3721">
        <v>123.973</v>
      </c>
      <c r="E25" s="3721">
        <v>1098.1869999999999</v>
      </c>
      <c r="F25" s="3721">
        <v>1071</v>
      </c>
      <c r="G25" s="3783">
        <v>0</v>
      </c>
      <c r="H25" s="3721">
        <v>678.8</v>
      </c>
      <c r="I25" s="3721">
        <v>639.79999999999995</v>
      </c>
      <c r="J25" s="3784">
        <v>0</v>
      </c>
      <c r="K25" s="3721">
        <v>545.6</v>
      </c>
      <c r="L25" s="3721">
        <v>0</v>
      </c>
      <c r="M25" s="3721">
        <v>4000</v>
      </c>
      <c r="N25" s="3721">
        <v>5214.7669999999998</v>
      </c>
      <c r="O25" s="3783">
        <v>1092</v>
      </c>
      <c r="P25" s="3721">
        <v>1826</v>
      </c>
      <c r="Q25" s="3721">
        <v>2811.6</v>
      </c>
      <c r="R25" s="3784">
        <v>3630.6</v>
      </c>
      <c r="S25" s="3783">
        <v>3933.5329999999999</v>
      </c>
      <c r="T25" s="3721">
        <v>1728.9</v>
      </c>
      <c r="U25" s="3721">
        <v>2308.58</v>
      </c>
      <c r="V25" s="3721">
        <v>1602</v>
      </c>
      <c r="W25" s="4250"/>
      <c r="X25" s="3707"/>
    </row>
    <row r="26" spans="1:24" s="3716" customFormat="1" ht="20.100000000000001" customHeight="1">
      <c r="A26" s="3717"/>
      <c r="B26" s="3659" t="s">
        <v>1972</v>
      </c>
      <c r="C26" s="3779">
        <v>1930.2706841238435</v>
      </c>
      <c r="D26" s="3779">
        <v>-4359.6265027963127</v>
      </c>
      <c r="E26" s="3779">
        <v>-4415.1990064983383</v>
      </c>
      <c r="F26" s="3779">
        <v>-11597.770673643123</v>
      </c>
      <c r="G26" s="3780">
        <v>-2279.8246717933193</v>
      </c>
      <c r="H26" s="3779">
        <v>5738.4026420200344</v>
      </c>
      <c r="I26" s="3779">
        <v>-9908.9865404108241</v>
      </c>
      <c r="J26" s="3781">
        <v>-8813.960265277512</v>
      </c>
      <c r="K26" s="3779">
        <v>-8591.8864849218953</v>
      </c>
      <c r="L26" s="3779">
        <v>-8259.973310693149</v>
      </c>
      <c r="M26" s="3779">
        <v>-3525.0847547624207</v>
      </c>
      <c r="N26" s="3779">
        <v>933.51853409507839</v>
      </c>
      <c r="O26" s="3780">
        <v>2166.009805753577</v>
      </c>
      <c r="P26" s="3779">
        <v>-3358.3828340315076</v>
      </c>
      <c r="Q26" s="3779">
        <v>-6845.9508214015323</v>
      </c>
      <c r="R26" s="3781">
        <v>-5876.5574834577646</v>
      </c>
      <c r="S26" s="3780">
        <v>-9668.6500912718475</v>
      </c>
      <c r="T26" s="3779">
        <v>-7235.762954798327</v>
      </c>
      <c r="U26" s="3779">
        <v>-2652.2437691672048</v>
      </c>
      <c r="V26" s="3779">
        <v>-4329.4796657637053</v>
      </c>
      <c r="W26" s="4249">
        <v>-13292.109553311249</v>
      </c>
      <c r="X26" s="3742"/>
    </row>
    <row r="27" spans="1:24" s="3716" customFormat="1" ht="20.100000000000001" customHeight="1">
      <c r="A27" s="3717"/>
      <c r="B27" s="3790" t="s">
        <v>1974</v>
      </c>
      <c r="C27" s="3786">
        <v>252.55887033846</v>
      </c>
      <c r="D27" s="3786">
        <v>517.61766609335621</v>
      </c>
      <c r="E27" s="3786">
        <v>405.13849118970001</v>
      </c>
      <c r="F27" s="3786">
        <v>233.47720455083999</v>
      </c>
      <c r="G27" s="3787">
        <v>356.61973950679999</v>
      </c>
      <c r="H27" s="3786">
        <v>339.32948689700004</v>
      </c>
      <c r="I27" s="3786">
        <v>306.09239826969997</v>
      </c>
      <c r="J27" s="3788">
        <v>207.68166318749999</v>
      </c>
      <c r="K27" s="3786">
        <v>130.60252528325</v>
      </c>
      <c r="L27" s="3786">
        <v>1978.9530124907249</v>
      </c>
      <c r="M27" s="3786">
        <v>302.91315447073174</v>
      </c>
      <c r="N27" s="3786">
        <v>295.32816103327434</v>
      </c>
      <c r="O27" s="3787">
        <v>161.92628479147874</v>
      </c>
      <c r="P27" s="3786">
        <v>42.976633476445542</v>
      </c>
      <c r="Q27" s="3786">
        <v>111.44729542186953</v>
      </c>
      <c r="R27" s="3788">
        <v>195.18475257706061</v>
      </c>
      <c r="S27" s="3787">
        <v>679.0597128022373</v>
      </c>
      <c r="T27" s="3786">
        <v>944.55582008393083</v>
      </c>
      <c r="U27" s="3786">
        <v>227.22772659987632</v>
      </c>
      <c r="V27" s="3786">
        <v>224.15685247373969</v>
      </c>
      <c r="W27" s="4249">
        <v>411.72323362517375</v>
      </c>
      <c r="X27" s="3742"/>
    </row>
    <row r="28" spans="1:24" ht="20.100000000000001" customHeight="1">
      <c r="A28" s="3718"/>
      <c r="B28" s="3789" t="s">
        <v>1975</v>
      </c>
      <c r="C28" s="3721">
        <v>183.80814084065997</v>
      </c>
      <c r="D28" s="3721">
        <v>219.14387653765624</v>
      </c>
      <c r="E28" s="3721">
        <v>277.12641525639998</v>
      </c>
      <c r="F28" s="3721">
        <v>90.434333736240006</v>
      </c>
      <c r="G28" s="3783">
        <v>143.9132463988</v>
      </c>
      <c r="H28" s="3721">
        <v>201.671894657</v>
      </c>
      <c r="I28" s="3721">
        <v>144.1242625715</v>
      </c>
      <c r="J28" s="3784">
        <v>99.632033305999997</v>
      </c>
      <c r="K28" s="3721">
        <v>130.60252528325</v>
      </c>
      <c r="L28" s="3721">
        <v>1933.0506315907251</v>
      </c>
      <c r="M28" s="3721">
        <v>302.91315447073174</v>
      </c>
      <c r="N28" s="3721">
        <v>252.48125961227436</v>
      </c>
      <c r="O28" s="3783">
        <v>161.63663591734399</v>
      </c>
      <c r="P28" s="3721">
        <v>142.3294474742537</v>
      </c>
      <c r="Q28" s="3721">
        <v>111.44729542186953</v>
      </c>
      <c r="R28" s="3784">
        <v>195.18475257706061</v>
      </c>
      <c r="S28" s="3783">
        <v>261.69879320495613</v>
      </c>
      <c r="T28" s="3721">
        <v>76.774392758508569</v>
      </c>
      <c r="U28" s="3721">
        <v>45.366059706585368</v>
      </c>
      <c r="V28" s="3721">
        <v>-52.190009306418972</v>
      </c>
      <c r="W28" s="4250">
        <v>0</v>
      </c>
      <c r="X28" s="3707"/>
    </row>
    <row r="29" spans="1:24" s="3716" customFormat="1" ht="20.100000000000001" hidden="1" customHeight="1">
      <c r="A29" s="3717"/>
      <c r="B29" s="3790" t="s">
        <v>1976</v>
      </c>
      <c r="C29" s="3786">
        <v>0</v>
      </c>
      <c r="D29" s="3786">
        <v>0</v>
      </c>
      <c r="E29" s="3786">
        <v>0</v>
      </c>
      <c r="F29" s="3786">
        <v>0</v>
      </c>
      <c r="G29" s="3787">
        <v>0</v>
      </c>
      <c r="H29" s="3786">
        <v>0</v>
      </c>
      <c r="I29" s="3786">
        <v>0</v>
      </c>
      <c r="J29" s="3788">
        <v>0</v>
      </c>
      <c r="K29" s="3786">
        <v>0</v>
      </c>
      <c r="L29" s="3786">
        <v>0</v>
      </c>
      <c r="M29" s="3786">
        <v>0</v>
      </c>
      <c r="N29" s="3786">
        <v>0</v>
      </c>
      <c r="O29" s="3787">
        <v>0</v>
      </c>
      <c r="P29" s="3786">
        <v>0</v>
      </c>
      <c r="Q29" s="3786">
        <v>0</v>
      </c>
      <c r="R29" s="3788">
        <v>0</v>
      </c>
      <c r="S29" s="3787">
        <v>0</v>
      </c>
      <c r="T29" s="3786">
        <v>0</v>
      </c>
      <c r="U29" s="3786">
        <v>0</v>
      </c>
      <c r="V29" s="3786">
        <v>0</v>
      </c>
      <c r="W29" s="4249"/>
      <c r="X29" s="3742"/>
    </row>
    <row r="30" spans="1:24" s="3716" customFormat="1" ht="20.100000000000001" customHeight="1">
      <c r="A30" s="3717"/>
      <c r="B30" s="3790" t="s">
        <v>1977</v>
      </c>
      <c r="C30" s="3786">
        <v>2182.8295544623033</v>
      </c>
      <c r="D30" s="3786">
        <v>-3842.0088367029566</v>
      </c>
      <c r="E30" s="3786">
        <v>-4010.0605153086381</v>
      </c>
      <c r="F30" s="3786">
        <v>-11364.293469092285</v>
      </c>
      <c r="G30" s="3787">
        <v>-1923.2049322865196</v>
      </c>
      <c r="H30" s="3786">
        <v>6077.7321289170359</v>
      </c>
      <c r="I30" s="3786">
        <v>-9602.8941421411255</v>
      </c>
      <c r="J30" s="3788">
        <v>-8606.2786020900112</v>
      </c>
      <c r="K30" s="3786">
        <v>-8461.2839596386457</v>
      </c>
      <c r="L30" s="3786">
        <v>-6281.020298202423</v>
      </c>
      <c r="M30" s="3786">
        <v>-3222.1716002916892</v>
      </c>
      <c r="N30" s="3786">
        <v>1228.8466951283522</v>
      </c>
      <c r="O30" s="3787">
        <v>2327.9360905450562</v>
      </c>
      <c r="P30" s="3786">
        <v>-3315.4062005550618</v>
      </c>
      <c r="Q30" s="3786">
        <v>-6734.5035259796623</v>
      </c>
      <c r="R30" s="3788">
        <v>-5681.3727308807038</v>
      </c>
      <c r="S30" s="3787">
        <v>-8989.5903784696093</v>
      </c>
      <c r="T30" s="3786">
        <v>-6291.2071347143956</v>
      </c>
      <c r="U30" s="3786">
        <v>-2425.0160425673275</v>
      </c>
      <c r="V30" s="3786">
        <v>-4105.3228132899658</v>
      </c>
      <c r="W30" s="4249">
        <v>-12880.386319686075</v>
      </c>
      <c r="X30" s="3742"/>
    </row>
    <row r="31" spans="1:24" s="3716" customFormat="1" ht="20.100000000000001" customHeight="1">
      <c r="A31" s="3717"/>
      <c r="B31" s="3791" t="s">
        <v>1978</v>
      </c>
      <c r="C31" s="3786">
        <v>900.17494899360304</v>
      </c>
      <c r="D31" s="3786">
        <v>-2006.0908878893963</v>
      </c>
      <c r="E31" s="3786">
        <v>-148.47100761401558</v>
      </c>
      <c r="F31" s="3786">
        <v>1106.7677823400111</v>
      </c>
      <c r="G31" s="3787">
        <v>864.87194855872428</v>
      </c>
      <c r="H31" s="3786">
        <v>439.07499465957528</v>
      </c>
      <c r="I31" s="3786">
        <v>-101.84079445388045</v>
      </c>
      <c r="J31" s="3788">
        <v>-1156.295193538054</v>
      </c>
      <c r="K31" s="3786">
        <v>2652.6713867151134</v>
      </c>
      <c r="L31" s="3786">
        <v>-3495.9672853935658</v>
      </c>
      <c r="M31" s="3786">
        <v>-183.65060568006342</v>
      </c>
      <c r="N31" s="3786">
        <v>1983.4901001167354</v>
      </c>
      <c r="O31" s="3787">
        <v>462.42709765260861</v>
      </c>
      <c r="P31" s="3786">
        <v>-1886.4926380263446</v>
      </c>
      <c r="Q31" s="3786">
        <v>105.36773711359406</v>
      </c>
      <c r="R31" s="3788">
        <v>1115.9530012698287</v>
      </c>
      <c r="S31" s="3787">
        <v>1013.9984046452109</v>
      </c>
      <c r="T31" s="3786">
        <v>-1679.6733922146568</v>
      </c>
      <c r="U31" s="3786">
        <v>-778.58063887856906</v>
      </c>
      <c r="V31" s="3786">
        <v>582.74059296417613</v>
      </c>
      <c r="W31" s="4249">
        <v>-424.45080568698717</v>
      </c>
      <c r="X31" s="3742"/>
    </row>
    <row r="32" spans="1:24" s="3716" customFormat="1" ht="20.100000000000001" customHeight="1">
      <c r="A32" s="3717"/>
      <c r="B32" s="3791" t="s">
        <v>1979</v>
      </c>
      <c r="C32" s="3786">
        <v>-1282.6546054687003</v>
      </c>
      <c r="D32" s="3786">
        <v>1835.9179488135605</v>
      </c>
      <c r="E32" s="3786">
        <v>3861.5895076946226</v>
      </c>
      <c r="F32" s="3786">
        <v>12471.061251432295</v>
      </c>
      <c r="G32" s="3787">
        <v>2788.0768808452435</v>
      </c>
      <c r="H32" s="3786">
        <v>-5638.6571342574607</v>
      </c>
      <c r="I32" s="3786">
        <v>9501.0533476872461</v>
      </c>
      <c r="J32" s="3788">
        <v>7449.9834085519569</v>
      </c>
      <c r="K32" s="3786">
        <v>11113.95534635376</v>
      </c>
      <c r="L32" s="3786">
        <v>2785.0530128088567</v>
      </c>
      <c r="M32" s="3786">
        <v>3038.5209946116256</v>
      </c>
      <c r="N32" s="3786">
        <v>754.64340498838339</v>
      </c>
      <c r="O32" s="3787">
        <v>-1865.5089928924472</v>
      </c>
      <c r="P32" s="3786">
        <v>1428.9135625287172</v>
      </c>
      <c r="Q32" s="3786">
        <v>6839.8712630932569</v>
      </c>
      <c r="R32" s="3788">
        <v>6797.3257321505325</v>
      </c>
      <c r="S32" s="3787">
        <v>10003.588783114821</v>
      </c>
      <c r="T32" s="3786">
        <v>4611.5337424997397</v>
      </c>
      <c r="U32" s="3786">
        <v>1646.4354036887585</v>
      </c>
      <c r="V32" s="3786">
        <v>4688.0634062541421</v>
      </c>
      <c r="W32" s="4249">
        <v>12455.935513999088</v>
      </c>
      <c r="X32" s="3742"/>
    </row>
    <row r="33" spans="1:24" ht="20.100000000000001" customHeight="1">
      <c r="A33" s="3718"/>
      <c r="B33" s="3789" t="s">
        <v>1980</v>
      </c>
      <c r="C33" s="3721">
        <v>182.1394488346815</v>
      </c>
      <c r="D33" s="3721">
        <v>1903.4835153987899</v>
      </c>
      <c r="E33" s="3721">
        <v>119.92335666394888</v>
      </c>
      <c r="F33" s="3721">
        <v>9578.8104277715047</v>
      </c>
      <c r="G33" s="3783">
        <v>492.81022042401526</v>
      </c>
      <c r="H33" s="3721">
        <v>1513.4466640594389</v>
      </c>
      <c r="I33" s="3721">
        <v>2511.4788489741786</v>
      </c>
      <c r="J33" s="3784">
        <v>6714.342432905436</v>
      </c>
      <c r="K33" s="3721">
        <v>6386.8048209811686</v>
      </c>
      <c r="L33" s="3721">
        <v>1550.7894799795454</v>
      </c>
      <c r="M33" s="3721">
        <v>2074.1757494278409</v>
      </c>
      <c r="N33" s="3721">
        <v>7921.9468115441068</v>
      </c>
      <c r="O33" s="3783">
        <v>3651.5708888264844</v>
      </c>
      <c r="P33" s="3721">
        <v>1500.0488577202814</v>
      </c>
      <c r="Q33" s="3721">
        <v>6048.9539508269527</v>
      </c>
      <c r="R33" s="3784">
        <v>7509.4317676433875</v>
      </c>
      <c r="S33" s="3783">
        <v>10217.092018248668</v>
      </c>
      <c r="T33" s="3721">
        <v>4964.6847299765886</v>
      </c>
      <c r="U33" s="3721">
        <v>4404.1890202731493</v>
      </c>
      <c r="V33" s="3721">
        <v>4631.7345588830885</v>
      </c>
      <c r="W33" s="4250">
        <v>13400.551220721136</v>
      </c>
      <c r="X33" s="3707"/>
    </row>
    <row r="34" spans="1:24" ht="20.100000000000001" customHeight="1">
      <c r="A34" s="3718"/>
      <c r="B34" s="3789" t="s">
        <v>1981</v>
      </c>
      <c r="C34" s="3721">
        <v>-1533.2997460045547</v>
      </c>
      <c r="D34" s="3721">
        <v>-77.671975040320348</v>
      </c>
      <c r="E34" s="3721">
        <v>3633.746725</v>
      </c>
      <c r="F34" s="3721">
        <v>2595.9584904925014</v>
      </c>
      <c r="G34" s="3783">
        <v>1986.1698449999999</v>
      </c>
      <c r="H34" s="3721">
        <v>-7188.0467371604054</v>
      </c>
      <c r="I34" s="3721">
        <v>7159.6353755900018</v>
      </c>
      <c r="J34" s="3784">
        <v>992.99773732301674</v>
      </c>
      <c r="K34" s="3721">
        <v>4543.7310928466659</v>
      </c>
      <c r="L34" s="3721">
        <v>1749.0243910608194</v>
      </c>
      <c r="M34" s="3721">
        <v>1171.4040487500013</v>
      </c>
      <c r="N34" s="3721">
        <v>-7262.8093931552839</v>
      </c>
      <c r="O34" s="3783">
        <v>-5481.32857143</v>
      </c>
      <c r="P34" s="3721">
        <v>-146.09776428519228</v>
      </c>
      <c r="Q34" s="3721">
        <v>-71.428571430000375</v>
      </c>
      <c r="R34" s="3784">
        <v>-143.59137113876415</v>
      </c>
      <c r="S34" s="3783">
        <v>-71.428571430000375</v>
      </c>
      <c r="T34" s="3721">
        <v>-143.73275524175733</v>
      </c>
      <c r="U34" s="3721">
        <v>-3071.4285714300004</v>
      </c>
      <c r="V34" s="3721">
        <v>-141.19710238606044</v>
      </c>
      <c r="W34" s="4250">
        <v>-1009.1984057257589</v>
      </c>
      <c r="X34" s="3707"/>
    </row>
    <row r="35" spans="1:24" s="3716" customFormat="1" ht="20.100000000000001" customHeight="1">
      <c r="A35" s="3717"/>
      <c r="B35" s="3659" t="s">
        <v>1982</v>
      </c>
      <c r="C35" s="3779">
        <v>4357.2754094487746</v>
      </c>
      <c r="D35" s="3779">
        <v>1532.8131894457811</v>
      </c>
      <c r="E35" s="3779">
        <v>-2705.1899719169796</v>
      </c>
      <c r="F35" s="3779">
        <v>-5008.3180157128945</v>
      </c>
      <c r="G35" s="3780">
        <v>5800.3300528203363</v>
      </c>
      <c r="H35" s="3779">
        <v>-5186.2289520389058</v>
      </c>
      <c r="I35" s="3779">
        <v>-7735.9816000116425</v>
      </c>
      <c r="J35" s="3781">
        <v>-2365.4406003160889</v>
      </c>
      <c r="K35" s="3779">
        <v>-5827.4228817177636</v>
      </c>
      <c r="L35" s="3779">
        <v>6210.7880369871691</v>
      </c>
      <c r="M35" s="3779">
        <v>-723.77872531835646</v>
      </c>
      <c r="N35" s="3779">
        <v>1419.4762555074267</v>
      </c>
      <c r="O35" s="3780">
        <v>-504.80362013414333</v>
      </c>
      <c r="P35" s="3779">
        <v>5181.15050104891</v>
      </c>
      <c r="Q35" s="3779">
        <v>1012.1084222667423</v>
      </c>
      <c r="R35" s="3781">
        <v>-2530.5021087416376</v>
      </c>
      <c r="S35" s="3780">
        <v>-3593.9459052774287</v>
      </c>
      <c r="T35" s="3779">
        <v>1974.5419163696035</v>
      </c>
      <c r="U35" s="3779">
        <v>-1176.2687534816823</v>
      </c>
      <c r="V35" s="3779">
        <v>452.82932899313482</v>
      </c>
      <c r="W35" s="4249">
        <v>3302.0649155023461</v>
      </c>
      <c r="X35" s="3742"/>
    </row>
    <row r="36" spans="1:24" s="3716" customFormat="1" ht="20.100000000000001" customHeight="1">
      <c r="A36" s="3717"/>
      <c r="B36" s="3659" t="s">
        <v>1983</v>
      </c>
      <c r="C36" s="3786">
        <v>6282.4403842416632</v>
      </c>
      <c r="D36" s="3786">
        <v>1124.1359556797884</v>
      </c>
      <c r="E36" s="3786">
        <v>-6243.6140736470761</v>
      </c>
      <c r="F36" s="3786">
        <v>-365.42701026294515</v>
      </c>
      <c r="G36" s="3787">
        <v>9028.352995554349</v>
      </c>
      <c r="H36" s="3786">
        <v>-12276.870426607582</v>
      </c>
      <c r="I36" s="3786">
        <v>-5695.7668630221169</v>
      </c>
      <c r="J36" s="3788">
        <v>-124.13990855192714</v>
      </c>
      <c r="K36" s="3786">
        <v>2098.4762679698943</v>
      </c>
      <c r="L36" s="3786">
        <v>4660.7087920334416</v>
      </c>
      <c r="M36" s="3786">
        <v>27.599206116853907</v>
      </c>
      <c r="N36" s="3786">
        <v>2425.3782364388444</v>
      </c>
      <c r="O36" s="3787">
        <v>-4494.430179130477</v>
      </c>
      <c r="P36" s="3786">
        <v>4621.4191996702175</v>
      </c>
      <c r="Q36" s="3786">
        <v>2253.1077474988183</v>
      </c>
      <c r="R36" s="3788">
        <v>1900.3947215445792</v>
      </c>
      <c r="S36" s="3787">
        <v>7160.1784113227495</v>
      </c>
      <c r="T36" s="3786">
        <v>5582.6298787314563</v>
      </c>
      <c r="U36" s="3786">
        <v>-10264.459930850948</v>
      </c>
      <c r="V36" s="3786">
        <v>-3038.7604620117968</v>
      </c>
      <c r="W36" s="4249">
        <v>15188.221969803562</v>
      </c>
      <c r="X36" s="3742"/>
    </row>
    <row r="37" spans="1:24" s="3716" customFormat="1">
      <c r="A37" s="3717"/>
      <c r="B37" s="3792" t="s">
        <v>1984</v>
      </c>
      <c r="C37" s="3793">
        <v>6282.4403842416632</v>
      </c>
      <c r="D37" s="3793">
        <v>1124.1359556797884</v>
      </c>
      <c r="E37" s="3793">
        <v>-6243.6140736470761</v>
      </c>
      <c r="F37" s="3793">
        <v>-365.42701026294515</v>
      </c>
      <c r="G37" s="3794">
        <v>9028.352995554349</v>
      </c>
      <c r="H37" s="3793">
        <v>-12276.870426607582</v>
      </c>
      <c r="I37" s="3793">
        <v>-5695.7668630221169</v>
      </c>
      <c r="J37" s="3795">
        <v>-124.13990855192714</v>
      </c>
      <c r="K37" s="3793">
        <v>2098.4762679698943</v>
      </c>
      <c r="L37" s="3793">
        <v>4660.7087920334416</v>
      </c>
      <c r="M37" s="3793">
        <v>27.599206116853907</v>
      </c>
      <c r="N37" s="3793">
        <v>2425.3782364388444</v>
      </c>
      <c r="O37" s="3794">
        <v>-4494.430179130477</v>
      </c>
      <c r="P37" s="3793">
        <v>4621.4191996702175</v>
      </c>
      <c r="Q37" s="3793">
        <v>2253.1077474988183</v>
      </c>
      <c r="R37" s="3795">
        <v>1900.3947215445792</v>
      </c>
      <c r="S37" s="3794">
        <v>7160.1784113227495</v>
      </c>
      <c r="T37" s="3793">
        <v>5582.6298787314563</v>
      </c>
      <c r="U37" s="3793">
        <v>-10264.459930850948</v>
      </c>
      <c r="V37" s="4248">
        <v>-3038.7604620117968</v>
      </c>
      <c r="W37" s="4251">
        <v>15188.221969803562</v>
      </c>
      <c r="X37" s="3742"/>
    </row>
    <row r="38" spans="1:24" s="3722" customFormat="1" ht="35.25" customHeight="1">
      <c r="A38" s="3721"/>
      <c r="B38" s="4767" t="s">
        <v>1985</v>
      </c>
      <c r="C38" s="4767"/>
      <c r="D38" s="4767"/>
      <c r="E38" s="4767"/>
      <c r="F38" s="4767"/>
      <c r="G38" s="4767"/>
      <c r="H38" s="4767"/>
      <c r="I38" s="4767"/>
      <c r="J38" s="4767"/>
      <c r="K38" s="4767"/>
      <c r="L38" s="4767"/>
      <c r="M38" s="4767"/>
      <c r="N38" s="4767"/>
      <c r="O38" s="4767"/>
      <c r="P38" s="4767"/>
      <c r="Q38" s="4767"/>
      <c r="R38" s="4767"/>
      <c r="S38" s="4767"/>
      <c r="T38" s="4767"/>
      <c r="U38" s="4767"/>
      <c r="V38" s="4767"/>
      <c r="W38" s="3746"/>
      <c r="X38" s="3746"/>
    </row>
    <row r="39" spans="1:24" s="3722" customFormat="1" ht="37.5" customHeight="1">
      <c r="A39" s="3723"/>
      <c r="B39" s="4768" t="s">
        <v>1986</v>
      </c>
      <c r="C39" s="4768"/>
      <c r="D39" s="4768"/>
      <c r="E39" s="4768"/>
      <c r="F39" s="4768"/>
      <c r="G39" s="4768"/>
      <c r="H39" s="4768"/>
      <c r="I39" s="4768"/>
      <c r="J39" s="4768"/>
      <c r="K39" s="4768"/>
      <c r="L39" s="4768"/>
      <c r="M39" s="4768"/>
      <c r="N39" s="4768"/>
      <c r="O39" s="4768"/>
      <c r="P39" s="4768"/>
      <c r="Q39" s="4768"/>
      <c r="R39" s="4768"/>
      <c r="S39" s="4768"/>
      <c r="T39" s="4768"/>
      <c r="U39" s="4768"/>
      <c r="V39" s="4768"/>
      <c r="W39" s="3746"/>
      <c r="X39" s="3746"/>
    </row>
    <row r="40" spans="1:24">
      <c r="B40" s="3669"/>
      <c r="C40" s="3669"/>
      <c r="D40" s="3669"/>
      <c r="E40" s="3669"/>
      <c r="F40" s="3669"/>
      <c r="G40" s="3669"/>
      <c r="H40" s="3669"/>
      <c r="I40" s="3669"/>
      <c r="J40" s="3669"/>
      <c r="K40" s="3669"/>
      <c r="L40" s="3669"/>
      <c r="M40" s="3669"/>
      <c r="N40" s="3669"/>
      <c r="O40" s="3669"/>
      <c r="P40" s="3669"/>
      <c r="Q40" s="3669"/>
      <c r="R40" s="3669"/>
      <c r="S40" s="3669"/>
      <c r="T40" s="3669"/>
      <c r="U40" s="3669"/>
      <c r="V40" s="3669"/>
      <c r="W40" s="3707"/>
      <c r="X40" s="3707"/>
    </row>
  </sheetData>
  <mergeCells count="28">
    <mergeCell ref="B38:V38"/>
    <mergeCell ref="B39:V39"/>
    <mergeCell ref="T4:T5"/>
    <mergeCell ref="U4:U5"/>
    <mergeCell ref="V4:V5"/>
    <mergeCell ref="G6:J6"/>
    <mergeCell ref="K6:N6"/>
    <mergeCell ref="O6:R6"/>
    <mergeCell ref="S6:V6"/>
    <mergeCell ref="N4:N5"/>
    <mergeCell ref="O4:O5"/>
    <mergeCell ref="P4:P5"/>
    <mergeCell ref="Q4:Q5"/>
    <mergeCell ref="R4:R5"/>
    <mergeCell ref="S4:S5"/>
    <mergeCell ref="W4:W5"/>
    <mergeCell ref="B4:B6"/>
    <mergeCell ref="C4:C5"/>
    <mergeCell ref="D4:D5"/>
    <mergeCell ref="E4:E5"/>
    <mergeCell ref="F4:F5"/>
    <mergeCell ref="G4:G5"/>
    <mergeCell ref="I4:I5"/>
    <mergeCell ref="J4:J5"/>
    <mergeCell ref="K4:K5"/>
    <mergeCell ref="L4:L5"/>
    <mergeCell ref="H4:H5"/>
    <mergeCell ref="M4:M5"/>
  </mergeCells>
  <pageMargins left="0.7" right="0.7" top="0.75" bottom="0.75" header="0.3" footer="0.3"/>
  <pageSetup paperSize="9" scale="61" orientation="landscape" r:id="rId1"/>
</worksheet>
</file>

<file path=xl/worksheets/sheet53.xml><?xml version="1.0" encoding="utf-8"?>
<worksheet xmlns="http://schemas.openxmlformats.org/spreadsheetml/2006/main" xmlns:r="http://schemas.openxmlformats.org/officeDocument/2006/relationships">
  <dimension ref="A1:AO80"/>
  <sheetViews>
    <sheetView zoomScale="70" zoomScaleNormal="70" workbookViewId="0">
      <pane xSplit="2" ySplit="6" topLeftCell="L7" activePane="bottomRight" state="frozen"/>
      <selection activeCell="O44" sqref="O44:AA44"/>
      <selection pane="topRight" activeCell="O44" sqref="O44:AA44"/>
      <selection pane="bottomLeft" activeCell="O44" sqref="O44:AA44"/>
      <selection pane="bottomRight" activeCell="P41" sqref="P41"/>
    </sheetView>
  </sheetViews>
  <sheetFormatPr defaultRowHeight="15.75"/>
  <cols>
    <col min="1" max="1" width="16.28515625" style="3737" customWidth="1"/>
    <col min="2" max="2" width="68.140625" style="3670" customWidth="1"/>
    <col min="3" max="6" width="10.7109375" style="3670" customWidth="1"/>
    <col min="7" max="7" width="10.7109375" style="3738" customWidth="1"/>
    <col min="8" max="22" width="10.7109375" style="3670" customWidth="1"/>
    <col min="23" max="23" width="10.85546875" style="3709" customWidth="1"/>
    <col min="24" max="16384" width="9.140625" style="3709"/>
  </cols>
  <sheetData>
    <row r="1" spans="1:23">
      <c r="A1" s="3669"/>
      <c r="B1" s="3669"/>
      <c r="C1" s="3669"/>
      <c r="D1" s="3669"/>
      <c r="E1" s="3669"/>
      <c r="F1" s="3669"/>
      <c r="G1" s="3713"/>
      <c r="H1" s="3669"/>
      <c r="I1" s="3669"/>
      <c r="J1" s="3669"/>
      <c r="K1" s="3669"/>
      <c r="L1" s="3669"/>
      <c r="M1" s="3669"/>
      <c r="N1" s="3669"/>
      <c r="O1" s="3669"/>
      <c r="P1" s="3669"/>
      <c r="Q1" s="3669"/>
      <c r="R1" s="3669"/>
      <c r="S1" s="3669"/>
      <c r="T1" s="3669"/>
      <c r="U1" s="3669"/>
      <c r="V1" s="3669"/>
      <c r="W1" s="3707"/>
    </row>
    <row r="2" spans="1:23" ht="36">
      <c r="A2" s="3711"/>
      <c r="B2" s="3883" t="s">
        <v>2035</v>
      </c>
      <c r="C2" s="3883"/>
      <c r="D2" s="3883"/>
      <c r="E2" s="3883"/>
      <c r="F2" s="3883"/>
      <c r="G2" s="3883"/>
      <c r="H2" s="3883"/>
      <c r="I2" s="3883"/>
      <c r="J2" s="3883"/>
      <c r="K2" s="3883"/>
      <c r="L2" s="3883"/>
      <c r="M2" s="3883"/>
      <c r="N2" s="3883"/>
      <c r="O2" s="3883"/>
      <c r="P2" s="3883"/>
      <c r="Q2" s="3883"/>
      <c r="R2" s="3883"/>
      <c r="S2" s="3883"/>
      <c r="T2" s="3883"/>
      <c r="U2" s="3883"/>
      <c r="V2" s="3883"/>
      <c r="W2" s="3707"/>
    </row>
    <row r="3" spans="1:23" ht="18" customHeight="1">
      <c r="A3" s="3711"/>
      <c r="B3" s="3711" t="s">
        <v>1935</v>
      </c>
      <c r="C3" s="3712"/>
      <c r="D3" s="3711"/>
      <c r="E3" s="3669"/>
      <c r="F3" s="3669"/>
      <c r="G3" s="3726"/>
      <c r="H3" s="3295"/>
      <c r="I3" s="3295"/>
      <c r="J3" s="3295"/>
      <c r="K3" s="3295"/>
      <c r="L3" s="3295"/>
      <c r="M3" s="3727"/>
      <c r="N3" s="3295"/>
      <c r="O3" s="3295"/>
      <c r="P3" s="3295"/>
      <c r="Q3" s="3669"/>
      <c r="R3" s="3669"/>
      <c r="S3" s="3669"/>
      <c r="T3" s="3669"/>
      <c r="U3" s="3669"/>
      <c r="V3" s="3669"/>
      <c r="W3" s="3707"/>
    </row>
    <row r="4" spans="1:23" s="3714" customFormat="1" ht="20.100000000000001" customHeight="1">
      <c r="A4" s="3728"/>
      <c r="B4" s="4760" t="s">
        <v>146</v>
      </c>
      <c r="C4" s="4763" t="s">
        <v>1936</v>
      </c>
      <c r="D4" s="4765" t="s">
        <v>1937</v>
      </c>
      <c r="E4" s="4765" t="s">
        <v>1938</v>
      </c>
      <c r="F4" s="4776" t="s">
        <v>1939</v>
      </c>
      <c r="G4" s="4763" t="s">
        <v>1940</v>
      </c>
      <c r="H4" s="4765" t="s">
        <v>1941</v>
      </c>
      <c r="I4" s="4765" t="s">
        <v>1942</v>
      </c>
      <c r="J4" s="4776" t="s">
        <v>1943</v>
      </c>
      <c r="K4" s="4763" t="s">
        <v>1944</v>
      </c>
      <c r="L4" s="4765" t="s">
        <v>1945</v>
      </c>
      <c r="M4" s="4765" t="s">
        <v>1946</v>
      </c>
      <c r="N4" s="4776" t="s">
        <v>1947</v>
      </c>
      <c r="O4" s="4763" t="s">
        <v>1948</v>
      </c>
      <c r="P4" s="4765" t="s">
        <v>1949</v>
      </c>
      <c r="Q4" s="4765" t="s">
        <v>1950</v>
      </c>
      <c r="R4" s="4776" t="s">
        <v>1951</v>
      </c>
      <c r="S4" s="4763" t="s">
        <v>1952</v>
      </c>
      <c r="T4" s="4765" t="s">
        <v>1953</v>
      </c>
      <c r="U4" s="4765" t="s">
        <v>1954</v>
      </c>
      <c r="V4" s="4776" t="s">
        <v>1955</v>
      </c>
      <c r="W4" s="4776" t="s">
        <v>2086</v>
      </c>
    </row>
    <row r="5" spans="1:23" ht="20.100000000000001" customHeight="1">
      <c r="A5" s="3729"/>
      <c r="B5" s="4761"/>
      <c r="C5" s="4764"/>
      <c r="D5" s="4766"/>
      <c r="E5" s="4766"/>
      <c r="F5" s="4777"/>
      <c r="G5" s="4764"/>
      <c r="H5" s="4766"/>
      <c r="I5" s="4766"/>
      <c r="J5" s="4777"/>
      <c r="K5" s="4764"/>
      <c r="L5" s="4766"/>
      <c r="M5" s="4766"/>
      <c r="N5" s="4777"/>
      <c r="O5" s="4764"/>
      <c r="P5" s="4766"/>
      <c r="Q5" s="4766"/>
      <c r="R5" s="4777"/>
      <c r="S5" s="4764"/>
      <c r="T5" s="4766"/>
      <c r="U5" s="4766"/>
      <c r="V5" s="4777"/>
      <c r="W5" s="4777"/>
    </row>
    <row r="6" spans="1:23" ht="20.100000000000001" customHeight="1">
      <c r="A6" s="3729"/>
      <c r="B6" s="4762"/>
      <c r="C6" s="3796"/>
      <c r="D6" s="3770"/>
      <c r="E6" s="3770"/>
      <c r="F6" s="3797"/>
      <c r="G6" s="4773" t="s">
        <v>1958</v>
      </c>
      <c r="H6" s="4773"/>
      <c r="I6" s="4773"/>
      <c r="J6" s="4773"/>
      <c r="K6" s="4772" t="s">
        <v>1956</v>
      </c>
      <c r="L6" s="4773"/>
      <c r="M6" s="4773"/>
      <c r="N6" s="4774"/>
      <c r="O6" s="4772" t="s">
        <v>1956</v>
      </c>
      <c r="P6" s="4773"/>
      <c r="Q6" s="4773"/>
      <c r="R6" s="4774"/>
      <c r="S6" s="4772" t="s">
        <v>1957</v>
      </c>
      <c r="T6" s="4773"/>
      <c r="U6" s="4773"/>
      <c r="V6" s="4774"/>
      <c r="W6" s="4271" t="s">
        <v>1957</v>
      </c>
    </row>
    <row r="7" spans="1:23" ht="20.100000000000001" customHeight="1">
      <c r="A7" s="3730"/>
      <c r="B7" s="3659" t="s">
        <v>1959</v>
      </c>
      <c r="C7" s="3780">
        <v>2050.3118271935291</v>
      </c>
      <c r="D7" s="3779">
        <v>-5977.764914044029</v>
      </c>
      <c r="E7" s="3779">
        <v>-7773.4799742422165</v>
      </c>
      <c r="F7" s="3781">
        <v>-6280.1836119465788</v>
      </c>
      <c r="G7" s="3780">
        <v>877.51494021392443</v>
      </c>
      <c r="H7" s="3779">
        <v>-2977.7873513751124</v>
      </c>
      <c r="I7" s="3779">
        <v>-7674.2072818310762</v>
      </c>
      <c r="J7" s="3781">
        <v>-5708.2977488179622</v>
      </c>
      <c r="K7" s="3780">
        <v>-2532.2704217420655</v>
      </c>
      <c r="L7" s="3779">
        <v>-9243.2619175623659</v>
      </c>
      <c r="M7" s="3779">
        <v>-9691.7246277642244</v>
      </c>
      <c r="N7" s="3781">
        <v>-5158.5031626128784</v>
      </c>
      <c r="O7" s="3780">
        <v>-3534.9594943963202</v>
      </c>
      <c r="P7" s="3779">
        <v>-5746.2817082567826</v>
      </c>
      <c r="Q7" s="3771">
        <v>-9675.3846346578721</v>
      </c>
      <c r="R7" s="3781">
        <v>-6794.1382731047688</v>
      </c>
      <c r="S7" s="3772">
        <v>-2464.0715986089458</v>
      </c>
      <c r="T7" s="3771">
        <v>-8166.0675508889735</v>
      </c>
      <c r="U7" s="3771">
        <v>-11135.415293656812</v>
      </c>
      <c r="V7" s="3773">
        <v>-8215.4648084774017</v>
      </c>
      <c r="W7" s="4249">
        <v>-4076.2631669094981</v>
      </c>
    </row>
    <row r="8" spans="1:23" ht="20.100000000000001" customHeight="1">
      <c r="A8" s="3732"/>
      <c r="B8" s="3774" t="s">
        <v>1960</v>
      </c>
      <c r="C8" s="3776">
        <v>1436.5587253659057</v>
      </c>
      <c r="D8" s="3775">
        <v>-6789.3270701800857</v>
      </c>
      <c r="E8" s="3775">
        <v>-6982.8653695079674</v>
      </c>
      <c r="F8" s="3777">
        <v>-5867.801469473211</v>
      </c>
      <c r="G8" s="3776">
        <v>28.709484692977906</v>
      </c>
      <c r="H8" s="3775">
        <v>-3792.4598231536265</v>
      </c>
      <c r="I8" s="3775">
        <v>-6741.7808148528029</v>
      </c>
      <c r="J8" s="3777">
        <v>-5921.1993213307869</v>
      </c>
      <c r="K8" s="3776">
        <v>-694.46504519579889</v>
      </c>
      <c r="L8" s="3775">
        <v>-6519.6645485175977</v>
      </c>
      <c r="M8" s="3775">
        <v>-8505.3180831666505</v>
      </c>
      <c r="N8" s="3777">
        <v>-5635.9132919377689</v>
      </c>
      <c r="O8" s="3776">
        <v>-1447.2539533716679</v>
      </c>
      <c r="P8" s="3775">
        <v>-5311.8427464632705</v>
      </c>
      <c r="Q8" s="3775">
        <v>-8165.2753246940483</v>
      </c>
      <c r="R8" s="3777">
        <v>-6571.5775005089281</v>
      </c>
      <c r="S8" s="3776">
        <v>-1490.1727052598001</v>
      </c>
      <c r="T8" s="3775">
        <v>-6075.6836163312973</v>
      </c>
      <c r="U8" s="3775">
        <v>-9026.9565016152646</v>
      </c>
      <c r="V8" s="3777">
        <v>-6116.6950167264731</v>
      </c>
      <c r="W8" s="4250">
        <v>-2612.9110953008576</v>
      </c>
    </row>
    <row r="9" spans="1:23" ht="20.100000000000001" customHeight="1">
      <c r="A9" s="3731"/>
      <c r="B9" s="3778" t="s">
        <v>1961</v>
      </c>
      <c r="C9" s="3780">
        <v>2084.5407101935111</v>
      </c>
      <c r="D9" s="3779">
        <v>-6105.8295716427137</v>
      </c>
      <c r="E9" s="3779">
        <v>-6032.0158243373216</v>
      </c>
      <c r="F9" s="3781">
        <v>-5106.7105556403876</v>
      </c>
      <c r="G9" s="3780">
        <v>721.7765729052029</v>
      </c>
      <c r="H9" s="3779">
        <v>-2953.1083733996966</v>
      </c>
      <c r="I9" s="3779">
        <v>-5463.3494966646922</v>
      </c>
      <c r="J9" s="3781">
        <v>-5100.4638523597951</v>
      </c>
      <c r="K9" s="3780">
        <v>-163.95192806414985</v>
      </c>
      <c r="L9" s="3779">
        <v>-5750.6394757212256</v>
      </c>
      <c r="M9" s="3779">
        <v>-7317.6390675812272</v>
      </c>
      <c r="N9" s="3781">
        <v>-4236.6129329541509</v>
      </c>
      <c r="O9" s="3780">
        <v>-678.54483890844347</v>
      </c>
      <c r="P9" s="3779">
        <v>-4391.6361744526685</v>
      </c>
      <c r="Q9" s="3779">
        <v>-6707.0411079826672</v>
      </c>
      <c r="R9" s="3781">
        <v>-5585.2276191484434</v>
      </c>
      <c r="S9" s="3780">
        <v>-175.45298831102181</v>
      </c>
      <c r="T9" s="3779">
        <v>-5168.8400606365331</v>
      </c>
      <c r="U9" s="3779">
        <v>-8019.4088515565318</v>
      </c>
      <c r="V9" s="3781">
        <v>-5685.0346715010201</v>
      </c>
      <c r="W9" s="4249">
        <v>-1585.5127564234715</v>
      </c>
    </row>
    <row r="10" spans="1:23" ht="20.100000000000001" customHeight="1">
      <c r="A10" s="3730"/>
      <c r="B10" s="3782" t="s">
        <v>1962</v>
      </c>
      <c r="C10" s="3776">
        <v>9533.8116236000005</v>
      </c>
      <c r="D10" s="3775">
        <v>6493.759352</v>
      </c>
      <c r="E10" s="3775">
        <v>4267.6177121400005</v>
      </c>
      <c r="F10" s="3777">
        <v>5165.4029531999995</v>
      </c>
      <c r="G10" s="3776">
        <v>9620.7495618299999</v>
      </c>
      <c r="H10" s="3775">
        <v>6707.7594758300002</v>
      </c>
      <c r="I10" s="3775">
        <v>5171.3212750000021</v>
      </c>
      <c r="J10" s="3777">
        <v>6047.0028170000023</v>
      </c>
      <c r="K10" s="3776">
        <v>10089.123472000001</v>
      </c>
      <c r="L10" s="3775">
        <v>5909.260814000002</v>
      </c>
      <c r="M10" s="3775">
        <v>4365.73334239</v>
      </c>
      <c r="N10" s="3777">
        <v>7195.1344025899998</v>
      </c>
      <c r="O10" s="3776">
        <v>9930.6369524500005</v>
      </c>
      <c r="P10" s="3775">
        <v>7124.6135855599987</v>
      </c>
      <c r="Q10" s="3775">
        <v>5527.6026762699994</v>
      </c>
      <c r="R10" s="3777">
        <v>7325.2771480000001</v>
      </c>
      <c r="S10" s="3776">
        <v>11218.88013351</v>
      </c>
      <c r="T10" s="3775">
        <v>7516.5757645399999</v>
      </c>
      <c r="U10" s="3775">
        <v>5374.2274241599998</v>
      </c>
      <c r="V10" s="3777">
        <v>7755.9424838300001</v>
      </c>
      <c r="W10" s="4250">
        <v>11627.967224599999</v>
      </c>
    </row>
    <row r="11" spans="1:23" ht="20.100000000000001" customHeight="1">
      <c r="A11" s="3730"/>
      <c r="B11" s="3782" t="s">
        <v>1963</v>
      </c>
      <c r="C11" s="3776">
        <v>7449.2709134064889</v>
      </c>
      <c r="D11" s="3775">
        <v>12599.588923642714</v>
      </c>
      <c r="E11" s="3775">
        <v>10299.633536477322</v>
      </c>
      <c r="F11" s="3777">
        <v>10272.113508840388</v>
      </c>
      <c r="G11" s="3776">
        <v>8898.9729889247974</v>
      </c>
      <c r="H11" s="3775">
        <v>9660.8678492296967</v>
      </c>
      <c r="I11" s="3775">
        <v>10634.670771664694</v>
      </c>
      <c r="J11" s="3777">
        <v>11147.466669359797</v>
      </c>
      <c r="K11" s="3776">
        <v>10253.075400064152</v>
      </c>
      <c r="L11" s="3775">
        <v>11659.900289721229</v>
      </c>
      <c r="M11" s="3775">
        <v>11683.372409971227</v>
      </c>
      <c r="N11" s="3777">
        <v>11431.747335544151</v>
      </c>
      <c r="O11" s="3776">
        <v>10609.181791358444</v>
      </c>
      <c r="P11" s="3775">
        <v>11516.249760012666</v>
      </c>
      <c r="Q11" s="3775">
        <v>12234.643784252667</v>
      </c>
      <c r="R11" s="3777">
        <v>12910.504767148443</v>
      </c>
      <c r="S11" s="3776">
        <v>11394.333121821022</v>
      </c>
      <c r="T11" s="3775">
        <v>12685.415825176533</v>
      </c>
      <c r="U11" s="3775">
        <v>13393.636275716532</v>
      </c>
      <c r="V11" s="3777">
        <v>13440.97715533102</v>
      </c>
      <c r="W11" s="4250">
        <v>13213.479981023471</v>
      </c>
    </row>
    <row r="12" spans="1:23" ht="20.100000000000001" customHeight="1">
      <c r="A12" s="3732"/>
      <c r="B12" s="3778" t="s">
        <v>594</v>
      </c>
      <c r="C12" s="3780">
        <v>-647.98198482760472</v>
      </c>
      <c r="D12" s="3779">
        <v>-683.49749853737217</v>
      </c>
      <c r="E12" s="3779">
        <v>-950.84954517064523</v>
      </c>
      <c r="F12" s="3781">
        <v>-761.09091383282328</v>
      </c>
      <c r="G12" s="3780">
        <v>-693.06708821222435</v>
      </c>
      <c r="H12" s="3779">
        <v>-839.3514497539303</v>
      </c>
      <c r="I12" s="3779">
        <v>-1278.4313181881116</v>
      </c>
      <c r="J12" s="3781">
        <v>-820.73546897099141</v>
      </c>
      <c r="K12" s="3780">
        <v>-530.5131171316483</v>
      </c>
      <c r="L12" s="3779">
        <v>-769.02507279637337</v>
      </c>
      <c r="M12" s="3779">
        <v>-1187.6790155854235</v>
      </c>
      <c r="N12" s="3781">
        <v>-1399.3003589836183</v>
      </c>
      <c r="O12" s="3780">
        <v>-768.70911446322509</v>
      </c>
      <c r="P12" s="3779">
        <v>-920.20657201060226</v>
      </c>
      <c r="Q12" s="3779">
        <v>-1458.2342167113807</v>
      </c>
      <c r="R12" s="3781">
        <v>-986.34988136048514</v>
      </c>
      <c r="S12" s="3780">
        <v>-1314.7197169487772</v>
      </c>
      <c r="T12" s="3779">
        <v>-906.84355569476486</v>
      </c>
      <c r="U12" s="3779">
        <v>-1007.5476500587321</v>
      </c>
      <c r="V12" s="3781">
        <v>-431.66034522545272</v>
      </c>
      <c r="W12" s="4249">
        <v>-1027.3983388773859</v>
      </c>
    </row>
    <row r="13" spans="1:23" ht="20.100000000000001" customHeight="1">
      <c r="A13" s="3730"/>
      <c r="B13" s="3782" t="s">
        <v>433</v>
      </c>
      <c r="C13" s="3776">
        <v>157.47959825077137</v>
      </c>
      <c r="D13" s="3775">
        <v>140.02843976017806</v>
      </c>
      <c r="E13" s="3775">
        <v>118.14401603577136</v>
      </c>
      <c r="F13" s="3777">
        <v>144.07400817748527</v>
      </c>
      <c r="G13" s="3776">
        <v>244.3517604102112</v>
      </c>
      <c r="H13" s="3775">
        <v>121.45688581562931</v>
      </c>
      <c r="I13" s="3775">
        <v>133.0965389202112</v>
      </c>
      <c r="J13" s="3777">
        <v>189.86209300562933</v>
      </c>
      <c r="K13" s="3776">
        <v>438.43825991440377</v>
      </c>
      <c r="L13" s="3775">
        <v>422.37461017793373</v>
      </c>
      <c r="M13" s="3775">
        <v>234.74933575940378</v>
      </c>
      <c r="N13" s="3777">
        <v>397.90033973793373</v>
      </c>
      <c r="O13" s="3776">
        <v>326.56244373227469</v>
      </c>
      <c r="P13" s="3775">
        <v>312.63950399726804</v>
      </c>
      <c r="Q13" s="3775">
        <v>294.19585436305937</v>
      </c>
      <c r="R13" s="3777">
        <v>495.48247834521089</v>
      </c>
      <c r="S13" s="3776">
        <v>279.76646317247611</v>
      </c>
      <c r="T13" s="3775">
        <v>366.07747963952323</v>
      </c>
      <c r="U13" s="3775">
        <v>206.26657646785048</v>
      </c>
      <c r="V13" s="3777">
        <v>347.70671989604716</v>
      </c>
      <c r="W13" s="4250">
        <v>631.04132927537046</v>
      </c>
    </row>
    <row r="14" spans="1:23" ht="20.100000000000001" customHeight="1">
      <c r="A14" s="3730"/>
      <c r="B14" s="3782" t="s">
        <v>1964</v>
      </c>
      <c r="C14" s="3776">
        <v>805.46158307837618</v>
      </c>
      <c r="D14" s="3775">
        <v>823.52593829755017</v>
      </c>
      <c r="E14" s="3775">
        <v>1068.9935612064166</v>
      </c>
      <c r="F14" s="3777">
        <v>905.16492201030849</v>
      </c>
      <c r="G14" s="3776">
        <v>937.41884862243558</v>
      </c>
      <c r="H14" s="3775">
        <v>960.80833556955974</v>
      </c>
      <c r="I14" s="3775">
        <v>1411.5278571083229</v>
      </c>
      <c r="J14" s="3777">
        <v>1010.5975619766207</v>
      </c>
      <c r="K14" s="3776">
        <v>968.95137704605213</v>
      </c>
      <c r="L14" s="3775">
        <v>1191.3996829743071</v>
      </c>
      <c r="M14" s="3775">
        <v>1422.4283513448272</v>
      </c>
      <c r="N14" s="3777">
        <v>1797.2006987215518</v>
      </c>
      <c r="O14" s="3776">
        <v>1095.2715581954999</v>
      </c>
      <c r="P14" s="3775">
        <v>1232.8460760078701</v>
      </c>
      <c r="Q14" s="3775">
        <v>1752.4300710744401</v>
      </c>
      <c r="R14" s="3777">
        <v>1481.832359705696</v>
      </c>
      <c r="S14" s="3776">
        <v>1594.4861801212533</v>
      </c>
      <c r="T14" s="3775">
        <v>1272.921035334288</v>
      </c>
      <c r="U14" s="3775">
        <v>1213.8142265265824</v>
      </c>
      <c r="V14" s="3777">
        <v>779.36706512149988</v>
      </c>
      <c r="W14" s="4250">
        <v>1658.4396681527564</v>
      </c>
    </row>
    <row r="15" spans="1:23" ht="20.100000000000001" customHeight="1">
      <c r="A15" s="3732"/>
      <c r="B15" s="3778" t="s">
        <v>1965</v>
      </c>
      <c r="C15" s="3780">
        <v>-581.53141424779994</v>
      </c>
      <c r="D15" s="3779">
        <v>-495.15805752569997</v>
      </c>
      <c r="E15" s="3779">
        <v>-2050.6735944068614</v>
      </c>
      <c r="F15" s="3781">
        <v>-1733.4839425751481</v>
      </c>
      <c r="G15" s="3780">
        <v>-920.14743545484919</v>
      </c>
      <c r="H15" s="3779">
        <v>-1042.1067726769861</v>
      </c>
      <c r="I15" s="3779">
        <v>-2662.9890844928573</v>
      </c>
      <c r="J15" s="3781">
        <v>-1569.8987341861573</v>
      </c>
      <c r="K15" s="3780">
        <v>-1826.6104171987672</v>
      </c>
      <c r="L15" s="3779">
        <v>-2678.5067810187675</v>
      </c>
      <c r="M15" s="3779">
        <v>-1470.8494033365751</v>
      </c>
      <c r="N15" s="3781">
        <v>-2621.7298299751092</v>
      </c>
      <c r="O15" s="3780">
        <v>-2083.8806803531506</v>
      </c>
      <c r="P15" s="3779">
        <v>-1399.6754867150137</v>
      </c>
      <c r="Q15" s="3779">
        <v>-1540.3022493608214</v>
      </c>
      <c r="R15" s="3781">
        <v>-2630.5244645153416</v>
      </c>
      <c r="S15" s="3780">
        <v>-2353.5709114816445</v>
      </c>
      <c r="T15" s="3779">
        <v>-2590.2834495991788</v>
      </c>
      <c r="U15" s="3779">
        <v>-1817.1549004005476</v>
      </c>
      <c r="V15" s="3781">
        <v>-3105.8023349429295</v>
      </c>
      <c r="W15" s="4249">
        <v>-2768.5148362981377</v>
      </c>
    </row>
    <row r="16" spans="1:23" ht="20.100000000000001" customHeight="1">
      <c r="A16" s="3730"/>
      <c r="B16" s="3782" t="s">
        <v>433</v>
      </c>
      <c r="C16" s="3776">
        <v>5.4753500800000001</v>
      </c>
      <c r="D16" s="3775">
        <v>55.568325630000004</v>
      </c>
      <c r="E16" s="3775">
        <v>22.349019999999999</v>
      </c>
      <c r="F16" s="3777">
        <v>0</v>
      </c>
      <c r="G16" s="3802">
        <v>0</v>
      </c>
      <c r="H16" s="3775">
        <v>6.9168560000000001</v>
      </c>
      <c r="I16" s="3803">
        <v>0</v>
      </c>
      <c r="J16" s="3806">
        <v>0</v>
      </c>
      <c r="K16" s="3802">
        <v>0</v>
      </c>
      <c r="L16" s="3803">
        <v>0</v>
      </c>
      <c r="M16" s="3803">
        <v>0</v>
      </c>
      <c r="N16" s="3777">
        <v>4.2904080000000002</v>
      </c>
      <c r="O16" s="3776">
        <v>109.060248</v>
      </c>
      <c r="P16" s="3775">
        <v>73.409164000000004</v>
      </c>
      <c r="Q16" s="3775">
        <v>81.690782979999994</v>
      </c>
      <c r="R16" s="3777">
        <v>126.17022000000003</v>
      </c>
      <c r="S16" s="3776">
        <v>137.32645749</v>
      </c>
      <c r="T16" s="3775">
        <v>305.54539799999998</v>
      </c>
      <c r="U16" s="3775">
        <v>261.02404999999999</v>
      </c>
      <c r="V16" s="3777">
        <v>115.611824</v>
      </c>
      <c r="W16" s="4250">
        <v>146.82136299999999</v>
      </c>
    </row>
    <row r="17" spans="1:23" ht="20.100000000000001" customHeight="1">
      <c r="A17" s="3730"/>
      <c r="B17" s="3782" t="s">
        <v>1964</v>
      </c>
      <c r="C17" s="3776">
        <v>587.00676432780006</v>
      </c>
      <c r="D17" s="3775">
        <v>550.72638315569998</v>
      </c>
      <c r="E17" s="3775">
        <v>2073.0226144068615</v>
      </c>
      <c r="F17" s="3777">
        <v>1733.4839425751481</v>
      </c>
      <c r="G17" s="3776">
        <v>920.14743545484919</v>
      </c>
      <c r="H17" s="3775">
        <v>1049.0236286769862</v>
      </c>
      <c r="I17" s="3775">
        <v>2662.9890844928573</v>
      </c>
      <c r="J17" s="3777">
        <v>1569.8987341861573</v>
      </c>
      <c r="K17" s="3776">
        <v>1826.6104171987672</v>
      </c>
      <c r="L17" s="3775">
        <v>2678.5067810187675</v>
      </c>
      <c r="M17" s="3775">
        <v>1470.8494033365751</v>
      </c>
      <c r="N17" s="3777">
        <v>2626.020237975109</v>
      </c>
      <c r="O17" s="3776">
        <v>2192.9409283531509</v>
      </c>
      <c r="P17" s="3775">
        <v>1473.0846507150138</v>
      </c>
      <c r="Q17" s="3775">
        <v>1621.9930323408214</v>
      </c>
      <c r="R17" s="3777">
        <v>2756.6946845153416</v>
      </c>
      <c r="S17" s="3776">
        <v>2490.8973689716445</v>
      </c>
      <c r="T17" s="3775">
        <v>2895.828847599179</v>
      </c>
      <c r="U17" s="3775">
        <v>2078.1789504005474</v>
      </c>
      <c r="V17" s="3777">
        <v>3221.4141589429296</v>
      </c>
      <c r="W17" s="4250">
        <v>2915.3361992981377</v>
      </c>
    </row>
    <row r="18" spans="1:23" ht="20.100000000000001" customHeight="1">
      <c r="A18" s="3730"/>
      <c r="B18" s="3785" t="s">
        <v>1987</v>
      </c>
      <c r="C18" s="3776">
        <v>100.847247</v>
      </c>
      <c r="D18" s="3775">
        <v>218.33356000000003</v>
      </c>
      <c r="E18" s="3775">
        <v>1678.4607493835615</v>
      </c>
      <c r="F18" s="3777">
        <v>316.39959452054802</v>
      </c>
      <c r="G18" s="3776">
        <v>449.52497750684927</v>
      </c>
      <c r="H18" s="3775">
        <v>432.14803013698628</v>
      </c>
      <c r="I18" s="3775">
        <v>1894.5949394246572</v>
      </c>
      <c r="J18" s="3777">
        <v>497.88515342465723</v>
      </c>
      <c r="K18" s="3776">
        <v>801.79675932876705</v>
      </c>
      <c r="L18" s="3775">
        <v>1815.2559683287673</v>
      </c>
      <c r="M18" s="3775">
        <v>816.8907812465751</v>
      </c>
      <c r="N18" s="3777">
        <v>1472.0537729041093</v>
      </c>
      <c r="O18" s="3776">
        <v>1220.6447144931508</v>
      </c>
      <c r="P18" s="3775">
        <v>746.66372386301373</v>
      </c>
      <c r="Q18" s="3775">
        <v>1210.6018387808215</v>
      </c>
      <c r="R18" s="3777">
        <v>1872.9423805753415</v>
      </c>
      <c r="S18" s="3776">
        <v>1547.6721905616441</v>
      </c>
      <c r="T18" s="3775">
        <v>2170.3631232191788</v>
      </c>
      <c r="U18" s="3775">
        <v>1692.0602415205474</v>
      </c>
      <c r="V18" s="3777">
        <v>2324.9411257808224</v>
      </c>
      <c r="W18" s="4250">
        <v>2059.1376127945205</v>
      </c>
    </row>
    <row r="19" spans="1:23" ht="20.100000000000001" customHeight="1">
      <c r="A19" s="3732"/>
      <c r="B19" s="3778" t="s">
        <v>1966</v>
      </c>
      <c r="C19" s="3780">
        <v>1195.2845160754255</v>
      </c>
      <c r="D19" s="3779">
        <v>1306.7202136617577</v>
      </c>
      <c r="E19" s="3779">
        <v>1260.0589896726121</v>
      </c>
      <c r="F19" s="3781">
        <v>1321.1018001017792</v>
      </c>
      <c r="G19" s="3780">
        <v>1768.9528909757967</v>
      </c>
      <c r="H19" s="3779">
        <v>1856.7792444555007</v>
      </c>
      <c r="I19" s="3779">
        <v>1730.5626175145842</v>
      </c>
      <c r="J19" s="3781">
        <v>1782.8003066989818</v>
      </c>
      <c r="K19" s="3780">
        <v>-11.194959347499907</v>
      </c>
      <c r="L19" s="3779">
        <v>-45.090588025999907</v>
      </c>
      <c r="M19" s="3779">
        <v>284.44285873900009</v>
      </c>
      <c r="N19" s="3781">
        <v>3099.1399593000001</v>
      </c>
      <c r="O19" s="3780">
        <v>-3.8248606714999678</v>
      </c>
      <c r="P19" s="3779">
        <v>965.23652492149995</v>
      </c>
      <c r="Q19" s="3779">
        <v>30.192939397000014</v>
      </c>
      <c r="R19" s="3781">
        <v>2407.9636919195</v>
      </c>
      <c r="S19" s="3780">
        <v>1379.6720181325002</v>
      </c>
      <c r="T19" s="3779">
        <v>499.89951504149997</v>
      </c>
      <c r="U19" s="3779">
        <v>-291.30389164099995</v>
      </c>
      <c r="V19" s="3781">
        <v>1007.0325431919999</v>
      </c>
      <c r="W19" s="4249">
        <v>1305.1627646895004</v>
      </c>
    </row>
    <row r="20" spans="1:23" ht="20.100000000000001" customHeight="1">
      <c r="A20" s="3730"/>
      <c r="B20" s="3782" t="s">
        <v>433</v>
      </c>
      <c r="C20" s="3776">
        <v>1619.8609179000002</v>
      </c>
      <c r="D20" s="3775">
        <v>1659.2807174397292</v>
      </c>
      <c r="E20" s="3775">
        <v>1619.2053262800002</v>
      </c>
      <c r="F20" s="3777">
        <v>1674.420679912422</v>
      </c>
      <c r="G20" s="3776">
        <v>2193.42002508</v>
      </c>
      <c r="H20" s="3775">
        <v>2231.0009298399996</v>
      </c>
      <c r="I20" s="3775">
        <v>2181.6395050799997</v>
      </c>
      <c r="J20" s="3777">
        <v>2156.7650927700001</v>
      </c>
      <c r="K20" s="3776">
        <v>462.22679795000005</v>
      </c>
      <c r="L20" s="3775">
        <v>408.18612742000005</v>
      </c>
      <c r="M20" s="3775">
        <v>405.64461468000007</v>
      </c>
      <c r="N20" s="3777">
        <v>3431.9286059999999</v>
      </c>
      <c r="O20" s="3776">
        <v>367.10466989999998</v>
      </c>
      <c r="P20" s="3775">
        <v>1230.62978202</v>
      </c>
      <c r="Q20" s="3775">
        <v>166.05892434</v>
      </c>
      <c r="R20" s="3777">
        <v>2710.12094222</v>
      </c>
      <c r="S20" s="3776">
        <v>1687.4820018340001</v>
      </c>
      <c r="T20" s="3775">
        <v>944.34001413049998</v>
      </c>
      <c r="U20" s="3775">
        <v>32.693665835499999</v>
      </c>
      <c r="V20" s="3777">
        <v>1357.8088704499999</v>
      </c>
      <c r="W20" s="4250">
        <v>1690.1971221600004</v>
      </c>
    </row>
    <row r="21" spans="1:23" ht="20.100000000000001" customHeight="1">
      <c r="A21" s="3730"/>
      <c r="B21" s="3785" t="s">
        <v>1967</v>
      </c>
      <c r="C21" s="3776">
        <v>1282.3647500000002</v>
      </c>
      <c r="D21" s="3775">
        <v>1282.3647500000002</v>
      </c>
      <c r="E21" s="3775">
        <v>1282.3647500000002</v>
      </c>
      <c r="F21" s="3777">
        <v>1282.3647500000002</v>
      </c>
      <c r="G21" s="3776">
        <v>1545.2162499999997</v>
      </c>
      <c r="H21" s="3775">
        <v>1545.2162499999997</v>
      </c>
      <c r="I21" s="3775">
        <v>1545.2162499999997</v>
      </c>
      <c r="J21" s="3777">
        <v>1545.2162499999997</v>
      </c>
      <c r="K21" s="3776">
        <v>378.43275000000006</v>
      </c>
      <c r="L21" s="3775">
        <v>378.43275000000006</v>
      </c>
      <c r="M21" s="3775">
        <v>378.43275000000006</v>
      </c>
      <c r="N21" s="3777">
        <v>378.43275000000006</v>
      </c>
      <c r="O21" s="3776">
        <v>350</v>
      </c>
      <c r="P21" s="3775">
        <v>1050</v>
      </c>
      <c r="Q21" s="3775">
        <v>148.9</v>
      </c>
      <c r="R21" s="3777">
        <v>626.83544300000005</v>
      </c>
      <c r="S21" s="3776">
        <v>1212.7792019999999</v>
      </c>
      <c r="T21" s="3775">
        <v>845.25</v>
      </c>
      <c r="U21" s="3775">
        <v>13.465</v>
      </c>
      <c r="V21" s="3777">
        <v>1274.5149999999999</v>
      </c>
      <c r="W21" s="4250">
        <v>1569.2350000000001</v>
      </c>
    </row>
    <row r="22" spans="1:23" ht="20.100000000000001" customHeight="1">
      <c r="A22" s="3730"/>
      <c r="B22" s="3782" t="s">
        <v>1964</v>
      </c>
      <c r="C22" s="3776">
        <v>424.57640182457493</v>
      </c>
      <c r="D22" s="3775">
        <v>352.56050377797158</v>
      </c>
      <c r="E22" s="3775">
        <v>359.14633660738809</v>
      </c>
      <c r="F22" s="3777">
        <v>353.31887981064278</v>
      </c>
      <c r="G22" s="3776">
        <v>424.4671341042033</v>
      </c>
      <c r="H22" s="3775">
        <v>374.2216853844991</v>
      </c>
      <c r="I22" s="3775">
        <v>451.07688756541563</v>
      </c>
      <c r="J22" s="3777">
        <v>373.96478607101818</v>
      </c>
      <c r="K22" s="3776">
        <v>473.42175729749994</v>
      </c>
      <c r="L22" s="3775">
        <v>453.27671544599997</v>
      </c>
      <c r="M22" s="3775">
        <v>121.201755941</v>
      </c>
      <c r="N22" s="3777">
        <v>332.7886466999999</v>
      </c>
      <c r="O22" s="3776">
        <v>370.92953057149992</v>
      </c>
      <c r="P22" s="3775">
        <v>265.39325709849999</v>
      </c>
      <c r="Q22" s="3775">
        <v>135.865984943</v>
      </c>
      <c r="R22" s="3777">
        <v>302.15725030049998</v>
      </c>
      <c r="S22" s="3776">
        <v>307.80998370150002</v>
      </c>
      <c r="T22" s="3775">
        <v>444.44049908900001</v>
      </c>
      <c r="U22" s="3775">
        <v>323.99755747649999</v>
      </c>
      <c r="V22" s="3777">
        <v>350.77632725799998</v>
      </c>
      <c r="W22" s="4250">
        <v>385.03435747049997</v>
      </c>
    </row>
    <row r="23" spans="1:23" ht="20.100000000000001" customHeight="1">
      <c r="A23" s="3731"/>
      <c r="B23" s="3659" t="s">
        <v>1968</v>
      </c>
      <c r="C23" s="3780">
        <v>2047.1675</v>
      </c>
      <c r="D23" s="3779">
        <v>812.30050000000006</v>
      </c>
      <c r="E23" s="3779">
        <v>1786.5145</v>
      </c>
      <c r="F23" s="3781">
        <v>1759.3275000000001</v>
      </c>
      <c r="G23" s="3780">
        <v>705.64425000000006</v>
      </c>
      <c r="H23" s="3779">
        <v>1384.44425</v>
      </c>
      <c r="I23" s="3779">
        <v>1345.44425</v>
      </c>
      <c r="J23" s="3781">
        <v>705.64425000000006</v>
      </c>
      <c r="K23" s="3780">
        <v>1050.6992499999999</v>
      </c>
      <c r="L23" s="3779">
        <v>505.09924999999998</v>
      </c>
      <c r="M23" s="3779">
        <v>4505.0992500000002</v>
      </c>
      <c r="N23" s="3781">
        <v>5719.86625</v>
      </c>
      <c r="O23" s="3780">
        <v>1679.9445290000001</v>
      </c>
      <c r="P23" s="3779">
        <v>4208.479867</v>
      </c>
      <c r="Q23" s="3779">
        <v>4558.7075000000004</v>
      </c>
      <c r="R23" s="3781">
        <v>5970.726267</v>
      </c>
      <c r="S23" s="3780">
        <v>4144.5330000000004</v>
      </c>
      <c r="T23" s="3779">
        <v>4732.3959999999997</v>
      </c>
      <c r="U23" s="3779">
        <v>2937.18</v>
      </c>
      <c r="V23" s="3781">
        <v>1836.3530000000001</v>
      </c>
      <c r="W23" s="4249">
        <v>3700.0650999999998</v>
      </c>
    </row>
    <row r="24" spans="1:23" ht="20.100000000000001" customHeight="1">
      <c r="A24" s="3733"/>
      <c r="B24" s="3789" t="s">
        <v>1969</v>
      </c>
      <c r="C24" s="3776">
        <v>688.32749999999999</v>
      </c>
      <c r="D24" s="3775">
        <v>688.32749999999999</v>
      </c>
      <c r="E24" s="3775">
        <v>688.32749999999999</v>
      </c>
      <c r="F24" s="3777">
        <v>688.32749999999999</v>
      </c>
      <c r="G24" s="3776">
        <v>705.64425000000006</v>
      </c>
      <c r="H24" s="3775">
        <v>705.64425000000006</v>
      </c>
      <c r="I24" s="3775">
        <v>705.64425000000006</v>
      </c>
      <c r="J24" s="3777">
        <v>705.64425000000006</v>
      </c>
      <c r="K24" s="3776">
        <v>505.09924999999998</v>
      </c>
      <c r="L24" s="3775">
        <v>505.09924999999998</v>
      </c>
      <c r="M24" s="3775">
        <v>505.09924999999998</v>
      </c>
      <c r="N24" s="3777">
        <v>505.09924999999998</v>
      </c>
      <c r="O24" s="3776">
        <v>587.94452899999999</v>
      </c>
      <c r="P24" s="3775">
        <v>2382.479867</v>
      </c>
      <c r="Q24" s="3775">
        <v>1747.1075000000001</v>
      </c>
      <c r="R24" s="3777">
        <v>2340.1262670000001</v>
      </c>
      <c r="S24" s="3776">
        <v>211</v>
      </c>
      <c r="T24" s="3775">
        <v>3003.4960000000001</v>
      </c>
      <c r="U24" s="3775">
        <v>628.6</v>
      </c>
      <c r="V24" s="3777">
        <v>234.35300000000001</v>
      </c>
      <c r="W24" s="4250">
        <v>1266.5649999999998</v>
      </c>
    </row>
    <row r="25" spans="1:23" ht="20.100000000000001" customHeight="1">
      <c r="A25" s="3730"/>
      <c r="B25" s="3789" t="s">
        <v>1970</v>
      </c>
      <c r="C25" s="3776">
        <v>1358.84</v>
      </c>
      <c r="D25" s="3775">
        <v>123.973</v>
      </c>
      <c r="E25" s="3775">
        <v>1098.1869999999999</v>
      </c>
      <c r="F25" s="3777">
        <v>1071</v>
      </c>
      <c r="G25" s="3802">
        <v>0</v>
      </c>
      <c r="H25" s="3775">
        <v>678.8</v>
      </c>
      <c r="I25" s="3775">
        <v>639.79999999999995</v>
      </c>
      <c r="J25" s="3806">
        <v>0</v>
      </c>
      <c r="K25" s="3776">
        <v>545.6</v>
      </c>
      <c r="L25" s="3803">
        <v>0</v>
      </c>
      <c r="M25" s="3775">
        <v>4000</v>
      </c>
      <c r="N25" s="3777">
        <v>5214.7669999999998</v>
      </c>
      <c r="O25" s="3776">
        <v>1092</v>
      </c>
      <c r="P25" s="3775">
        <v>1826</v>
      </c>
      <c r="Q25" s="3775">
        <v>2811.6</v>
      </c>
      <c r="R25" s="3777">
        <v>3630.6</v>
      </c>
      <c r="S25" s="3776">
        <v>3933.5329999999999</v>
      </c>
      <c r="T25" s="3775">
        <v>1728.9</v>
      </c>
      <c r="U25" s="3775">
        <v>2308.58</v>
      </c>
      <c r="V25" s="3777">
        <v>1602</v>
      </c>
      <c r="W25" s="4250">
        <v>2433.5001000000002</v>
      </c>
    </row>
    <row r="26" spans="1:23" ht="20.100000000000001" customHeight="1">
      <c r="A26" s="3732"/>
      <c r="B26" s="3659" t="s">
        <v>1971</v>
      </c>
      <c r="C26" s="3780">
        <v>2320.0334650707614</v>
      </c>
      <c r="D26" s="3779">
        <v>-2330.2332408357088</v>
      </c>
      <c r="E26" s="3779">
        <v>-2745.9235695368566</v>
      </c>
      <c r="F26" s="3781">
        <v>-10116.477630415156</v>
      </c>
      <c r="G26" s="3780">
        <v>-1422.2099376648366</v>
      </c>
      <c r="H26" s="3779">
        <v>6001.7049247330051</v>
      </c>
      <c r="I26" s="3779">
        <v>-8839.598146102855</v>
      </c>
      <c r="J26" s="3781">
        <v>-8057.1754398515313</v>
      </c>
      <c r="K26" s="3780">
        <v>-8084.1573804612608</v>
      </c>
      <c r="L26" s="3779">
        <v>-4600.7051544212682</v>
      </c>
      <c r="M26" s="3779">
        <v>-2708.1799285890811</v>
      </c>
      <c r="N26" s="3781">
        <v>1433.3280351023941</v>
      </c>
      <c r="O26" s="3780">
        <v>1915.0137569268466</v>
      </c>
      <c r="P26" s="3779">
        <v>-2253.4010576750102</v>
      </c>
      <c r="Q26" s="3779">
        <v>-5076.7979319708274</v>
      </c>
      <c r="R26" s="3781">
        <v>-5781.2869898153203</v>
      </c>
      <c r="S26" s="3780">
        <v>-7826.7537232957447</v>
      </c>
      <c r="T26" s="3779">
        <v>-6714.4265701051854</v>
      </c>
      <c r="U26" s="3779">
        <v>-1483.7666519585439</v>
      </c>
      <c r="V26" s="3781">
        <v>-4304.5851882330817</v>
      </c>
      <c r="W26" s="4249">
        <v>-12113.934310574041</v>
      </c>
    </row>
    <row r="27" spans="1:23" ht="20.100000000000001" customHeight="1">
      <c r="A27" s="3732"/>
      <c r="B27" s="3790" t="s">
        <v>1973</v>
      </c>
      <c r="C27" s="3776">
        <v>137.85427439780003</v>
      </c>
      <c r="D27" s="3775">
        <v>87.649020095699996</v>
      </c>
      <c r="E27" s="3775">
        <v>127.1780444533</v>
      </c>
      <c r="F27" s="3777">
        <v>7.0074027146000004</v>
      </c>
      <c r="G27" s="3776">
        <v>28.816916068000005</v>
      </c>
      <c r="H27" s="3775">
        <v>93.152456259999994</v>
      </c>
      <c r="I27" s="3775">
        <v>109.91268875819999</v>
      </c>
      <c r="J27" s="3777">
        <v>102.4984298815</v>
      </c>
      <c r="K27" s="3776">
        <v>73.57828997</v>
      </c>
      <c r="L27" s="3775">
        <v>343.73919755999992</v>
      </c>
      <c r="M27" s="3775">
        <v>197.70151665</v>
      </c>
      <c r="N27" s="3777">
        <v>144.065384771</v>
      </c>
      <c r="O27" s="3776">
        <v>134.73977600000001</v>
      </c>
      <c r="P27" s="3775">
        <v>9.6424219319999995</v>
      </c>
      <c r="Q27" s="3775">
        <v>3.3311480000000002</v>
      </c>
      <c r="R27" s="3777">
        <v>5.93</v>
      </c>
      <c r="S27" s="3776">
        <v>69.290232750000001</v>
      </c>
      <c r="T27" s="3775">
        <v>89.650978880000011</v>
      </c>
      <c r="U27" s="3775">
        <v>-4.0506457699999991</v>
      </c>
      <c r="V27" s="3777">
        <v>66.496293866881842</v>
      </c>
      <c r="W27" s="4250">
        <v>44.722344883617467</v>
      </c>
    </row>
    <row r="28" spans="1:23" ht="20.100000000000001" customHeight="1">
      <c r="A28" s="3732"/>
      <c r="B28" s="3789" t="s">
        <v>1975</v>
      </c>
      <c r="C28" s="3776">
        <v>69.103544900000003</v>
      </c>
      <c r="D28" s="3775">
        <v>16.536098539999998</v>
      </c>
      <c r="E28" s="3775">
        <v>126.01593099999999</v>
      </c>
      <c r="F28" s="3777">
        <v>0.2</v>
      </c>
      <c r="G28" s="3802">
        <v>0</v>
      </c>
      <c r="H28" s="3775">
        <v>65.101303759999993</v>
      </c>
      <c r="I28" s="3775">
        <v>118.97136574</v>
      </c>
      <c r="J28" s="3777">
        <v>76.5</v>
      </c>
      <c r="K28" s="3776">
        <v>73.57828997</v>
      </c>
      <c r="L28" s="3775">
        <v>319.77561665999997</v>
      </c>
      <c r="M28" s="3775">
        <v>197.70151665</v>
      </c>
      <c r="N28" s="3777">
        <v>134.21848334999999</v>
      </c>
      <c r="O28" s="3776">
        <v>134.73977600000001</v>
      </c>
      <c r="P28" s="3775">
        <v>4.9275000000000002</v>
      </c>
      <c r="Q28" s="3775">
        <v>3.3311480000000002</v>
      </c>
      <c r="R28" s="3777">
        <v>5.93</v>
      </c>
      <c r="S28" s="3776">
        <v>5.8547250000000002</v>
      </c>
      <c r="T28" s="3775">
        <v>1.38</v>
      </c>
      <c r="U28" s="3775">
        <v>0</v>
      </c>
      <c r="V28" s="3777">
        <v>3</v>
      </c>
      <c r="W28" s="4250">
        <v>0</v>
      </c>
    </row>
    <row r="29" spans="1:23" s="3735" customFormat="1" ht="20.100000000000001" hidden="1" customHeight="1">
      <c r="A29" s="3734"/>
      <c r="B29" s="3790" t="s">
        <v>1976</v>
      </c>
      <c r="C29" s="3776"/>
      <c r="D29" s="3775"/>
      <c r="E29" s="3775"/>
      <c r="F29" s="3777"/>
      <c r="G29" s="3776"/>
      <c r="H29" s="3775"/>
      <c r="I29" s="3775"/>
      <c r="J29" s="3777"/>
      <c r="K29" s="3776"/>
      <c r="L29" s="3775"/>
      <c r="M29" s="3775"/>
      <c r="N29" s="3777"/>
      <c r="O29" s="3776"/>
      <c r="P29" s="3775"/>
      <c r="Q29" s="3775"/>
      <c r="R29" s="3777"/>
      <c r="S29" s="3776"/>
      <c r="T29" s="3775"/>
      <c r="U29" s="3775"/>
      <c r="V29" s="3777"/>
      <c r="W29" s="4252"/>
    </row>
    <row r="30" spans="1:23" ht="20.100000000000001" customHeight="1">
      <c r="A30" s="3732"/>
      <c r="B30" s="3790" t="s">
        <v>1977</v>
      </c>
      <c r="C30" s="3776">
        <v>2457.887739468561</v>
      </c>
      <c r="D30" s="3775">
        <v>-2242.5842207400087</v>
      </c>
      <c r="E30" s="3775">
        <v>-2618.7455250835565</v>
      </c>
      <c r="F30" s="3777">
        <v>-10109.470227700558</v>
      </c>
      <c r="G30" s="3776">
        <v>-1393.3930215968367</v>
      </c>
      <c r="H30" s="3775">
        <v>6094.8573809930058</v>
      </c>
      <c r="I30" s="3775">
        <v>-8729.6854573446562</v>
      </c>
      <c r="J30" s="3777">
        <v>-7954.6770099700307</v>
      </c>
      <c r="K30" s="3776">
        <v>-8010.5790904912601</v>
      </c>
      <c r="L30" s="3775">
        <v>-4256.9659568612678</v>
      </c>
      <c r="M30" s="3775">
        <v>-2510.4784119390811</v>
      </c>
      <c r="N30" s="3777">
        <v>1577.3934198733934</v>
      </c>
      <c r="O30" s="3776">
        <v>2049.7535329268471</v>
      </c>
      <c r="P30" s="3775">
        <v>-2243.75863574301</v>
      </c>
      <c r="Q30" s="3775">
        <v>-5073.4667839708272</v>
      </c>
      <c r="R30" s="3777">
        <v>-5775.35698981532</v>
      </c>
      <c r="S30" s="3776">
        <v>-7757.4634905457451</v>
      </c>
      <c r="T30" s="3775">
        <v>-6624.7755912251851</v>
      </c>
      <c r="U30" s="3775">
        <v>-1487.8172977285431</v>
      </c>
      <c r="V30" s="3777">
        <v>-4238.0888943662003</v>
      </c>
      <c r="W30" s="4250">
        <v>-12069.211965690423</v>
      </c>
    </row>
    <row r="31" spans="1:23" ht="20.100000000000001" customHeight="1">
      <c r="A31" s="3732"/>
      <c r="B31" s="3791" t="s">
        <v>1978</v>
      </c>
      <c r="C31" s="3776">
        <v>825.16026606400646</v>
      </c>
      <c r="D31" s="3775">
        <v>-1940.249669380009</v>
      </c>
      <c r="E31" s="3775">
        <v>-144.63556399999476</v>
      </c>
      <c r="F31" s="3777">
        <v>1091.3868537899903</v>
      </c>
      <c r="G31" s="3776">
        <v>844.13781208001296</v>
      </c>
      <c r="H31" s="3775">
        <v>411.8975647099918</v>
      </c>
      <c r="I31" s="3775">
        <v>-67.893950039997065</v>
      </c>
      <c r="J31" s="3777">
        <v>-1302.8803068053739</v>
      </c>
      <c r="K31" s="3776">
        <v>2645.8828203475055</v>
      </c>
      <c r="L31" s="3775">
        <v>-3532.2025214925002</v>
      </c>
      <c r="M31" s="3775">
        <v>-171.3505776525048</v>
      </c>
      <c r="N31" s="3777">
        <v>1825.6103409175018</v>
      </c>
      <c r="O31" s="3776">
        <v>141.57315905999778</v>
      </c>
      <c r="P31" s="3775">
        <v>-1687.4860759099963</v>
      </c>
      <c r="Q31" s="3775">
        <v>-90.786367210015769</v>
      </c>
      <c r="R31" s="3777">
        <v>1081.21830963002</v>
      </c>
      <c r="S31" s="3776">
        <v>791.89829388589862</v>
      </c>
      <c r="T31" s="3775">
        <v>-1759.3727020760057</v>
      </c>
      <c r="U31" s="3775">
        <v>292.22328359200446</v>
      </c>
      <c r="V31" s="3777">
        <v>570.34949292462227</v>
      </c>
      <c r="W31" s="4250">
        <v>-735.18325136590124</v>
      </c>
    </row>
    <row r="32" spans="1:23" ht="20.100000000000001" customHeight="1">
      <c r="A32" s="3732"/>
      <c r="B32" s="3791" t="s">
        <v>1979</v>
      </c>
      <c r="C32" s="3776">
        <v>-1632.7274734045548</v>
      </c>
      <c r="D32" s="3775">
        <v>302.33455136000003</v>
      </c>
      <c r="E32" s="3775">
        <v>2474.1099610835618</v>
      </c>
      <c r="F32" s="3777">
        <v>11200.857081490547</v>
      </c>
      <c r="G32" s="3776">
        <v>2237.5308336768494</v>
      </c>
      <c r="H32" s="3775">
        <v>-5682.9598162830143</v>
      </c>
      <c r="I32" s="3775">
        <v>8661.7915073046588</v>
      </c>
      <c r="J32" s="3777">
        <v>6651.7967031646567</v>
      </c>
      <c r="K32" s="3776">
        <v>10656.461910838767</v>
      </c>
      <c r="L32" s="3775">
        <v>724.76343536876789</v>
      </c>
      <c r="M32" s="3775">
        <v>2339.1278342865762</v>
      </c>
      <c r="N32" s="3777">
        <v>248.21692104410849</v>
      </c>
      <c r="O32" s="3776">
        <v>-1908.1803738668491</v>
      </c>
      <c r="P32" s="3775">
        <v>556.2725598330137</v>
      </c>
      <c r="Q32" s="3775">
        <v>4982.6804167608116</v>
      </c>
      <c r="R32" s="3777">
        <v>6856.5752994453405</v>
      </c>
      <c r="S32" s="3776">
        <v>8549.3617844316432</v>
      </c>
      <c r="T32" s="3775">
        <v>4865.4028891491798</v>
      </c>
      <c r="U32" s="3775">
        <v>1780.0405813205475</v>
      </c>
      <c r="V32" s="3777">
        <v>4808.4383872908229</v>
      </c>
      <c r="W32" s="4250">
        <v>11334.028714324522</v>
      </c>
    </row>
    <row r="33" spans="1:23" ht="20.100000000000001" customHeight="1">
      <c r="A33" s="3730"/>
      <c r="B33" s="3785" t="s">
        <v>1988</v>
      </c>
      <c r="C33" s="3776">
        <v>-93.333332999999996</v>
      </c>
      <c r="D33" s="3775">
        <v>218.33356000000003</v>
      </c>
      <c r="E33" s="3775">
        <v>-1206.7569066164383</v>
      </c>
      <c r="F33" s="3777">
        <v>8268.2095945205474</v>
      </c>
      <c r="G33" s="3776">
        <v>255.3443985068493</v>
      </c>
      <c r="H33" s="3775">
        <v>1398.1480301369863</v>
      </c>
      <c r="I33" s="3775">
        <v>2009.3772824246573</v>
      </c>
      <c r="J33" s="3777">
        <v>6012.4851534246573</v>
      </c>
      <c r="K33" s="3776">
        <v>5883.6161793287665</v>
      </c>
      <c r="L33" s="3775">
        <v>-509.72506167123271</v>
      </c>
      <c r="M33" s="3775">
        <v>1526.7102002465751</v>
      </c>
      <c r="N33" s="3777">
        <v>7375.131419904109</v>
      </c>
      <c r="O33" s="3776">
        <v>3574.4641354931509</v>
      </c>
      <c r="P33" s="3775">
        <v>713.51137086301378</v>
      </c>
      <c r="Q33" s="3775">
        <v>4997.1212587808222</v>
      </c>
      <c r="R33" s="3777">
        <v>7062.3570275753409</v>
      </c>
      <c r="S33" s="3776">
        <v>8573.7916095616438</v>
      </c>
      <c r="T33" s="3775">
        <v>4911.3107692191788</v>
      </c>
      <c r="U33" s="3775">
        <v>4595.0996615205477</v>
      </c>
      <c r="V33" s="3777">
        <v>4809.7887727808229</v>
      </c>
      <c r="W33" s="4250">
        <v>12343.123933794521</v>
      </c>
    </row>
    <row r="34" spans="1:23" ht="20.100000000000001" customHeight="1">
      <c r="A34" s="3730"/>
      <c r="B34" s="3785" t="s">
        <v>1989</v>
      </c>
      <c r="C34" s="3776">
        <v>-1533.2997460045547</v>
      </c>
      <c r="D34" s="3775">
        <v>1.0000000000047748E-3</v>
      </c>
      <c r="E34" s="3775">
        <v>3633.746725</v>
      </c>
      <c r="F34" s="3777">
        <v>2672.7821403100006</v>
      </c>
      <c r="G34" s="3776">
        <v>1986.1698449999999</v>
      </c>
      <c r="H34" s="3775">
        <v>-7127.9996840100011</v>
      </c>
      <c r="I34" s="3775">
        <v>7159.6353755900018</v>
      </c>
      <c r="J34" s="3777">
        <v>1056.2223185699995</v>
      </c>
      <c r="K34" s="3776">
        <v>4549.2531261799995</v>
      </c>
      <c r="L34" s="3775">
        <v>1813.2724074300004</v>
      </c>
      <c r="M34" s="3775">
        <v>1171.4040487500013</v>
      </c>
      <c r="N34" s="3777">
        <v>-7197.1759778699998</v>
      </c>
      <c r="O34" s="3776">
        <v>-5481.32857143</v>
      </c>
      <c r="P34" s="3775">
        <v>-74.318359520000058</v>
      </c>
      <c r="Q34" s="3775">
        <v>-71.428571430000375</v>
      </c>
      <c r="R34" s="3777">
        <v>-71.428571430000375</v>
      </c>
      <c r="S34" s="3776">
        <v>-71.428571430000375</v>
      </c>
      <c r="T34" s="3775">
        <v>-72.738279829999556</v>
      </c>
      <c r="U34" s="3775">
        <v>-3071.4285714300004</v>
      </c>
      <c r="V34" s="3777">
        <v>-71.278559630000018</v>
      </c>
      <c r="W34" s="4250">
        <v>-987.38008671999887</v>
      </c>
    </row>
    <row r="35" spans="1:23" ht="20.100000000000001" customHeight="1">
      <c r="A35" s="3736"/>
      <c r="B35" s="3659" t="s">
        <v>1982</v>
      </c>
      <c r="C35" s="3780">
        <v>2297.1703838972321</v>
      </c>
      <c r="D35" s="3779">
        <v>3417.2119184783205</v>
      </c>
      <c r="E35" s="3779">
        <v>-1659.0373490546408</v>
      </c>
      <c r="F35" s="3781">
        <v>-5956.1232736285783</v>
      </c>
      <c r="G35" s="3780">
        <v>-3507.6074415787648</v>
      </c>
      <c r="H35" s="3779">
        <v>8387.5204914881215</v>
      </c>
      <c r="I35" s="3779">
        <v>-2493.0642690317791</v>
      </c>
      <c r="J35" s="3781">
        <v>-2620.8327779435681</v>
      </c>
      <c r="K35" s="3780">
        <v>-5745.9637214791956</v>
      </c>
      <c r="L35" s="3779">
        <v>3130.6486062256586</v>
      </c>
      <c r="M35" s="3779">
        <v>3345.793096370584</v>
      </c>
      <c r="N35" s="3781">
        <v>9990.7692334752755</v>
      </c>
      <c r="O35" s="3780">
        <v>-3281.7638847468338</v>
      </c>
      <c r="P35" s="3779">
        <v>1144.1550747317719</v>
      </c>
      <c r="Q35" s="3779">
        <v>-588.09972872295566</v>
      </c>
      <c r="R35" s="3781">
        <v>-356.82201540055178</v>
      </c>
      <c r="S35" s="3780">
        <v>-5795.6184012967988</v>
      </c>
      <c r="T35" s="3779">
        <v>3765.9423077337874</v>
      </c>
      <c r="U35" s="3779">
        <v>-3196.071120091734</v>
      </c>
      <c r="V35" s="3781">
        <v>1961.8728031943206</v>
      </c>
      <c r="W35" s="4249">
        <v>-2251.0242043545418</v>
      </c>
    </row>
    <row r="36" spans="1:23" ht="20.100000000000001" customHeight="1">
      <c r="A36" s="3731"/>
      <c r="B36" s="3659" t="s">
        <v>1983</v>
      </c>
      <c r="C36" s="3780">
        <v>4074.6162460199998</v>
      </c>
      <c r="D36" s="3779">
        <v>581.98074526999983</v>
      </c>
      <c r="E36" s="3779">
        <v>-4900.07925376</v>
      </c>
      <c r="F36" s="3781">
        <v>-360.50175515999996</v>
      </c>
      <c r="G36" s="3780">
        <v>-502.23831370000408</v>
      </c>
      <c r="H36" s="3779">
        <v>792.47246538000388</v>
      </c>
      <c r="I36" s="3779">
        <v>17.770845240000032</v>
      </c>
      <c r="J36" s="3781">
        <v>433.68916309000002</v>
      </c>
      <c r="K36" s="3780">
        <v>856.62248723999983</v>
      </c>
      <c r="L36" s="3779">
        <v>-1006.8089069154398</v>
      </c>
      <c r="M36" s="3779">
        <v>867.34764719544012</v>
      </c>
      <c r="N36" s="3781">
        <v>9118.804285760003</v>
      </c>
      <c r="O36" s="3780">
        <v>-7051.7926070700005</v>
      </c>
      <c r="P36" s="3779">
        <v>1859.7542911499995</v>
      </c>
      <c r="Q36" s="3779">
        <v>-627.97893140999975</v>
      </c>
      <c r="R36" s="3781">
        <v>4601.0529683099994</v>
      </c>
      <c r="S36" s="3780">
        <v>3711.5967233900005</v>
      </c>
      <c r="T36" s="3779">
        <v>7046.6973269499995</v>
      </c>
      <c r="U36" s="3779">
        <v>-9910.5397617900016</v>
      </c>
      <c r="V36" s="3781">
        <v>-112.65381704999972</v>
      </c>
      <c r="W36" s="4249">
        <v>9486.7120393100013</v>
      </c>
    </row>
    <row r="37" spans="1:23">
      <c r="A37" s="3731"/>
      <c r="B37" s="3792" t="s">
        <v>1984</v>
      </c>
      <c r="C37" s="3794">
        <v>4074.6162460199998</v>
      </c>
      <c r="D37" s="3793">
        <v>581.98074526999983</v>
      </c>
      <c r="E37" s="3793">
        <v>-4900.07925376</v>
      </c>
      <c r="F37" s="3795">
        <v>-360.50175515999996</v>
      </c>
      <c r="G37" s="3794">
        <v>-502.23831370000408</v>
      </c>
      <c r="H37" s="3793">
        <v>792.47246538000388</v>
      </c>
      <c r="I37" s="3793">
        <v>17.770845240000032</v>
      </c>
      <c r="J37" s="3795">
        <v>433.68916309000002</v>
      </c>
      <c r="K37" s="3794">
        <v>856.62248723999983</v>
      </c>
      <c r="L37" s="3793">
        <v>-1006.8089069154398</v>
      </c>
      <c r="M37" s="3793">
        <v>867.34764719544012</v>
      </c>
      <c r="N37" s="3795">
        <v>9118.804285760003</v>
      </c>
      <c r="O37" s="3794">
        <v>-7051.7926070700005</v>
      </c>
      <c r="P37" s="3793">
        <v>1859.7542911499995</v>
      </c>
      <c r="Q37" s="3793">
        <v>-627.97893140999975</v>
      </c>
      <c r="R37" s="3795">
        <v>4601.0529683099994</v>
      </c>
      <c r="S37" s="3794">
        <v>3711.5967233900005</v>
      </c>
      <c r="T37" s="3793">
        <v>7046.6973269499995</v>
      </c>
      <c r="U37" s="3793">
        <v>-9910.5397617900016</v>
      </c>
      <c r="V37" s="3795">
        <v>-112.65381704999972</v>
      </c>
      <c r="W37" s="4251">
        <v>9486.7120393100013</v>
      </c>
    </row>
    <row r="38" spans="1:23" ht="9" customHeight="1">
      <c r="A38" s="3669"/>
      <c r="B38" s="3805"/>
      <c r="C38" s="3669"/>
      <c r="D38" s="3669"/>
      <c r="E38" s="3669"/>
      <c r="F38" s="3669"/>
      <c r="G38" s="3713"/>
      <c r="H38" s="3669"/>
      <c r="I38" s="3669"/>
      <c r="J38" s="3669"/>
      <c r="K38" s="3669"/>
      <c r="L38" s="3669"/>
      <c r="M38" s="3669"/>
      <c r="N38" s="3669"/>
      <c r="O38" s="3669"/>
      <c r="P38" s="3669"/>
      <c r="Q38" s="3669"/>
      <c r="R38" s="3669"/>
      <c r="S38" s="3669"/>
      <c r="T38" s="3669"/>
      <c r="U38" s="3669"/>
      <c r="V38" s="3669"/>
      <c r="W38" s="3707"/>
    </row>
    <row r="39" spans="1:23" s="3722" customFormat="1" ht="63" customHeight="1">
      <c r="A39" s="3724"/>
      <c r="B39" s="4768" t="s">
        <v>1990</v>
      </c>
      <c r="C39" s="4768"/>
      <c r="D39" s="4768"/>
      <c r="E39" s="4768"/>
      <c r="F39" s="4768"/>
      <c r="G39" s="4768"/>
      <c r="H39" s="4768"/>
      <c r="I39" s="4768"/>
      <c r="J39" s="4768"/>
      <c r="K39" s="4768"/>
      <c r="L39" s="4768"/>
      <c r="M39" s="4768"/>
      <c r="N39" s="4768"/>
      <c r="O39" s="4768"/>
      <c r="P39" s="4768"/>
      <c r="Q39" s="4768"/>
      <c r="R39" s="4768"/>
      <c r="S39" s="4768"/>
      <c r="T39" s="4768"/>
      <c r="U39" s="4768"/>
      <c r="V39" s="4768"/>
      <c r="W39" s="3746"/>
    </row>
    <row r="40" spans="1:23" s="3722" customFormat="1" ht="35.25" customHeight="1">
      <c r="A40" s="3724"/>
      <c r="B40" s="4768"/>
      <c r="C40" s="4768"/>
      <c r="D40" s="4768"/>
      <c r="E40" s="4768"/>
      <c r="F40" s="4768"/>
      <c r="G40" s="4768"/>
      <c r="H40" s="4768"/>
      <c r="I40" s="4768"/>
      <c r="J40" s="4768"/>
      <c r="K40" s="4768"/>
      <c r="L40" s="4768"/>
      <c r="M40" s="4768"/>
      <c r="N40" s="4768"/>
      <c r="O40" s="4768"/>
      <c r="P40" s="4768"/>
      <c r="Q40" s="4768"/>
      <c r="R40" s="4768"/>
      <c r="S40" s="4768"/>
      <c r="T40" s="4768"/>
      <c r="U40" s="4768"/>
      <c r="V40" s="4768"/>
      <c r="W40" s="3746"/>
    </row>
    <row r="41" spans="1:23" s="3722" customFormat="1" ht="59.25" customHeight="1">
      <c r="A41" s="3724"/>
      <c r="B41" s="4768"/>
      <c r="C41" s="4768"/>
      <c r="D41" s="4768"/>
      <c r="E41" s="4768"/>
      <c r="F41" s="4768"/>
      <c r="G41" s="4768"/>
      <c r="H41" s="4768"/>
      <c r="I41" s="4768"/>
      <c r="J41" s="4768"/>
      <c r="K41" s="4768"/>
      <c r="L41" s="4768"/>
      <c r="M41" s="4768"/>
      <c r="N41" s="4768"/>
      <c r="O41" s="3724"/>
      <c r="P41" s="3724"/>
      <c r="Q41" s="3724"/>
      <c r="R41" s="3724"/>
      <c r="S41" s="3724"/>
      <c r="T41" s="3724"/>
      <c r="U41" s="3724"/>
      <c r="V41" s="3724"/>
      <c r="W41" s="3746"/>
    </row>
    <row r="42" spans="1:23" ht="32.1" customHeight="1">
      <c r="B42" s="4035"/>
      <c r="C42" s="3737"/>
      <c r="D42" s="3737"/>
      <c r="E42" s="3737"/>
      <c r="F42" s="3737"/>
      <c r="G42" s="4036"/>
      <c r="H42" s="3737"/>
      <c r="I42" s="3737"/>
      <c r="J42" s="3737"/>
      <c r="K42" s="3737"/>
      <c r="L42" s="3737"/>
      <c r="M42" s="3737"/>
      <c r="N42" s="3737"/>
      <c r="O42" s="3737"/>
      <c r="P42" s="3737"/>
      <c r="Q42" s="3737"/>
      <c r="R42" s="3737"/>
      <c r="S42" s="3737"/>
      <c r="T42" s="3737"/>
      <c r="U42" s="3737"/>
      <c r="V42" s="3737"/>
      <c r="W42" s="4037"/>
    </row>
    <row r="50" spans="1:41" s="3669" customFormat="1">
      <c r="A50" s="3737"/>
      <c r="B50" s="3670"/>
      <c r="C50" s="3670"/>
      <c r="D50" s="3670"/>
      <c r="E50" s="3670"/>
      <c r="F50" s="3670"/>
      <c r="G50" s="3738"/>
      <c r="H50" s="3670"/>
      <c r="I50" s="3670"/>
      <c r="J50" s="3670"/>
      <c r="K50" s="3670"/>
      <c r="L50" s="3670"/>
      <c r="M50" s="3670"/>
      <c r="N50" s="3670"/>
      <c r="O50" s="3670"/>
      <c r="P50" s="3670"/>
      <c r="Q50" s="3670"/>
      <c r="R50" s="3670"/>
      <c r="S50" s="3670"/>
      <c r="T50" s="3670"/>
      <c r="U50" s="3670"/>
      <c r="V50" s="3670"/>
      <c r="W50" s="3709"/>
      <c r="X50" s="3709"/>
      <c r="Y50" s="3709"/>
      <c r="Z50" s="3709"/>
      <c r="AA50" s="3709"/>
      <c r="AB50" s="3709"/>
      <c r="AC50" s="3709"/>
      <c r="AD50" s="3709"/>
      <c r="AE50" s="3709"/>
      <c r="AF50" s="3709"/>
      <c r="AG50" s="3709"/>
      <c r="AH50" s="3709"/>
      <c r="AI50" s="3709"/>
      <c r="AJ50" s="3709"/>
      <c r="AK50" s="3709"/>
      <c r="AL50" s="3709"/>
      <c r="AM50" s="3709"/>
      <c r="AN50" s="3709"/>
      <c r="AO50" s="3709"/>
    </row>
    <row r="51" spans="1:41" s="3669" customFormat="1">
      <c r="A51" s="3737"/>
      <c r="B51" s="3670"/>
      <c r="C51" s="3670"/>
      <c r="D51" s="3670"/>
      <c r="E51" s="3670"/>
      <c r="F51" s="3670"/>
      <c r="G51" s="3738"/>
      <c r="H51" s="3670"/>
      <c r="I51" s="3670"/>
      <c r="J51" s="3670"/>
      <c r="K51" s="3670"/>
      <c r="L51" s="3670"/>
      <c r="M51" s="3670"/>
      <c r="N51" s="3670"/>
      <c r="O51" s="3670"/>
      <c r="P51" s="3670"/>
      <c r="Q51" s="3670"/>
      <c r="R51" s="3670"/>
      <c r="S51" s="3670"/>
      <c r="T51" s="3670"/>
      <c r="U51" s="3670"/>
      <c r="V51" s="3670"/>
      <c r="W51" s="3709"/>
      <c r="X51" s="3709"/>
      <c r="Y51" s="3709"/>
      <c r="Z51" s="3709"/>
      <c r="AA51" s="3709"/>
      <c r="AB51" s="3709"/>
      <c r="AC51" s="3709"/>
      <c r="AD51" s="3709"/>
      <c r="AE51" s="3709"/>
      <c r="AF51" s="3709"/>
      <c r="AG51" s="3709"/>
      <c r="AH51" s="3709"/>
      <c r="AI51" s="3709"/>
      <c r="AJ51" s="3709"/>
      <c r="AK51" s="3709"/>
      <c r="AL51" s="3709"/>
      <c r="AM51" s="3709"/>
      <c r="AN51" s="3709"/>
      <c r="AO51" s="3709"/>
    </row>
    <row r="52" spans="1:41" s="3669" customFormat="1">
      <c r="A52" s="3737"/>
      <c r="B52" s="3670"/>
      <c r="C52" s="3670"/>
      <c r="D52" s="3670"/>
      <c r="E52" s="3670"/>
      <c r="F52" s="3670"/>
      <c r="G52" s="3738"/>
      <c r="H52" s="3670"/>
      <c r="I52" s="3670"/>
      <c r="J52" s="3670"/>
      <c r="K52" s="3670"/>
      <c r="L52" s="3670"/>
      <c r="M52" s="3670"/>
      <c r="N52" s="3670"/>
      <c r="O52" s="3670"/>
      <c r="P52" s="3670"/>
      <c r="Q52" s="3670"/>
      <c r="R52" s="3670"/>
      <c r="S52" s="3670"/>
      <c r="T52" s="3670"/>
      <c r="U52" s="3670"/>
      <c r="V52" s="3670"/>
      <c r="W52" s="3709"/>
      <c r="X52" s="3709"/>
      <c r="Y52" s="3709"/>
      <c r="Z52" s="3709"/>
      <c r="AA52" s="3709"/>
      <c r="AB52" s="3709"/>
      <c r="AC52" s="3709"/>
      <c r="AD52" s="3709"/>
      <c r="AE52" s="3709"/>
      <c r="AF52" s="3709"/>
      <c r="AG52" s="3709"/>
      <c r="AH52" s="3709"/>
      <c r="AI52" s="3709"/>
      <c r="AJ52" s="3709"/>
      <c r="AK52" s="3709"/>
      <c r="AL52" s="3709"/>
      <c r="AM52" s="3709"/>
      <c r="AN52" s="3709"/>
      <c r="AO52" s="3709"/>
    </row>
    <row r="53" spans="1:41" s="3669" customFormat="1">
      <c r="A53" s="3737"/>
      <c r="B53" s="3670"/>
      <c r="C53" s="3670"/>
      <c r="D53" s="3670"/>
      <c r="E53" s="3670"/>
      <c r="F53" s="3670"/>
      <c r="G53" s="3738"/>
      <c r="H53" s="3670"/>
      <c r="I53" s="3670"/>
      <c r="J53" s="3670"/>
      <c r="K53" s="3670"/>
      <c r="L53" s="3670"/>
      <c r="M53" s="3670"/>
      <c r="N53" s="3670"/>
      <c r="O53" s="3670"/>
      <c r="P53" s="3670"/>
      <c r="Q53" s="3670"/>
      <c r="R53" s="3670"/>
      <c r="S53" s="3670"/>
      <c r="T53" s="3670"/>
      <c r="U53" s="3670"/>
      <c r="V53" s="3670"/>
      <c r="W53" s="3709"/>
      <c r="X53" s="3709"/>
      <c r="Y53" s="3709"/>
      <c r="Z53" s="3709"/>
      <c r="AA53" s="3709"/>
      <c r="AB53" s="3709"/>
      <c r="AC53" s="3709"/>
      <c r="AD53" s="3709"/>
      <c r="AE53" s="3709"/>
      <c r="AF53" s="3709"/>
      <c r="AG53" s="3709"/>
      <c r="AH53" s="3709"/>
      <c r="AI53" s="3709"/>
      <c r="AJ53" s="3709"/>
      <c r="AK53" s="3709"/>
      <c r="AL53" s="3709"/>
      <c r="AM53" s="3709"/>
      <c r="AN53" s="3709"/>
      <c r="AO53" s="3709"/>
    </row>
    <row r="54" spans="1:41" s="3669" customFormat="1">
      <c r="A54" s="3737"/>
      <c r="B54" s="3670"/>
      <c r="C54" s="3670"/>
      <c r="D54" s="3670"/>
      <c r="E54" s="3670"/>
      <c r="F54" s="3670"/>
      <c r="G54" s="3738"/>
      <c r="H54" s="3670"/>
      <c r="I54" s="3670"/>
      <c r="J54" s="3670"/>
      <c r="K54" s="3670"/>
      <c r="L54" s="3670"/>
      <c r="M54" s="3670"/>
      <c r="N54" s="3670"/>
      <c r="O54" s="3670"/>
      <c r="P54" s="3670"/>
      <c r="Q54" s="3670"/>
      <c r="R54" s="3670"/>
      <c r="S54" s="3670"/>
      <c r="T54" s="3670"/>
      <c r="U54" s="3670"/>
      <c r="V54" s="3670"/>
      <c r="W54" s="3709"/>
      <c r="X54" s="3709"/>
      <c r="Y54" s="3709"/>
      <c r="Z54" s="3709"/>
      <c r="AA54" s="3709"/>
      <c r="AB54" s="3709"/>
      <c r="AC54" s="3709"/>
      <c r="AD54" s="3709"/>
      <c r="AE54" s="3709"/>
      <c r="AF54" s="3709"/>
      <c r="AG54" s="3709"/>
      <c r="AH54" s="3709"/>
      <c r="AI54" s="3709"/>
      <c r="AJ54" s="3709"/>
      <c r="AK54" s="3709"/>
      <c r="AL54" s="3709"/>
      <c r="AM54" s="3709"/>
      <c r="AN54" s="3709"/>
      <c r="AO54" s="3709"/>
    </row>
    <row r="55" spans="1:41" s="3669" customFormat="1">
      <c r="A55" s="3737"/>
      <c r="B55" s="3670"/>
      <c r="C55" s="3670"/>
      <c r="D55" s="3670"/>
      <c r="E55" s="3670"/>
      <c r="F55" s="3670"/>
      <c r="G55" s="3738"/>
      <c r="H55" s="3670"/>
      <c r="I55" s="3670"/>
      <c r="J55" s="3670"/>
      <c r="K55" s="3670"/>
      <c r="L55" s="3670"/>
      <c r="M55" s="3670"/>
      <c r="N55" s="3670"/>
      <c r="O55" s="3670"/>
      <c r="P55" s="3670"/>
      <c r="Q55" s="3670"/>
      <c r="R55" s="3670"/>
      <c r="S55" s="3670"/>
      <c r="T55" s="3670"/>
      <c r="U55" s="3670"/>
      <c r="V55" s="3670"/>
      <c r="W55" s="3709"/>
      <c r="X55" s="3709"/>
      <c r="Y55" s="3709"/>
      <c r="Z55" s="3709"/>
      <c r="AA55" s="3709"/>
      <c r="AB55" s="3709"/>
      <c r="AC55" s="3709"/>
      <c r="AD55" s="3709"/>
      <c r="AE55" s="3709"/>
      <c r="AF55" s="3709"/>
      <c r="AG55" s="3709"/>
      <c r="AH55" s="3709"/>
      <c r="AI55" s="3709"/>
      <c r="AJ55" s="3709"/>
      <c r="AK55" s="3709"/>
      <c r="AL55" s="3709"/>
      <c r="AM55" s="3709"/>
      <c r="AN55" s="3709"/>
      <c r="AO55" s="3709"/>
    </row>
    <row r="56" spans="1:41" s="3669" customFormat="1">
      <c r="A56" s="3737"/>
      <c r="B56" s="3670"/>
      <c r="C56" s="3670"/>
      <c r="D56" s="3670"/>
      <c r="E56" s="3670"/>
      <c r="F56" s="3670"/>
      <c r="G56" s="3738"/>
      <c r="H56" s="3670"/>
      <c r="I56" s="3670"/>
      <c r="J56" s="3670"/>
      <c r="K56" s="3670"/>
      <c r="L56" s="3670"/>
      <c r="M56" s="3670"/>
      <c r="N56" s="3670"/>
      <c r="O56" s="3670"/>
      <c r="P56" s="3670"/>
      <c r="Q56" s="3670"/>
      <c r="R56" s="3670"/>
      <c r="S56" s="3670"/>
      <c r="T56" s="3670"/>
      <c r="U56" s="3670"/>
      <c r="V56" s="3670"/>
      <c r="W56" s="3709"/>
      <c r="X56" s="3709"/>
      <c r="Y56" s="3709"/>
      <c r="Z56" s="3709"/>
      <c r="AA56" s="3709"/>
      <c r="AB56" s="3709"/>
      <c r="AC56" s="3709"/>
      <c r="AD56" s="3709"/>
      <c r="AE56" s="3709"/>
      <c r="AF56" s="3709"/>
      <c r="AG56" s="3709"/>
      <c r="AH56" s="3709"/>
      <c r="AI56" s="3709"/>
      <c r="AJ56" s="3709"/>
      <c r="AK56" s="3709"/>
      <c r="AL56" s="3709"/>
      <c r="AM56" s="3709"/>
      <c r="AN56" s="3709"/>
      <c r="AO56" s="3709"/>
    </row>
    <row r="57" spans="1:41" s="3669" customFormat="1">
      <c r="A57" s="3737"/>
      <c r="B57" s="3670"/>
      <c r="C57" s="3670"/>
      <c r="D57" s="3670"/>
      <c r="E57" s="3670"/>
      <c r="F57" s="3670"/>
      <c r="G57" s="3738"/>
      <c r="H57" s="3670"/>
      <c r="I57" s="3670"/>
      <c r="J57" s="3670"/>
      <c r="K57" s="3670"/>
      <c r="L57" s="3670"/>
      <c r="M57" s="3670"/>
      <c r="N57" s="3670"/>
      <c r="O57" s="3670"/>
      <c r="P57" s="3670"/>
      <c r="Q57" s="3670"/>
      <c r="R57" s="3670"/>
      <c r="S57" s="3670"/>
      <c r="T57" s="3670"/>
      <c r="U57" s="3670"/>
      <c r="V57" s="3670"/>
      <c r="W57" s="3709"/>
      <c r="X57" s="3709"/>
      <c r="Y57" s="3709"/>
      <c r="Z57" s="3709"/>
      <c r="AA57" s="3709"/>
      <c r="AB57" s="3709"/>
      <c r="AC57" s="3709"/>
      <c r="AD57" s="3709"/>
      <c r="AE57" s="3709"/>
      <c r="AF57" s="3709"/>
      <c r="AG57" s="3709"/>
      <c r="AH57" s="3709"/>
      <c r="AI57" s="3709"/>
      <c r="AJ57" s="3709"/>
      <c r="AK57" s="3709"/>
      <c r="AL57" s="3709"/>
      <c r="AM57" s="3709"/>
      <c r="AN57" s="3709"/>
      <c r="AO57" s="3709"/>
    </row>
    <row r="58" spans="1:41" s="3669" customFormat="1">
      <c r="A58" s="3737"/>
      <c r="B58" s="3670"/>
      <c r="C58" s="3670"/>
      <c r="D58" s="3670"/>
      <c r="E58" s="3670"/>
      <c r="F58" s="3670"/>
      <c r="G58" s="3738"/>
      <c r="H58" s="3670"/>
      <c r="I58" s="3670"/>
      <c r="J58" s="3670"/>
      <c r="K58" s="3670"/>
      <c r="L58" s="3670"/>
      <c r="M58" s="3670"/>
      <c r="N58" s="3670"/>
      <c r="O58" s="3670"/>
      <c r="P58" s="3670"/>
      <c r="Q58" s="3670"/>
      <c r="R58" s="3670"/>
      <c r="S58" s="3670"/>
      <c r="T58" s="3670"/>
      <c r="U58" s="3670"/>
      <c r="V58" s="3670"/>
      <c r="W58" s="3709"/>
      <c r="X58" s="3709"/>
      <c r="Y58" s="3709"/>
      <c r="Z58" s="3709"/>
      <c r="AA58" s="3709"/>
      <c r="AB58" s="3709"/>
      <c r="AC58" s="3709"/>
      <c r="AD58" s="3709"/>
      <c r="AE58" s="3709"/>
      <c r="AF58" s="3709"/>
      <c r="AG58" s="3709"/>
      <c r="AH58" s="3709"/>
      <c r="AI58" s="3709"/>
      <c r="AJ58" s="3709"/>
      <c r="AK58" s="3709"/>
      <c r="AL58" s="3709"/>
      <c r="AM58" s="3709"/>
      <c r="AN58" s="3709"/>
      <c r="AO58" s="3709"/>
    </row>
    <row r="59" spans="1:41" s="3669" customFormat="1">
      <c r="A59" s="3737"/>
      <c r="B59" s="3670"/>
      <c r="C59" s="3670"/>
      <c r="D59" s="3670"/>
      <c r="E59" s="3670"/>
      <c r="F59" s="3670"/>
      <c r="G59" s="3738"/>
      <c r="H59" s="3670"/>
      <c r="I59" s="3670"/>
      <c r="J59" s="3670"/>
      <c r="K59" s="3670"/>
      <c r="L59" s="3670"/>
      <c r="M59" s="3670"/>
      <c r="N59" s="3670"/>
      <c r="O59" s="3670"/>
      <c r="P59" s="3670"/>
      <c r="Q59" s="3670"/>
      <c r="R59" s="3670"/>
      <c r="S59" s="3670"/>
      <c r="T59" s="3670"/>
      <c r="U59" s="3670"/>
      <c r="V59" s="3670"/>
      <c r="W59" s="3709"/>
      <c r="X59" s="3709"/>
      <c r="Y59" s="3709"/>
      <c r="Z59" s="3709"/>
      <c r="AA59" s="3709"/>
      <c r="AB59" s="3709"/>
      <c r="AC59" s="3709"/>
      <c r="AD59" s="3709"/>
      <c r="AE59" s="3709"/>
      <c r="AF59" s="3709"/>
      <c r="AG59" s="3709"/>
      <c r="AH59" s="3709"/>
      <c r="AI59" s="3709"/>
      <c r="AJ59" s="3709"/>
      <c r="AK59" s="3709"/>
      <c r="AL59" s="3709"/>
      <c r="AM59" s="3709"/>
      <c r="AN59" s="3709"/>
      <c r="AO59" s="3709"/>
    </row>
    <row r="60" spans="1:41" s="3669" customFormat="1">
      <c r="A60" s="3737"/>
      <c r="B60" s="3670"/>
      <c r="C60" s="3670"/>
      <c r="D60" s="3670"/>
      <c r="E60" s="3670"/>
      <c r="F60" s="3670"/>
      <c r="G60" s="3738"/>
      <c r="H60" s="3670"/>
      <c r="I60" s="3670"/>
      <c r="J60" s="3670"/>
      <c r="K60" s="3670"/>
      <c r="L60" s="3670"/>
      <c r="M60" s="3670"/>
      <c r="N60" s="3670"/>
      <c r="O60" s="3670"/>
      <c r="P60" s="3670"/>
      <c r="Q60" s="3670"/>
      <c r="R60" s="3670"/>
      <c r="S60" s="3670"/>
      <c r="T60" s="3670"/>
      <c r="U60" s="3670"/>
      <c r="V60" s="3670"/>
      <c r="W60" s="3709"/>
      <c r="X60" s="3709"/>
      <c r="Y60" s="3709"/>
      <c r="Z60" s="3709"/>
      <c r="AA60" s="3709"/>
      <c r="AB60" s="3709"/>
      <c r="AC60" s="3709"/>
      <c r="AD60" s="3709"/>
      <c r="AE60" s="3709"/>
      <c r="AF60" s="3709"/>
      <c r="AG60" s="3709"/>
      <c r="AH60" s="3709"/>
      <c r="AI60" s="3709"/>
      <c r="AJ60" s="3709"/>
      <c r="AK60" s="3709"/>
      <c r="AL60" s="3709"/>
      <c r="AM60" s="3709"/>
      <c r="AN60" s="3709"/>
      <c r="AO60" s="3709"/>
    </row>
    <row r="61" spans="1:41" s="3669" customFormat="1">
      <c r="A61" s="3737"/>
      <c r="B61" s="3670"/>
      <c r="C61" s="3670"/>
      <c r="D61" s="3670"/>
      <c r="E61" s="3670"/>
      <c r="F61" s="3670"/>
      <c r="G61" s="3738"/>
      <c r="H61" s="3670"/>
      <c r="I61" s="3670"/>
      <c r="J61" s="3670"/>
      <c r="K61" s="3670"/>
      <c r="L61" s="3670"/>
      <c r="M61" s="3670"/>
      <c r="N61" s="3670"/>
      <c r="O61" s="3670"/>
      <c r="P61" s="3670"/>
      <c r="Q61" s="3670"/>
      <c r="R61" s="3670"/>
      <c r="S61" s="3670"/>
      <c r="T61" s="3670"/>
      <c r="U61" s="3670"/>
      <c r="V61" s="3670"/>
      <c r="W61" s="3709"/>
      <c r="X61" s="3709"/>
      <c r="Y61" s="3709"/>
      <c r="Z61" s="3709"/>
      <c r="AA61" s="3709"/>
      <c r="AB61" s="3709"/>
      <c r="AC61" s="3709"/>
      <c r="AD61" s="3709"/>
      <c r="AE61" s="3709"/>
      <c r="AF61" s="3709"/>
      <c r="AG61" s="3709"/>
      <c r="AH61" s="3709"/>
      <c r="AI61" s="3709"/>
      <c r="AJ61" s="3709"/>
      <c r="AK61" s="3709"/>
      <c r="AL61" s="3709"/>
      <c r="AM61" s="3709"/>
      <c r="AN61" s="3709"/>
      <c r="AO61" s="3709"/>
    </row>
    <row r="62" spans="1:41" s="3669" customFormat="1">
      <c r="A62" s="3737"/>
      <c r="B62" s="3670"/>
      <c r="C62" s="3670"/>
      <c r="D62" s="3670"/>
      <c r="E62" s="3670"/>
      <c r="F62" s="3670"/>
      <c r="G62" s="3738"/>
      <c r="H62" s="3670"/>
      <c r="I62" s="3670"/>
      <c r="J62" s="3670"/>
      <c r="K62" s="3670"/>
      <c r="L62" s="3670"/>
      <c r="M62" s="3670"/>
      <c r="N62" s="3670"/>
      <c r="O62" s="3670"/>
      <c r="P62" s="3670"/>
      <c r="Q62" s="3670"/>
      <c r="R62" s="3670"/>
      <c r="S62" s="3670"/>
      <c r="T62" s="3670"/>
      <c r="U62" s="3670"/>
      <c r="V62" s="3670"/>
      <c r="W62" s="3709"/>
      <c r="X62" s="3709"/>
      <c r="Y62" s="3709"/>
      <c r="Z62" s="3709"/>
      <c r="AA62" s="3709"/>
      <c r="AB62" s="3709"/>
      <c r="AC62" s="3709"/>
      <c r="AD62" s="3709"/>
      <c r="AE62" s="3709"/>
      <c r="AF62" s="3709"/>
      <c r="AG62" s="3709"/>
      <c r="AH62" s="3709"/>
      <c r="AI62" s="3709"/>
      <c r="AJ62" s="3709"/>
      <c r="AK62" s="3709"/>
      <c r="AL62" s="3709"/>
      <c r="AM62" s="3709"/>
      <c r="AN62" s="3709"/>
      <c r="AO62" s="3709"/>
    </row>
    <row r="63" spans="1:41" s="3669" customFormat="1">
      <c r="A63" s="3737"/>
      <c r="B63" s="3670"/>
      <c r="C63" s="3670"/>
      <c r="D63" s="3670"/>
      <c r="E63" s="3670"/>
      <c r="F63" s="3670"/>
      <c r="G63" s="3738"/>
      <c r="H63" s="3670"/>
      <c r="I63" s="3670"/>
      <c r="J63" s="3670"/>
      <c r="K63" s="3670"/>
      <c r="L63" s="3670"/>
      <c r="M63" s="3670"/>
      <c r="N63" s="3670"/>
      <c r="O63" s="3670"/>
      <c r="P63" s="3670"/>
      <c r="Q63" s="3670"/>
      <c r="R63" s="3670"/>
      <c r="S63" s="3670"/>
      <c r="T63" s="3670"/>
      <c r="U63" s="3670"/>
      <c r="V63" s="3670"/>
      <c r="W63" s="3709"/>
      <c r="X63" s="3709"/>
      <c r="Y63" s="3709"/>
      <c r="Z63" s="3709"/>
      <c r="AA63" s="3709"/>
      <c r="AB63" s="3709"/>
      <c r="AC63" s="3709"/>
      <c r="AD63" s="3709"/>
      <c r="AE63" s="3709"/>
      <c r="AF63" s="3709"/>
      <c r="AG63" s="3709"/>
      <c r="AH63" s="3709"/>
      <c r="AI63" s="3709"/>
      <c r="AJ63" s="3709"/>
      <c r="AK63" s="3709"/>
      <c r="AL63" s="3709"/>
      <c r="AM63" s="3709"/>
      <c r="AN63" s="3709"/>
      <c r="AO63" s="3709"/>
    </row>
    <row r="64" spans="1:41" s="3669" customFormat="1">
      <c r="A64" s="3737"/>
      <c r="B64" s="3670"/>
      <c r="C64" s="3670"/>
      <c r="D64" s="3670"/>
      <c r="E64" s="3670"/>
      <c r="F64" s="3670"/>
      <c r="G64" s="3738"/>
      <c r="H64" s="3670"/>
      <c r="I64" s="3670"/>
      <c r="J64" s="3670"/>
      <c r="K64" s="3670"/>
      <c r="L64" s="3670"/>
      <c r="M64" s="3670"/>
      <c r="N64" s="3670"/>
      <c r="O64" s="3670"/>
      <c r="P64" s="3670"/>
      <c r="Q64" s="3670"/>
      <c r="R64" s="3670"/>
      <c r="S64" s="3670"/>
      <c r="T64" s="3670"/>
      <c r="U64" s="3670"/>
      <c r="V64" s="3670"/>
      <c r="W64" s="3709"/>
      <c r="X64" s="3709"/>
      <c r="Y64" s="3709"/>
      <c r="Z64" s="3709"/>
      <c r="AA64" s="3709"/>
      <c r="AB64" s="3709"/>
      <c r="AC64" s="3709"/>
      <c r="AD64" s="3709"/>
      <c r="AE64" s="3709"/>
      <c r="AF64" s="3709"/>
      <c r="AG64" s="3709"/>
      <c r="AH64" s="3709"/>
      <c r="AI64" s="3709"/>
      <c r="AJ64" s="3709"/>
      <c r="AK64" s="3709"/>
      <c r="AL64" s="3709"/>
      <c r="AM64" s="3709"/>
      <c r="AN64" s="3709"/>
      <c r="AO64" s="3709"/>
    </row>
    <row r="65" spans="1:41" s="3669" customFormat="1">
      <c r="A65" s="3737"/>
      <c r="B65" s="3670"/>
      <c r="C65" s="3670"/>
      <c r="D65" s="3670"/>
      <c r="E65" s="3670"/>
      <c r="F65" s="3670"/>
      <c r="G65" s="3738"/>
      <c r="H65" s="3670"/>
      <c r="I65" s="3670"/>
      <c r="J65" s="3670"/>
      <c r="K65" s="3670"/>
      <c r="L65" s="3670"/>
      <c r="M65" s="3670"/>
      <c r="N65" s="3670"/>
      <c r="O65" s="3670"/>
      <c r="P65" s="3670"/>
      <c r="Q65" s="3670"/>
      <c r="R65" s="3670"/>
      <c r="S65" s="3670"/>
      <c r="T65" s="3670"/>
      <c r="U65" s="3670"/>
      <c r="V65" s="3670"/>
      <c r="W65" s="3709"/>
      <c r="X65" s="3709"/>
      <c r="Y65" s="3709"/>
      <c r="Z65" s="3709"/>
      <c r="AA65" s="3709"/>
      <c r="AB65" s="3709"/>
      <c r="AC65" s="3709"/>
      <c r="AD65" s="3709"/>
      <c r="AE65" s="3709"/>
      <c r="AF65" s="3709"/>
      <c r="AG65" s="3709"/>
      <c r="AH65" s="3709"/>
      <c r="AI65" s="3709"/>
      <c r="AJ65" s="3709"/>
      <c r="AK65" s="3709"/>
      <c r="AL65" s="3709"/>
      <c r="AM65" s="3709"/>
      <c r="AN65" s="3709"/>
      <c r="AO65" s="3709"/>
    </row>
    <row r="66" spans="1:41" s="3669" customFormat="1">
      <c r="A66" s="3737"/>
      <c r="B66" s="3670"/>
      <c r="C66" s="3670"/>
      <c r="D66" s="3670"/>
      <c r="E66" s="3670"/>
      <c r="F66" s="3670"/>
      <c r="G66" s="3738"/>
      <c r="H66" s="3670"/>
      <c r="I66" s="3670"/>
      <c r="J66" s="3670"/>
      <c r="K66" s="3670"/>
      <c r="L66" s="3670"/>
      <c r="M66" s="3670"/>
      <c r="N66" s="3670"/>
      <c r="O66" s="3670"/>
      <c r="P66" s="3670"/>
      <c r="Q66" s="3670"/>
      <c r="R66" s="3670"/>
      <c r="S66" s="3670"/>
      <c r="T66" s="3670"/>
      <c r="U66" s="3670"/>
      <c r="V66" s="3670"/>
      <c r="W66" s="3709"/>
      <c r="X66" s="3709"/>
      <c r="Y66" s="3709"/>
      <c r="Z66" s="3709"/>
      <c r="AA66" s="3709"/>
      <c r="AB66" s="3709"/>
      <c r="AC66" s="3709"/>
      <c r="AD66" s="3709"/>
      <c r="AE66" s="3709"/>
      <c r="AF66" s="3709"/>
      <c r="AG66" s="3709"/>
      <c r="AH66" s="3709"/>
      <c r="AI66" s="3709"/>
      <c r="AJ66" s="3709"/>
      <c r="AK66" s="3709"/>
      <c r="AL66" s="3709"/>
      <c r="AM66" s="3709"/>
      <c r="AN66" s="3709"/>
      <c r="AO66" s="3709"/>
    </row>
    <row r="67" spans="1:41" s="3669" customFormat="1">
      <c r="A67" s="3737"/>
      <c r="B67" s="3670"/>
      <c r="C67" s="3670"/>
      <c r="D67" s="3670"/>
      <c r="E67" s="3670"/>
      <c r="F67" s="3670"/>
      <c r="G67" s="3738"/>
      <c r="H67" s="3670"/>
      <c r="I67" s="3670"/>
      <c r="J67" s="3670"/>
      <c r="K67" s="3670"/>
      <c r="L67" s="3670"/>
      <c r="M67" s="3670"/>
      <c r="N67" s="3670"/>
      <c r="O67" s="3670"/>
      <c r="P67" s="3670"/>
      <c r="Q67" s="3670"/>
      <c r="R67" s="3670"/>
      <c r="S67" s="3670"/>
      <c r="T67" s="3670"/>
      <c r="U67" s="3670"/>
      <c r="V67" s="3670"/>
      <c r="W67" s="3709"/>
      <c r="X67" s="3709"/>
      <c r="Y67" s="3709"/>
      <c r="Z67" s="3709"/>
      <c r="AA67" s="3709"/>
      <c r="AB67" s="3709"/>
      <c r="AC67" s="3709"/>
      <c r="AD67" s="3709"/>
      <c r="AE67" s="3709"/>
      <c r="AF67" s="3709"/>
      <c r="AG67" s="3709"/>
      <c r="AH67" s="3709"/>
      <c r="AI67" s="3709"/>
      <c r="AJ67" s="3709"/>
      <c r="AK67" s="3709"/>
      <c r="AL67" s="3709"/>
      <c r="AM67" s="3709"/>
      <c r="AN67" s="3709"/>
      <c r="AO67" s="3709"/>
    </row>
    <row r="68" spans="1:41" s="3669" customFormat="1">
      <c r="A68" s="3737"/>
      <c r="B68" s="3670"/>
      <c r="C68" s="3670"/>
      <c r="D68" s="3670"/>
      <c r="E68" s="3670"/>
      <c r="F68" s="3670"/>
      <c r="G68" s="3738"/>
      <c r="H68" s="3670"/>
      <c r="I68" s="3670"/>
      <c r="J68" s="3670"/>
      <c r="K68" s="3670"/>
      <c r="L68" s="3670"/>
      <c r="M68" s="3670"/>
      <c r="N68" s="3670"/>
      <c r="O68" s="3670"/>
      <c r="P68" s="3670"/>
      <c r="Q68" s="3670"/>
      <c r="R68" s="3670"/>
      <c r="S68" s="3670"/>
      <c r="T68" s="3670"/>
      <c r="U68" s="3670"/>
      <c r="V68" s="3670"/>
      <c r="W68" s="3709"/>
      <c r="X68" s="3709"/>
      <c r="Y68" s="3709"/>
      <c r="Z68" s="3709"/>
      <c r="AA68" s="3709"/>
      <c r="AB68" s="3709"/>
      <c r="AC68" s="3709"/>
      <c r="AD68" s="3709"/>
      <c r="AE68" s="3709"/>
      <c r="AF68" s="3709"/>
      <c r="AG68" s="3709"/>
      <c r="AH68" s="3709"/>
      <c r="AI68" s="3709"/>
      <c r="AJ68" s="3709"/>
      <c r="AK68" s="3709"/>
      <c r="AL68" s="3709"/>
      <c r="AM68" s="3709"/>
      <c r="AN68" s="3709"/>
      <c r="AO68" s="3709"/>
    </row>
    <row r="69" spans="1:41" s="3669" customFormat="1">
      <c r="A69" s="3737"/>
      <c r="B69" s="3670"/>
      <c r="C69" s="3670"/>
      <c r="D69" s="3670"/>
      <c r="E69" s="3670"/>
      <c r="F69" s="3670"/>
      <c r="G69" s="3738"/>
      <c r="H69" s="3670"/>
      <c r="I69" s="3670"/>
      <c r="J69" s="3670"/>
      <c r="K69" s="3670"/>
      <c r="L69" s="3670"/>
      <c r="M69" s="3670"/>
      <c r="N69" s="3670"/>
      <c r="O69" s="3670"/>
      <c r="P69" s="3670"/>
      <c r="Q69" s="3670"/>
      <c r="R69" s="3670"/>
      <c r="S69" s="3670"/>
      <c r="T69" s="3670"/>
      <c r="U69" s="3670"/>
      <c r="V69" s="3670"/>
      <c r="W69" s="3709"/>
      <c r="X69" s="3709"/>
      <c r="Y69" s="3709"/>
      <c r="Z69" s="3709"/>
      <c r="AA69" s="3709"/>
      <c r="AB69" s="3709"/>
      <c r="AC69" s="3709"/>
      <c r="AD69" s="3709"/>
      <c r="AE69" s="3709"/>
      <c r="AF69" s="3709"/>
      <c r="AG69" s="3709"/>
      <c r="AH69" s="3709"/>
      <c r="AI69" s="3709"/>
      <c r="AJ69" s="3709"/>
      <c r="AK69" s="3709"/>
      <c r="AL69" s="3709"/>
      <c r="AM69" s="3709"/>
      <c r="AN69" s="3709"/>
      <c r="AO69" s="3709"/>
    </row>
    <row r="70" spans="1:41" s="3669" customFormat="1">
      <c r="A70" s="3737"/>
      <c r="B70" s="3670"/>
      <c r="C70" s="3670"/>
      <c r="D70" s="3670"/>
      <c r="E70" s="3670"/>
      <c r="F70" s="3670"/>
      <c r="G70" s="3738"/>
      <c r="H70" s="3670"/>
      <c r="I70" s="3670"/>
      <c r="J70" s="3670"/>
      <c r="K70" s="3670"/>
      <c r="L70" s="3670"/>
      <c r="M70" s="3670"/>
      <c r="N70" s="3670"/>
      <c r="O70" s="3670"/>
      <c r="P70" s="3670"/>
      <c r="Q70" s="3670"/>
      <c r="R70" s="3670"/>
      <c r="S70" s="3670"/>
      <c r="T70" s="3670"/>
      <c r="U70" s="3670"/>
      <c r="V70" s="3670"/>
      <c r="W70" s="3709"/>
      <c r="X70" s="3709"/>
      <c r="Y70" s="3709"/>
      <c r="Z70" s="3709"/>
      <c r="AA70" s="3709"/>
      <c r="AB70" s="3709"/>
      <c r="AC70" s="3709"/>
      <c r="AD70" s="3709"/>
      <c r="AE70" s="3709"/>
      <c r="AF70" s="3709"/>
      <c r="AG70" s="3709"/>
      <c r="AH70" s="3709"/>
      <c r="AI70" s="3709"/>
      <c r="AJ70" s="3709"/>
      <c r="AK70" s="3709"/>
      <c r="AL70" s="3709"/>
      <c r="AM70" s="3709"/>
      <c r="AN70" s="3709"/>
      <c r="AO70" s="3709"/>
    </row>
    <row r="71" spans="1:41" s="3669" customFormat="1">
      <c r="A71" s="3737"/>
      <c r="B71" s="3670"/>
      <c r="C71" s="3670"/>
      <c r="D71" s="3670"/>
      <c r="E71" s="3670"/>
      <c r="F71" s="3670"/>
      <c r="G71" s="3738"/>
      <c r="H71" s="3670"/>
      <c r="I71" s="3670"/>
      <c r="J71" s="3670"/>
      <c r="K71" s="3670"/>
      <c r="L71" s="3670"/>
      <c r="M71" s="3670"/>
      <c r="N71" s="3670"/>
      <c r="O71" s="3670"/>
      <c r="P71" s="3670"/>
      <c r="Q71" s="3670"/>
      <c r="R71" s="3670"/>
      <c r="S71" s="3670"/>
      <c r="T71" s="3670"/>
      <c r="U71" s="3670"/>
      <c r="V71" s="3670"/>
      <c r="W71" s="3709"/>
      <c r="X71" s="3709"/>
      <c r="Y71" s="3709"/>
      <c r="Z71" s="3709"/>
      <c r="AA71" s="3709"/>
      <c r="AB71" s="3709"/>
      <c r="AC71" s="3709"/>
      <c r="AD71" s="3709"/>
      <c r="AE71" s="3709"/>
      <c r="AF71" s="3709"/>
      <c r="AG71" s="3709"/>
      <c r="AH71" s="3709"/>
      <c r="AI71" s="3709"/>
      <c r="AJ71" s="3709"/>
      <c r="AK71" s="3709"/>
      <c r="AL71" s="3709"/>
      <c r="AM71" s="3709"/>
      <c r="AN71" s="3709"/>
      <c r="AO71" s="3709"/>
    </row>
    <row r="72" spans="1:41" s="3669" customFormat="1">
      <c r="A72" s="3737"/>
      <c r="B72" s="3670"/>
      <c r="C72" s="3670"/>
      <c r="D72" s="3670"/>
      <c r="E72" s="3670"/>
      <c r="F72" s="3670"/>
      <c r="G72" s="3738"/>
      <c r="H72" s="3670"/>
      <c r="I72" s="3670"/>
      <c r="J72" s="3670"/>
      <c r="K72" s="3670"/>
      <c r="L72" s="3670"/>
      <c r="M72" s="3670"/>
      <c r="N72" s="3670"/>
      <c r="O72" s="3670"/>
      <c r="P72" s="3670"/>
      <c r="Q72" s="3670"/>
      <c r="R72" s="3670"/>
      <c r="S72" s="3670"/>
      <c r="T72" s="3670"/>
      <c r="U72" s="3670"/>
      <c r="V72" s="3670"/>
      <c r="W72" s="3709"/>
      <c r="X72" s="3709"/>
      <c r="Y72" s="3709"/>
      <c r="Z72" s="3709"/>
      <c r="AA72" s="3709"/>
      <c r="AB72" s="3709"/>
      <c r="AC72" s="3709"/>
      <c r="AD72" s="3709"/>
      <c r="AE72" s="3709"/>
      <c r="AF72" s="3709"/>
      <c r="AG72" s="3709"/>
      <c r="AH72" s="3709"/>
      <c r="AI72" s="3709"/>
      <c r="AJ72" s="3709"/>
      <c r="AK72" s="3709"/>
      <c r="AL72" s="3709"/>
      <c r="AM72" s="3709"/>
      <c r="AN72" s="3709"/>
      <c r="AO72" s="3709"/>
    </row>
    <row r="73" spans="1:41" s="3669" customFormat="1">
      <c r="A73" s="3737"/>
      <c r="B73" s="3670"/>
      <c r="C73" s="3670"/>
      <c r="D73" s="3670"/>
      <c r="E73" s="3670"/>
      <c r="F73" s="3670"/>
      <c r="G73" s="3738"/>
      <c r="H73" s="3670"/>
      <c r="I73" s="3670"/>
      <c r="J73" s="3670"/>
      <c r="K73" s="3670"/>
      <c r="L73" s="3670"/>
      <c r="M73" s="3670"/>
      <c r="N73" s="3670"/>
      <c r="O73" s="3670"/>
      <c r="P73" s="3670"/>
      <c r="Q73" s="3670"/>
      <c r="R73" s="3670"/>
      <c r="S73" s="3670"/>
      <c r="T73" s="3670"/>
      <c r="U73" s="3670"/>
      <c r="V73" s="3670"/>
      <c r="W73" s="3709"/>
      <c r="X73" s="3709"/>
      <c r="Y73" s="3709"/>
      <c r="Z73" s="3709"/>
      <c r="AA73" s="3709"/>
      <c r="AB73" s="3709"/>
      <c r="AC73" s="3709"/>
      <c r="AD73" s="3709"/>
      <c r="AE73" s="3709"/>
      <c r="AF73" s="3709"/>
      <c r="AG73" s="3709"/>
      <c r="AH73" s="3709"/>
      <c r="AI73" s="3709"/>
      <c r="AJ73" s="3709"/>
      <c r="AK73" s="3709"/>
      <c r="AL73" s="3709"/>
      <c r="AM73" s="3709"/>
      <c r="AN73" s="3709"/>
      <c r="AO73" s="3709"/>
    </row>
    <row r="74" spans="1:41" s="3669" customFormat="1">
      <c r="A74" s="3737"/>
      <c r="B74" s="3670"/>
      <c r="C74" s="3670"/>
      <c r="D74" s="3670"/>
      <c r="E74" s="3670"/>
      <c r="F74" s="3670"/>
      <c r="G74" s="3738"/>
      <c r="H74" s="3670"/>
      <c r="I74" s="3670"/>
      <c r="J74" s="3670"/>
      <c r="K74" s="3670"/>
      <c r="L74" s="3670"/>
      <c r="M74" s="3670"/>
      <c r="N74" s="3670"/>
      <c r="O74" s="3670"/>
      <c r="P74" s="3670"/>
      <c r="Q74" s="3670"/>
      <c r="R74" s="3670"/>
      <c r="S74" s="3670"/>
      <c r="T74" s="3670"/>
      <c r="U74" s="3670"/>
      <c r="V74" s="3670"/>
      <c r="W74" s="3709"/>
      <c r="X74" s="3709"/>
      <c r="Y74" s="3709"/>
      <c r="Z74" s="3709"/>
      <c r="AA74" s="3709"/>
      <c r="AB74" s="3709"/>
      <c r="AC74" s="3709"/>
      <c r="AD74" s="3709"/>
      <c r="AE74" s="3709"/>
      <c r="AF74" s="3709"/>
      <c r="AG74" s="3709"/>
      <c r="AH74" s="3709"/>
      <c r="AI74" s="3709"/>
      <c r="AJ74" s="3709"/>
      <c r="AK74" s="3709"/>
      <c r="AL74" s="3709"/>
      <c r="AM74" s="3709"/>
      <c r="AN74" s="3709"/>
      <c r="AO74" s="3709"/>
    </row>
    <row r="75" spans="1:41" s="3669" customFormat="1">
      <c r="A75" s="3737"/>
      <c r="B75" s="3670"/>
      <c r="C75" s="3670"/>
      <c r="D75" s="3670"/>
      <c r="E75" s="3670"/>
      <c r="F75" s="3670"/>
      <c r="G75" s="3738"/>
      <c r="H75" s="3670"/>
      <c r="I75" s="3670"/>
      <c r="J75" s="3670"/>
      <c r="K75" s="3670"/>
      <c r="L75" s="3670"/>
      <c r="M75" s="3670"/>
      <c r="N75" s="3670"/>
      <c r="O75" s="3670"/>
      <c r="P75" s="3670"/>
      <c r="Q75" s="3670"/>
      <c r="R75" s="3670"/>
      <c r="S75" s="3670"/>
      <c r="T75" s="3670"/>
      <c r="U75" s="3670"/>
      <c r="V75" s="3670"/>
      <c r="W75" s="3709"/>
      <c r="X75" s="3709"/>
      <c r="Y75" s="3709"/>
      <c r="Z75" s="3709"/>
      <c r="AA75" s="3709"/>
      <c r="AB75" s="3709"/>
      <c r="AC75" s="3709"/>
      <c r="AD75" s="3709"/>
      <c r="AE75" s="3709"/>
      <c r="AF75" s="3709"/>
      <c r="AG75" s="3709"/>
      <c r="AH75" s="3709"/>
      <c r="AI75" s="3709"/>
      <c r="AJ75" s="3709"/>
      <c r="AK75" s="3709"/>
      <c r="AL75" s="3709"/>
      <c r="AM75" s="3709"/>
      <c r="AN75" s="3709"/>
      <c r="AO75" s="3709"/>
    </row>
    <row r="76" spans="1:41" s="3669" customFormat="1">
      <c r="A76" s="3737"/>
      <c r="B76" s="3670"/>
      <c r="C76" s="3670"/>
      <c r="D76" s="3670"/>
      <c r="E76" s="3670"/>
      <c r="F76" s="3670"/>
      <c r="G76" s="3738"/>
      <c r="H76" s="3670"/>
      <c r="I76" s="3670"/>
      <c r="J76" s="3670"/>
      <c r="K76" s="3670"/>
      <c r="L76" s="3670"/>
      <c r="M76" s="3670"/>
      <c r="N76" s="3670"/>
      <c r="O76" s="3670"/>
      <c r="P76" s="3670"/>
      <c r="Q76" s="3670"/>
      <c r="R76" s="3670"/>
      <c r="S76" s="3670"/>
      <c r="T76" s="3670"/>
      <c r="U76" s="3670"/>
      <c r="V76" s="3670"/>
      <c r="W76" s="3709"/>
      <c r="X76" s="3709"/>
      <c r="Y76" s="3709"/>
      <c r="Z76" s="3709"/>
      <c r="AA76" s="3709"/>
      <c r="AB76" s="3709"/>
      <c r="AC76" s="3709"/>
      <c r="AD76" s="3709"/>
      <c r="AE76" s="3709"/>
      <c r="AF76" s="3709"/>
      <c r="AG76" s="3709"/>
      <c r="AH76" s="3709"/>
      <c r="AI76" s="3709"/>
      <c r="AJ76" s="3709"/>
      <c r="AK76" s="3709"/>
      <c r="AL76" s="3709"/>
      <c r="AM76" s="3709"/>
      <c r="AN76" s="3709"/>
      <c r="AO76" s="3709"/>
    </row>
    <row r="77" spans="1:41" s="3669" customFormat="1">
      <c r="A77" s="3737"/>
      <c r="B77" s="3670"/>
      <c r="C77" s="3670"/>
      <c r="D77" s="3670"/>
      <c r="E77" s="3670"/>
      <c r="F77" s="3670"/>
      <c r="G77" s="3738"/>
      <c r="H77" s="3670"/>
      <c r="I77" s="3670"/>
      <c r="J77" s="3670"/>
      <c r="K77" s="3670"/>
      <c r="L77" s="3670"/>
      <c r="M77" s="3670"/>
      <c r="N77" s="3670"/>
      <c r="O77" s="3670"/>
      <c r="P77" s="3670"/>
      <c r="Q77" s="3670"/>
      <c r="R77" s="3670"/>
      <c r="S77" s="3670"/>
      <c r="T77" s="3670"/>
      <c r="U77" s="3670"/>
      <c r="V77" s="3670"/>
      <c r="W77" s="3709"/>
      <c r="X77" s="3709"/>
      <c r="Y77" s="3709"/>
      <c r="Z77" s="3709"/>
      <c r="AA77" s="3709"/>
      <c r="AB77" s="3709"/>
      <c r="AC77" s="3709"/>
      <c r="AD77" s="3709"/>
      <c r="AE77" s="3709"/>
      <c r="AF77" s="3709"/>
      <c r="AG77" s="3709"/>
      <c r="AH77" s="3709"/>
      <c r="AI77" s="3709"/>
      <c r="AJ77" s="3709"/>
      <c r="AK77" s="3709"/>
      <c r="AL77" s="3709"/>
      <c r="AM77" s="3709"/>
      <c r="AN77" s="3709"/>
      <c r="AO77" s="3709"/>
    </row>
    <row r="78" spans="1:41" s="3669" customFormat="1">
      <c r="A78" s="3737"/>
      <c r="B78" s="3670"/>
      <c r="C78" s="3670"/>
      <c r="D78" s="3670"/>
      <c r="E78" s="3670"/>
      <c r="F78" s="3670"/>
      <c r="G78" s="3738"/>
      <c r="H78" s="3670"/>
      <c r="I78" s="3670"/>
      <c r="J78" s="3670"/>
      <c r="K78" s="3670"/>
      <c r="L78" s="3670"/>
      <c r="M78" s="3670"/>
      <c r="N78" s="3670"/>
      <c r="O78" s="3670"/>
      <c r="P78" s="3670"/>
      <c r="Q78" s="3670"/>
      <c r="R78" s="3670"/>
      <c r="S78" s="3670"/>
      <c r="T78" s="3670"/>
      <c r="U78" s="3670"/>
      <c r="V78" s="3670"/>
      <c r="W78" s="3709"/>
      <c r="X78" s="3709"/>
      <c r="Y78" s="3709"/>
      <c r="Z78" s="3709"/>
      <c r="AA78" s="3709"/>
      <c r="AB78" s="3709"/>
      <c r="AC78" s="3709"/>
      <c r="AD78" s="3709"/>
      <c r="AE78" s="3709"/>
      <c r="AF78" s="3709"/>
      <c r="AG78" s="3709"/>
      <c r="AH78" s="3709"/>
      <c r="AI78" s="3709"/>
      <c r="AJ78" s="3709"/>
      <c r="AK78" s="3709"/>
      <c r="AL78" s="3709"/>
      <c r="AM78" s="3709"/>
      <c r="AN78" s="3709"/>
      <c r="AO78" s="3709"/>
    </row>
    <row r="79" spans="1:41" s="3669" customFormat="1">
      <c r="A79" s="3737"/>
      <c r="B79" s="3670"/>
      <c r="C79" s="3670"/>
      <c r="D79" s="3670"/>
      <c r="E79" s="3670"/>
      <c r="F79" s="3670"/>
      <c r="G79" s="3738"/>
      <c r="H79" s="3670"/>
      <c r="I79" s="3670"/>
      <c r="J79" s="3670"/>
      <c r="K79" s="3670"/>
      <c r="L79" s="3670"/>
      <c r="M79" s="3670"/>
      <c r="N79" s="3670"/>
      <c r="O79" s="3670"/>
      <c r="P79" s="3670"/>
      <c r="Q79" s="3670"/>
      <c r="R79" s="3670"/>
      <c r="S79" s="3670"/>
      <c r="T79" s="3670"/>
      <c r="U79" s="3670"/>
      <c r="V79" s="3670"/>
      <c r="W79" s="3709"/>
      <c r="X79" s="3709"/>
      <c r="Y79" s="3709"/>
      <c r="Z79" s="3709"/>
      <c r="AA79" s="3709"/>
      <c r="AB79" s="3709"/>
      <c r="AC79" s="3709"/>
      <c r="AD79" s="3709"/>
      <c r="AE79" s="3709"/>
      <c r="AF79" s="3709"/>
      <c r="AG79" s="3709"/>
      <c r="AH79" s="3709"/>
      <c r="AI79" s="3709"/>
      <c r="AJ79" s="3709"/>
      <c r="AK79" s="3709"/>
      <c r="AL79" s="3709"/>
      <c r="AM79" s="3709"/>
      <c r="AN79" s="3709"/>
      <c r="AO79" s="3709"/>
    </row>
    <row r="80" spans="1:41" s="3669" customFormat="1">
      <c r="A80" s="3737"/>
      <c r="B80" s="3670"/>
      <c r="C80" s="3670"/>
      <c r="D80" s="3670"/>
      <c r="E80" s="3670"/>
      <c r="F80" s="3670"/>
      <c r="G80" s="3738"/>
      <c r="H80" s="3670"/>
      <c r="I80" s="3670"/>
      <c r="J80" s="3670"/>
      <c r="K80" s="3670"/>
      <c r="L80" s="3670"/>
      <c r="M80" s="3670"/>
      <c r="N80" s="3670"/>
      <c r="O80" s="3670"/>
      <c r="P80" s="3670"/>
      <c r="Q80" s="3670"/>
      <c r="R80" s="3670"/>
      <c r="S80" s="3670"/>
      <c r="T80" s="3670"/>
      <c r="U80" s="3670"/>
      <c r="V80" s="3670"/>
      <c r="W80" s="3709"/>
      <c r="X80" s="3709"/>
      <c r="Y80" s="3709"/>
      <c r="Z80" s="3709"/>
      <c r="AA80" s="3709"/>
      <c r="AB80" s="3709"/>
      <c r="AC80" s="3709"/>
      <c r="AD80" s="3709"/>
      <c r="AE80" s="3709"/>
      <c r="AF80" s="3709"/>
      <c r="AG80" s="3709"/>
      <c r="AH80" s="3709"/>
      <c r="AI80" s="3709"/>
      <c r="AJ80" s="3709"/>
      <c r="AK80" s="3709"/>
      <c r="AL80" s="3709"/>
      <c r="AM80" s="3709"/>
      <c r="AN80" s="3709"/>
      <c r="AO80" s="3709"/>
    </row>
  </sheetData>
  <mergeCells count="29">
    <mergeCell ref="B39:V39"/>
    <mergeCell ref="K4:K5"/>
    <mergeCell ref="L4:L5"/>
    <mergeCell ref="B4:B6"/>
    <mergeCell ref="C4:C5"/>
    <mergeCell ref="D4:D5"/>
    <mergeCell ref="E4:E5"/>
    <mergeCell ref="F4:F5"/>
    <mergeCell ref="J4:J5"/>
    <mergeCell ref="T4:T5"/>
    <mergeCell ref="I4:I5"/>
    <mergeCell ref="M4:M5"/>
    <mergeCell ref="N4:N5"/>
    <mergeCell ref="W4:W5"/>
    <mergeCell ref="B40:V40"/>
    <mergeCell ref="B41:N41"/>
    <mergeCell ref="U4:U5"/>
    <mergeCell ref="V4:V5"/>
    <mergeCell ref="G6:J6"/>
    <mergeCell ref="K6:N6"/>
    <mergeCell ref="O6:R6"/>
    <mergeCell ref="S6:V6"/>
    <mergeCell ref="O4:O5"/>
    <mergeCell ref="P4:P5"/>
    <mergeCell ref="Q4:Q5"/>
    <mergeCell ref="R4:R5"/>
    <mergeCell ref="S4:S5"/>
    <mergeCell ref="G4:G5"/>
    <mergeCell ref="H4:H5"/>
  </mergeCells>
  <pageMargins left="0.7" right="0.7" top="0.75" bottom="0.75" header="0.3" footer="0.3"/>
  <pageSetup paperSize="9" scale="58" orientation="landscape" r:id="rId1"/>
</worksheet>
</file>

<file path=xl/worksheets/sheet54.xml><?xml version="1.0" encoding="utf-8"?>
<worksheet xmlns="http://schemas.openxmlformats.org/spreadsheetml/2006/main" xmlns:r="http://schemas.openxmlformats.org/officeDocument/2006/relationships">
  <dimension ref="A1:W43"/>
  <sheetViews>
    <sheetView zoomScale="70" zoomScaleNormal="70" workbookViewId="0">
      <pane xSplit="2" ySplit="5" topLeftCell="J6" activePane="bottomRight" state="frozen"/>
      <selection activeCell="O44" sqref="O44:AA44"/>
      <selection pane="topRight" activeCell="O44" sqref="O44:AA44"/>
      <selection pane="bottomLeft" activeCell="O44" sqref="O44:AA44"/>
      <selection pane="bottomRight" activeCell="L26" sqref="L26"/>
    </sheetView>
  </sheetViews>
  <sheetFormatPr defaultRowHeight="15.75"/>
  <cols>
    <col min="1" max="1" width="15.85546875" style="4037" customWidth="1"/>
    <col min="2" max="2" width="68.140625" style="3670" customWidth="1"/>
    <col min="3" max="7" width="10" style="3670" customWidth="1"/>
    <col min="8" max="8" width="10.85546875" style="3670" customWidth="1"/>
    <col min="9" max="16" width="10" style="3670" customWidth="1"/>
    <col min="17" max="18" width="10.5703125" style="3670" customWidth="1"/>
    <col min="19" max="22" width="10.7109375" style="3670" customWidth="1"/>
    <col min="23" max="23" width="12" style="3709" customWidth="1"/>
    <col min="24" max="16384" width="9.140625" style="3709"/>
  </cols>
  <sheetData>
    <row r="1" spans="1:23" ht="54">
      <c r="A1" s="3739"/>
      <c r="B1" s="3883" t="s">
        <v>2034</v>
      </c>
      <c r="C1" s="3883"/>
      <c r="D1" s="3883"/>
      <c r="E1" s="3883"/>
      <c r="F1" s="3883"/>
      <c r="G1" s="3883"/>
      <c r="H1" s="3883"/>
      <c r="I1" s="3883"/>
      <c r="J1" s="3883"/>
      <c r="K1" s="3883"/>
      <c r="L1" s="3883"/>
      <c r="M1" s="3883"/>
      <c r="N1" s="3883"/>
      <c r="O1" s="3883"/>
      <c r="P1" s="3883"/>
      <c r="Q1" s="3883"/>
      <c r="R1" s="3883"/>
      <c r="S1" s="3883"/>
      <c r="T1" s="3883"/>
      <c r="U1" s="3883"/>
      <c r="V1" s="3883"/>
      <c r="W1" s="3707"/>
    </row>
    <row r="2" spans="1:23" ht="18">
      <c r="A2" s="3739"/>
      <c r="B2" s="3711" t="s">
        <v>1935</v>
      </c>
      <c r="C2" s="3883"/>
      <c r="D2" s="3883"/>
      <c r="E2" s="3883"/>
      <c r="F2" s="3883"/>
      <c r="G2" s="3883"/>
      <c r="H2" s="3883"/>
      <c r="I2" s="3883"/>
      <c r="J2" s="3883"/>
      <c r="K2" s="3883"/>
      <c r="L2" s="3883"/>
      <c r="M2" s="3883"/>
      <c r="N2" s="3883"/>
      <c r="O2" s="3883"/>
      <c r="P2" s="3883"/>
      <c r="Q2" s="3883"/>
      <c r="R2" s="3883"/>
      <c r="S2" s="3883"/>
      <c r="T2" s="3883"/>
      <c r="U2" s="3883"/>
      <c r="V2" s="3883"/>
      <c r="W2" s="3707"/>
    </row>
    <row r="3" spans="1:23" s="3714" customFormat="1" ht="20.100000000000001" customHeight="1">
      <c r="A3" s="3740"/>
      <c r="B3" s="4778" t="s">
        <v>146</v>
      </c>
      <c r="C3" s="4763" t="s">
        <v>1936</v>
      </c>
      <c r="D3" s="4765" t="s">
        <v>1937</v>
      </c>
      <c r="E3" s="4765" t="s">
        <v>1938</v>
      </c>
      <c r="F3" s="4776" t="s">
        <v>1939</v>
      </c>
      <c r="G3" s="4763" t="s">
        <v>1940</v>
      </c>
      <c r="H3" s="4765" t="s">
        <v>1941</v>
      </c>
      <c r="I3" s="4765" t="s">
        <v>1942</v>
      </c>
      <c r="J3" s="4776" t="s">
        <v>1943</v>
      </c>
      <c r="K3" s="4763" t="s">
        <v>1944</v>
      </c>
      <c r="L3" s="4765" t="s">
        <v>1945</v>
      </c>
      <c r="M3" s="4765" t="s">
        <v>1946</v>
      </c>
      <c r="N3" s="4776" t="s">
        <v>1947</v>
      </c>
      <c r="O3" s="4763" t="s">
        <v>1948</v>
      </c>
      <c r="P3" s="4765" t="s">
        <v>1949</v>
      </c>
      <c r="Q3" s="4765" t="s">
        <v>1950</v>
      </c>
      <c r="R3" s="4776" t="s">
        <v>1951</v>
      </c>
      <c r="S3" s="4763" t="s">
        <v>1952</v>
      </c>
      <c r="T3" s="4765" t="s">
        <v>1953</v>
      </c>
      <c r="U3" s="4765" t="s">
        <v>1954</v>
      </c>
      <c r="V3" s="4776" t="s">
        <v>1955</v>
      </c>
      <c r="W3" s="4776" t="s">
        <v>2086</v>
      </c>
    </row>
    <row r="4" spans="1:23" ht="20.100000000000001" customHeight="1">
      <c r="A4" s="3707"/>
      <c r="B4" s="4779"/>
      <c r="C4" s="4764"/>
      <c r="D4" s="4766"/>
      <c r="E4" s="4766"/>
      <c r="F4" s="4777"/>
      <c r="G4" s="4764"/>
      <c r="H4" s="4766"/>
      <c r="I4" s="4766"/>
      <c r="J4" s="4777"/>
      <c r="K4" s="4764"/>
      <c r="L4" s="4766"/>
      <c r="M4" s="4766"/>
      <c r="N4" s="4777"/>
      <c r="O4" s="4764"/>
      <c r="P4" s="4766"/>
      <c r="Q4" s="4766"/>
      <c r="R4" s="4777"/>
      <c r="S4" s="4764"/>
      <c r="T4" s="4766"/>
      <c r="U4" s="4766"/>
      <c r="V4" s="4777"/>
      <c r="W4" s="4777"/>
    </row>
    <row r="5" spans="1:23" ht="20.100000000000001" customHeight="1">
      <c r="A5" s="3707"/>
      <c r="B5" s="4780"/>
      <c r="C5" s="3796"/>
      <c r="D5" s="3770"/>
      <c r="E5" s="3770"/>
      <c r="F5" s="3797"/>
      <c r="G5" s="4773" t="s">
        <v>1958</v>
      </c>
      <c r="H5" s="4773"/>
      <c r="I5" s="4773"/>
      <c r="J5" s="4773"/>
      <c r="K5" s="4772" t="s">
        <v>1956</v>
      </c>
      <c r="L5" s="4773"/>
      <c r="M5" s="4773"/>
      <c r="N5" s="4774"/>
      <c r="O5" s="4772" t="s">
        <v>1956</v>
      </c>
      <c r="P5" s="4773"/>
      <c r="Q5" s="4773"/>
      <c r="R5" s="4774"/>
      <c r="S5" s="4772" t="s">
        <v>1957</v>
      </c>
      <c r="T5" s="4773"/>
      <c r="U5" s="4773"/>
      <c r="V5" s="4775"/>
      <c r="W5" s="4272" t="s">
        <v>2094</v>
      </c>
    </row>
    <row r="6" spans="1:23" ht="20.100000000000001" customHeight="1">
      <c r="A6" s="3707"/>
      <c r="B6" s="3659" t="s">
        <v>1959</v>
      </c>
      <c r="C6" s="3780">
        <v>-543.13616827679687</v>
      </c>
      <c r="D6" s="3779">
        <v>96.068177481723779</v>
      </c>
      <c r="E6" s="3779">
        <v>-2267.7501339862197</v>
      </c>
      <c r="F6" s="3781">
        <v>-2735.1160562465957</v>
      </c>
      <c r="G6" s="3780">
        <v>-788.4496692732306</v>
      </c>
      <c r="H6" s="3779">
        <v>87.615518826472282</v>
      </c>
      <c r="I6" s="3779">
        <v>-1693.4975215902239</v>
      </c>
      <c r="J6" s="3781">
        <v>-1723.4948246953868</v>
      </c>
      <c r="K6" s="3780">
        <v>146.02658650782777</v>
      </c>
      <c r="L6" s="3779">
        <v>-1741.4471380845084</v>
      </c>
      <c r="M6" s="3779">
        <v>1743.3613044370143</v>
      </c>
      <c r="N6" s="3781">
        <v>708.50017763937524</v>
      </c>
      <c r="O6" s="3772">
        <v>-49.475010846436497</v>
      </c>
      <c r="P6" s="3771">
        <v>-2633.6846941534172</v>
      </c>
      <c r="Q6" s="3771">
        <v>-531.20139476158431</v>
      </c>
      <c r="R6" s="3773">
        <v>-728.95642625677874</v>
      </c>
      <c r="S6" s="3780">
        <v>-641.16163755272294</v>
      </c>
      <c r="T6" s="3779">
        <v>-444.83184154750063</v>
      </c>
      <c r="U6" s="3779">
        <v>-3569.5286528796587</v>
      </c>
      <c r="V6" s="3779">
        <v>-1448.2076482912346</v>
      </c>
      <c r="W6" s="4249">
        <v>-1035.3714321005345</v>
      </c>
    </row>
    <row r="7" spans="1:23" ht="20.100000000000001" customHeight="1">
      <c r="A7" s="3707"/>
      <c r="B7" s="3774" t="s">
        <v>1960</v>
      </c>
      <c r="C7" s="3776">
        <v>-967.94540157303481</v>
      </c>
      <c r="D7" s="3775">
        <v>-164.37033200170518</v>
      </c>
      <c r="E7" s="3775">
        <v>-2708.8036812526275</v>
      </c>
      <c r="F7" s="3777">
        <v>-3073.9107933654418</v>
      </c>
      <c r="G7" s="3776">
        <v>-1866.1202663227148</v>
      </c>
      <c r="H7" s="3775">
        <v>-1147.7080910387854</v>
      </c>
      <c r="I7" s="3775">
        <v>-2611.6609273812583</v>
      </c>
      <c r="J7" s="3777">
        <v>-2578.3508455880797</v>
      </c>
      <c r="K7" s="3776">
        <v>-964.03338919792009</v>
      </c>
      <c r="L7" s="3775">
        <v>-1815.4179343980984</v>
      </c>
      <c r="M7" s="3775">
        <v>712.31302817929532</v>
      </c>
      <c r="N7" s="3777">
        <v>-258.66806272348879</v>
      </c>
      <c r="O7" s="3776">
        <v>-925.73182292771287</v>
      </c>
      <c r="P7" s="3775">
        <v>-3415.2146933681602</v>
      </c>
      <c r="Q7" s="3775">
        <v>-1117.1320429199643</v>
      </c>
      <c r="R7" s="3777">
        <v>-1212.4446970734596</v>
      </c>
      <c r="S7" s="3776">
        <v>-1026.1536367761717</v>
      </c>
      <c r="T7" s="3775">
        <v>-238.69044563386058</v>
      </c>
      <c r="U7" s="3775">
        <v>-4240.0930857716667</v>
      </c>
      <c r="V7" s="3775">
        <v>-1508.2370785086746</v>
      </c>
      <c r="W7" s="4250">
        <v>-1541.60890756919</v>
      </c>
    </row>
    <row r="8" spans="1:23" ht="20.100000000000001" customHeight="1">
      <c r="A8" s="3707"/>
      <c r="B8" s="3778" t="s">
        <v>1961</v>
      </c>
      <c r="C8" s="3780">
        <v>-783.19523365874977</v>
      </c>
      <c r="D8" s="3779">
        <v>-350.96522149000003</v>
      </c>
      <c r="E8" s="3779">
        <v>-2364.3690601134999</v>
      </c>
      <c r="F8" s="3781">
        <v>-2176.7930022875003</v>
      </c>
      <c r="G8" s="3780">
        <v>-1446.5959209912501</v>
      </c>
      <c r="H8" s="3779">
        <v>-1228.8019540924997</v>
      </c>
      <c r="I8" s="3779">
        <v>-2231.9658497701716</v>
      </c>
      <c r="J8" s="3781">
        <v>-2178.1137305701718</v>
      </c>
      <c r="K8" s="3780">
        <v>-1166.9163324889221</v>
      </c>
      <c r="L8" s="3779">
        <v>-1605.4794549001717</v>
      </c>
      <c r="M8" s="3779">
        <v>259.9301144965998</v>
      </c>
      <c r="N8" s="3781">
        <v>-727.21228755351206</v>
      </c>
      <c r="O8" s="3780">
        <v>-968.69963816218763</v>
      </c>
      <c r="P8" s="3779">
        <v>-3669.4083418788318</v>
      </c>
      <c r="Q8" s="3779">
        <v>-878.54377511479993</v>
      </c>
      <c r="R8" s="3781">
        <v>-1291.4057418371387</v>
      </c>
      <c r="S8" s="3780">
        <v>-741.53123540193769</v>
      </c>
      <c r="T8" s="3779">
        <v>-1003.3771028866498</v>
      </c>
      <c r="U8" s="3779">
        <v>-3740.5331979861321</v>
      </c>
      <c r="V8" s="3779">
        <v>-1487.4619959516733</v>
      </c>
      <c r="W8" s="4249">
        <v>-1380.3398715603134</v>
      </c>
    </row>
    <row r="9" spans="1:23" ht="20.100000000000001" customHeight="1">
      <c r="A9" s="3707"/>
      <c r="B9" s="3782" t="s">
        <v>1962</v>
      </c>
      <c r="C9" s="3776">
        <v>996.72769300000004</v>
      </c>
      <c r="D9" s="3775">
        <v>1217.845108</v>
      </c>
      <c r="E9" s="3775">
        <v>397.45661561000003</v>
      </c>
      <c r="F9" s="3777">
        <v>2087.4779505900001</v>
      </c>
      <c r="G9" s="3776">
        <v>1248.2442264000001</v>
      </c>
      <c r="H9" s="3775">
        <v>1374.8012074000001</v>
      </c>
      <c r="I9" s="3775">
        <v>568.89725450000003</v>
      </c>
      <c r="J9" s="3777">
        <v>258.66912049999996</v>
      </c>
      <c r="K9" s="3776">
        <v>397.84693649999991</v>
      </c>
      <c r="L9" s="3775">
        <v>567.36187649999999</v>
      </c>
      <c r="M9" s="3775">
        <v>937.89034253</v>
      </c>
      <c r="N9" s="3777">
        <v>469.12146572999995</v>
      </c>
      <c r="O9" s="3776">
        <v>852.6392366099999</v>
      </c>
      <c r="P9" s="3775">
        <v>614.16561016000014</v>
      </c>
      <c r="Q9" s="3775">
        <v>668.84833147000006</v>
      </c>
      <c r="R9" s="3777">
        <v>832.78410452000003</v>
      </c>
      <c r="S9" s="3776">
        <v>1323.9715910999998</v>
      </c>
      <c r="T9" s="3775">
        <v>957.94377928999995</v>
      </c>
      <c r="U9" s="3775">
        <v>915.12554461000002</v>
      </c>
      <c r="V9" s="3775">
        <v>839.08478074000004</v>
      </c>
      <c r="W9" s="4250">
        <v>973.75498855000001</v>
      </c>
    </row>
    <row r="10" spans="1:23" ht="20.100000000000001" customHeight="1">
      <c r="A10" s="3707"/>
      <c r="B10" s="3782" t="s">
        <v>1963</v>
      </c>
      <c r="C10" s="3776">
        <v>1779.9229266587499</v>
      </c>
      <c r="D10" s="3775">
        <v>1568.81032949</v>
      </c>
      <c r="E10" s="3775">
        <v>2761.8256757235004</v>
      </c>
      <c r="F10" s="3777">
        <v>4264.2709528775003</v>
      </c>
      <c r="G10" s="3776">
        <v>2694.84014739125</v>
      </c>
      <c r="H10" s="3775">
        <v>2603.6031614925</v>
      </c>
      <c r="I10" s="3775">
        <v>2800.8631042701718</v>
      </c>
      <c r="J10" s="3777">
        <v>2436.782851070172</v>
      </c>
      <c r="K10" s="3776">
        <v>1564.7632689889222</v>
      </c>
      <c r="L10" s="3775">
        <v>2172.8413314001718</v>
      </c>
      <c r="M10" s="3775">
        <v>677.9602280334002</v>
      </c>
      <c r="N10" s="3777">
        <v>1196.3337532835121</v>
      </c>
      <c r="O10" s="3776">
        <v>1821.3388747721874</v>
      </c>
      <c r="P10" s="3775">
        <v>4283.5739520388315</v>
      </c>
      <c r="Q10" s="3775">
        <v>1547.3921065848001</v>
      </c>
      <c r="R10" s="3777">
        <v>2124.1898463571388</v>
      </c>
      <c r="S10" s="3776">
        <v>2065.5028265019378</v>
      </c>
      <c r="T10" s="3775">
        <v>1961.3208821766498</v>
      </c>
      <c r="U10" s="3775">
        <v>4655.6587425961325</v>
      </c>
      <c r="V10" s="3775">
        <v>2326.5467766916731</v>
      </c>
      <c r="W10" s="4250">
        <v>2354.0948601103132</v>
      </c>
    </row>
    <row r="11" spans="1:23" ht="20.100000000000001" customHeight="1">
      <c r="A11" s="3707"/>
      <c r="B11" s="3778" t="s">
        <v>594</v>
      </c>
      <c r="C11" s="3780">
        <v>-184.75016791428507</v>
      </c>
      <c r="D11" s="3779">
        <v>186.59488948829485</v>
      </c>
      <c r="E11" s="3779">
        <v>-344.43462113912716</v>
      </c>
      <c r="F11" s="3781">
        <v>-897.11779107794189</v>
      </c>
      <c r="G11" s="3780">
        <v>-419.52434533146464</v>
      </c>
      <c r="H11" s="3779">
        <v>81.093863053714514</v>
      </c>
      <c r="I11" s="3779">
        <v>-379.69507761108662</v>
      </c>
      <c r="J11" s="3781">
        <v>-400.23711501790763</v>
      </c>
      <c r="K11" s="3780">
        <v>202.88294329100228</v>
      </c>
      <c r="L11" s="3779">
        <v>-209.93847949792647</v>
      </c>
      <c r="M11" s="3779">
        <v>452.38291368269552</v>
      </c>
      <c r="N11" s="3781">
        <v>468.54422483002327</v>
      </c>
      <c r="O11" s="3780">
        <v>42.967815234474422</v>
      </c>
      <c r="P11" s="3779">
        <v>254.19364851067161</v>
      </c>
      <c r="Q11" s="3779">
        <v>-238.58826780516446</v>
      </c>
      <c r="R11" s="3781">
        <v>78.961044763679027</v>
      </c>
      <c r="S11" s="3780">
        <v>-284.62240137423396</v>
      </c>
      <c r="T11" s="3779">
        <v>764.68665725278925</v>
      </c>
      <c r="U11" s="3779">
        <v>-499.55988778553484</v>
      </c>
      <c r="V11" s="3779">
        <v>-20.775082557001589</v>
      </c>
      <c r="W11" s="4249">
        <v>-161.26903600887681</v>
      </c>
    </row>
    <row r="12" spans="1:23" ht="20.100000000000001" customHeight="1">
      <c r="A12" s="3707"/>
      <c r="B12" s="3782" t="s">
        <v>433</v>
      </c>
      <c r="C12" s="3776">
        <v>583.04471367837243</v>
      </c>
      <c r="D12" s="3775">
        <v>983.39156570904765</v>
      </c>
      <c r="E12" s="3775">
        <v>733.54561059092271</v>
      </c>
      <c r="F12" s="3777">
        <v>844.11270995954112</v>
      </c>
      <c r="G12" s="3776">
        <v>788.97931186683377</v>
      </c>
      <c r="H12" s="3775">
        <v>1515.0149488423929</v>
      </c>
      <c r="I12" s="3775">
        <v>1062.0046068201975</v>
      </c>
      <c r="J12" s="3777">
        <v>1091.2528858573612</v>
      </c>
      <c r="K12" s="3776">
        <v>1105.9987984481008</v>
      </c>
      <c r="L12" s="3775">
        <v>1616.3211366636765</v>
      </c>
      <c r="M12" s="3775">
        <v>1169.4615626851426</v>
      </c>
      <c r="N12" s="3777">
        <v>1379.3645090505884</v>
      </c>
      <c r="O12" s="3776">
        <v>1339.1687418218921</v>
      </c>
      <c r="P12" s="3775">
        <v>2379.4678853652586</v>
      </c>
      <c r="Q12" s="3775">
        <v>947.92203911680474</v>
      </c>
      <c r="R12" s="3777">
        <v>1550.8010452295719</v>
      </c>
      <c r="S12" s="3776">
        <v>1227.4821910710914</v>
      </c>
      <c r="T12" s="3775">
        <v>2222.5681613533725</v>
      </c>
      <c r="U12" s="3775">
        <v>1543.8804373907103</v>
      </c>
      <c r="V12" s="3775">
        <v>1491.7629658526428</v>
      </c>
      <c r="W12" s="4250">
        <v>1318.3595401095706</v>
      </c>
    </row>
    <row r="13" spans="1:23" ht="20.100000000000001" customHeight="1">
      <c r="A13" s="3707"/>
      <c r="B13" s="3782" t="s">
        <v>1964</v>
      </c>
      <c r="C13" s="3776">
        <v>767.79488159265748</v>
      </c>
      <c r="D13" s="3775">
        <v>796.79667622075283</v>
      </c>
      <c r="E13" s="3775">
        <v>1077.9802317300498</v>
      </c>
      <c r="F13" s="3777">
        <v>1741.230501037483</v>
      </c>
      <c r="G13" s="3776">
        <v>1208.5036571982985</v>
      </c>
      <c r="H13" s="3775">
        <v>1433.9210857886785</v>
      </c>
      <c r="I13" s="3775">
        <v>1441.6996844312841</v>
      </c>
      <c r="J13" s="3777">
        <v>1491.4900008752688</v>
      </c>
      <c r="K13" s="3776">
        <v>903.11585515709851</v>
      </c>
      <c r="L13" s="3775">
        <v>1826.2596161616029</v>
      </c>
      <c r="M13" s="3775">
        <v>717.07864900244704</v>
      </c>
      <c r="N13" s="3777">
        <v>910.8202842205651</v>
      </c>
      <c r="O13" s="3776">
        <v>1296.2009265874176</v>
      </c>
      <c r="P13" s="3775">
        <v>2125.2742368545869</v>
      </c>
      <c r="Q13" s="3775">
        <v>1186.5103069219692</v>
      </c>
      <c r="R13" s="3777">
        <v>1471.8400004658929</v>
      </c>
      <c r="S13" s="3776">
        <v>1512.1045924453254</v>
      </c>
      <c r="T13" s="3775">
        <v>1457.8815041005832</v>
      </c>
      <c r="U13" s="3775">
        <v>2043.4403251762453</v>
      </c>
      <c r="V13" s="3775">
        <v>1512.5380484096443</v>
      </c>
      <c r="W13" s="4250">
        <v>1479.6285761184472</v>
      </c>
    </row>
    <row r="14" spans="1:23" ht="20.100000000000001" customHeight="1">
      <c r="A14" s="3707"/>
      <c r="B14" s="3778" t="s">
        <v>1965</v>
      </c>
      <c r="C14" s="3780">
        <v>67.989307707210571</v>
      </c>
      <c r="D14" s="3779">
        <v>42.604709267556579</v>
      </c>
      <c r="E14" s="3779">
        <v>184.39316967677789</v>
      </c>
      <c r="F14" s="3781">
        <v>46.555522052722068</v>
      </c>
      <c r="G14" s="3780">
        <v>143.73151966335874</v>
      </c>
      <c r="H14" s="3779">
        <v>185.19098426728397</v>
      </c>
      <c r="I14" s="3779">
        <v>101.3637792461243</v>
      </c>
      <c r="J14" s="3781">
        <v>16.147398392299294</v>
      </c>
      <c r="K14" s="3780">
        <v>139.53250273009871</v>
      </c>
      <c r="L14" s="3779">
        <v>-867.65906958188441</v>
      </c>
      <c r="M14" s="3779">
        <v>142.249977503569</v>
      </c>
      <c r="N14" s="3781">
        <v>97.871285760025145</v>
      </c>
      <c r="O14" s="3780">
        <v>45.175387459078223</v>
      </c>
      <c r="P14" s="3779">
        <v>47.767911633700344</v>
      </c>
      <c r="Q14" s="3779">
        <v>76.577847789576396</v>
      </c>
      <c r="R14" s="3781">
        <v>45.205530032911987</v>
      </c>
      <c r="S14" s="3780">
        <v>-247.33706219643739</v>
      </c>
      <c r="T14" s="3779">
        <v>-702.89494177499409</v>
      </c>
      <c r="U14" s="3779">
        <v>-79.041273678678721</v>
      </c>
      <c r="V14" s="3779">
        <v>-445.56594327250178</v>
      </c>
      <c r="W14" s="4249">
        <v>-294.87982866466439</v>
      </c>
    </row>
    <row r="15" spans="1:23" ht="20.100000000000001" customHeight="1">
      <c r="A15" s="3707"/>
      <c r="B15" s="3782" t="s">
        <v>433</v>
      </c>
      <c r="C15" s="3776">
        <v>134.06880050128666</v>
      </c>
      <c r="D15" s="3775">
        <v>116.79515429106054</v>
      </c>
      <c r="E15" s="3775">
        <v>248.0835053438316</v>
      </c>
      <c r="F15" s="3777">
        <v>171.28515659164367</v>
      </c>
      <c r="G15" s="3776">
        <v>198.61766414472484</v>
      </c>
      <c r="H15" s="3775">
        <v>252.45700203157338</v>
      </c>
      <c r="I15" s="3775">
        <v>191.38797177848474</v>
      </c>
      <c r="J15" s="3777">
        <v>225.75537711702455</v>
      </c>
      <c r="K15" s="3776">
        <v>236.89935384056932</v>
      </c>
      <c r="L15" s="3775">
        <v>245.62352447863557</v>
      </c>
      <c r="M15" s="3775">
        <v>238.51102202915388</v>
      </c>
      <c r="N15" s="3777">
        <v>240.53567215804415</v>
      </c>
      <c r="O15" s="3776">
        <v>154.67584011411748</v>
      </c>
      <c r="P15" s="3775">
        <v>252.35322584126595</v>
      </c>
      <c r="Q15" s="3775">
        <v>189.1388951137213</v>
      </c>
      <c r="R15" s="3777">
        <v>205.93659599042647</v>
      </c>
      <c r="S15" s="3776">
        <v>215.39852665938409</v>
      </c>
      <c r="T15" s="3775">
        <v>200.45063623579358</v>
      </c>
      <c r="U15" s="3775">
        <v>232.40117227475503</v>
      </c>
      <c r="V15" s="3775">
        <v>-60.533550123187602</v>
      </c>
      <c r="W15" s="4250">
        <v>157.76797786987979</v>
      </c>
    </row>
    <row r="16" spans="1:23" ht="20.100000000000001" customHeight="1">
      <c r="A16" s="3707"/>
      <c r="B16" s="3782" t="s">
        <v>1964</v>
      </c>
      <c r="C16" s="3776">
        <v>66.079492794076089</v>
      </c>
      <c r="D16" s="3775">
        <v>74.190445023503955</v>
      </c>
      <c r="E16" s="3775">
        <v>63.690335667053688</v>
      </c>
      <c r="F16" s="3777">
        <v>124.7296345389216</v>
      </c>
      <c r="G16" s="3776">
        <v>54.886144481366088</v>
      </c>
      <c r="H16" s="3775">
        <v>67.26601776428943</v>
      </c>
      <c r="I16" s="3775">
        <v>90.024192532360431</v>
      </c>
      <c r="J16" s="3777">
        <v>209.60797872472526</v>
      </c>
      <c r="K16" s="3776">
        <v>97.366851110470591</v>
      </c>
      <c r="L16" s="3775">
        <v>1113.2825940605198</v>
      </c>
      <c r="M16" s="3775">
        <v>96.261044525584879</v>
      </c>
      <c r="N16" s="3777">
        <v>142.66438639801902</v>
      </c>
      <c r="O16" s="3776">
        <v>109.50045265503925</v>
      </c>
      <c r="P16" s="3775">
        <v>204.5853142075656</v>
      </c>
      <c r="Q16" s="3775">
        <v>112.56104732414491</v>
      </c>
      <c r="R16" s="3777">
        <v>160.73106595751449</v>
      </c>
      <c r="S16" s="3776">
        <v>462.7355888558215</v>
      </c>
      <c r="T16" s="3775">
        <v>903.34557801078768</v>
      </c>
      <c r="U16" s="3775">
        <v>311.44244595343378</v>
      </c>
      <c r="V16" s="3775">
        <v>385.03239314931415</v>
      </c>
      <c r="W16" s="4250">
        <v>452.64780653454415</v>
      </c>
    </row>
    <row r="17" spans="1:23" s="3720" customFormat="1" ht="20.100000000000001" hidden="1" customHeight="1">
      <c r="A17" s="3741"/>
      <c r="B17" s="3798"/>
      <c r="C17" s="3776">
        <v>0</v>
      </c>
      <c r="D17" s="3775">
        <v>0</v>
      </c>
      <c r="E17" s="3775">
        <v>0</v>
      </c>
      <c r="F17" s="3777">
        <v>0</v>
      </c>
      <c r="G17" s="3776">
        <v>0</v>
      </c>
      <c r="H17" s="3775">
        <v>0</v>
      </c>
      <c r="I17" s="3775">
        <v>0</v>
      </c>
      <c r="J17" s="3777">
        <v>0</v>
      </c>
      <c r="K17" s="3776">
        <v>0</v>
      </c>
      <c r="L17" s="3775">
        <v>0</v>
      </c>
      <c r="M17" s="3775">
        <v>0</v>
      </c>
      <c r="N17" s="3777">
        <v>0</v>
      </c>
      <c r="O17" s="3776">
        <v>0</v>
      </c>
      <c r="P17" s="3775">
        <v>0</v>
      </c>
      <c r="Q17" s="3775">
        <v>0</v>
      </c>
      <c r="R17" s="3777">
        <v>0</v>
      </c>
      <c r="S17" s="3776">
        <v>0</v>
      </c>
      <c r="T17" s="3775">
        <v>0</v>
      </c>
      <c r="U17" s="3775">
        <v>0</v>
      </c>
      <c r="V17" s="3775">
        <v>0</v>
      </c>
      <c r="W17" s="4250"/>
    </row>
    <row r="18" spans="1:23" ht="20.100000000000001" customHeight="1">
      <c r="A18" s="3707"/>
      <c r="B18" s="3778" t="s">
        <v>1966</v>
      </c>
      <c r="C18" s="3780">
        <v>356.81992558902721</v>
      </c>
      <c r="D18" s="3779">
        <v>217.83380021587223</v>
      </c>
      <c r="E18" s="3779">
        <v>256.66037758963006</v>
      </c>
      <c r="F18" s="3781">
        <v>292.23921506612311</v>
      </c>
      <c r="G18" s="3780">
        <v>933.93907738612552</v>
      </c>
      <c r="H18" s="3779">
        <v>1050.1326255979734</v>
      </c>
      <c r="I18" s="3779">
        <v>816.79962654491044</v>
      </c>
      <c r="J18" s="3781">
        <v>838.70862250039329</v>
      </c>
      <c r="K18" s="3780">
        <v>970.52747297564918</v>
      </c>
      <c r="L18" s="3779">
        <v>941.6298658954737</v>
      </c>
      <c r="M18" s="3779">
        <v>888.79829875414964</v>
      </c>
      <c r="N18" s="3781">
        <v>869.29695460283904</v>
      </c>
      <c r="O18" s="3780">
        <v>831.0814246221986</v>
      </c>
      <c r="P18" s="3779">
        <v>733.7620875810419</v>
      </c>
      <c r="Q18" s="3779">
        <v>509.35280036880357</v>
      </c>
      <c r="R18" s="3781">
        <v>438.28274078376853</v>
      </c>
      <c r="S18" s="3780">
        <v>632.32906141988599</v>
      </c>
      <c r="T18" s="3779">
        <v>496.7535458613545</v>
      </c>
      <c r="U18" s="3779">
        <v>749.60570657068729</v>
      </c>
      <c r="V18" s="3779">
        <v>505.59537348994127</v>
      </c>
      <c r="W18" s="4249">
        <v>801.11730413332009</v>
      </c>
    </row>
    <row r="19" spans="1:23" ht="20.100000000000001" customHeight="1">
      <c r="A19" s="3707"/>
      <c r="B19" s="3782" t="s">
        <v>433</v>
      </c>
      <c r="C19" s="3776">
        <v>487.35522465296913</v>
      </c>
      <c r="D19" s="3775">
        <v>480.27097914281615</v>
      </c>
      <c r="E19" s="3775">
        <v>511.62394290464056</v>
      </c>
      <c r="F19" s="3777">
        <v>510.22480951466122</v>
      </c>
      <c r="G19" s="3776">
        <v>1049.448866191668</v>
      </c>
      <c r="H19" s="3775">
        <v>1154.5673202353337</v>
      </c>
      <c r="I19" s="3775">
        <v>952.10390099006702</v>
      </c>
      <c r="J19" s="3777">
        <v>988.3676351295295</v>
      </c>
      <c r="K19" s="3776">
        <v>1066.1426593619092</v>
      </c>
      <c r="L19" s="3775">
        <v>1032.3903902843538</v>
      </c>
      <c r="M19" s="3775">
        <v>954.50410931601448</v>
      </c>
      <c r="N19" s="3777">
        <v>923.66195912673993</v>
      </c>
      <c r="O19" s="3776">
        <v>904.15815236856724</v>
      </c>
      <c r="P19" s="3775">
        <v>829.51920655243475</v>
      </c>
      <c r="Q19" s="3775">
        <v>584.80942388324195</v>
      </c>
      <c r="R19" s="3777">
        <v>540.95390490505349</v>
      </c>
      <c r="S19" s="3776">
        <v>691.97725820153232</v>
      </c>
      <c r="T19" s="3775">
        <v>648.70464632864798</v>
      </c>
      <c r="U19" s="3775">
        <v>825.00177873744531</v>
      </c>
      <c r="V19" s="3775">
        <v>686.14839204143414</v>
      </c>
      <c r="W19" s="4250">
        <v>907.2246727314556</v>
      </c>
    </row>
    <row r="20" spans="1:23" ht="20.100000000000001" customHeight="1">
      <c r="A20" s="3707"/>
      <c r="B20" s="3785" t="s">
        <v>1967</v>
      </c>
      <c r="C20" s="3776">
        <v>352.64700000000005</v>
      </c>
      <c r="D20" s="3775">
        <v>352.64700000000005</v>
      </c>
      <c r="E20" s="3775">
        <v>352.64700000000005</v>
      </c>
      <c r="F20" s="3777">
        <v>352.64700000000005</v>
      </c>
      <c r="G20" s="3776">
        <v>709.96249999999998</v>
      </c>
      <c r="H20" s="3775">
        <v>709.96249999999998</v>
      </c>
      <c r="I20" s="3775">
        <v>709.96249999999998</v>
      </c>
      <c r="J20" s="3777">
        <v>709.96249999999998</v>
      </c>
      <c r="K20" s="3776">
        <v>800.60500000000013</v>
      </c>
      <c r="L20" s="3775">
        <v>800.60500000000013</v>
      </c>
      <c r="M20" s="3775">
        <v>800.60500000000013</v>
      </c>
      <c r="N20" s="3777">
        <v>800.60500000000013</v>
      </c>
      <c r="O20" s="3776">
        <v>608.73916194000003</v>
      </c>
      <c r="P20" s="3775">
        <v>491.08539728</v>
      </c>
      <c r="Q20" s="3775">
        <v>325.63668645999991</v>
      </c>
      <c r="R20" s="3777">
        <v>255.33088844000002</v>
      </c>
      <c r="S20" s="3776">
        <v>377.09328534000002</v>
      </c>
      <c r="T20" s="3775">
        <v>384.45249999999987</v>
      </c>
      <c r="U20" s="3775">
        <v>443.10700000000003</v>
      </c>
      <c r="V20" s="3775">
        <v>234.35300000000001</v>
      </c>
      <c r="W20" s="4250">
        <v>458.98894708959989</v>
      </c>
    </row>
    <row r="21" spans="1:23" ht="20.100000000000001" customHeight="1">
      <c r="A21" s="3707"/>
      <c r="B21" s="3782" t="s">
        <v>1964</v>
      </c>
      <c r="C21" s="3776">
        <v>130.53529906394189</v>
      </c>
      <c r="D21" s="3775">
        <v>262.43717892694389</v>
      </c>
      <c r="E21" s="3775">
        <v>254.9635653150105</v>
      </c>
      <c r="F21" s="3777">
        <v>217.98559444853802</v>
      </c>
      <c r="G21" s="3776">
        <v>115.50978880554253</v>
      </c>
      <c r="H21" s="3775">
        <v>104.4346946373602</v>
      </c>
      <c r="I21" s="3775">
        <v>135.30427444515661</v>
      </c>
      <c r="J21" s="3777">
        <v>149.65901262913619</v>
      </c>
      <c r="K21" s="3776">
        <v>95.615186386260007</v>
      </c>
      <c r="L21" s="3775">
        <v>90.76052438888</v>
      </c>
      <c r="M21" s="3775">
        <v>65.705810561864809</v>
      </c>
      <c r="N21" s="3777">
        <v>54.365004523901028</v>
      </c>
      <c r="O21" s="3776">
        <v>73.07672774636869</v>
      </c>
      <c r="P21" s="3775">
        <v>95.75711897139287</v>
      </c>
      <c r="Q21" s="3775">
        <v>75.456623514438348</v>
      </c>
      <c r="R21" s="3777">
        <v>102.67116412128493</v>
      </c>
      <c r="S21" s="3776">
        <v>59.648196781646341</v>
      </c>
      <c r="T21" s="3775">
        <v>151.95110046729351</v>
      </c>
      <c r="U21" s="3775">
        <v>75.396072166758088</v>
      </c>
      <c r="V21" s="3775">
        <v>180.55301855149293</v>
      </c>
      <c r="W21" s="4250">
        <v>106.10736859813547</v>
      </c>
    </row>
    <row r="22" spans="1:23" ht="20.100000000000001" customHeight="1">
      <c r="A22" s="3707"/>
      <c r="B22" s="3659" t="s">
        <v>1968</v>
      </c>
      <c r="C22" s="3780">
        <v>301.09249999999997</v>
      </c>
      <c r="D22" s="3779">
        <v>301.09249999999997</v>
      </c>
      <c r="E22" s="3779">
        <v>301.09249999999997</v>
      </c>
      <c r="F22" s="3781">
        <v>301.09249999999997</v>
      </c>
      <c r="G22" s="3780">
        <v>153.48874999999975</v>
      </c>
      <c r="H22" s="3779">
        <v>153.48874999999975</v>
      </c>
      <c r="I22" s="3779">
        <v>153.48874999999975</v>
      </c>
      <c r="J22" s="3781">
        <v>153.48874999999975</v>
      </c>
      <c r="K22" s="3780">
        <v>669.55724999999995</v>
      </c>
      <c r="L22" s="3779">
        <v>669.55724999999995</v>
      </c>
      <c r="M22" s="3779">
        <v>669.55724999999995</v>
      </c>
      <c r="N22" s="3781">
        <v>669.55724999999995</v>
      </c>
      <c r="O22" s="3780">
        <v>80.873222999999996</v>
      </c>
      <c r="P22" s="3779">
        <v>253.3724</v>
      </c>
      <c r="Q22" s="3779">
        <v>42.927033250000001</v>
      </c>
      <c r="R22" s="3781">
        <v>106.70777919</v>
      </c>
      <c r="S22" s="3780">
        <v>46.174461489999999</v>
      </c>
      <c r="T22" s="3779">
        <v>250.82839999999999</v>
      </c>
      <c r="U22" s="3779">
        <v>27.328999999999997</v>
      </c>
      <c r="V22" s="3779">
        <v>6.25</v>
      </c>
      <c r="W22" s="4250">
        <v>5.617</v>
      </c>
    </row>
    <row r="23" spans="1:23" ht="20.100000000000001" customHeight="1">
      <c r="A23" s="3707"/>
      <c r="B23" s="3789" t="s">
        <v>1969</v>
      </c>
      <c r="C23" s="3776">
        <v>301.09249999999997</v>
      </c>
      <c r="D23" s="3775">
        <v>301.09249999999997</v>
      </c>
      <c r="E23" s="3775">
        <v>301.09249999999997</v>
      </c>
      <c r="F23" s="3777">
        <v>301.09249999999997</v>
      </c>
      <c r="G23" s="3776">
        <v>153.48874999999975</v>
      </c>
      <c r="H23" s="3775">
        <v>153.48874999999975</v>
      </c>
      <c r="I23" s="3775">
        <v>153.48874999999975</v>
      </c>
      <c r="J23" s="3777">
        <v>153.48874999999975</v>
      </c>
      <c r="K23" s="3776">
        <v>669.55724999999995</v>
      </c>
      <c r="L23" s="3775">
        <v>669.55724999999995</v>
      </c>
      <c r="M23" s="3775">
        <v>669.55724999999995</v>
      </c>
      <c r="N23" s="3777">
        <v>669.55724999999995</v>
      </c>
      <c r="O23" s="3776">
        <v>80.873222999999996</v>
      </c>
      <c r="P23" s="3775">
        <v>253.3724</v>
      </c>
      <c r="Q23" s="3775">
        <v>42.927033250000001</v>
      </c>
      <c r="R23" s="3777">
        <v>106.70777919</v>
      </c>
      <c r="S23" s="3776">
        <v>46.174461489999999</v>
      </c>
      <c r="T23" s="3775">
        <v>250.82839999999999</v>
      </c>
      <c r="U23" s="3775">
        <v>27.328999999999997</v>
      </c>
      <c r="V23" s="3775">
        <v>6.25</v>
      </c>
      <c r="W23" s="4250">
        <v>5.617</v>
      </c>
    </row>
    <row r="24" spans="1:23" s="3720" customFormat="1" ht="20.100000000000001" hidden="1" customHeight="1">
      <c r="A24" s="3741"/>
      <c r="B24" s="3799"/>
      <c r="C24" s="3776">
        <v>0</v>
      </c>
      <c r="D24" s="3775">
        <v>0</v>
      </c>
      <c r="E24" s="3775">
        <v>0</v>
      </c>
      <c r="F24" s="3777">
        <v>0</v>
      </c>
      <c r="G24" s="3776">
        <v>0</v>
      </c>
      <c r="H24" s="3775">
        <v>0</v>
      </c>
      <c r="I24" s="3775">
        <v>0</v>
      </c>
      <c r="J24" s="3777">
        <v>0</v>
      </c>
      <c r="K24" s="3776">
        <v>0</v>
      </c>
      <c r="L24" s="3775">
        <v>0</v>
      </c>
      <c r="M24" s="3775">
        <v>0</v>
      </c>
      <c r="N24" s="3777">
        <v>0</v>
      </c>
      <c r="O24" s="3776">
        <v>0</v>
      </c>
      <c r="P24" s="3775">
        <v>0</v>
      </c>
      <c r="Q24" s="3775">
        <v>0</v>
      </c>
      <c r="R24" s="3777">
        <v>0</v>
      </c>
      <c r="S24" s="3776">
        <v>0</v>
      </c>
      <c r="T24" s="3775">
        <v>0</v>
      </c>
      <c r="U24" s="3775">
        <v>0</v>
      </c>
      <c r="V24" s="3775">
        <v>0</v>
      </c>
      <c r="W24" s="4250"/>
    </row>
    <row r="25" spans="1:23" s="3716" customFormat="1" ht="20.100000000000001" customHeight="1">
      <c r="A25" s="3742"/>
      <c r="B25" s="3659" t="s">
        <v>1972</v>
      </c>
      <c r="C25" s="3780">
        <v>-389.76278094691799</v>
      </c>
      <c r="D25" s="3779">
        <v>-2029.3932619606041</v>
      </c>
      <c r="E25" s="3779">
        <v>-1669.2754369614822</v>
      </c>
      <c r="F25" s="3781">
        <v>-1481.293043227967</v>
      </c>
      <c r="G25" s="3780">
        <v>-857.61473412848284</v>
      </c>
      <c r="H25" s="3779">
        <v>-263.30228271297074</v>
      </c>
      <c r="I25" s="3779">
        <v>-1069.38839430797</v>
      </c>
      <c r="J25" s="3781">
        <v>-756.78482542598067</v>
      </c>
      <c r="K25" s="3780">
        <v>-507.7291044606352</v>
      </c>
      <c r="L25" s="3779">
        <v>-3659.2681562718803</v>
      </c>
      <c r="M25" s="3779">
        <v>-816.90482617333976</v>
      </c>
      <c r="N25" s="3781">
        <v>-499.80950100731565</v>
      </c>
      <c r="O25" s="3780">
        <v>250.99604882673026</v>
      </c>
      <c r="P25" s="3779">
        <v>-1104.9817763564972</v>
      </c>
      <c r="Q25" s="3779">
        <v>-1769.1528894307046</v>
      </c>
      <c r="R25" s="3781">
        <v>-95.270493642444137</v>
      </c>
      <c r="S25" s="3780">
        <v>-1841.8963679761023</v>
      </c>
      <c r="T25" s="3779">
        <v>-521.33638469314144</v>
      </c>
      <c r="U25" s="3779">
        <v>-1168.4771172086607</v>
      </c>
      <c r="V25" s="3779">
        <v>-24.894477530623437</v>
      </c>
      <c r="W25" s="4249">
        <v>-1178.1752427372085</v>
      </c>
    </row>
    <row r="26" spans="1:23" s="3716" customFormat="1" ht="20.100000000000001" customHeight="1">
      <c r="A26" s="3742"/>
      <c r="B26" s="3790" t="s">
        <v>1973</v>
      </c>
      <c r="C26" s="3780">
        <v>114.70459594065997</v>
      </c>
      <c r="D26" s="3779">
        <v>429.96864599765621</v>
      </c>
      <c r="E26" s="3779">
        <v>277.9604467364</v>
      </c>
      <c r="F26" s="3781">
        <v>226.46980183623998</v>
      </c>
      <c r="G26" s="3780">
        <v>327.80282343879998</v>
      </c>
      <c r="H26" s="3779">
        <v>246.17703063700003</v>
      </c>
      <c r="I26" s="3779">
        <v>196.17970951149999</v>
      </c>
      <c r="J26" s="3781">
        <v>105.18323330599999</v>
      </c>
      <c r="K26" s="3780">
        <v>57.024235313250003</v>
      </c>
      <c r="L26" s="3779">
        <v>1635.213814930725</v>
      </c>
      <c r="M26" s="3779">
        <v>105.21163782073172</v>
      </c>
      <c r="N26" s="3781">
        <v>151.26277626227434</v>
      </c>
      <c r="O26" s="3780">
        <v>27.18650879147874</v>
      </c>
      <c r="P26" s="3779">
        <v>33.334211544445544</v>
      </c>
      <c r="Q26" s="3779">
        <v>108.11614742186953</v>
      </c>
      <c r="R26" s="3781">
        <v>189.2547525770606</v>
      </c>
      <c r="S26" s="3780">
        <v>609.76948005223733</v>
      </c>
      <c r="T26" s="3779">
        <v>854.9048412039308</v>
      </c>
      <c r="U26" s="3779">
        <v>231.27837236987631</v>
      </c>
      <c r="V26" s="3779">
        <v>157.66055860685785</v>
      </c>
      <c r="W26" s="4249">
        <v>367.00088874155631</v>
      </c>
    </row>
    <row r="27" spans="1:23" ht="20.100000000000001" customHeight="1">
      <c r="A27" s="3707"/>
      <c r="B27" s="3789" t="s">
        <v>1975</v>
      </c>
      <c r="C27" s="3776">
        <v>114.70459594065997</v>
      </c>
      <c r="D27" s="3775">
        <v>202.60777799765626</v>
      </c>
      <c r="E27" s="3775">
        <v>151.11048425639999</v>
      </c>
      <c r="F27" s="3777">
        <v>90.234333736240004</v>
      </c>
      <c r="G27" s="3776">
        <v>143.9132463988</v>
      </c>
      <c r="H27" s="3775">
        <v>136.57059089700002</v>
      </c>
      <c r="I27" s="3775">
        <v>25.152896831500009</v>
      </c>
      <c r="J27" s="3777">
        <v>23.132033305999993</v>
      </c>
      <c r="K27" s="3776">
        <v>57.024235313250003</v>
      </c>
      <c r="L27" s="3775">
        <v>1613.2750149307251</v>
      </c>
      <c r="M27" s="3775">
        <v>105.21163782073172</v>
      </c>
      <c r="N27" s="3777">
        <v>118.26277626227436</v>
      </c>
      <c r="O27" s="3776">
        <v>26.896859917344003</v>
      </c>
      <c r="P27" s="3775">
        <v>137.40194747425369</v>
      </c>
      <c r="Q27" s="3775">
        <v>108.11614742186953</v>
      </c>
      <c r="R27" s="3777">
        <v>189.2547525770606</v>
      </c>
      <c r="S27" s="3776">
        <v>255.84406820495613</v>
      </c>
      <c r="T27" s="3775">
        <v>75.394392758508573</v>
      </c>
      <c r="U27" s="3775">
        <v>45.366059706585368</v>
      </c>
      <c r="V27" s="3775">
        <v>-55.190009306418972</v>
      </c>
      <c r="W27" s="4250">
        <v>0</v>
      </c>
    </row>
    <row r="28" spans="1:23" s="3743" customFormat="1" ht="20.100000000000001" hidden="1" customHeight="1">
      <c r="A28" s="3707"/>
      <c r="B28" s="3790" t="s">
        <v>1976</v>
      </c>
      <c r="C28" s="3780"/>
      <c r="D28" s="3780"/>
      <c r="E28" s="3780"/>
      <c r="F28" s="3780"/>
      <c r="G28" s="3780"/>
      <c r="H28" s="3780"/>
      <c r="I28" s="3780"/>
      <c r="J28" s="3780"/>
      <c r="K28" s="3780"/>
      <c r="L28" s="3780"/>
      <c r="M28" s="3780"/>
      <c r="N28" s="3800"/>
      <c r="O28" s="3780"/>
      <c r="P28" s="3779"/>
      <c r="Q28" s="3779"/>
      <c r="R28" s="3781"/>
      <c r="S28" s="3780"/>
      <c r="T28" s="3779"/>
      <c r="U28" s="3779"/>
      <c r="V28" s="3779"/>
      <c r="W28" s="4249"/>
    </row>
    <row r="29" spans="1:23" s="3716" customFormat="1" ht="20.100000000000001" customHeight="1">
      <c r="A29" s="3742"/>
      <c r="B29" s="3801" t="s">
        <v>1977</v>
      </c>
      <c r="C29" s="3776">
        <v>-275.05818500625787</v>
      </c>
      <c r="D29" s="3775">
        <v>-1599.4246159629479</v>
      </c>
      <c r="E29" s="3775">
        <v>-1391.3149902250818</v>
      </c>
      <c r="F29" s="3777">
        <v>-1254.8232413917269</v>
      </c>
      <c r="G29" s="3776">
        <v>-529.8119106896828</v>
      </c>
      <c r="H29" s="3775">
        <v>-17.125252075970263</v>
      </c>
      <c r="I29" s="3775">
        <v>-873.20868479646992</v>
      </c>
      <c r="J29" s="3777">
        <v>-651.60159211998052</v>
      </c>
      <c r="K29" s="3776">
        <v>-450.70486914738524</v>
      </c>
      <c r="L29" s="3775">
        <v>-2024.0543413411551</v>
      </c>
      <c r="M29" s="3775">
        <v>-711.6931883526081</v>
      </c>
      <c r="N29" s="3777">
        <v>-348.54672474504133</v>
      </c>
      <c r="O29" s="3776">
        <v>278.18255761820899</v>
      </c>
      <c r="P29" s="3775">
        <v>-1071.6475648120518</v>
      </c>
      <c r="Q29" s="3775">
        <v>-1661.0367420088351</v>
      </c>
      <c r="R29" s="3777">
        <v>93.98425893461669</v>
      </c>
      <c r="S29" s="3776">
        <v>-1232.1268879238651</v>
      </c>
      <c r="T29" s="3775">
        <v>333.56845651078953</v>
      </c>
      <c r="U29" s="3775">
        <v>-937.19874483878448</v>
      </c>
      <c r="V29" s="3775">
        <v>132.76608107623454</v>
      </c>
      <c r="W29" s="4250">
        <v>-811.17435399565215</v>
      </c>
    </row>
    <row r="30" spans="1:23" s="3716" customFormat="1" ht="20.100000000000001" customHeight="1">
      <c r="A30" s="3742"/>
      <c r="B30" s="3791" t="s">
        <v>1978</v>
      </c>
      <c r="C30" s="3780">
        <v>75.014682929596589</v>
      </c>
      <c r="D30" s="3779">
        <v>-65.84121850938736</v>
      </c>
      <c r="E30" s="3779">
        <v>-3.8354436140208121</v>
      </c>
      <c r="F30" s="3781">
        <v>15.380928550020725</v>
      </c>
      <c r="G30" s="3780">
        <v>20.734136478711306</v>
      </c>
      <c r="H30" s="3779">
        <v>27.17742994958347</v>
      </c>
      <c r="I30" s="3779">
        <v>-33.94684441388339</v>
      </c>
      <c r="J30" s="3781">
        <v>146.58511326731985</v>
      </c>
      <c r="K30" s="3780">
        <v>6.7885663676077534</v>
      </c>
      <c r="L30" s="3779">
        <v>36.235236098934145</v>
      </c>
      <c r="M30" s="3779">
        <v>-12.300028027558632</v>
      </c>
      <c r="N30" s="3781">
        <v>157.8797591992336</v>
      </c>
      <c r="O30" s="3780">
        <v>320.85393859261086</v>
      </c>
      <c r="P30" s="3779">
        <v>-199.00656211634822</v>
      </c>
      <c r="Q30" s="3779">
        <v>196.15410432360983</v>
      </c>
      <c r="R30" s="3781">
        <v>34.734691639808773</v>
      </c>
      <c r="S30" s="3780">
        <v>222.10011075931232</v>
      </c>
      <c r="T30" s="3779">
        <v>79.69930986134888</v>
      </c>
      <c r="U30" s="3779">
        <v>-1070.8039224705735</v>
      </c>
      <c r="V30" s="3779">
        <v>12.391100039553816</v>
      </c>
      <c r="W30" s="4249">
        <v>310.73244567891408</v>
      </c>
    </row>
    <row r="31" spans="1:23" s="3716" customFormat="1" ht="20.100000000000001" customHeight="1">
      <c r="A31" s="3742"/>
      <c r="B31" s="3791" t="s">
        <v>1979</v>
      </c>
      <c r="C31" s="3780">
        <v>350.0728679358545</v>
      </c>
      <c r="D31" s="3779">
        <v>1533.5833974535606</v>
      </c>
      <c r="E31" s="3779">
        <v>1387.4795466110611</v>
      </c>
      <c r="F31" s="3781">
        <v>1270.2041699417478</v>
      </c>
      <c r="G31" s="3780">
        <v>550.54604716839413</v>
      </c>
      <c r="H31" s="3779">
        <v>44.302682025553736</v>
      </c>
      <c r="I31" s="3779">
        <v>839.26184038258657</v>
      </c>
      <c r="J31" s="3781">
        <v>798.18670538730044</v>
      </c>
      <c r="K31" s="3780">
        <v>457.493435514993</v>
      </c>
      <c r="L31" s="3779">
        <v>2060.289577440089</v>
      </c>
      <c r="M31" s="3779">
        <v>699.39316032504939</v>
      </c>
      <c r="N31" s="3781">
        <v>506.42648394427488</v>
      </c>
      <c r="O31" s="3780">
        <v>42.671380974401814</v>
      </c>
      <c r="P31" s="3779">
        <v>872.64100269570349</v>
      </c>
      <c r="Q31" s="3779">
        <v>1857.1908463324448</v>
      </c>
      <c r="R31" s="3781">
        <v>-59.24956729480791</v>
      </c>
      <c r="S31" s="3780">
        <v>1454.2269986831775</v>
      </c>
      <c r="T31" s="3779">
        <v>-253.86914664944061</v>
      </c>
      <c r="U31" s="3779">
        <v>-133.60517763178896</v>
      </c>
      <c r="V31" s="3779">
        <v>-120.37498103668071</v>
      </c>
      <c r="W31" s="4249">
        <v>1121.9067996745662</v>
      </c>
    </row>
    <row r="32" spans="1:23" ht="20.100000000000001" customHeight="1">
      <c r="A32" s="3707"/>
      <c r="B32" s="3785" t="s">
        <v>1991</v>
      </c>
      <c r="C32" s="3776">
        <v>275.47278183468148</v>
      </c>
      <c r="D32" s="3775">
        <v>1685.1499553987899</v>
      </c>
      <c r="E32" s="3775">
        <v>1326.6802632803872</v>
      </c>
      <c r="F32" s="3777">
        <v>1310.6008332509568</v>
      </c>
      <c r="G32" s="3776">
        <v>237.46582191716593</v>
      </c>
      <c r="H32" s="3775">
        <v>115.29863392245262</v>
      </c>
      <c r="I32" s="3775">
        <v>502.10156654952118</v>
      </c>
      <c r="J32" s="3777">
        <v>701.85727948077874</v>
      </c>
      <c r="K32" s="3776">
        <v>503.18864165240217</v>
      </c>
      <c r="L32" s="3775">
        <v>2060.514541650778</v>
      </c>
      <c r="M32" s="3775">
        <v>547.46554918126571</v>
      </c>
      <c r="N32" s="3777">
        <v>546.81539163999764</v>
      </c>
      <c r="O32" s="3776">
        <v>77.106753333333614</v>
      </c>
      <c r="P32" s="3775">
        <v>786.53748685726771</v>
      </c>
      <c r="Q32" s="3775">
        <v>1051.8326920461304</v>
      </c>
      <c r="R32" s="3777">
        <v>447.07474006804676</v>
      </c>
      <c r="S32" s="3776">
        <v>1643.3004086870237</v>
      </c>
      <c r="T32" s="3775">
        <v>53.373960757409932</v>
      </c>
      <c r="U32" s="3775">
        <v>-190.9106412473983</v>
      </c>
      <c r="V32" s="3775">
        <v>-178.05421389773406</v>
      </c>
      <c r="W32" s="4250">
        <v>1057.4272869266142</v>
      </c>
    </row>
    <row r="33" spans="1:23" ht="20.100000000000001" customHeight="1">
      <c r="A33" s="3707"/>
      <c r="B33" s="3785" t="s">
        <v>1981</v>
      </c>
      <c r="C33" s="3776">
        <v>0</v>
      </c>
      <c r="D33" s="3775">
        <v>-77.672975040320352</v>
      </c>
      <c r="E33" s="3775">
        <v>0</v>
      </c>
      <c r="F33" s="3777">
        <v>-76.823649817499245</v>
      </c>
      <c r="G33" s="3802">
        <v>0</v>
      </c>
      <c r="H33" s="3775">
        <v>-60.047053150404132</v>
      </c>
      <c r="I33" s="3775">
        <v>0</v>
      </c>
      <c r="J33" s="3777">
        <v>-63.22458124698278</v>
      </c>
      <c r="K33" s="3776">
        <v>-5.5220333333332974</v>
      </c>
      <c r="L33" s="3775">
        <v>-64.248016369180959</v>
      </c>
      <c r="M33" s="3775">
        <v>0</v>
      </c>
      <c r="N33" s="3777">
        <v>-65.633415285284229</v>
      </c>
      <c r="O33" s="3802">
        <v>0</v>
      </c>
      <c r="P33" s="3775">
        <v>-71.779404765192226</v>
      </c>
      <c r="Q33" s="3803">
        <v>0</v>
      </c>
      <c r="R33" s="3775">
        <v>-72.162799708763771</v>
      </c>
      <c r="S33" s="3802">
        <v>0</v>
      </c>
      <c r="T33" s="3775">
        <v>-70.994475411757776</v>
      </c>
      <c r="U33" s="3804">
        <v>0</v>
      </c>
      <c r="V33" s="3775">
        <v>-69.918542756060418</v>
      </c>
      <c r="W33" s="4250">
        <v>-21.818319005760031</v>
      </c>
    </row>
    <row r="34" spans="1:23" s="3716" customFormat="1" ht="20.100000000000001" customHeight="1">
      <c r="A34" s="3742"/>
      <c r="B34" s="3659" t="s">
        <v>1982</v>
      </c>
      <c r="C34" s="3780">
        <v>2060.1050255515424</v>
      </c>
      <c r="D34" s="3779">
        <v>-1884.3987290325394</v>
      </c>
      <c r="E34" s="3779">
        <v>-1046.1526228623386</v>
      </c>
      <c r="F34" s="3781">
        <v>947.8052579156838</v>
      </c>
      <c r="G34" s="3780">
        <v>9307.9374943991006</v>
      </c>
      <c r="H34" s="3779">
        <v>-13573.749443527027</v>
      </c>
      <c r="I34" s="3779">
        <v>-5242.9173309798634</v>
      </c>
      <c r="J34" s="3781">
        <v>255.39217762747933</v>
      </c>
      <c r="K34" s="3780">
        <v>-81.459160238568302</v>
      </c>
      <c r="L34" s="3779">
        <v>3080.1394307615105</v>
      </c>
      <c r="M34" s="3779">
        <v>-4069.5718216889404</v>
      </c>
      <c r="N34" s="3781">
        <v>-8571.2929779678489</v>
      </c>
      <c r="O34" s="3780">
        <v>2776.9602646126905</v>
      </c>
      <c r="P34" s="3779">
        <v>4036.995426317138</v>
      </c>
      <c r="Q34" s="3779">
        <v>1600.208150989698</v>
      </c>
      <c r="R34" s="3781">
        <v>-2173.6800933410859</v>
      </c>
      <c r="S34" s="3780">
        <v>2201.6724960193701</v>
      </c>
      <c r="T34" s="3779">
        <v>-1791.4003913641839</v>
      </c>
      <c r="U34" s="3779">
        <v>2019.8023666100516</v>
      </c>
      <c r="V34" s="3779">
        <v>-1509.0434742011857</v>
      </c>
      <c r="W34" s="4249">
        <v>5553.0891198568879</v>
      </c>
    </row>
    <row r="35" spans="1:23" s="3716" customFormat="1" ht="20.100000000000001" customHeight="1">
      <c r="A35" s="3742"/>
      <c r="B35" s="3659" t="s">
        <v>1983</v>
      </c>
      <c r="C35" s="3780">
        <v>2207.8241382216634</v>
      </c>
      <c r="D35" s="3779">
        <v>542.15521040978854</v>
      </c>
      <c r="E35" s="3779">
        <v>-1343.5348198870761</v>
      </c>
      <c r="F35" s="3781">
        <v>-4.9252551029451599</v>
      </c>
      <c r="G35" s="3780">
        <v>9530.5913092543524</v>
      </c>
      <c r="H35" s="3779">
        <v>-13069.342891987586</v>
      </c>
      <c r="I35" s="3779">
        <v>-5713.5377082621171</v>
      </c>
      <c r="J35" s="3781">
        <v>-557.82907164192716</v>
      </c>
      <c r="K35" s="3780">
        <v>1241.8537807298947</v>
      </c>
      <c r="L35" s="3779">
        <v>5667.5176989488818</v>
      </c>
      <c r="M35" s="3779">
        <v>-839.74844107858621</v>
      </c>
      <c r="N35" s="3781">
        <v>-6693.4260493211586</v>
      </c>
      <c r="O35" s="3780">
        <v>2557.3624279395235</v>
      </c>
      <c r="P35" s="3779">
        <v>2761.6649085202184</v>
      </c>
      <c r="Q35" s="3779">
        <v>2881.0866789088182</v>
      </c>
      <c r="R35" s="3781">
        <v>-2700.6582467654202</v>
      </c>
      <c r="S35" s="3780">
        <v>3448.5816879327494</v>
      </c>
      <c r="T35" s="3779">
        <v>-1464.0674482185429</v>
      </c>
      <c r="U35" s="3779">
        <v>-353.92016906094625</v>
      </c>
      <c r="V35" s="3779">
        <v>-2926.106644961797</v>
      </c>
      <c r="W35" s="4249">
        <v>5701.509930493562</v>
      </c>
    </row>
    <row r="36" spans="1:23" s="3716" customFormat="1">
      <c r="A36" s="3742"/>
      <c r="B36" s="3792" t="s">
        <v>1984</v>
      </c>
      <c r="C36" s="3794">
        <v>2207.8241382216634</v>
      </c>
      <c r="D36" s="3793">
        <v>542.15521040978854</v>
      </c>
      <c r="E36" s="3793">
        <v>-1343.5348198870761</v>
      </c>
      <c r="F36" s="3795">
        <v>-4.9252551029451599</v>
      </c>
      <c r="G36" s="3794">
        <v>9530.5913092543524</v>
      </c>
      <c r="H36" s="3793">
        <v>-13069.342891987586</v>
      </c>
      <c r="I36" s="3793">
        <v>-5713.5377082621171</v>
      </c>
      <c r="J36" s="3795">
        <v>-557.82907164192716</v>
      </c>
      <c r="K36" s="3794">
        <v>1241.8537807298947</v>
      </c>
      <c r="L36" s="3793">
        <v>5667.5176989488818</v>
      </c>
      <c r="M36" s="3793">
        <v>-839.74844107858621</v>
      </c>
      <c r="N36" s="3795">
        <v>-6693.4260493211586</v>
      </c>
      <c r="O36" s="3794">
        <v>2557.3624279395235</v>
      </c>
      <c r="P36" s="3793">
        <v>2761.6649085202184</v>
      </c>
      <c r="Q36" s="3793">
        <v>2881.0866789088182</v>
      </c>
      <c r="R36" s="3795">
        <v>-2700.6582467654202</v>
      </c>
      <c r="S36" s="3794">
        <v>3448.5816879327494</v>
      </c>
      <c r="T36" s="3793">
        <v>-1464.0674482185429</v>
      </c>
      <c r="U36" s="3793">
        <v>-353.92016906094625</v>
      </c>
      <c r="V36" s="4248">
        <v>-2926.106644961797</v>
      </c>
      <c r="W36" s="4251">
        <v>5701.509930493562</v>
      </c>
    </row>
    <row r="37" spans="1:23" ht="9" customHeight="1">
      <c r="A37" s="3707"/>
      <c r="B37" s="3805"/>
      <c r="C37" s="3669"/>
      <c r="D37" s="3669"/>
      <c r="E37" s="3669"/>
      <c r="F37" s="3669"/>
      <c r="G37" s="3713"/>
      <c r="H37" s="3669"/>
      <c r="I37" s="3669"/>
      <c r="J37" s="3669"/>
      <c r="K37" s="3669"/>
      <c r="L37" s="3669"/>
      <c r="M37" s="3669"/>
      <c r="N37" s="3669"/>
      <c r="O37" s="3669"/>
      <c r="P37" s="3669"/>
      <c r="Q37" s="3669"/>
      <c r="R37" s="3669"/>
      <c r="S37" s="3669"/>
      <c r="T37" s="3669"/>
      <c r="U37" s="3669"/>
      <c r="V37" s="3669"/>
      <c r="W37" s="3707"/>
    </row>
    <row r="38" spans="1:23" s="3745" customFormat="1" ht="46.5" customHeight="1">
      <c r="A38" s="3744"/>
      <c r="B38" s="4768" t="s">
        <v>1992</v>
      </c>
      <c r="C38" s="4768"/>
      <c r="D38" s="4768"/>
      <c r="E38" s="4768"/>
      <c r="F38" s="4768"/>
      <c r="G38" s="4768"/>
      <c r="H38" s="4768"/>
      <c r="I38" s="4768"/>
      <c r="J38" s="4768"/>
      <c r="K38" s="4768"/>
      <c r="L38" s="4768"/>
      <c r="M38" s="4768"/>
      <c r="N38" s="4768"/>
      <c r="O38" s="4768"/>
      <c r="P38" s="4768"/>
      <c r="Q38" s="4768"/>
      <c r="R38" s="4768"/>
      <c r="S38" s="4768"/>
      <c r="T38" s="4768"/>
      <c r="U38" s="4768"/>
      <c r="V38" s="4768"/>
      <c r="W38" s="3744"/>
    </row>
    <row r="39" spans="1:23" s="3722" customFormat="1" ht="46.5" customHeight="1">
      <c r="A39" s="3746"/>
      <c r="B39" s="4768"/>
      <c r="C39" s="4768"/>
      <c r="D39" s="4768"/>
      <c r="E39" s="4768"/>
      <c r="F39" s="4768"/>
      <c r="G39" s="4768"/>
      <c r="H39" s="4768"/>
      <c r="I39" s="4768"/>
      <c r="J39" s="4768"/>
      <c r="K39" s="4768"/>
      <c r="L39" s="4768"/>
      <c r="M39" s="4768"/>
      <c r="N39" s="4768"/>
      <c r="O39" s="4768"/>
      <c r="P39" s="4768"/>
      <c r="Q39" s="4768"/>
      <c r="R39" s="4768"/>
      <c r="S39" s="4768"/>
      <c r="T39" s="4768"/>
      <c r="U39" s="4768"/>
      <c r="V39" s="4768"/>
      <c r="W39" s="3746"/>
    </row>
    <row r="40" spans="1:23">
      <c r="A40" s="3707"/>
      <c r="B40" s="3669"/>
      <c r="C40" s="3669"/>
      <c r="D40" s="3669"/>
      <c r="E40" s="3669"/>
      <c r="F40" s="3669"/>
      <c r="G40" s="3669"/>
      <c r="H40" s="3669"/>
      <c r="I40" s="3669"/>
      <c r="J40" s="3669"/>
      <c r="K40" s="3669"/>
      <c r="L40" s="3669"/>
      <c r="M40" s="3669"/>
      <c r="N40" s="3669"/>
      <c r="O40" s="3669"/>
      <c r="P40" s="3669"/>
      <c r="Q40" s="3669"/>
      <c r="R40" s="3669"/>
      <c r="S40" s="3669"/>
      <c r="T40" s="3669"/>
      <c r="U40" s="3669"/>
      <c r="V40" s="3669"/>
      <c r="W40" s="3707"/>
    </row>
    <row r="41" spans="1:23">
      <c r="A41" s="3707"/>
      <c r="B41" s="3669"/>
      <c r="C41" s="3669"/>
      <c r="D41" s="3669"/>
      <c r="E41" s="3669"/>
      <c r="F41" s="3669"/>
      <c r="G41" s="3669"/>
      <c r="H41" s="3669"/>
      <c r="I41" s="3669"/>
      <c r="J41" s="3669"/>
      <c r="K41" s="3669"/>
      <c r="L41" s="3669"/>
      <c r="M41" s="3669"/>
      <c r="N41" s="3669"/>
      <c r="O41" s="3669"/>
      <c r="P41" s="3669"/>
      <c r="Q41" s="3669"/>
      <c r="R41" s="3669"/>
      <c r="S41" s="3669"/>
      <c r="T41" s="3669"/>
      <c r="U41" s="3669"/>
      <c r="V41" s="3669"/>
      <c r="W41" s="3707"/>
    </row>
    <row r="42" spans="1:23">
      <c r="W42" s="4037"/>
    </row>
    <row r="43" spans="1:23">
      <c r="W43" s="4037"/>
    </row>
  </sheetData>
  <mergeCells count="27">
    <mergeCell ref="B38:V39"/>
    <mergeCell ref="U3:U4"/>
    <mergeCell ref="V3:V4"/>
    <mergeCell ref="G5:J5"/>
    <mergeCell ref="K5:N5"/>
    <mergeCell ref="O5:R5"/>
    <mergeCell ref="S5:V5"/>
    <mergeCell ref="O3:O4"/>
    <mergeCell ref="P3:P4"/>
    <mergeCell ref="Q3:Q4"/>
    <mergeCell ref="R3:R4"/>
    <mergeCell ref="S3:S4"/>
    <mergeCell ref="T3:T4"/>
    <mergeCell ref="I3:I4"/>
    <mergeCell ref="J3:J4"/>
    <mergeCell ref="K3:K4"/>
    <mergeCell ref="W3:W4"/>
    <mergeCell ref="L3:L4"/>
    <mergeCell ref="M3:M4"/>
    <mergeCell ref="N3:N4"/>
    <mergeCell ref="B3:B5"/>
    <mergeCell ref="C3:C4"/>
    <mergeCell ref="D3:D4"/>
    <mergeCell ref="E3:E4"/>
    <mergeCell ref="F3:F4"/>
    <mergeCell ref="G3:G4"/>
    <mergeCell ref="H3:H4"/>
  </mergeCells>
  <pageMargins left="0.7" right="0.7" top="0.75" bottom="0.75" header="0.3" footer="0.3"/>
  <pageSetup paperSize="9" scale="61" orientation="landscape" r:id="rId1"/>
</worksheet>
</file>

<file path=xl/worksheets/sheet55.xml><?xml version="1.0" encoding="utf-8"?>
<worksheet xmlns="http://schemas.openxmlformats.org/spreadsheetml/2006/main" xmlns:r="http://schemas.openxmlformats.org/officeDocument/2006/relationships">
  <dimension ref="A1:R24"/>
  <sheetViews>
    <sheetView zoomScale="70" zoomScaleNormal="70" workbookViewId="0">
      <pane xSplit="2" ySplit="4" topLeftCell="C5" activePane="bottomRight" state="frozen"/>
      <selection activeCell="O44" sqref="O44:AA44"/>
      <selection pane="topRight" activeCell="O44" sqref="O44:AA44"/>
      <selection pane="bottomLeft" activeCell="O44" sqref="O44:AA44"/>
      <selection pane="bottomRight" activeCell="P9" sqref="P9"/>
    </sheetView>
  </sheetViews>
  <sheetFormatPr defaultRowHeight="15.75"/>
  <cols>
    <col min="1" max="1" width="12" style="3696" customWidth="1"/>
    <col min="2" max="2" width="45.5703125" style="3703" customWidth="1"/>
    <col min="3" max="3" width="12.140625" style="3704" customWidth="1"/>
    <col min="4" max="9" width="11.5703125" style="3696" customWidth="1"/>
    <col min="10" max="10" width="11.140625" style="3696" bestFit="1" customWidth="1"/>
    <col min="11" max="14" width="11.140625" style="3696" customWidth="1"/>
    <col min="15" max="15" width="11.28515625" style="3696" customWidth="1"/>
    <col min="16" max="17" width="9.140625" style="3696"/>
    <col min="18" max="18" width="10.85546875" style="3696" bestFit="1" customWidth="1"/>
    <col min="19" max="16384" width="9.140625" style="3696"/>
  </cols>
  <sheetData>
    <row r="1" spans="1:18" ht="41.25" customHeight="1">
      <c r="A1" s="4038"/>
      <c r="B1" s="3882" t="s">
        <v>2032</v>
      </c>
      <c r="C1" s="3747"/>
      <c r="D1" s="3747"/>
      <c r="E1" s="3747"/>
      <c r="F1" s="3747"/>
      <c r="G1" s="3747"/>
      <c r="H1" s="3747"/>
      <c r="I1" s="3747"/>
      <c r="J1" s="3747"/>
      <c r="K1" s="3697"/>
      <c r="L1" s="3697"/>
      <c r="M1" s="3697"/>
      <c r="N1" s="3697"/>
      <c r="O1" s="4038"/>
    </row>
    <row r="2" spans="1:18">
      <c r="A2" s="4038"/>
      <c r="B2" s="4781" t="s">
        <v>146</v>
      </c>
      <c r="C2" s="3748"/>
      <c r="D2" s="3749"/>
      <c r="E2" s="3749"/>
      <c r="F2" s="3749"/>
      <c r="G2" s="3749"/>
      <c r="H2" s="3749"/>
      <c r="I2" s="3749"/>
      <c r="J2" s="3749"/>
      <c r="K2" s="3750"/>
      <c r="L2" s="3749"/>
      <c r="M2" s="3749"/>
      <c r="N2" s="3749"/>
      <c r="O2" s="3749" t="s">
        <v>1919</v>
      </c>
    </row>
    <row r="3" spans="1:18" s="3698" customFormat="1">
      <c r="A3" s="4039"/>
      <c r="B3" s="4782"/>
      <c r="C3" s="3751">
        <v>40330</v>
      </c>
      <c r="D3" s="3751">
        <v>40695</v>
      </c>
      <c r="E3" s="3751">
        <v>41061</v>
      </c>
      <c r="F3" s="3751">
        <v>41426</v>
      </c>
      <c r="G3" s="3751">
        <v>41518</v>
      </c>
      <c r="H3" s="3751">
        <v>41609</v>
      </c>
      <c r="I3" s="3751">
        <v>41699</v>
      </c>
      <c r="J3" s="3751">
        <v>41791</v>
      </c>
      <c r="K3" s="3751">
        <v>41883</v>
      </c>
      <c r="L3" s="3752">
        <v>41974</v>
      </c>
      <c r="M3" s="3751">
        <v>42064</v>
      </c>
      <c r="N3" s="3752">
        <v>42156</v>
      </c>
      <c r="O3" s="3752">
        <v>42248</v>
      </c>
    </row>
    <row r="4" spans="1:18" s="3698" customFormat="1" ht="15.75" customHeight="1">
      <c r="A4" s="4039"/>
      <c r="B4" s="4783"/>
      <c r="C4" s="3753"/>
      <c r="D4" s="3753"/>
      <c r="E4" s="3753"/>
      <c r="F4" s="3754" t="s">
        <v>1920</v>
      </c>
      <c r="G4" s="3755"/>
      <c r="H4" s="3756"/>
      <c r="I4" s="3756"/>
      <c r="J4" s="3756"/>
      <c r="K4" s="4784" t="s">
        <v>1921</v>
      </c>
      <c r="L4" s="4784"/>
      <c r="M4" s="4281"/>
      <c r="N4" s="4785" t="s">
        <v>1922</v>
      </c>
      <c r="O4" s="4785"/>
    </row>
    <row r="5" spans="1:18" s="3698" customFormat="1" ht="20.25" customHeight="1">
      <c r="A5" s="4039"/>
      <c r="B5" s="3757" t="s">
        <v>1923</v>
      </c>
      <c r="C5" s="3758">
        <v>-159.17266805787222</v>
      </c>
      <c r="D5" s="3758">
        <v>-491.14614504250153</v>
      </c>
      <c r="E5" s="3758">
        <v>-702.07184824912542</v>
      </c>
      <c r="F5" s="3758">
        <v>-922.44674038274638</v>
      </c>
      <c r="G5" s="3758">
        <v>-937.11157334082009</v>
      </c>
      <c r="H5" s="3758">
        <v>-916.20391431835014</v>
      </c>
      <c r="I5" s="3758">
        <v>-1038.5464811157426</v>
      </c>
      <c r="J5" s="3758">
        <v>-1089.2855208517665</v>
      </c>
      <c r="K5" s="3758">
        <v>-1081.7078919496951</v>
      </c>
      <c r="L5" s="3758">
        <v>-1089.9802100819252</v>
      </c>
      <c r="M5" s="3758">
        <v>-1286.4700602619982</v>
      </c>
      <c r="N5" s="3758">
        <v>-1389.4313306878714</v>
      </c>
      <c r="O5" s="4253">
        <v>-1256.4639977938698</v>
      </c>
      <c r="P5" s="3700"/>
      <c r="Q5" s="3699"/>
      <c r="R5" s="3699"/>
    </row>
    <row r="6" spans="1:18" s="3698" customFormat="1" ht="18" customHeight="1">
      <c r="A6" s="4039"/>
      <c r="B6" s="3759" t="s">
        <v>1924</v>
      </c>
      <c r="C6" s="3760">
        <v>871.46906387996773</v>
      </c>
      <c r="D6" s="3760">
        <v>992.98655735413331</v>
      </c>
      <c r="E6" s="3760">
        <v>861.72352523358177</v>
      </c>
      <c r="F6" s="3760">
        <v>1029.676146685646</v>
      </c>
      <c r="G6" s="3760">
        <v>949.31418685926928</v>
      </c>
      <c r="H6" s="3760">
        <v>1016.4460463748601</v>
      </c>
      <c r="I6" s="3760">
        <v>1057.4723754365118</v>
      </c>
      <c r="J6" s="3760">
        <v>1106.6018677219629</v>
      </c>
      <c r="K6" s="3760">
        <v>1225.9046616987191</v>
      </c>
      <c r="L6" s="3760">
        <v>1279.8653343289734</v>
      </c>
      <c r="M6" s="3760">
        <v>1093.7893419681996</v>
      </c>
      <c r="N6" s="3760">
        <v>1055.1000391471728</v>
      </c>
      <c r="O6" s="4253">
        <v>1225.5700010203102</v>
      </c>
      <c r="P6" s="3700"/>
    </row>
    <row r="7" spans="1:18" ht="18" customHeight="1">
      <c r="A7" s="4038"/>
      <c r="B7" s="3761" t="s">
        <v>1925</v>
      </c>
      <c r="C7" s="3762">
        <v>94.468321090155968</v>
      </c>
      <c r="D7" s="3762">
        <v>172.69098032669947</v>
      </c>
      <c r="E7" s="3762">
        <v>154.91109790921521</v>
      </c>
      <c r="F7" s="3762">
        <v>63.969562152949358</v>
      </c>
      <c r="G7" s="3762">
        <v>64.275213203721108</v>
      </c>
      <c r="H7" s="3762">
        <v>65.234276008180274</v>
      </c>
      <c r="I7" s="3762">
        <v>65.226450443179502</v>
      </c>
      <c r="J7" s="3762">
        <v>64.595436701429279</v>
      </c>
      <c r="K7" s="3762">
        <v>63.237521220836349</v>
      </c>
      <c r="L7" s="3762">
        <v>64.54640512635892</v>
      </c>
      <c r="M7" s="3762">
        <v>65.992130373633188</v>
      </c>
      <c r="N7" s="3762">
        <v>64.425643036848925</v>
      </c>
      <c r="O7" s="4254">
        <v>67.987890988533934</v>
      </c>
      <c r="P7" s="3702"/>
      <c r="Q7" s="3701"/>
      <c r="R7" s="3701"/>
    </row>
    <row r="8" spans="1:18" ht="18" customHeight="1">
      <c r="A8" s="4038"/>
      <c r="B8" s="3761" t="s">
        <v>1926</v>
      </c>
      <c r="C8" s="3762">
        <v>20.083526287939858</v>
      </c>
      <c r="D8" s="3762">
        <v>43.737963948453768</v>
      </c>
      <c r="E8" s="3762">
        <v>34.430982744992214</v>
      </c>
      <c r="F8" s="3762">
        <v>47.852873627111101</v>
      </c>
      <c r="G8" s="3762">
        <v>52.308934634808267</v>
      </c>
      <c r="H8" s="3762">
        <v>23.422948311595313</v>
      </c>
      <c r="I8" s="3762">
        <v>25.461714996227379</v>
      </c>
      <c r="J8" s="3762">
        <v>44.320724405123023</v>
      </c>
      <c r="K8" s="3762">
        <v>60.420799648874493</v>
      </c>
      <c r="L8" s="3762">
        <v>31.768910091698643</v>
      </c>
      <c r="M8" s="3762">
        <v>18.501041919257787</v>
      </c>
      <c r="N8" s="3762">
        <v>32.066445202140216</v>
      </c>
      <c r="O8" s="4255">
        <v>13.754943095717561</v>
      </c>
      <c r="P8" s="3702"/>
    </row>
    <row r="9" spans="1:18" ht="18" customHeight="1">
      <c r="A9" s="4038"/>
      <c r="B9" s="3761" t="s">
        <v>1927</v>
      </c>
      <c r="C9" s="3762">
        <v>756.91721650187185</v>
      </c>
      <c r="D9" s="3762">
        <v>776.55761307898024</v>
      </c>
      <c r="E9" s="3762">
        <v>672.38144457937437</v>
      </c>
      <c r="F9" s="3762">
        <v>917.85371090558544</v>
      </c>
      <c r="G9" s="3762">
        <v>832.73003902073992</v>
      </c>
      <c r="H9" s="3762">
        <v>927.78882205508444</v>
      </c>
      <c r="I9" s="3762">
        <v>966.78420999710499</v>
      </c>
      <c r="J9" s="3762">
        <v>997.6857066154106</v>
      </c>
      <c r="K9" s="3762">
        <v>1102.2463408290084</v>
      </c>
      <c r="L9" s="3762">
        <v>1183.5500191109159</v>
      </c>
      <c r="M9" s="3762">
        <v>1009.2961696753085</v>
      </c>
      <c r="N9" s="3762">
        <v>958.6079509081834</v>
      </c>
      <c r="O9" s="4255">
        <v>1143.8271669360586</v>
      </c>
      <c r="P9" s="3702"/>
    </row>
    <row r="10" spans="1:18" s="3698" customFormat="1" ht="18" customHeight="1">
      <c r="A10" s="4039"/>
      <c r="B10" s="3759" t="s">
        <v>1928</v>
      </c>
      <c r="C10" s="3760">
        <v>1030.6417319378399</v>
      </c>
      <c r="D10" s="3760">
        <v>1484.1327023966348</v>
      </c>
      <c r="E10" s="3760">
        <v>1563.7953734827072</v>
      </c>
      <c r="F10" s="3760">
        <v>1952.1228870683924</v>
      </c>
      <c r="G10" s="3760">
        <v>1886.4257602000894</v>
      </c>
      <c r="H10" s="3760">
        <v>1932.6499606932102</v>
      </c>
      <c r="I10" s="3760">
        <v>2096.0188565522544</v>
      </c>
      <c r="J10" s="3760">
        <v>2195.8873885737294</v>
      </c>
      <c r="K10" s="3760">
        <v>2307.6125536484142</v>
      </c>
      <c r="L10" s="3760">
        <v>2369.8455444108986</v>
      </c>
      <c r="M10" s="3760">
        <v>2380.2594022301978</v>
      </c>
      <c r="N10" s="3760">
        <v>2444.5313698350442</v>
      </c>
      <c r="O10" s="4253">
        <v>2482.03399881418</v>
      </c>
      <c r="P10" s="3700"/>
    </row>
    <row r="11" spans="1:18" ht="18" customHeight="1">
      <c r="A11" s="4038"/>
      <c r="B11" s="3761" t="s">
        <v>1929</v>
      </c>
      <c r="C11" s="3762">
        <v>52.595631261687004</v>
      </c>
      <c r="D11" s="3762">
        <v>66.677404165761175</v>
      </c>
      <c r="E11" s="3762">
        <v>82.994114918949904</v>
      </c>
      <c r="F11" s="3762">
        <v>128.77068397226088</v>
      </c>
      <c r="G11" s="3762">
        <v>130.49240449249419</v>
      </c>
      <c r="H11" s="3762">
        <v>145.95589471281457</v>
      </c>
      <c r="I11" s="3762">
        <v>155.70661031374169</v>
      </c>
      <c r="J11" s="3762">
        <v>145.44299152559867</v>
      </c>
      <c r="K11" s="3762">
        <v>157.93382331441703</v>
      </c>
      <c r="L11" s="3762">
        <v>204.40668223550762</v>
      </c>
      <c r="M11" s="3762">
        <v>203.42001412236397</v>
      </c>
      <c r="N11" s="3762">
        <v>210.56543960602414</v>
      </c>
      <c r="O11" s="4255">
        <v>219.05350339395176</v>
      </c>
      <c r="P11" s="3702"/>
    </row>
    <row r="12" spans="1:18" ht="18" customHeight="1">
      <c r="A12" s="4038"/>
      <c r="B12" s="3763" t="s">
        <v>1930</v>
      </c>
      <c r="C12" s="3762">
        <v>50.159264308897306</v>
      </c>
      <c r="D12" s="3762">
        <v>53.02652146254114</v>
      </c>
      <c r="E12" s="3762">
        <v>58.113785255379256</v>
      </c>
      <c r="F12" s="3762">
        <v>103.28124915622389</v>
      </c>
      <c r="G12" s="3762">
        <v>103.15569326295152</v>
      </c>
      <c r="H12" s="3762">
        <v>107.20077889514764</v>
      </c>
      <c r="I12" s="3762">
        <v>116.58764682491577</v>
      </c>
      <c r="J12" s="3762">
        <v>106.3227457669652</v>
      </c>
      <c r="K12" s="3762">
        <v>130.23638957261301</v>
      </c>
      <c r="L12" s="3762">
        <v>146.4022225269147</v>
      </c>
      <c r="M12" s="3762">
        <v>146.08880030513808</v>
      </c>
      <c r="N12" s="3762">
        <v>153.40260726132868</v>
      </c>
      <c r="O12" s="4255">
        <v>161.12188758780002</v>
      </c>
      <c r="P12" s="3702"/>
    </row>
    <row r="13" spans="1:18" ht="18" customHeight="1">
      <c r="A13" s="4038"/>
      <c r="B13" s="3763" t="s">
        <v>1931</v>
      </c>
      <c r="C13" s="3762">
        <v>2.4363669527896996</v>
      </c>
      <c r="D13" s="3762">
        <v>13.650882703220036</v>
      </c>
      <c r="E13" s="3762">
        <v>24.880329663570652</v>
      </c>
      <c r="F13" s="3762">
        <v>25.48943481603699</v>
      </c>
      <c r="G13" s="3762">
        <v>27.336711229542665</v>
      </c>
      <c r="H13" s="3762">
        <v>38.75511581766694</v>
      </c>
      <c r="I13" s="3762">
        <v>39.118963488825912</v>
      </c>
      <c r="J13" s="3762">
        <v>39.120245758633494</v>
      </c>
      <c r="K13" s="3762">
        <v>27.697433741804019</v>
      </c>
      <c r="L13" s="3762">
        <v>58.004459708592911</v>
      </c>
      <c r="M13" s="3762">
        <v>57.331213817225894</v>
      </c>
      <c r="N13" s="3762">
        <v>57.16283234469546</v>
      </c>
      <c r="O13" s="4255">
        <v>57.93161580615174</v>
      </c>
      <c r="P13" s="3702"/>
    </row>
    <row r="14" spans="1:18" ht="18" customHeight="1">
      <c r="A14" s="4038"/>
      <c r="B14" s="3761" t="s">
        <v>1925</v>
      </c>
      <c r="C14" s="3762">
        <v>80.599653184763952</v>
      </c>
      <c r="D14" s="3762">
        <v>83.215673918828259</v>
      </c>
      <c r="E14" s="3762">
        <v>77.211581911417355</v>
      </c>
      <c r="F14" s="3762">
        <v>88.546911535379252</v>
      </c>
      <c r="G14" s="3762">
        <v>88.423436640793525</v>
      </c>
      <c r="H14" s="3762">
        <v>90.593019503603273</v>
      </c>
      <c r="I14" s="3762">
        <v>107.88172185360675</v>
      </c>
      <c r="J14" s="3762">
        <v>100.84877243479465</v>
      </c>
      <c r="K14" s="3762">
        <v>93.841851371187161</v>
      </c>
      <c r="L14" s="3762">
        <v>86.57529277747031</v>
      </c>
      <c r="M14" s="3762">
        <v>86.451602368290779</v>
      </c>
      <c r="N14" s="3762">
        <v>85.675578928561094</v>
      </c>
      <c r="O14" s="4255">
        <v>89.913110037887193</v>
      </c>
      <c r="P14" s="3702"/>
    </row>
    <row r="15" spans="1:18" ht="18" customHeight="1">
      <c r="A15" s="4038"/>
      <c r="B15" s="3761" t="s">
        <v>1932</v>
      </c>
      <c r="C15" s="3762">
        <v>888.14479211254786</v>
      </c>
      <c r="D15" s="3762">
        <v>1321.6014854526088</v>
      </c>
      <c r="E15" s="3762">
        <v>1390.8768567148697</v>
      </c>
      <c r="F15" s="3762">
        <v>1710.4996306509411</v>
      </c>
      <c r="G15" s="3762">
        <v>1637.3079623468145</v>
      </c>
      <c r="H15" s="3762">
        <v>1664.4294211468682</v>
      </c>
      <c r="I15" s="3762">
        <v>1799.5417833516433</v>
      </c>
      <c r="J15" s="3762">
        <v>1921.9522496353886</v>
      </c>
      <c r="K15" s="3762">
        <v>2024.7762909111814</v>
      </c>
      <c r="L15" s="3762">
        <v>2045.6467549163426</v>
      </c>
      <c r="M15" s="3762">
        <v>2053.0078287360043</v>
      </c>
      <c r="N15" s="3762">
        <v>2106.8651234634926</v>
      </c>
      <c r="O15" s="4255">
        <v>2143.341274266143</v>
      </c>
      <c r="P15" s="3702"/>
    </row>
    <row r="16" spans="1:18" ht="18" customHeight="1">
      <c r="A16" s="4038"/>
      <c r="B16" s="3761" t="s">
        <v>1926</v>
      </c>
      <c r="C16" s="3762">
        <v>0.44380660944206074</v>
      </c>
      <c r="D16" s="3762">
        <v>3.0523210091683817</v>
      </c>
      <c r="E16" s="3762">
        <v>3.6234824101832754</v>
      </c>
      <c r="F16" s="3762">
        <v>15.290692652589664</v>
      </c>
      <c r="G16" s="3762">
        <v>21.013637145779978</v>
      </c>
      <c r="H16" s="3762">
        <v>22.463629766788248</v>
      </c>
      <c r="I16" s="3762">
        <v>23.631254251210216</v>
      </c>
      <c r="J16" s="3762">
        <v>18.384661111816182</v>
      </c>
      <c r="K16" s="3762">
        <v>22.180733344438224</v>
      </c>
      <c r="L16" s="3762">
        <v>24.538950094443756</v>
      </c>
      <c r="M16" s="3762">
        <v>29.11754744642495</v>
      </c>
      <c r="N16" s="3762">
        <v>33.001692700356024</v>
      </c>
      <c r="O16" s="4255">
        <v>21.318491640773622</v>
      </c>
      <c r="P16" s="3702"/>
    </row>
    <row r="17" spans="1:16">
      <c r="A17" s="4038"/>
      <c r="B17" s="3761" t="s">
        <v>1933</v>
      </c>
      <c r="C17" s="3762">
        <v>8.8578487693991406</v>
      </c>
      <c r="D17" s="3762">
        <v>9.5858178502683362</v>
      </c>
      <c r="E17" s="3762">
        <v>9.0893375272869346</v>
      </c>
      <c r="F17" s="3762">
        <v>9.0149682572215841</v>
      </c>
      <c r="G17" s="3762">
        <v>9.1883195742071138</v>
      </c>
      <c r="H17" s="3762">
        <v>9.2079955631358565</v>
      </c>
      <c r="I17" s="3762">
        <v>9.2574867820525171</v>
      </c>
      <c r="J17" s="3762">
        <v>9.2587138661307762</v>
      </c>
      <c r="K17" s="3762">
        <v>8.8798547071905105</v>
      </c>
      <c r="L17" s="3762">
        <v>8.6778643871341643</v>
      </c>
      <c r="M17" s="3762">
        <v>8.2624095571143812</v>
      </c>
      <c r="N17" s="3762">
        <v>8.4235351366099458</v>
      </c>
      <c r="O17" s="4255">
        <v>8.4076194754241023</v>
      </c>
      <c r="P17" s="3702"/>
    </row>
    <row r="18" spans="1:16">
      <c r="A18" s="4038"/>
      <c r="B18" s="3764"/>
      <c r="C18" s="3765"/>
      <c r="D18" s="3765"/>
      <c r="E18" s="3765"/>
      <c r="F18" s="3765"/>
      <c r="G18" s="3765"/>
      <c r="H18" s="3765"/>
      <c r="I18" s="3765"/>
      <c r="J18" s="3765"/>
      <c r="K18" s="3765"/>
      <c r="L18" s="3765"/>
      <c r="M18" s="3765"/>
      <c r="N18" s="3765"/>
      <c r="O18" s="4255"/>
    </row>
    <row r="19" spans="1:16" s="3698" customFormat="1">
      <c r="A19" s="4039"/>
      <c r="B19" s="3766" t="s">
        <v>1934</v>
      </c>
      <c r="C19" s="3767">
        <v>46.6</v>
      </c>
      <c r="D19" s="3767">
        <v>44.72</v>
      </c>
      <c r="E19" s="3767">
        <v>56.308999999999997</v>
      </c>
      <c r="F19" s="3767">
        <v>59.6995</v>
      </c>
      <c r="G19" s="3767">
        <v>62.777000000000001</v>
      </c>
      <c r="H19" s="3767">
        <v>62.002800000000001</v>
      </c>
      <c r="I19" s="3767">
        <v>60.099800000000002</v>
      </c>
      <c r="J19" s="3767">
        <v>60.093299999999999</v>
      </c>
      <c r="K19" s="3767">
        <v>61.613500000000002</v>
      </c>
      <c r="L19" s="3768">
        <v>63.331499999999998</v>
      </c>
      <c r="M19" s="3768">
        <v>62.590800000000002</v>
      </c>
      <c r="N19" s="3768">
        <v>63.754899999999999</v>
      </c>
      <c r="O19" s="4256">
        <v>65.741799999999998</v>
      </c>
    </row>
    <row r="20" spans="1:16">
      <c r="A20" s="4038"/>
      <c r="B20" s="3769"/>
      <c r="C20" s="3769"/>
      <c r="D20" s="3769"/>
      <c r="E20" s="3769"/>
      <c r="F20" s="3769"/>
      <c r="G20" s="3769"/>
      <c r="H20" s="3769"/>
      <c r="I20" s="3769"/>
      <c r="J20" s="3769"/>
      <c r="K20" s="3769"/>
      <c r="L20" s="3769"/>
      <c r="M20" s="3769"/>
      <c r="N20" s="3769"/>
      <c r="O20" s="4038"/>
    </row>
    <row r="21" spans="1:16">
      <c r="A21" s="4038"/>
      <c r="B21" s="4040"/>
      <c r="C21" s="4041"/>
      <c r="D21" s="4038"/>
      <c r="E21" s="4038"/>
      <c r="F21" s="4038"/>
      <c r="G21" s="4038"/>
      <c r="H21" s="4038"/>
      <c r="I21" s="4038"/>
      <c r="J21" s="4038"/>
      <c r="K21" s="4038"/>
      <c r="L21" s="4038"/>
      <c r="M21" s="4038"/>
      <c r="N21" s="4038"/>
      <c r="O21" s="4038"/>
    </row>
    <row r="23" spans="1:16">
      <c r="L23" s="3705"/>
      <c r="M23" s="3705"/>
      <c r="N23" s="3705"/>
    </row>
    <row r="24" spans="1:16">
      <c r="L24" s="3705"/>
      <c r="M24" s="3705"/>
      <c r="N24" s="3705"/>
    </row>
  </sheetData>
  <mergeCells count="3">
    <mergeCell ref="B2:B4"/>
    <mergeCell ref="K4:L4"/>
    <mergeCell ref="N4:O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dimension ref="A1:Z77"/>
  <sheetViews>
    <sheetView zoomScale="85" zoomScaleNormal="85" workbookViewId="0">
      <pane xSplit="2" ySplit="9" topLeftCell="C10" activePane="bottomRight" state="frozen"/>
      <selection pane="topRight" activeCell="C1" sqref="C1"/>
      <selection pane="bottomLeft" activeCell="A10" sqref="A10"/>
      <selection pane="bottomRight" activeCell="T14" sqref="T14"/>
    </sheetView>
  </sheetViews>
  <sheetFormatPr defaultColWidth="12.5703125" defaultRowHeight="12.75"/>
  <cols>
    <col min="1" max="1" width="12.5703125" style="3922" customWidth="1"/>
    <col min="2" max="2" width="8" style="3898" customWidth="1"/>
    <col min="3" max="3" width="8.7109375" style="3898" customWidth="1"/>
    <col min="4" max="4" width="9" style="3898" customWidth="1"/>
    <col min="5" max="5" width="8.7109375" style="3898" customWidth="1"/>
    <col min="6" max="6" width="9.140625" style="3898" customWidth="1"/>
    <col min="7" max="7" width="9" style="3265" customWidth="1"/>
    <col min="8" max="8" width="9.140625" style="3898" customWidth="1"/>
    <col min="9" max="9" width="10" style="3898" customWidth="1"/>
    <col min="10" max="10" width="9.140625" style="3898" customWidth="1"/>
    <col min="11" max="12" width="9.28515625" style="3898" hidden="1" customWidth="1"/>
    <col min="13" max="13" width="8.85546875" style="3898" customWidth="1"/>
    <col min="14" max="14" width="9.28515625" style="3898" customWidth="1"/>
    <col min="15" max="16" width="9" style="3898" customWidth="1"/>
    <col min="17" max="17" width="8.28515625" style="3898" customWidth="1"/>
    <col min="18" max="18" width="9.140625" style="3898" customWidth="1"/>
    <col min="19" max="19" width="10.28515625" style="3898" customWidth="1"/>
    <col min="20" max="20" width="9.85546875" style="3898" customWidth="1"/>
    <col min="21" max="16384" width="12.5703125" style="3898"/>
  </cols>
  <sheetData>
    <row r="1" spans="1:26" ht="18">
      <c r="A1" s="3923"/>
      <c r="B1" s="3949" t="s">
        <v>2036</v>
      </c>
      <c r="C1" s="3181"/>
      <c r="D1" s="3923"/>
      <c r="E1" s="3923"/>
      <c r="F1" s="3923"/>
      <c r="G1" s="3924"/>
      <c r="H1" s="3923"/>
      <c r="I1" s="3923"/>
      <c r="J1" s="3923"/>
      <c r="K1" s="3923"/>
      <c r="L1" s="3923"/>
      <c r="M1" s="3923"/>
      <c r="N1" s="3923"/>
      <c r="O1" s="3923"/>
      <c r="P1" s="3923"/>
      <c r="Q1" s="3923"/>
      <c r="R1" s="3923"/>
      <c r="S1" s="3923"/>
      <c r="T1" s="3923"/>
      <c r="U1" s="3923"/>
      <c r="V1" s="3923"/>
      <c r="W1" s="3923"/>
      <c r="X1" s="3923"/>
      <c r="Y1" s="3923"/>
      <c r="Z1" s="3923"/>
    </row>
    <row r="2" spans="1:26" hidden="1">
      <c r="A2" s="3923"/>
      <c r="B2" s="3923"/>
      <c r="C2" s="3923"/>
      <c r="D2" s="3923"/>
      <c r="E2" s="3923"/>
      <c r="F2" s="3923"/>
      <c r="G2" s="3924"/>
      <c r="H2" s="3923"/>
      <c r="I2" s="3923"/>
      <c r="J2" s="3923"/>
      <c r="K2" s="3923"/>
      <c r="L2" s="3923"/>
      <c r="M2" s="3923"/>
      <c r="N2" s="3923"/>
      <c r="O2" s="3923"/>
      <c r="P2" s="3923"/>
      <c r="Q2" s="3923"/>
      <c r="R2" s="3923"/>
      <c r="S2" s="3923"/>
      <c r="T2" s="3923"/>
      <c r="U2" s="3923"/>
      <c r="V2" s="3923"/>
      <c r="W2" s="3923"/>
      <c r="X2" s="3923"/>
      <c r="Y2" s="3923"/>
      <c r="Z2" s="3923"/>
    </row>
    <row r="3" spans="1:26">
      <c r="A3" s="3923"/>
      <c r="B3" s="3923"/>
      <c r="C3" s="3923"/>
      <c r="D3" s="3923"/>
      <c r="E3" s="3923"/>
      <c r="F3" s="3923"/>
      <c r="G3" s="3924"/>
      <c r="H3" s="3923"/>
      <c r="I3" s="3923"/>
      <c r="J3" s="3923"/>
      <c r="K3" s="3923"/>
      <c r="L3" s="3923"/>
      <c r="M3" s="3923"/>
      <c r="N3" s="3923"/>
      <c r="O3" s="3923"/>
      <c r="P3" s="3923"/>
      <c r="Q3" s="3923"/>
      <c r="R3" s="3923"/>
      <c r="S3" s="3923"/>
      <c r="T3" s="3923"/>
      <c r="U3" s="3923"/>
      <c r="V3" s="3923"/>
      <c r="W3" s="3923"/>
      <c r="X3" s="3923"/>
      <c r="Y3" s="3923"/>
      <c r="Z3" s="3923"/>
    </row>
    <row r="4" spans="1:26">
      <c r="A4" s="3923"/>
      <c r="B4" s="3925" t="s">
        <v>1841</v>
      </c>
      <c r="C4" s="3923"/>
      <c r="D4" s="3923"/>
      <c r="E4" s="3923"/>
      <c r="F4" s="3923"/>
      <c r="G4" s="3924"/>
      <c r="H4" s="3923"/>
      <c r="I4" s="3923"/>
      <c r="J4" s="3923"/>
      <c r="K4" s="3923"/>
      <c r="L4" s="3923"/>
      <c r="M4" s="3923"/>
      <c r="N4" s="3923"/>
      <c r="O4" s="3923"/>
      <c r="P4" s="3923"/>
      <c r="Q4" s="3923"/>
      <c r="R4" s="3923"/>
      <c r="S4" s="3923"/>
      <c r="T4" s="3923"/>
      <c r="U4" s="3923"/>
      <c r="V4" s="3923"/>
      <c r="W4" s="3923"/>
      <c r="X4" s="3923"/>
      <c r="Y4" s="3923"/>
      <c r="Z4" s="3923"/>
    </row>
    <row r="5" spans="1:26">
      <c r="A5" s="3923"/>
      <c r="B5" s="4793" t="s">
        <v>140</v>
      </c>
      <c r="C5" s="4796">
        <v>2009</v>
      </c>
      <c r="D5" s="4797"/>
      <c r="E5" s="4796">
        <v>2010</v>
      </c>
      <c r="F5" s="4797"/>
      <c r="G5" s="4796">
        <v>2011</v>
      </c>
      <c r="H5" s="4797"/>
      <c r="I5" s="4786">
        <v>2012</v>
      </c>
      <c r="J5" s="4800"/>
      <c r="K5" s="4786" t="s">
        <v>1842</v>
      </c>
      <c r="L5" s="4800"/>
      <c r="M5" s="4786">
        <v>2013</v>
      </c>
      <c r="N5" s="4787"/>
      <c r="O5" s="4786">
        <v>2014</v>
      </c>
      <c r="P5" s="4787"/>
      <c r="Q5" s="4786">
        <v>2015</v>
      </c>
      <c r="R5" s="4787"/>
      <c r="S5" s="4786">
        <v>2016</v>
      </c>
      <c r="T5" s="4787"/>
      <c r="U5" s="3923"/>
      <c r="V5" s="3923"/>
      <c r="W5" s="3923"/>
      <c r="X5" s="3923"/>
      <c r="Y5" s="3923"/>
      <c r="Z5" s="3923"/>
    </row>
    <row r="6" spans="1:26" s="3899" customFormat="1">
      <c r="A6" s="3910"/>
      <c r="B6" s="4794"/>
      <c r="C6" s="4798"/>
      <c r="D6" s="4799"/>
      <c r="E6" s="4798"/>
      <c r="F6" s="4799"/>
      <c r="G6" s="4798"/>
      <c r="H6" s="4799"/>
      <c r="I6" s="4801"/>
      <c r="J6" s="4802"/>
      <c r="K6" s="4801"/>
      <c r="L6" s="4802"/>
      <c r="M6" s="4788"/>
      <c r="N6" s="4789"/>
      <c r="O6" s="4788"/>
      <c r="P6" s="4789"/>
      <c r="Q6" s="4788"/>
      <c r="R6" s="4789"/>
      <c r="S6" s="4788"/>
      <c r="T6" s="4789"/>
      <c r="U6" s="3910"/>
      <c r="V6" s="3910"/>
      <c r="W6" s="3910"/>
      <c r="X6" s="3910"/>
      <c r="Y6" s="3910"/>
      <c r="Z6" s="3910"/>
    </row>
    <row r="7" spans="1:26">
      <c r="A7" s="3923"/>
      <c r="B7" s="4794"/>
      <c r="C7" s="3926"/>
      <c r="D7" s="3926"/>
      <c r="E7" s="3926"/>
      <c r="F7" s="3926"/>
      <c r="G7" s="4790" t="s">
        <v>1843</v>
      </c>
      <c r="H7" s="3927"/>
      <c r="I7" s="4790" t="s">
        <v>1843</v>
      </c>
      <c r="J7" s="3927"/>
      <c r="K7" s="4790" t="s">
        <v>1843</v>
      </c>
      <c r="L7" s="3927"/>
      <c r="M7" s="4790" t="s">
        <v>1843</v>
      </c>
      <c r="N7" s="3927"/>
      <c r="O7" s="4790" t="s">
        <v>1843</v>
      </c>
      <c r="P7" s="3927"/>
      <c r="Q7" s="4790" t="s">
        <v>1843</v>
      </c>
      <c r="R7" s="3927"/>
      <c r="S7" s="4790" t="s">
        <v>1843</v>
      </c>
      <c r="T7" s="3927"/>
      <c r="U7" s="3923"/>
      <c r="V7" s="3923"/>
      <c r="W7" s="3923"/>
      <c r="X7" s="3923"/>
      <c r="Y7" s="3923"/>
      <c r="Z7" s="3923"/>
    </row>
    <row r="8" spans="1:26" s="3899" customFormat="1">
      <c r="A8" s="3910"/>
      <c r="B8" s="4795"/>
      <c r="C8" s="3928" t="s">
        <v>1843</v>
      </c>
      <c r="D8" s="3928" t="s">
        <v>404</v>
      </c>
      <c r="E8" s="3928" t="s">
        <v>1843</v>
      </c>
      <c r="F8" s="3929" t="s">
        <v>404</v>
      </c>
      <c r="G8" s="4791"/>
      <c r="H8" s="3929" t="s">
        <v>404</v>
      </c>
      <c r="I8" s="4791"/>
      <c r="J8" s="3929" t="s">
        <v>404</v>
      </c>
      <c r="K8" s="4791"/>
      <c r="L8" s="3929" t="s">
        <v>404</v>
      </c>
      <c r="M8" s="4791"/>
      <c r="N8" s="3929" t="s">
        <v>404</v>
      </c>
      <c r="O8" s="4791"/>
      <c r="P8" s="3929" t="s">
        <v>404</v>
      </c>
      <c r="Q8" s="4791"/>
      <c r="R8" s="3929" t="s">
        <v>404</v>
      </c>
      <c r="S8" s="4791"/>
      <c r="T8" s="3929" t="s">
        <v>404</v>
      </c>
      <c r="V8" s="3910"/>
      <c r="W8" s="3910"/>
      <c r="X8" s="3910"/>
      <c r="Y8" s="3910"/>
      <c r="Z8" s="3910"/>
    </row>
    <row r="9" spans="1:26" s="3899" customFormat="1">
      <c r="A9" s="3910"/>
      <c r="B9" s="3930"/>
      <c r="C9" s="3913"/>
      <c r="D9" s="3913"/>
      <c r="E9" s="3913"/>
      <c r="F9" s="3263"/>
      <c r="G9" s="3931"/>
      <c r="H9" s="3932"/>
      <c r="I9" s="3932"/>
      <c r="J9" s="3932"/>
      <c r="K9" s="3263"/>
      <c r="L9" s="3263"/>
      <c r="M9" s="3933"/>
      <c r="N9" s="3934"/>
      <c r="O9" s="3934"/>
      <c r="P9" s="3934"/>
      <c r="Q9" s="3934"/>
      <c r="R9" s="3934"/>
      <c r="S9" s="3934"/>
      <c r="T9" s="3934"/>
      <c r="U9" s="3910"/>
      <c r="V9" s="3910"/>
      <c r="W9" s="3910"/>
      <c r="X9" s="3910"/>
      <c r="Y9" s="3910"/>
      <c r="Z9" s="3910"/>
    </row>
    <row r="10" spans="1:26" s="3899" customFormat="1">
      <c r="A10" s="3910"/>
      <c r="B10" s="3911" t="s">
        <v>161</v>
      </c>
      <c r="C10" s="3900">
        <v>667</v>
      </c>
      <c r="D10" s="3905">
        <v>0.70706800000000003</v>
      </c>
      <c r="E10" s="3900">
        <v>552</v>
      </c>
      <c r="F10" s="3905">
        <v>0.46374513000000001</v>
      </c>
      <c r="G10" s="3900">
        <v>786</v>
      </c>
      <c r="H10" s="3935">
        <v>0.68</v>
      </c>
      <c r="I10" s="3900">
        <v>1496</v>
      </c>
      <c r="J10" s="3903">
        <v>1.2900333700000002</v>
      </c>
      <c r="K10" s="3901">
        <v>90.330788804071247</v>
      </c>
      <c r="L10" s="3901">
        <v>89.710789705882362</v>
      </c>
      <c r="M10" s="3900">
        <v>1042</v>
      </c>
      <c r="N10" s="3903">
        <v>0.90964374999999997</v>
      </c>
      <c r="O10" s="3902">
        <v>1316</v>
      </c>
      <c r="P10" s="3903">
        <v>1.3254224999999999</v>
      </c>
      <c r="Q10" s="3902">
        <v>1781</v>
      </c>
      <c r="R10" s="3904">
        <v>1.6958025000000001</v>
      </c>
      <c r="S10" s="3902">
        <v>1349</v>
      </c>
      <c r="T10" s="3904">
        <v>1.4711624999999999</v>
      </c>
      <c r="V10" s="3910"/>
      <c r="W10" s="3910"/>
      <c r="X10" s="3910"/>
      <c r="Y10" s="3910"/>
      <c r="Z10" s="3910"/>
    </row>
    <row r="11" spans="1:26" s="3899" customFormat="1" ht="0.75" customHeight="1">
      <c r="A11" s="3910"/>
      <c r="B11" s="3911"/>
      <c r="C11" s="3900"/>
      <c r="D11" s="3905"/>
      <c r="E11" s="3900"/>
      <c r="F11" s="3905"/>
      <c r="G11" s="3900"/>
      <c r="H11" s="3935"/>
      <c r="I11" s="3900"/>
      <c r="J11" s="3905"/>
      <c r="K11" s="3901"/>
      <c r="L11" s="3901"/>
      <c r="M11" s="3900"/>
      <c r="N11" s="3905"/>
      <c r="O11" s="3905"/>
      <c r="P11" s="3905"/>
      <c r="Q11" s="3905">
        <v>2515</v>
      </c>
      <c r="R11" s="3906"/>
      <c r="S11" s="3905"/>
      <c r="T11" s="3906"/>
      <c r="U11" s="3910"/>
      <c r="V11" s="3910"/>
      <c r="W11" s="3910"/>
      <c r="X11" s="3910"/>
      <c r="Y11" s="3910"/>
      <c r="Z11" s="3910"/>
    </row>
    <row r="12" spans="1:26" s="3899" customFormat="1" ht="23.25" customHeight="1">
      <c r="A12" s="3910"/>
      <c r="B12" s="3911" t="s">
        <v>162</v>
      </c>
      <c r="C12" s="3914">
        <v>811</v>
      </c>
      <c r="D12" s="3915">
        <v>0.93456300000000003</v>
      </c>
      <c r="E12" s="3914">
        <v>1358</v>
      </c>
      <c r="F12" s="3905">
        <v>1.402455</v>
      </c>
      <c r="G12" s="3900">
        <v>1602</v>
      </c>
      <c r="H12" s="3905">
        <v>1.7</v>
      </c>
      <c r="I12" s="3900">
        <v>1810</v>
      </c>
      <c r="J12" s="3903">
        <v>2</v>
      </c>
      <c r="K12" s="3901">
        <v>12.983770287141075</v>
      </c>
      <c r="L12" s="3901">
        <v>17.647058823529417</v>
      </c>
      <c r="M12" s="3900">
        <v>2649</v>
      </c>
      <c r="N12" s="3903">
        <v>2.7723662500000001</v>
      </c>
      <c r="O12" s="3902">
        <v>2515</v>
      </c>
      <c r="P12" s="3903">
        <v>2.4651925000000001</v>
      </c>
      <c r="Q12" s="3902">
        <v>3923</v>
      </c>
      <c r="R12" s="3904">
        <v>4.2606962499999996</v>
      </c>
      <c r="S12" s="3902">
        <v>3075</v>
      </c>
      <c r="T12" s="3904">
        <v>3.5197687499999999</v>
      </c>
      <c r="U12" s="3910"/>
      <c r="V12" s="3910"/>
      <c r="W12" s="3910"/>
      <c r="X12" s="3910"/>
      <c r="Y12" s="3910"/>
      <c r="Z12" s="3910"/>
    </row>
    <row r="13" spans="1:26" s="3899" customFormat="1" ht="0.75" customHeight="1">
      <c r="A13" s="3910"/>
      <c r="B13" s="3911"/>
      <c r="C13" s="3900"/>
      <c r="D13" s="3905"/>
      <c r="E13" s="3900"/>
      <c r="F13" s="3905"/>
      <c r="G13" s="3900"/>
      <c r="H13" s="3905"/>
      <c r="I13" s="3900"/>
      <c r="J13" s="3905"/>
      <c r="K13" s="3901"/>
      <c r="L13" s="3901"/>
      <c r="M13" s="3907"/>
      <c r="N13" s="3905"/>
      <c r="O13" s="3905"/>
      <c r="P13" s="3905"/>
      <c r="Q13" s="3905"/>
      <c r="R13" s="3906"/>
      <c r="S13" s="3905"/>
      <c r="T13" s="3906"/>
      <c r="U13" s="3910"/>
      <c r="V13" s="3910"/>
      <c r="W13" s="3910"/>
      <c r="X13" s="3910"/>
      <c r="Y13" s="3910"/>
      <c r="Z13" s="3910"/>
    </row>
    <row r="14" spans="1:26" s="3899" customFormat="1">
      <c r="A14" s="3910"/>
      <c r="B14" s="3911" t="s">
        <v>163</v>
      </c>
      <c r="C14" s="3914">
        <v>2184</v>
      </c>
      <c r="D14" s="3915">
        <v>3.0230299999999999</v>
      </c>
      <c r="E14" s="3914">
        <v>3809</v>
      </c>
      <c r="F14" s="3905">
        <v>5.2560500000000001</v>
      </c>
      <c r="G14" s="3900">
        <v>3871</v>
      </c>
      <c r="H14" s="3905">
        <v>5</v>
      </c>
      <c r="I14" s="3900">
        <v>4347</v>
      </c>
      <c r="J14" s="3905">
        <v>6.7286962499999996</v>
      </c>
      <c r="K14" s="3901">
        <v>12.296564195298371</v>
      </c>
      <c r="L14" s="3901">
        <v>34.573924999999996</v>
      </c>
      <c r="M14" s="3900">
        <v>5265</v>
      </c>
      <c r="N14" s="3905">
        <v>8.1</v>
      </c>
      <c r="O14" s="3900">
        <v>4240</v>
      </c>
      <c r="P14" s="3905">
        <v>6.4555224999999998</v>
      </c>
      <c r="Q14" s="3900">
        <v>6195</v>
      </c>
      <c r="R14" s="3906">
        <v>9.3965487499999991</v>
      </c>
      <c r="S14" s="3899">
        <v>5834</v>
      </c>
      <c r="T14" s="3905">
        <v>9.0501312499999997</v>
      </c>
      <c r="U14" s="3910"/>
      <c r="V14" s="3910"/>
      <c r="W14" s="3910"/>
      <c r="X14" s="3910"/>
      <c r="Y14" s="3910"/>
      <c r="Z14" s="3910"/>
    </row>
    <row r="15" spans="1:26" s="3899" customFormat="1" ht="7.5" customHeight="1">
      <c r="A15" s="3910"/>
      <c r="B15" s="3911"/>
      <c r="C15" s="3900"/>
      <c r="D15" s="3905"/>
      <c r="E15" s="3900"/>
      <c r="F15" s="3905"/>
      <c r="G15" s="3900"/>
      <c r="H15" s="3905"/>
      <c r="I15" s="3900"/>
      <c r="J15" s="3905"/>
      <c r="K15" s="3901"/>
      <c r="L15" s="3901"/>
      <c r="M15" s="3908"/>
      <c r="N15" s="3905"/>
      <c r="O15" s="3905"/>
      <c r="P15" s="3905"/>
      <c r="Q15" s="3905"/>
      <c r="R15" s="3906"/>
      <c r="S15" s="3905"/>
      <c r="T15" s="3906"/>
      <c r="U15" s="3910"/>
      <c r="V15" s="3910"/>
      <c r="W15" s="3910"/>
      <c r="X15" s="3910"/>
      <c r="Y15" s="3910"/>
      <c r="Z15" s="3910"/>
    </row>
    <row r="16" spans="1:26" s="3899" customFormat="1">
      <c r="A16" s="3910"/>
      <c r="B16" s="3911" t="s">
        <v>164</v>
      </c>
      <c r="C16" s="3900">
        <v>4263</v>
      </c>
      <c r="D16" s="3905">
        <v>5.8134145000000004</v>
      </c>
      <c r="E16" s="3900">
        <v>3059</v>
      </c>
      <c r="F16" s="3905">
        <v>4.4283849999999996</v>
      </c>
      <c r="G16" s="3900">
        <v>4104</v>
      </c>
      <c r="H16" s="3905">
        <v>5.4953874999999996</v>
      </c>
      <c r="I16" s="3936">
        <v>5871</v>
      </c>
      <c r="J16" s="3905">
        <v>9.2443925</v>
      </c>
      <c r="K16" s="3901">
        <v>43.055555555555557</v>
      </c>
      <c r="L16" s="3901">
        <v>68.220939833633224</v>
      </c>
      <c r="M16" s="3937">
        <v>5268</v>
      </c>
      <c r="N16" s="3905">
        <v>8.4273100000000003</v>
      </c>
      <c r="O16" s="3900">
        <v>7030</v>
      </c>
      <c r="P16" s="3905">
        <v>11.46666825</v>
      </c>
      <c r="Q16" s="3900">
        <v>6749</v>
      </c>
      <c r="R16" s="3906">
        <v>10.26231275</v>
      </c>
      <c r="S16" s="3900"/>
      <c r="T16" s="3906"/>
      <c r="U16" s="3910"/>
      <c r="V16" s="3910"/>
      <c r="W16" s="3910"/>
      <c r="X16" s="3910"/>
      <c r="Y16" s="3910"/>
      <c r="Z16" s="3910"/>
    </row>
    <row r="17" spans="1:26" s="3899" customFormat="1" ht="8.25" customHeight="1">
      <c r="A17" s="3910"/>
      <c r="B17" s="3911"/>
      <c r="C17" s="3900"/>
      <c r="D17" s="3905"/>
      <c r="E17" s="3900"/>
      <c r="F17" s="3905"/>
      <c r="G17" s="3900"/>
      <c r="H17" s="3905"/>
      <c r="I17" s="3900"/>
      <c r="J17" s="3905"/>
      <c r="K17" s="3901"/>
      <c r="L17" s="3901"/>
      <c r="M17" s="3908"/>
      <c r="N17" s="3905"/>
      <c r="O17" s="3905"/>
      <c r="P17" s="3905"/>
      <c r="Q17" s="3905"/>
      <c r="R17" s="3906"/>
      <c r="S17" s="3905"/>
      <c r="T17" s="3906"/>
      <c r="U17" s="3910"/>
      <c r="V17" s="3910"/>
      <c r="W17" s="3910"/>
      <c r="X17" s="3910"/>
      <c r="Y17" s="3910"/>
      <c r="Z17" s="3910"/>
    </row>
    <row r="18" spans="1:26" s="3909" customFormat="1">
      <c r="A18" s="3910"/>
      <c r="B18" s="3911" t="s">
        <v>165</v>
      </c>
      <c r="C18" s="3914">
        <v>1743</v>
      </c>
      <c r="D18" s="3915">
        <v>2.144587</v>
      </c>
      <c r="E18" s="3914">
        <v>1747</v>
      </c>
      <c r="F18" s="3905">
        <v>2.1479473799999997</v>
      </c>
      <c r="G18" s="3900">
        <v>2399</v>
      </c>
      <c r="H18" s="3905">
        <v>2.9332017400000003</v>
      </c>
      <c r="I18" s="3900">
        <v>2697</v>
      </c>
      <c r="J18" s="3905">
        <v>3.615542</v>
      </c>
      <c r="K18" s="3901">
        <v>12.421842434347646</v>
      </c>
      <c r="L18" s="3901">
        <v>23.262643366630474</v>
      </c>
      <c r="M18" s="3900">
        <v>2647</v>
      </c>
      <c r="N18" s="3905">
        <v>3.5449462500000002</v>
      </c>
      <c r="O18" s="3900">
        <v>3243</v>
      </c>
      <c r="P18" s="3905">
        <v>4.6121153499999998</v>
      </c>
      <c r="Q18" s="3900">
        <v>2988</v>
      </c>
      <c r="R18" s="3906">
        <v>4.2719474999999996</v>
      </c>
      <c r="S18" s="3900"/>
      <c r="T18" s="3906"/>
      <c r="U18" s="3910"/>
      <c r="V18" s="3910"/>
      <c r="W18" s="3910"/>
      <c r="X18" s="3910"/>
      <c r="Y18" s="3910"/>
      <c r="Z18" s="3910"/>
    </row>
    <row r="19" spans="1:26" s="3899" customFormat="1" ht="5.25" customHeight="1">
      <c r="A19" s="3910"/>
      <c r="B19" s="3911"/>
      <c r="C19" s="3900"/>
      <c r="D19" s="3905"/>
      <c r="E19" s="3900"/>
      <c r="F19" s="3905"/>
      <c r="G19" s="3900"/>
      <c r="H19" s="3905"/>
      <c r="I19" s="3900"/>
      <c r="J19" s="3905"/>
      <c r="K19" s="3901"/>
      <c r="L19" s="3901"/>
      <c r="M19" s="3900"/>
      <c r="N19" s="3905"/>
      <c r="O19" s="3905"/>
      <c r="P19" s="3905"/>
      <c r="Q19" s="3905"/>
      <c r="R19" s="3906"/>
      <c r="S19" s="3905"/>
      <c r="T19" s="3906"/>
      <c r="U19" s="3910"/>
      <c r="V19" s="3910"/>
      <c r="W19" s="3910"/>
      <c r="X19" s="3910"/>
      <c r="Y19" s="3910"/>
      <c r="Z19" s="3910"/>
    </row>
    <row r="20" spans="1:26" s="3899" customFormat="1">
      <c r="A20" s="3910"/>
      <c r="B20" s="3911" t="s">
        <v>166</v>
      </c>
      <c r="C20" s="3914">
        <v>764</v>
      </c>
      <c r="D20" s="3915">
        <v>0.89394967999999997</v>
      </c>
      <c r="E20" s="3914">
        <v>753</v>
      </c>
      <c r="F20" s="3905">
        <v>0.71930700000000003</v>
      </c>
      <c r="G20" s="3900">
        <v>1277</v>
      </c>
      <c r="H20" s="3905">
        <v>1.1830720100000001</v>
      </c>
      <c r="I20" s="3900">
        <v>2335</v>
      </c>
      <c r="J20" s="3905">
        <v>2.26520375</v>
      </c>
      <c r="K20" s="3901">
        <v>82.850430696945963</v>
      </c>
      <c r="L20" s="3901">
        <v>91.467952149421563</v>
      </c>
      <c r="M20" s="3900">
        <v>2288</v>
      </c>
      <c r="N20" s="3905">
        <v>2.3261837500000002</v>
      </c>
      <c r="O20" s="3900">
        <v>3720</v>
      </c>
      <c r="P20" s="3905">
        <v>2.615405</v>
      </c>
      <c r="Q20" s="3900">
        <v>2133</v>
      </c>
      <c r="R20" s="3906">
        <v>2.2589999999999999</v>
      </c>
      <c r="S20" s="3900"/>
      <c r="T20" s="3906"/>
      <c r="U20" s="3910"/>
      <c r="V20" s="3910"/>
      <c r="W20" s="3910"/>
      <c r="X20" s="3910"/>
      <c r="Y20" s="3910"/>
      <c r="Z20" s="3910"/>
    </row>
    <row r="21" spans="1:26" s="3899" customFormat="1" ht="6" customHeight="1">
      <c r="A21" s="3910"/>
      <c r="B21" s="3911"/>
      <c r="C21" s="3900"/>
      <c r="D21" s="3905"/>
      <c r="E21" s="3900"/>
      <c r="F21" s="3905"/>
      <c r="G21" s="3900"/>
      <c r="H21" s="3905"/>
      <c r="I21" s="3900"/>
      <c r="J21" s="3905"/>
      <c r="K21" s="3901"/>
      <c r="L21" s="3901"/>
      <c r="M21" s="3900" t="s">
        <v>143</v>
      </c>
      <c r="N21" s="3905"/>
      <c r="O21" s="3905"/>
      <c r="P21" s="3905"/>
      <c r="Q21" s="3905"/>
      <c r="R21" s="3906"/>
      <c r="S21" s="3905"/>
      <c r="T21" s="3906"/>
      <c r="U21" s="3910"/>
      <c r="V21" s="3910"/>
      <c r="W21" s="3910"/>
      <c r="X21" s="3910"/>
      <c r="Y21" s="3910"/>
      <c r="Z21" s="3910"/>
    </row>
    <row r="22" spans="1:26" s="3909" customFormat="1">
      <c r="A22" s="3910"/>
      <c r="B22" s="3911" t="s">
        <v>167</v>
      </c>
      <c r="C22" s="3914">
        <v>858</v>
      </c>
      <c r="D22" s="3905">
        <v>0.84272773999999995</v>
      </c>
      <c r="E22" s="3900">
        <v>862</v>
      </c>
      <c r="F22" s="3905">
        <v>0.76450814</v>
      </c>
      <c r="G22" s="3900">
        <v>1601</v>
      </c>
      <c r="H22" s="3905">
        <v>1.5577878700000001</v>
      </c>
      <c r="I22" s="3900">
        <v>1583</v>
      </c>
      <c r="J22" s="3916">
        <v>1.5230925</v>
      </c>
      <c r="K22" s="3901">
        <v>-1.1000000000000001</v>
      </c>
      <c r="L22" s="3901">
        <v>-2.2272204494698058</v>
      </c>
      <c r="M22" s="3938">
        <v>1325</v>
      </c>
      <c r="N22" s="3916">
        <v>1.2905187499999999</v>
      </c>
      <c r="O22" s="3912">
        <v>3790</v>
      </c>
      <c r="P22" s="3917">
        <v>2.4163947499999998</v>
      </c>
      <c r="Q22" s="3912">
        <v>1553</v>
      </c>
      <c r="R22" s="3918">
        <v>1.7150000000000001</v>
      </c>
      <c r="S22" s="3912"/>
      <c r="T22" s="3918"/>
      <c r="U22" s="3910"/>
      <c r="V22" s="3910"/>
      <c r="W22" s="3910"/>
      <c r="X22" s="3910"/>
      <c r="Y22" s="3910"/>
      <c r="Z22" s="3910"/>
    </row>
    <row r="23" spans="1:26" s="3899" customFormat="1" ht="7.5" customHeight="1">
      <c r="A23" s="3910"/>
      <c r="B23" s="3911"/>
      <c r="C23" s="3900"/>
      <c r="D23" s="3905"/>
      <c r="E23" s="3900"/>
      <c r="F23" s="3905"/>
      <c r="G23" s="3900"/>
      <c r="H23" s="3905"/>
      <c r="I23" s="3900"/>
      <c r="J23" s="3905"/>
      <c r="K23" s="3901"/>
      <c r="L23" s="3901"/>
      <c r="M23" s="3908"/>
      <c r="N23" s="3905"/>
      <c r="O23" s="3905"/>
      <c r="P23" s="3905"/>
      <c r="Q23" s="3905"/>
      <c r="R23" s="3906"/>
      <c r="S23" s="3905"/>
      <c r="T23" s="3906"/>
      <c r="U23" s="3910"/>
      <c r="V23" s="3910"/>
      <c r="W23" s="3910"/>
      <c r="X23" s="3910"/>
      <c r="Y23" s="3910"/>
      <c r="Z23" s="3910"/>
    </row>
    <row r="24" spans="1:26" s="3899" customFormat="1">
      <c r="A24" s="3910"/>
      <c r="B24" s="3911" t="s">
        <v>168</v>
      </c>
      <c r="C24" s="3914">
        <v>1220</v>
      </c>
      <c r="D24" s="3905">
        <v>1.342724</v>
      </c>
      <c r="E24" s="3900">
        <v>1300</v>
      </c>
      <c r="F24" s="3905">
        <v>1.4371894999999999</v>
      </c>
      <c r="G24" s="3900">
        <v>2443</v>
      </c>
      <c r="H24" s="3905">
        <v>2.4300000000000002</v>
      </c>
      <c r="I24" s="3900">
        <v>2670</v>
      </c>
      <c r="J24" s="3905">
        <v>2.5070537499999999</v>
      </c>
      <c r="K24" s="3901">
        <v>9.29185427752763</v>
      </c>
      <c r="L24" s="3901">
        <v>3.170936213991757</v>
      </c>
      <c r="M24" s="3908">
        <v>2673</v>
      </c>
      <c r="N24" s="3905">
        <v>2.5005174999999999</v>
      </c>
      <c r="O24" s="3900">
        <v>7465</v>
      </c>
      <c r="P24" s="3905">
        <v>3.9595975000000001</v>
      </c>
      <c r="Q24" s="3900">
        <v>2302</v>
      </c>
      <c r="R24" s="3906">
        <v>2.44</v>
      </c>
      <c r="S24" s="3900"/>
      <c r="T24" s="3906"/>
      <c r="U24" s="3910"/>
      <c r="V24" s="3910"/>
      <c r="W24" s="3910"/>
      <c r="X24" s="3910"/>
      <c r="Y24" s="3910"/>
      <c r="Z24" s="3910"/>
    </row>
    <row r="25" spans="1:26" s="3899" customFormat="1" ht="9" customHeight="1">
      <c r="A25" s="3910"/>
      <c r="B25" s="3911"/>
      <c r="C25" s="3900"/>
      <c r="D25" s="3905"/>
      <c r="E25" s="3900"/>
      <c r="F25" s="3905"/>
      <c r="G25" s="3900"/>
      <c r="H25" s="3905"/>
      <c r="I25" s="3900"/>
      <c r="J25" s="3905"/>
      <c r="K25" s="3901"/>
      <c r="L25" s="3901"/>
      <c r="M25" s="3908"/>
      <c r="N25" s="3905" t="s">
        <v>143</v>
      </c>
      <c r="O25" s="3905"/>
      <c r="P25" s="3905"/>
      <c r="Q25" s="3905"/>
      <c r="R25" s="3905"/>
      <c r="S25" s="3905"/>
      <c r="T25" s="3905"/>
      <c r="U25" s="3910"/>
      <c r="V25" s="3910"/>
      <c r="W25" s="3910"/>
      <c r="X25" s="3910"/>
      <c r="Y25" s="3910"/>
      <c r="Z25" s="3910"/>
    </row>
    <row r="26" spans="1:26" s="3899" customFormat="1">
      <c r="A26" s="3910"/>
      <c r="B26" s="3911" t="s">
        <v>169</v>
      </c>
      <c r="C26" s="3914">
        <v>3020</v>
      </c>
      <c r="D26" s="3915">
        <v>4.6920999999999999</v>
      </c>
      <c r="E26" s="3914">
        <v>3126</v>
      </c>
      <c r="F26" s="3905">
        <v>3.49612999</v>
      </c>
      <c r="G26" s="3900">
        <v>3792</v>
      </c>
      <c r="H26" s="3905">
        <v>5.1870287499999996</v>
      </c>
      <c r="I26" s="3900">
        <v>4976</v>
      </c>
      <c r="J26" s="3905">
        <v>8.3296402500000006</v>
      </c>
      <c r="K26" s="3901">
        <v>31.223628691983123</v>
      </c>
      <c r="L26" s="3901">
        <v>60.585966484184247</v>
      </c>
      <c r="M26" s="3908">
        <v>4591</v>
      </c>
      <c r="N26" s="3905">
        <v>7.4576362000000005</v>
      </c>
      <c r="O26" s="3900">
        <v>4989</v>
      </c>
      <c r="P26" s="3905">
        <v>8.1813562500000003</v>
      </c>
      <c r="Q26" s="3900">
        <v>4880</v>
      </c>
      <c r="R26" s="3905">
        <v>8.6114250000000006</v>
      </c>
      <c r="S26" s="3900"/>
      <c r="T26" s="3905"/>
      <c r="U26" s="3910"/>
      <c r="V26" s="3910"/>
      <c r="W26" s="3910"/>
      <c r="X26" s="3910"/>
      <c r="Y26" s="3910"/>
      <c r="Z26" s="3910"/>
    </row>
    <row r="27" spans="1:26" s="3899" customFormat="1" ht="9" customHeight="1">
      <c r="A27" s="3910"/>
      <c r="B27" s="3911"/>
      <c r="C27" s="3900"/>
      <c r="D27" s="3905"/>
      <c r="E27" s="3900"/>
      <c r="F27" s="3905"/>
      <c r="G27" s="3900"/>
      <c r="H27" s="3905"/>
      <c r="I27" s="3900"/>
      <c r="J27" s="3905"/>
      <c r="K27" s="3901"/>
      <c r="L27" s="3901"/>
      <c r="M27" s="3908"/>
      <c r="N27" s="3905"/>
      <c r="O27" s="3905"/>
      <c r="P27" s="3905"/>
      <c r="Q27" s="3905"/>
      <c r="R27" s="3905"/>
      <c r="S27" s="3905"/>
      <c r="T27" s="3905"/>
      <c r="U27" s="3910"/>
      <c r="V27" s="3910"/>
      <c r="W27" s="3910"/>
      <c r="X27" s="3910"/>
      <c r="Y27" s="3910"/>
      <c r="Z27" s="3910"/>
    </row>
    <row r="28" spans="1:26" s="3899" customFormat="1" ht="14.25" customHeight="1">
      <c r="A28" s="3910"/>
      <c r="B28" s="3911" t="s">
        <v>170</v>
      </c>
      <c r="C28" s="3914">
        <v>4326</v>
      </c>
      <c r="D28" s="3905">
        <v>6.701085</v>
      </c>
      <c r="E28" s="3900">
        <v>5888</v>
      </c>
      <c r="F28" s="3905">
        <v>8.9279737499999996</v>
      </c>
      <c r="G28" s="3900">
        <v>8163</v>
      </c>
      <c r="H28" s="3905">
        <v>11.93630875</v>
      </c>
      <c r="I28" s="3900">
        <v>8359</v>
      </c>
      <c r="J28" s="3905">
        <v>14.522708250000001</v>
      </c>
      <c r="K28" s="3901">
        <v>2.4010780350361389</v>
      </c>
      <c r="L28" s="3901">
        <v>21.668336117729869</v>
      </c>
      <c r="M28" s="3908">
        <v>8642</v>
      </c>
      <c r="N28" s="3905">
        <v>15.1208466</v>
      </c>
      <c r="O28" s="3900">
        <v>9382</v>
      </c>
      <c r="P28" s="3905">
        <v>15.66531625</v>
      </c>
      <c r="Q28" s="3900">
        <v>8035</v>
      </c>
      <c r="R28" s="3905">
        <v>14.524385000000001</v>
      </c>
      <c r="S28" s="3900"/>
      <c r="T28" s="3905"/>
      <c r="U28" s="3910"/>
      <c r="V28" s="3910"/>
      <c r="W28" s="3910"/>
      <c r="X28" s="3910"/>
      <c r="Y28" s="3910"/>
      <c r="Z28" s="3910"/>
    </row>
    <row r="29" spans="1:26" s="3899" customFormat="1" ht="8.25" customHeight="1">
      <c r="A29" s="3910"/>
      <c r="B29" s="3911"/>
      <c r="C29" s="3900"/>
      <c r="D29" s="3905"/>
      <c r="E29" s="3900"/>
      <c r="F29" s="3905"/>
      <c r="G29" s="3900"/>
      <c r="H29" s="3905"/>
      <c r="I29" s="3900"/>
      <c r="J29" s="3905"/>
      <c r="K29" s="3901"/>
      <c r="L29" s="3901"/>
      <c r="M29" s="3908"/>
      <c r="N29" s="3905"/>
      <c r="O29" s="3905"/>
      <c r="P29" s="3905"/>
      <c r="Q29" s="3905"/>
      <c r="R29" s="3905"/>
      <c r="S29" s="3905"/>
      <c r="T29" s="3905"/>
      <c r="U29" s="3910"/>
      <c r="V29" s="3910"/>
      <c r="W29" s="3910"/>
      <c r="X29" s="3910"/>
      <c r="Y29" s="3910"/>
      <c r="Z29" s="3910"/>
    </row>
    <row r="30" spans="1:26" s="3899" customFormat="1">
      <c r="A30" s="3910"/>
      <c r="B30" s="3911" t="s">
        <v>171</v>
      </c>
      <c r="C30" s="3914">
        <v>2607</v>
      </c>
      <c r="D30" s="3915">
        <v>3.537725</v>
      </c>
      <c r="E30" s="3914">
        <v>3265</v>
      </c>
      <c r="F30" s="3905">
        <v>4.6104750000000001</v>
      </c>
      <c r="G30" s="3900">
        <v>5059</v>
      </c>
      <c r="H30" s="3905">
        <v>7.1222287499999997</v>
      </c>
      <c r="I30" s="3900">
        <v>5013</v>
      </c>
      <c r="J30" s="3905">
        <v>7.9307730000000003</v>
      </c>
      <c r="K30" s="3919">
        <v>-0.9</v>
      </c>
      <c r="L30" s="3901">
        <v>11.352404961719332</v>
      </c>
      <c r="M30" s="3908">
        <v>5230</v>
      </c>
      <c r="N30" s="3905">
        <v>8.1934315000000009</v>
      </c>
      <c r="O30" s="3900">
        <v>5952</v>
      </c>
      <c r="P30" s="3905">
        <v>9.7299124999999993</v>
      </c>
      <c r="Q30" s="3900">
        <v>5185</v>
      </c>
      <c r="R30" s="3905">
        <v>8.3018887499999998</v>
      </c>
      <c r="S30" s="3900"/>
      <c r="T30" s="3905"/>
      <c r="U30" s="3910"/>
      <c r="V30" s="3910"/>
      <c r="W30" s="3910"/>
      <c r="X30" s="3910"/>
      <c r="Y30" s="3910"/>
      <c r="Z30" s="3910"/>
    </row>
    <row r="31" spans="1:26" s="3899" customFormat="1" ht="1.5" customHeight="1">
      <c r="A31" s="3910"/>
      <c r="B31" s="3911"/>
      <c r="C31" s="3900"/>
      <c r="D31" s="3905"/>
      <c r="E31" s="3900"/>
      <c r="F31" s="3905"/>
      <c r="G31" s="3900"/>
      <c r="H31" s="3905"/>
      <c r="I31" s="3900"/>
      <c r="J31" s="3905"/>
      <c r="K31" s="3901"/>
      <c r="L31" s="3901"/>
      <c r="M31" s="3908"/>
      <c r="N31" s="3905"/>
      <c r="O31" s="3905"/>
      <c r="P31" s="3905"/>
      <c r="Q31" s="3905"/>
      <c r="R31" s="3905"/>
      <c r="S31" s="3905"/>
      <c r="T31" s="3905"/>
      <c r="U31" s="3910"/>
      <c r="V31" s="3910"/>
      <c r="W31" s="3910"/>
      <c r="X31" s="3910"/>
      <c r="Y31" s="3910"/>
      <c r="Z31" s="3910"/>
    </row>
    <row r="32" spans="1:26" s="3899" customFormat="1" ht="18" customHeight="1">
      <c r="A32" s="3910"/>
      <c r="B32" s="3911" t="s">
        <v>148</v>
      </c>
      <c r="C32" s="3900">
        <v>1017</v>
      </c>
      <c r="D32" s="3905">
        <v>1.2364929</v>
      </c>
      <c r="E32" s="3939">
        <v>1219</v>
      </c>
      <c r="F32" s="3905">
        <v>1.3603919499999999</v>
      </c>
      <c r="G32" s="3900">
        <v>2392</v>
      </c>
      <c r="H32" s="3940">
        <v>2.4744389999999998</v>
      </c>
      <c r="I32" s="3902">
        <v>2772</v>
      </c>
      <c r="J32" s="3903">
        <v>2.8243412499999998</v>
      </c>
      <c r="K32" s="3901">
        <v>15.88628762541806</v>
      </c>
      <c r="L32" s="3901">
        <v>14.140669864967373</v>
      </c>
      <c r="M32" s="3908">
        <v>2661</v>
      </c>
      <c r="N32" s="3920">
        <v>2.8316924999999999</v>
      </c>
      <c r="O32" s="3921">
        <v>4380</v>
      </c>
      <c r="P32" s="3920">
        <v>4.3269324999999998</v>
      </c>
      <c r="Q32" s="3921">
        <v>3208</v>
      </c>
      <c r="R32" s="3920">
        <v>3.4157612500000001</v>
      </c>
      <c r="S32" s="3921"/>
      <c r="T32" s="3920"/>
      <c r="U32" s="3910"/>
      <c r="V32" s="3910"/>
      <c r="W32" s="3910"/>
      <c r="X32" s="3910"/>
      <c r="Y32" s="3910"/>
      <c r="Z32" s="3910"/>
    </row>
    <row r="33" spans="1:26" s="3899" customFormat="1" ht="10.5" customHeight="1">
      <c r="A33" s="3910"/>
      <c r="B33" s="3934"/>
      <c r="C33" s="3941"/>
      <c r="D33" s="3942"/>
      <c r="E33" s="3941"/>
      <c r="F33" s="3942"/>
      <c r="G33" s="3941"/>
      <c r="H33" s="3942"/>
      <c r="I33" s="3941"/>
      <c r="J33" s="3942"/>
      <c r="K33" s="3264"/>
      <c r="L33" s="3264"/>
      <c r="M33" s="3943"/>
      <c r="N33" s="3944"/>
      <c r="O33" s="3943"/>
      <c r="P33" s="3944"/>
      <c r="Q33" s="3943"/>
      <c r="R33" s="3944"/>
      <c r="S33" s="3943"/>
      <c r="T33" s="3944"/>
      <c r="U33" s="3910"/>
      <c r="V33" s="3910"/>
      <c r="W33" s="3910"/>
      <c r="X33" s="3910"/>
      <c r="Y33" s="3910"/>
      <c r="Z33" s="3910"/>
    </row>
    <row r="34" spans="1:26" s="3899" customFormat="1" ht="15.75" customHeight="1">
      <c r="A34" s="3910"/>
      <c r="B34" s="3945" t="s">
        <v>152</v>
      </c>
      <c r="C34" s="3946">
        <v>23480</v>
      </c>
      <c r="D34" s="3947">
        <v>31.86946682</v>
      </c>
      <c r="E34" s="3946">
        <v>26938</v>
      </c>
      <c r="F34" s="3947">
        <v>35.014557840000002</v>
      </c>
      <c r="G34" s="3946">
        <v>37489</v>
      </c>
      <c r="H34" s="3947">
        <v>47.699454369999991</v>
      </c>
      <c r="I34" s="3946">
        <v>43929</v>
      </c>
      <c r="J34" s="3947">
        <v>62.781476870000006</v>
      </c>
      <c r="K34" s="3947">
        <v>310.74180060332486</v>
      </c>
      <c r="L34" s="3947">
        <v>433.57440207221987</v>
      </c>
      <c r="M34" s="3946">
        <v>44281</v>
      </c>
      <c r="N34" s="3947">
        <v>63.475093050000005</v>
      </c>
      <c r="O34" s="3946">
        <v>58022</v>
      </c>
      <c r="P34" s="3947">
        <v>73.219835849999996</v>
      </c>
      <c r="Q34" s="3946">
        <v>51447</v>
      </c>
      <c r="R34" s="3947">
        <v>71.154767750000005</v>
      </c>
      <c r="S34" s="3946"/>
      <c r="T34" s="3947"/>
      <c r="U34" s="3910"/>
      <c r="V34" s="3910"/>
      <c r="W34" s="3910"/>
      <c r="X34" s="3910"/>
      <c r="Y34" s="3910"/>
      <c r="Z34" s="3910"/>
    </row>
    <row r="35" spans="1:26" ht="14.25" customHeight="1">
      <c r="A35" s="3923"/>
      <c r="B35" s="4792" t="s">
        <v>1844</v>
      </c>
      <c r="C35" s="4792"/>
      <c r="D35" s="4792"/>
      <c r="E35" s="4792"/>
      <c r="F35" s="4792"/>
      <c r="G35" s="4792"/>
      <c r="H35" s="4792"/>
      <c r="I35" s="4792"/>
      <c r="J35" s="4792"/>
      <c r="K35" s="4792"/>
      <c r="L35" s="4792"/>
      <c r="M35" s="4792"/>
      <c r="N35" s="4792"/>
      <c r="O35" s="4792"/>
      <c r="P35" s="4792"/>
      <c r="Q35" s="4792"/>
      <c r="R35" s="4792"/>
      <c r="S35" s="3923"/>
      <c r="T35" s="3923"/>
      <c r="U35" s="3923"/>
      <c r="V35" s="3923"/>
      <c r="W35" s="3923"/>
      <c r="X35" s="3923"/>
      <c r="Y35" s="3923"/>
      <c r="Z35" s="3923"/>
    </row>
    <row r="36" spans="1:26">
      <c r="A36" s="3923"/>
      <c r="B36" s="3923"/>
      <c r="C36" s="3923"/>
      <c r="D36" s="3923"/>
      <c r="E36" s="3923"/>
      <c r="F36" s="3923"/>
      <c r="G36" s="3924"/>
      <c r="H36" s="3923"/>
      <c r="I36" s="3923"/>
      <c r="J36" s="3923"/>
      <c r="K36" s="3923"/>
      <c r="L36" s="3923"/>
      <c r="M36" s="3923"/>
      <c r="N36" s="3923"/>
      <c r="O36" s="3923"/>
      <c r="P36" s="3923"/>
      <c r="Q36" s="3923"/>
      <c r="R36" s="3923"/>
      <c r="S36" s="3923"/>
      <c r="T36" s="3923"/>
      <c r="U36" s="3923"/>
      <c r="V36" s="3923"/>
      <c r="W36" s="3923"/>
      <c r="X36" s="3923"/>
      <c r="Y36" s="3923"/>
      <c r="Z36" s="3923"/>
    </row>
    <row r="37" spans="1:26">
      <c r="A37" s="3923"/>
      <c r="B37" s="3923"/>
      <c r="C37" s="3923"/>
      <c r="D37" s="3923"/>
      <c r="E37" s="3923"/>
      <c r="F37" s="3923"/>
      <c r="H37" s="3923"/>
      <c r="I37" s="3923"/>
      <c r="J37" s="3923"/>
      <c r="K37" s="3923"/>
      <c r="L37" s="3923"/>
      <c r="M37" s="3923"/>
      <c r="N37" s="3923"/>
      <c r="O37" s="3923"/>
      <c r="P37" s="3923"/>
      <c r="Q37" s="3923"/>
      <c r="R37" s="3923"/>
      <c r="S37" s="3923"/>
      <c r="T37" s="3923"/>
      <c r="U37" s="3923"/>
      <c r="V37" s="3923"/>
      <c r="W37" s="3923"/>
      <c r="X37" s="3923"/>
      <c r="Y37" s="3923"/>
      <c r="Z37" s="3923"/>
    </row>
    <row r="38" spans="1:26">
      <c r="A38" s="3923"/>
      <c r="B38" s="3923"/>
      <c r="C38" s="3923"/>
      <c r="D38" s="3923"/>
      <c r="E38" s="3923"/>
      <c r="F38" s="3923"/>
      <c r="G38" s="3924"/>
      <c r="H38" s="3923"/>
      <c r="I38" s="3923"/>
      <c r="J38" s="3923"/>
      <c r="K38" s="3923"/>
      <c r="L38" s="3923"/>
      <c r="M38" s="3923"/>
      <c r="N38" s="3923"/>
      <c r="O38" s="3923"/>
      <c r="P38" s="3923"/>
      <c r="Q38" s="3923"/>
      <c r="R38" s="3923"/>
      <c r="S38" s="3923"/>
      <c r="T38" s="3923"/>
      <c r="U38" s="3923"/>
      <c r="V38" s="3923"/>
      <c r="W38" s="3923"/>
      <c r="X38" s="3923"/>
      <c r="Y38" s="3923"/>
      <c r="Z38" s="3923"/>
    </row>
    <row r="39" spans="1:26">
      <c r="A39" s="3923"/>
      <c r="B39" s="3923"/>
      <c r="C39" s="3923"/>
      <c r="D39" s="3923"/>
      <c r="E39" s="3923"/>
      <c r="F39" s="3923"/>
      <c r="G39" s="3924"/>
      <c r="H39" s="3923"/>
      <c r="I39" s="3923"/>
      <c r="J39" s="3923"/>
      <c r="K39" s="3923"/>
      <c r="L39" s="3923"/>
      <c r="M39" s="3923"/>
      <c r="N39" s="3923"/>
      <c r="O39" s="3923"/>
      <c r="P39" s="3923"/>
      <c r="Q39" s="3923"/>
      <c r="R39" s="3923"/>
      <c r="S39" s="3923"/>
      <c r="T39" s="3923"/>
      <c r="U39" s="3923"/>
      <c r="V39" s="3923"/>
      <c r="W39" s="3923"/>
      <c r="X39" s="3923"/>
      <c r="Y39" s="3923"/>
      <c r="Z39" s="3923"/>
    </row>
    <row r="40" spans="1:26">
      <c r="A40" s="3923"/>
      <c r="B40" s="3923"/>
      <c r="C40" s="3923"/>
      <c r="D40" s="3923"/>
      <c r="E40" s="3923"/>
      <c r="F40" s="3923"/>
      <c r="G40" s="3924"/>
      <c r="H40" s="3923"/>
      <c r="I40" s="3923"/>
      <c r="J40" s="3923"/>
      <c r="K40" s="3923"/>
      <c r="L40" s="3923"/>
      <c r="M40" s="3923"/>
      <c r="N40" s="3923"/>
      <c r="O40" s="3923"/>
      <c r="P40" s="3923"/>
      <c r="Q40" s="3923"/>
      <c r="R40" s="3923"/>
      <c r="S40" s="3923"/>
      <c r="T40" s="3923"/>
      <c r="U40" s="3923"/>
      <c r="V40" s="3923"/>
      <c r="W40" s="3923"/>
      <c r="X40" s="3923"/>
      <c r="Y40" s="3923"/>
      <c r="Z40" s="3923"/>
    </row>
    <row r="41" spans="1:26">
      <c r="A41" s="3923"/>
      <c r="B41" s="3923"/>
      <c r="C41" s="3923"/>
      <c r="D41" s="3923"/>
      <c r="E41" s="3923"/>
      <c r="F41" s="3923"/>
      <c r="G41" s="3924"/>
      <c r="H41" s="3923"/>
      <c r="I41" s="3923"/>
      <c r="J41" s="3923"/>
      <c r="K41" s="3923"/>
      <c r="L41" s="3923"/>
      <c r="M41" s="3923"/>
      <c r="N41" s="3923"/>
      <c r="O41" s="3923"/>
      <c r="P41" s="3923"/>
      <c r="Q41" s="3923"/>
      <c r="R41" s="3923"/>
      <c r="S41" s="3923"/>
      <c r="T41" s="3923"/>
      <c r="U41" s="3923"/>
      <c r="V41" s="3923"/>
      <c r="W41" s="3923"/>
      <c r="X41" s="3923"/>
      <c r="Y41" s="3923"/>
      <c r="Z41" s="3923"/>
    </row>
    <row r="42" spans="1:26">
      <c r="A42" s="3923"/>
      <c r="B42" s="3923"/>
      <c r="C42" s="3923"/>
      <c r="D42" s="3923"/>
      <c r="E42" s="3923"/>
      <c r="F42" s="3923"/>
      <c r="G42" s="3924"/>
      <c r="H42" s="3923"/>
      <c r="I42" s="3923"/>
      <c r="J42" s="3923"/>
      <c r="K42" s="3923"/>
      <c r="L42" s="3923"/>
      <c r="M42" s="3923"/>
      <c r="N42" s="3923"/>
      <c r="O42" s="3923"/>
      <c r="P42" s="3923"/>
      <c r="Q42" s="3923"/>
      <c r="R42" s="3923"/>
      <c r="S42" s="3923"/>
      <c r="T42" s="3923"/>
      <c r="U42" s="3923"/>
      <c r="V42" s="3923"/>
      <c r="W42" s="3923"/>
      <c r="X42" s="3923"/>
      <c r="Y42" s="3923"/>
      <c r="Z42" s="3923"/>
    </row>
    <row r="43" spans="1:26">
      <c r="A43" s="3923"/>
      <c r="B43" s="3923"/>
      <c r="C43" s="3923"/>
      <c r="D43" s="3923"/>
      <c r="E43" s="3923"/>
      <c r="F43" s="3923"/>
      <c r="G43" s="3924"/>
      <c r="H43" s="3923"/>
      <c r="I43" s="3923"/>
      <c r="J43" s="3923"/>
      <c r="K43" s="3923"/>
      <c r="L43" s="3923"/>
      <c r="M43" s="3923"/>
      <c r="N43" s="3923"/>
      <c r="O43" s="3923"/>
      <c r="P43" s="3923"/>
      <c r="Q43" s="3923"/>
      <c r="R43" s="3923"/>
      <c r="S43" s="3923"/>
      <c r="T43" s="3923"/>
      <c r="U43" s="3923"/>
      <c r="V43" s="3923"/>
      <c r="W43" s="3923"/>
      <c r="X43" s="3923"/>
      <c r="Y43" s="3923"/>
      <c r="Z43" s="3923"/>
    </row>
    <row r="44" spans="1:26">
      <c r="A44" s="3923"/>
      <c r="B44" s="3923"/>
      <c r="C44" s="3923"/>
      <c r="D44" s="3923"/>
      <c r="E44" s="3923"/>
      <c r="F44" s="3923"/>
      <c r="G44" s="3924"/>
      <c r="H44" s="3923"/>
      <c r="I44" s="3923"/>
      <c r="J44" s="3923"/>
      <c r="K44" s="3923"/>
      <c r="L44" s="3923"/>
      <c r="M44" s="3923"/>
      <c r="N44" s="3923"/>
      <c r="O44" s="3923"/>
      <c r="P44" s="3923"/>
      <c r="Q44" s="3923"/>
      <c r="R44" s="3923"/>
      <c r="S44" s="3923"/>
      <c r="T44" s="3923"/>
      <c r="U44" s="3923"/>
      <c r="V44" s="3923"/>
      <c r="W44" s="3923"/>
      <c r="X44" s="3923"/>
      <c r="Y44" s="3923"/>
      <c r="Z44" s="3923"/>
    </row>
    <row r="45" spans="1:26">
      <c r="A45" s="3923"/>
      <c r="B45" s="3923"/>
      <c r="C45" s="3923"/>
      <c r="D45" s="3923"/>
      <c r="E45" s="3923"/>
      <c r="F45" s="3923"/>
      <c r="G45" s="3924"/>
      <c r="H45" s="3923"/>
      <c r="I45" s="3923"/>
      <c r="J45" s="3923"/>
      <c r="K45" s="3923"/>
      <c r="L45" s="3923"/>
      <c r="M45" s="3923"/>
      <c r="N45" s="3923"/>
      <c r="O45" s="3923"/>
      <c r="P45" s="3923"/>
      <c r="Q45" s="3923"/>
      <c r="R45" s="3923"/>
      <c r="S45" s="3923"/>
      <c r="T45" s="3923"/>
      <c r="U45" s="3923"/>
      <c r="V45" s="3923"/>
      <c r="W45" s="3923"/>
      <c r="X45" s="3923"/>
      <c r="Y45" s="3923"/>
      <c r="Z45" s="3923"/>
    </row>
    <row r="46" spans="1:26">
      <c r="A46" s="3923"/>
      <c r="B46" s="3923"/>
      <c r="C46" s="3923"/>
      <c r="D46" s="3923"/>
      <c r="E46" s="3923"/>
      <c r="F46" s="3923"/>
      <c r="G46" s="3924"/>
      <c r="H46" s="3923"/>
      <c r="I46" s="3923"/>
      <c r="J46" s="3923"/>
      <c r="K46" s="3923"/>
      <c r="L46" s="3923"/>
      <c r="M46" s="3923"/>
      <c r="N46" s="3923"/>
      <c r="O46" s="3923"/>
      <c r="P46" s="3923"/>
      <c r="Q46" s="3923"/>
      <c r="R46" s="3923"/>
      <c r="S46" s="3923"/>
      <c r="T46" s="3923"/>
      <c r="U46" s="3923"/>
      <c r="V46" s="3923"/>
      <c r="W46" s="3923"/>
      <c r="X46" s="3923"/>
      <c r="Y46" s="3923"/>
      <c r="Z46" s="3923"/>
    </row>
    <row r="47" spans="1:26" s="3922" customFormat="1">
      <c r="G47" s="4055"/>
    </row>
    <row r="48" spans="1:26" s="3922" customFormat="1">
      <c r="G48" s="4055"/>
    </row>
    <row r="49" spans="7:7" s="3922" customFormat="1">
      <c r="G49" s="4055"/>
    </row>
    <row r="50" spans="7:7" s="3922" customFormat="1">
      <c r="G50" s="4055"/>
    </row>
    <row r="51" spans="7:7" s="3922" customFormat="1">
      <c r="G51" s="4055"/>
    </row>
    <row r="52" spans="7:7" s="3922" customFormat="1">
      <c r="G52" s="4055"/>
    </row>
    <row r="53" spans="7:7" s="3922" customFormat="1">
      <c r="G53" s="4055"/>
    </row>
    <row r="54" spans="7:7" s="3922" customFormat="1">
      <c r="G54" s="4055"/>
    </row>
    <row r="55" spans="7:7" s="3922" customFormat="1">
      <c r="G55" s="4055"/>
    </row>
    <row r="56" spans="7:7" s="3922" customFormat="1">
      <c r="G56" s="4055"/>
    </row>
    <row r="57" spans="7:7" s="3922" customFormat="1">
      <c r="G57" s="4055"/>
    </row>
    <row r="58" spans="7:7" s="3922" customFormat="1">
      <c r="G58" s="4055"/>
    </row>
    <row r="59" spans="7:7" s="3922" customFormat="1">
      <c r="G59" s="4055"/>
    </row>
    <row r="60" spans="7:7" s="3922" customFormat="1">
      <c r="G60" s="4055"/>
    </row>
    <row r="61" spans="7:7" s="3922" customFormat="1">
      <c r="G61" s="4055"/>
    </row>
    <row r="62" spans="7:7" s="3922" customFormat="1">
      <c r="G62" s="4055"/>
    </row>
    <row r="63" spans="7:7" s="3922" customFormat="1">
      <c r="G63" s="4055"/>
    </row>
    <row r="64" spans="7:7" s="3922" customFormat="1">
      <c r="G64" s="4055"/>
    </row>
    <row r="65" spans="7:7" s="3922" customFormat="1">
      <c r="G65" s="4055"/>
    </row>
    <row r="66" spans="7:7" s="3922" customFormat="1">
      <c r="G66" s="4055"/>
    </row>
    <row r="67" spans="7:7" s="3922" customFormat="1">
      <c r="G67" s="4055"/>
    </row>
    <row r="68" spans="7:7" s="3922" customFormat="1">
      <c r="G68" s="4055"/>
    </row>
    <row r="69" spans="7:7" s="3922" customFormat="1">
      <c r="G69" s="4055"/>
    </row>
    <row r="70" spans="7:7" s="3922" customFormat="1">
      <c r="G70" s="4055"/>
    </row>
    <row r="71" spans="7:7" s="3922" customFormat="1">
      <c r="G71" s="4055"/>
    </row>
    <row r="72" spans="7:7" s="3922" customFormat="1">
      <c r="G72" s="4055"/>
    </row>
    <row r="73" spans="7:7" s="3922" customFormat="1">
      <c r="G73" s="4055"/>
    </row>
    <row r="74" spans="7:7" s="3922" customFormat="1">
      <c r="G74" s="4055"/>
    </row>
    <row r="75" spans="7:7" s="3922" customFormat="1">
      <c r="G75" s="4055"/>
    </row>
    <row r="76" spans="7:7" s="3922" customFormat="1">
      <c r="G76" s="4055"/>
    </row>
    <row r="77" spans="7:7" s="3922" customFormat="1">
      <c r="G77" s="4055"/>
    </row>
  </sheetData>
  <mergeCells count="18">
    <mergeCell ref="M5:N6"/>
    <mergeCell ref="O5:P6"/>
    <mergeCell ref="S5:T6"/>
    <mergeCell ref="Q5:R6"/>
    <mergeCell ref="S7:S8"/>
    <mergeCell ref="B35:R35"/>
    <mergeCell ref="G7:G8"/>
    <mergeCell ref="I7:I8"/>
    <mergeCell ref="K7:K8"/>
    <mergeCell ref="M7:M8"/>
    <mergeCell ref="O7:O8"/>
    <mergeCell ref="Q7:Q8"/>
    <mergeCell ref="B5:B8"/>
    <mergeCell ref="C5:D6"/>
    <mergeCell ref="E5:F6"/>
    <mergeCell ref="G5:H6"/>
    <mergeCell ref="I5:J6"/>
    <mergeCell ref="K5:L6"/>
  </mergeCells>
  <pageMargins left="1.4" right="0.75" top="1" bottom="1" header="0.5" footer="0.5"/>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dimension ref="D2"/>
  <sheetViews>
    <sheetView workbookViewId="0">
      <selection activeCell="I37" sqref="I37"/>
    </sheetView>
  </sheetViews>
  <sheetFormatPr defaultRowHeight="12.75"/>
  <cols>
    <col min="1" max="16384" width="9.140625" style="4072"/>
  </cols>
  <sheetData>
    <row r="2" spans="4:4" ht="18">
      <c r="D2" s="3948" t="s">
        <v>2037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dimension ref="A1:ES161"/>
  <sheetViews>
    <sheetView zoomScale="80" zoomScaleNormal="80" zoomScaleSheetLayoutView="85" workbookViewId="0">
      <pane xSplit="2" ySplit="4" topLeftCell="C5" activePane="bottomRight" state="frozen"/>
      <selection activeCell="O44" sqref="O44:AA44"/>
      <selection pane="topRight" activeCell="O44" sqref="O44:AA44"/>
      <selection pane="bottomLeft" activeCell="O44" sqref="O44:AA44"/>
      <selection pane="bottomRight" activeCell="T84" sqref="T84"/>
    </sheetView>
  </sheetViews>
  <sheetFormatPr defaultRowHeight="15"/>
  <cols>
    <col min="1" max="1" width="9.140625" style="3268"/>
    <col min="2" max="2" width="8.28515625" style="3268" customWidth="1"/>
    <col min="3" max="3" width="11.28515625" style="3268" customWidth="1"/>
    <col min="4" max="4" width="9.42578125" style="3268" customWidth="1"/>
    <col min="5" max="8" width="8.7109375" style="3268" customWidth="1"/>
    <col min="9" max="9" width="10.7109375" style="3268" customWidth="1"/>
    <col min="10" max="13" width="8.7109375" style="3268" customWidth="1"/>
    <col min="14" max="14" width="10.7109375" style="3268" customWidth="1"/>
    <col min="15" max="18" width="8.7109375" style="3268" customWidth="1"/>
    <col min="19" max="19" width="8.28515625" style="3268" customWidth="1"/>
    <col min="20" max="21" width="12.42578125" style="3268" customWidth="1"/>
    <col min="22" max="22" width="11.28515625" style="3268" customWidth="1"/>
    <col min="23" max="23" width="8.28515625" style="3268" customWidth="1"/>
    <col min="24" max="24" width="10.7109375" style="3268" customWidth="1"/>
    <col min="25" max="25" width="13.42578125" style="3268" customWidth="1"/>
    <col min="26" max="31" width="8.28515625" style="3268" customWidth="1"/>
    <col min="32" max="32" width="8.28515625" style="3269" customWidth="1"/>
    <col min="33" max="36" width="8.28515625" style="3268" customWidth="1"/>
    <col min="37" max="37" width="8.28515625" style="3289" customWidth="1"/>
    <col min="38" max="41" width="9.140625" style="3268"/>
    <col min="42" max="42" width="11.140625" style="3268" customWidth="1"/>
    <col min="43" max="43" width="9.5703125" style="3268" customWidth="1"/>
    <col min="44" max="44" width="10" style="3268" customWidth="1"/>
    <col min="45" max="45" width="10.85546875" style="3268" bestFit="1" customWidth="1"/>
    <col min="46" max="49" width="10.85546875" style="3268" customWidth="1"/>
    <col min="50" max="50" width="10.28515625" style="3268" customWidth="1"/>
    <col min="51" max="51" width="9.140625" style="3268"/>
    <col min="52" max="52" width="9.85546875" style="3268" bestFit="1" customWidth="1"/>
    <col min="53" max="16384" width="9.140625" style="3268"/>
  </cols>
  <sheetData>
    <row r="1" spans="1:149" ht="18">
      <c r="A1" s="3270"/>
      <c r="B1" s="3819" t="s">
        <v>2038</v>
      </c>
      <c r="C1" s="3950"/>
      <c r="D1" s="3950"/>
      <c r="E1" s="3950"/>
      <c r="F1" s="3950"/>
      <c r="G1" s="3950"/>
      <c r="H1" s="3950"/>
      <c r="I1" s="3270"/>
      <c r="J1" s="3270"/>
      <c r="K1" s="3270"/>
      <c r="L1" s="3270"/>
      <c r="M1" s="3270"/>
      <c r="N1" s="3270"/>
      <c r="O1" s="3270"/>
      <c r="P1" s="3270"/>
      <c r="Q1" s="3810"/>
      <c r="R1" s="3810"/>
      <c r="S1" s="3266"/>
      <c r="T1" s="3287"/>
      <c r="U1" s="3266"/>
      <c r="V1" s="3266"/>
      <c r="W1" s="3266"/>
      <c r="X1" s="3266"/>
      <c r="Y1" s="3266"/>
      <c r="Z1" s="3266"/>
      <c r="AA1" s="3266"/>
      <c r="AB1" s="3266"/>
      <c r="AC1" s="3266"/>
      <c r="AD1" s="3266"/>
      <c r="AE1" s="3266"/>
      <c r="AF1" s="3292"/>
      <c r="AG1" s="3266"/>
      <c r="AH1" s="3266"/>
      <c r="AI1" s="3266"/>
      <c r="AJ1" s="3266"/>
      <c r="AK1" s="3320"/>
      <c r="AL1" s="3266"/>
      <c r="AM1" s="3266"/>
      <c r="AN1" s="3266"/>
      <c r="AO1" s="3266"/>
      <c r="AP1" s="3266"/>
      <c r="AQ1" s="3266"/>
      <c r="AR1" s="3266"/>
      <c r="AS1" s="3266"/>
      <c r="AT1" s="3266"/>
      <c r="AU1" s="3266"/>
      <c r="AV1" s="3266"/>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c r="BU1" s="3266"/>
      <c r="BV1" s="3266"/>
      <c r="BW1" s="3266"/>
      <c r="BX1" s="3266"/>
      <c r="BY1" s="3266"/>
      <c r="BZ1" s="3266"/>
      <c r="CA1" s="3266"/>
      <c r="CB1" s="3266"/>
      <c r="CC1" s="3266"/>
      <c r="CD1" s="3266"/>
      <c r="CE1" s="3266"/>
      <c r="CF1" s="3266"/>
      <c r="CG1" s="3266"/>
      <c r="CH1" s="3266"/>
      <c r="CI1" s="3266"/>
      <c r="CJ1" s="3266"/>
      <c r="CK1" s="3266"/>
      <c r="CL1" s="3266"/>
      <c r="CM1" s="3266"/>
      <c r="CN1" s="3266"/>
      <c r="CO1" s="3266"/>
      <c r="CP1" s="3266"/>
      <c r="CQ1" s="3266"/>
      <c r="CR1" s="3266"/>
      <c r="CS1" s="3266"/>
      <c r="CT1" s="3266"/>
      <c r="CU1" s="3266"/>
      <c r="CV1" s="3266"/>
      <c r="CW1" s="3266"/>
      <c r="CX1" s="3266"/>
      <c r="CY1" s="3266"/>
      <c r="CZ1" s="3266"/>
      <c r="DA1" s="3266"/>
      <c r="DB1" s="3266"/>
      <c r="DC1" s="3266"/>
      <c r="DD1" s="3266"/>
      <c r="DE1" s="3266"/>
      <c r="DF1" s="3266"/>
      <c r="DG1" s="3266"/>
      <c r="DH1" s="3266"/>
      <c r="DI1" s="3266"/>
      <c r="DJ1" s="3266"/>
      <c r="DK1" s="3266"/>
      <c r="DL1" s="3266"/>
      <c r="DM1" s="3266"/>
      <c r="DN1" s="3266"/>
      <c r="DO1" s="3266"/>
      <c r="DP1" s="3266"/>
      <c r="DQ1" s="3266"/>
      <c r="DR1" s="3266"/>
      <c r="DS1" s="3266"/>
      <c r="DT1" s="3266"/>
      <c r="DU1" s="3266"/>
      <c r="DV1" s="3266"/>
      <c r="DW1" s="3266"/>
      <c r="DX1" s="3266"/>
      <c r="DY1" s="3266"/>
      <c r="DZ1" s="3266"/>
      <c r="EA1" s="3266"/>
      <c r="EB1" s="3266"/>
      <c r="EC1" s="3266"/>
      <c r="ED1" s="3266"/>
      <c r="EE1" s="3266"/>
      <c r="EF1" s="3266"/>
      <c r="EG1" s="3266"/>
      <c r="EH1" s="3266"/>
      <c r="EI1" s="3266"/>
      <c r="EJ1" s="3266"/>
      <c r="EK1" s="3266"/>
      <c r="EL1" s="3266"/>
      <c r="EM1" s="3266"/>
      <c r="EN1" s="3266"/>
      <c r="EO1" s="3266"/>
      <c r="EP1" s="3266"/>
      <c r="EQ1" s="3266"/>
      <c r="ER1" s="3266"/>
      <c r="ES1" s="3266"/>
    </row>
    <row r="2" spans="1:149" ht="13.5" customHeight="1">
      <c r="A2" s="3270"/>
      <c r="B2" s="3270"/>
      <c r="C2" s="3271"/>
      <c r="D2" s="3271"/>
      <c r="E2" s="3271"/>
      <c r="F2" s="3271"/>
      <c r="G2" s="3271"/>
      <c r="H2" s="3271"/>
      <c r="I2" s="3271"/>
      <c r="J2" s="3271"/>
      <c r="K2" s="3271"/>
      <c r="L2" s="3271"/>
      <c r="M2" s="3271"/>
      <c r="N2" s="3271"/>
      <c r="O2" s="3271"/>
      <c r="P2" s="3271"/>
      <c r="Q2" s="3271"/>
      <c r="R2" s="3271"/>
      <c r="S2" s="3283"/>
      <c r="T2" s="3307"/>
      <c r="U2" s="3326"/>
      <c r="V2" s="3326"/>
      <c r="W2" s="3326"/>
      <c r="X2" s="3326"/>
      <c r="Y2" s="3326"/>
      <c r="Z2" s="3321"/>
      <c r="AA2" s="3321"/>
      <c r="AB2" s="3324"/>
      <c r="AC2" s="3324"/>
      <c r="AD2" s="3324"/>
      <c r="AE2" s="3324"/>
      <c r="AF2" s="3292"/>
      <c r="AG2" s="3292"/>
      <c r="AH2" s="3292"/>
      <c r="AI2" s="3292"/>
      <c r="AJ2" s="3292"/>
      <c r="AK2" s="3320"/>
      <c r="AL2" s="3266"/>
      <c r="AM2" s="3266"/>
      <c r="AN2" s="3266"/>
      <c r="AO2" s="3266"/>
      <c r="AP2" s="3292"/>
      <c r="AQ2" s="3292"/>
      <c r="AR2" s="3292"/>
      <c r="AS2" s="3292"/>
      <c r="AT2" s="3292"/>
      <c r="AU2" s="3292"/>
      <c r="AV2" s="3292"/>
      <c r="AW2" s="3292"/>
      <c r="AX2" s="3292"/>
      <c r="AY2" s="3292"/>
      <c r="AZ2" s="3292"/>
      <c r="BA2" s="3292"/>
      <c r="BB2" s="3292"/>
      <c r="BC2" s="3292"/>
      <c r="BD2" s="3292"/>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c r="CF2" s="3266"/>
      <c r="CG2" s="3266"/>
      <c r="CH2" s="3266"/>
      <c r="CI2" s="3266"/>
      <c r="CJ2" s="3266"/>
      <c r="CK2" s="3266"/>
      <c r="CL2" s="3266"/>
      <c r="CM2" s="3266"/>
      <c r="CN2" s="3266"/>
      <c r="CO2" s="3266"/>
      <c r="CP2" s="3266"/>
      <c r="CQ2" s="3266"/>
      <c r="CR2" s="3266"/>
      <c r="CS2" s="3266"/>
      <c r="CT2" s="3266"/>
      <c r="CU2" s="3266"/>
      <c r="CV2" s="3266"/>
      <c r="CW2" s="3266"/>
      <c r="CX2" s="3266"/>
      <c r="CY2" s="3266"/>
      <c r="CZ2" s="3266"/>
      <c r="DA2" s="3266"/>
      <c r="DB2" s="3266"/>
      <c r="DC2" s="3266"/>
      <c r="DD2" s="3266"/>
      <c r="DE2" s="3266"/>
      <c r="DF2" s="3266"/>
      <c r="DG2" s="3266"/>
      <c r="DH2" s="3266"/>
      <c r="DI2" s="3266"/>
      <c r="DJ2" s="3266"/>
      <c r="DK2" s="3266"/>
      <c r="DL2" s="3266"/>
      <c r="DM2" s="3266"/>
      <c r="DN2" s="3266"/>
      <c r="DO2" s="3266"/>
      <c r="DP2" s="3266"/>
      <c r="DQ2" s="3266"/>
      <c r="DR2" s="3266"/>
      <c r="DS2" s="3266"/>
      <c r="DT2" s="3266"/>
      <c r="DU2" s="3266"/>
      <c r="DV2" s="3266"/>
      <c r="DW2" s="3266"/>
      <c r="DX2" s="3266"/>
      <c r="DY2" s="3266"/>
      <c r="DZ2" s="3266"/>
      <c r="EA2" s="3266"/>
      <c r="EB2" s="3266"/>
      <c r="EC2" s="3266"/>
      <c r="ED2" s="3266"/>
      <c r="EE2" s="3266"/>
      <c r="EF2" s="3266"/>
      <c r="EG2" s="3266"/>
      <c r="EH2" s="3266"/>
      <c r="EI2" s="3266"/>
      <c r="EJ2" s="3266"/>
      <c r="EK2" s="3266"/>
      <c r="EL2" s="3266"/>
      <c r="EM2" s="3266"/>
      <c r="EN2" s="3266"/>
      <c r="EO2" s="3266"/>
      <c r="EP2" s="3266"/>
      <c r="EQ2" s="3266"/>
      <c r="ER2" s="3266"/>
      <c r="ES2" s="3266"/>
    </row>
    <row r="3" spans="1:149" ht="22.5" customHeight="1">
      <c r="A3" s="3270"/>
      <c r="B3" s="3273"/>
      <c r="C3" s="4809" t="s">
        <v>1845</v>
      </c>
      <c r="D3" s="4809"/>
      <c r="E3" s="4809"/>
      <c r="F3" s="4809"/>
      <c r="G3" s="4809"/>
      <c r="H3" s="4809"/>
      <c r="I3" s="4810" t="s">
        <v>1846</v>
      </c>
      <c r="J3" s="4810"/>
      <c r="K3" s="4810"/>
      <c r="L3" s="4810"/>
      <c r="M3" s="4810"/>
      <c r="N3" s="4809" t="s">
        <v>1847</v>
      </c>
      <c r="O3" s="4809"/>
      <c r="P3" s="4809"/>
      <c r="Q3" s="4809"/>
      <c r="R3" s="4811"/>
      <c r="S3" s="3274"/>
      <c r="T3" s="3307"/>
      <c r="U3" s="3326"/>
      <c r="V3" s="3326"/>
      <c r="W3" s="3326"/>
      <c r="X3" s="3326"/>
      <c r="Y3" s="3326"/>
      <c r="Z3" s="3321"/>
      <c r="AA3" s="3321"/>
      <c r="AB3" s="3324"/>
      <c r="AC3" s="3324"/>
      <c r="AD3" s="3324"/>
      <c r="AE3" s="3324"/>
      <c r="AF3" s="3278"/>
      <c r="AG3" s="3325"/>
      <c r="AH3" s="3325"/>
      <c r="AI3" s="3325"/>
      <c r="AJ3" s="3292"/>
      <c r="AK3" s="3320"/>
      <c r="AL3" s="3266"/>
      <c r="AM3" s="3266"/>
      <c r="AN3" s="3266"/>
      <c r="AO3" s="3266"/>
      <c r="AP3" s="4807"/>
      <c r="AQ3" s="4807"/>
      <c r="AR3" s="4807"/>
      <c r="AS3" s="4807"/>
      <c r="AT3" s="4807"/>
      <c r="AU3" s="4807"/>
      <c r="AV3" s="4807"/>
      <c r="AW3" s="4807"/>
      <c r="AX3" s="4807"/>
      <c r="AY3" s="4807"/>
      <c r="AZ3" s="4807"/>
      <c r="BA3" s="4807"/>
      <c r="BB3" s="3292"/>
      <c r="BC3" s="3292"/>
      <c r="BD3" s="3292"/>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c r="CF3" s="3266"/>
      <c r="CG3" s="3266"/>
      <c r="CH3" s="3266"/>
      <c r="CI3" s="3266"/>
      <c r="CJ3" s="3266"/>
      <c r="CK3" s="3266"/>
      <c r="CL3" s="3266"/>
      <c r="CM3" s="3266"/>
      <c r="CN3" s="3266"/>
      <c r="CO3" s="3266"/>
      <c r="CP3" s="3266"/>
      <c r="CQ3" s="3266"/>
      <c r="CR3" s="3266"/>
      <c r="CS3" s="3266"/>
      <c r="CT3" s="3266"/>
      <c r="CU3" s="3266"/>
      <c r="CV3" s="3266"/>
      <c r="CW3" s="3266"/>
      <c r="CX3" s="3266"/>
      <c r="CY3" s="3266"/>
      <c r="CZ3" s="3266"/>
      <c r="DA3" s="3266"/>
      <c r="DB3" s="3266"/>
      <c r="DC3" s="3266"/>
      <c r="DD3" s="3266"/>
      <c r="DE3" s="3266"/>
      <c r="DF3" s="3266"/>
      <c r="DG3" s="3266"/>
      <c r="DH3" s="3266"/>
      <c r="DI3" s="3266"/>
      <c r="DJ3" s="3266"/>
      <c r="DK3" s="3266"/>
      <c r="DL3" s="3266"/>
      <c r="DM3" s="3266"/>
      <c r="DN3" s="3266"/>
      <c r="DO3" s="3266"/>
      <c r="DP3" s="3266"/>
      <c r="DQ3" s="3266"/>
      <c r="DR3" s="3266"/>
      <c r="DS3" s="3266"/>
      <c r="DT3" s="3266"/>
      <c r="DU3" s="3266"/>
      <c r="DV3" s="3266"/>
      <c r="DW3" s="3266"/>
      <c r="DX3" s="3266"/>
      <c r="DY3" s="3266"/>
      <c r="DZ3" s="3266"/>
      <c r="EA3" s="3266"/>
      <c r="EB3" s="3266"/>
      <c r="EC3" s="3266"/>
      <c r="ED3" s="3266"/>
      <c r="EE3" s="3266"/>
      <c r="EF3" s="3266"/>
      <c r="EG3" s="3266"/>
      <c r="EH3" s="3266"/>
      <c r="EI3" s="3266"/>
      <c r="EJ3" s="3266"/>
      <c r="EK3" s="3266"/>
      <c r="EL3" s="3266"/>
      <c r="EM3" s="3266"/>
      <c r="EN3" s="3266"/>
      <c r="EO3" s="3266"/>
      <c r="EP3" s="3266"/>
      <c r="EQ3" s="3266"/>
      <c r="ER3" s="3266"/>
      <c r="ES3" s="3266"/>
    </row>
    <row r="4" spans="1:149" ht="24" customHeight="1">
      <c r="A4" s="3270"/>
      <c r="B4" s="3275" t="s">
        <v>140</v>
      </c>
      <c r="C4" s="3276" t="s">
        <v>152</v>
      </c>
      <c r="D4" s="3277" t="s">
        <v>1848</v>
      </c>
      <c r="E4" s="3277" t="s">
        <v>1849</v>
      </c>
      <c r="F4" s="3277" t="s">
        <v>1850</v>
      </c>
      <c r="G4" s="3277" t="s">
        <v>1851</v>
      </c>
      <c r="H4" s="3277" t="s">
        <v>1852</v>
      </c>
      <c r="I4" s="3960" t="s">
        <v>152</v>
      </c>
      <c r="J4" s="3961" t="s">
        <v>1849</v>
      </c>
      <c r="K4" s="3961" t="s">
        <v>1850</v>
      </c>
      <c r="L4" s="3961" t="s">
        <v>1851</v>
      </c>
      <c r="M4" s="3961" t="s">
        <v>1852</v>
      </c>
      <c r="N4" s="3952" t="s">
        <v>152</v>
      </c>
      <c r="O4" s="3953" t="s">
        <v>1848</v>
      </c>
      <c r="P4" s="3953" t="s">
        <v>1849</v>
      </c>
      <c r="Q4" s="3953" t="s">
        <v>1851</v>
      </c>
      <c r="R4" s="3954" t="s">
        <v>1852</v>
      </c>
      <c r="S4" s="3274"/>
      <c r="T4" s="3307"/>
      <c r="U4" s="3278"/>
      <c r="V4" s="3274"/>
      <c r="W4" s="3274"/>
      <c r="X4" s="3274"/>
      <c r="Y4" s="3274"/>
      <c r="Z4" s="3278"/>
      <c r="AA4" s="3278"/>
      <c r="AB4" s="3278"/>
      <c r="AC4" s="3278"/>
      <c r="AD4" s="3278"/>
      <c r="AE4" s="3278"/>
      <c r="AF4" s="3278"/>
      <c r="AG4" s="3325"/>
      <c r="AH4" s="3325"/>
      <c r="AI4" s="3325"/>
      <c r="AJ4" s="3292"/>
      <c r="AK4" s="3320"/>
      <c r="AL4" s="3266"/>
      <c r="AM4" s="3266"/>
      <c r="AN4" s="3266"/>
      <c r="AO4" s="3266"/>
      <c r="AP4" s="3278"/>
      <c r="AQ4" s="3278"/>
      <c r="AR4" s="3278"/>
      <c r="AS4" s="3278"/>
      <c r="AT4" s="3278"/>
      <c r="AU4" s="3278"/>
      <c r="AV4" s="3278"/>
      <c r="AW4" s="3278"/>
      <c r="AX4" s="3278"/>
      <c r="AY4" s="3278"/>
      <c r="AZ4" s="3278"/>
      <c r="BA4" s="3278"/>
      <c r="BB4" s="3292"/>
      <c r="BC4" s="3292"/>
      <c r="BD4" s="3292"/>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c r="CF4" s="3266"/>
      <c r="CG4" s="3266"/>
      <c r="CH4" s="3266"/>
      <c r="CI4" s="3266"/>
      <c r="CJ4" s="3266"/>
      <c r="CK4" s="3266"/>
      <c r="CL4" s="3266"/>
      <c r="CM4" s="3266"/>
      <c r="CN4" s="3266"/>
      <c r="CO4" s="3266"/>
      <c r="CP4" s="3266"/>
      <c r="CQ4" s="3266"/>
      <c r="CR4" s="3266"/>
      <c r="CS4" s="3266"/>
      <c r="CT4" s="3266"/>
      <c r="CU4" s="3266"/>
      <c r="CV4" s="3266"/>
      <c r="CW4" s="3266"/>
      <c r="CX4" s="3266"/>
      <c r="CY4" s="3266"/>
      <c r="CZ4" s="3266"/>
      <c r="DA4" s="3266"/>
      <c r="DB4" s="3266"/>
      <c r="DC4" s="3266"/>
      <c r="DD4" s="3266"/>
      <c r="DE4" s="3266"/>
      <c r="DF4" s="3266"/>
      <c r="DG4" s="3266"/>
      <c r="DH4" s="3266"/>
      <c r="DI4" s="3266"/>
      <c r="DJ4" s="3266"/>
      <c r="DK4" s="3266"/>
      <c r="DL4" s="3266"/>
      <c r="DM4" s="3266"/>
      <c r="DN4" s="3266"/>
      <c r="DO4" s="3266"/>
      <c r="DP4" s="3266"/>
      <c r="DQ4" s="3266"/>
      <c r="DR4" s="3266"/>
      <c r="DS4" s="3266"/>
      <c r="DT4" s="3266"/>
      <c r="DU4" s="3266"/>
      <c r="DV4" s="3266"/>
      <c r="DW4" s="3266"/>
      <c r="DX4" s="3266"/>
      <c r="DY4" s="3266"/>
      <c r="DZ4" s="3266"/>
      <c r="EA4" s="3266"/>
      <c r="EB4" s="3266"/>
      <c r="EC4" s="3266"/>
      <c r="ED4" s="3266"/>
      <c r="EE4" s="3266"/>
      <c r="EF4" s="3266"/>
      <c r="EG4" s="3266"/>
      <c r="EH4" s="3266"/>
      <c r="EI4" s="3266"/>
      <c r="EJ4" s="3266"/>
      <c r="EK4" s="3266"/>
      <c r="EL4" s="3266"/>
      <c r="EM4" s="3266"/>
      <c r="EN4" s="3266"/>
      <c r="EO4" s="3266"/>
      <c r="EP4" s="3266"/>
      <c r="EQ4" s="3266"/>
      <c r="ER4" s="3266"/>
      <c r="ES4" s="3266"/>
    </row>
    <row r="5" spans="1:149" ht="19.5" hidden="1" customHeight="1">
      <c r="A5" s="3270"/>
      <c r="B5" s="3286">
        <v>2010</v>
      </c>
      <c r="C5" s="3285">
        <f>SUM(C6:C17)</f>
        <v>7304.0077450000008</v>
      </c>
      <c r="D5" s="3285">
        <f t="shared" ref="D5:R5" si="0">SUM(D6:D17)</f>
        <v>330.00736299999994</v>
      </c>
      <c r="E5" s="3285">
        <f t="shared" si="0"/>
        <v>1869.5569999999998</v>
      </c>
      <c r="F5" s="3285"/>
      <c r="G5" s="3285">
        <f t="shared" si="0"/>
        <v>377.69108199999999</v>
      </c>
      <c r="H5" s="3285">
        <f t="shared" si="0"/>
        <v>4726.7523000000001</v>
      </c>
      <c r="I5" s="3962">
        <f t="shared" si="0"/>
        <v>10411.4573686</v>
      </c>
      <c r="J5" s="3962">
        <f t="shared" si="0"/>
        <v>3687.3583480000002</v>
      </c>
      <c r="K5" s="3962"/>
      <c r="L5" s="3962">
        <f t="shared" si="0"/>
        <v>327.40289920000004</v>
      </c>
      <c r="M5" s="3962">
        <f t="shared" si="0"/>
        <v>6396.6961213999994</v>
      </c>
      <c r="N5" s="3285">
        <f t="shared" si="0"/>
        <v>909.55864222000002</v>
      </c>
      <c r="O5" s="3285">
        <f t="shared" si="0"/>
        <v>390.71308520000002</v>
      </c>
      <c r="P5" s="3285">
        <f t="shared" si="0"/>
        <v>74.065594320000017</v>
      </c>
      <c r="Q5" s="3285">
        <f t="shared" si="0"/>
        <v>190.07715665999996</v>
      </c>
      <c r="R5" s="3955">
        <f t="shared" si="0"/>
        <v>254.70280603999998</v>
      </c>
      <c r="S5" s="3283"/>
      <c r="T5" s="3266"/>
      <c r="U5" s="3283"/>
      <c r="V5" s="3283"/>
      <c r="W5" s="3283"/>
      <c r="X5" s="3283"/>
      <c r="Y5" s="3283"/>
      <c r="Z5" s="3288"/>
      <c r="AA5" s="3288"/>
      <c r="AB5" s="3288"/>
      <c r="AC5" s="3288"/>
      <c r="AD5" s="3288"/>
      <c r="AE5" s="3288"/>
      <c r="AF5" s="3292"/>
      <c r="AG5" s="3288"/>
      <c r="AH5" s="3288"/>
      <c r="AI5" s="3288"/>
      <c r="AJ5" s="3292"/>
      <c r="AK5" s="3320"/>
      <c r="AL5" s="3266"/>
      <c r="AM5" s="3266"/>
      <c r="AN5" s="3266"/>
      <c r="AO5" s="3266"/>
      <c r="AP5" s="3318"/>
      <c r="AQ5" s="3318"/>
      <c r="AR5" s="3318"/>
      <c r="AS5" s="3318"/>
      <c r="AT5" s="3318"/>
      <c r="AU5" s="3318"/>
      <c r="AV5" s="3318"/>
      <c r="AW5" s="3318"/>
      <c r="AX5" s="3319"/>
      <c r="AY5" s="3319"/>
      <c r="AZ5" s="3319"/>
      <c r="BA5" s="3319"/>
      <c r="BB5" s="3292"/>
      <c r="BC5" s="3292"/>
      <c r="BD5" s="3292"/>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c r="CF5" s="3266"/>
      <c r="CG5" s="3266"/>
      <c r="CH5" s="3266"/>
      <c r="CI5" s="3266"/>
      <c r="CJ5" s="3266"/>
      <c r="CK5" s="3266"/>
      <c r="CL5" s="3266"/>
      <c r="CM5" s="3266"/>
      <c r="CN5" s="3266"/>
      <c r="CO5" s="3266"/>
      <c r="CP5" s="3266"/>
      <c r="CQ5" s="3266"/>
      <c r="CR5" s="3266"/>
      <c r="CS5" s="3266"/>
      <c r="CT5" s="3266"/>
      <c r="CU5" s="3266"/>
      <c r="CV5" s="3266"/>
      <c r="CW5" s="3266"/>
      <c r="CX5" s="3266"/>
      <c r="CY5" s="3266"/>
      <c r="CZ5" s="3266"/>
      <c r="DA5" s="3266"/>
      <c r="DB5" s="3266"/>
      <c r="DC5" s="3266"/>
      <c r="DD5" s="3266"/>
      <c r="DE5" s="3266"/>
      <c r="DF5" s="3266"/>
      <c r="DG5" s="3266"/>
      <c r="DH5" s="3266"/>
      <c r="DI5" s="3266"/>
      <c r="DJ5" s="3266"/>
      <c r="DK5" s="3266"/>
      <c r="DL5" s="3266"/>
      <c r="DM5" s="3266"/>
      <c r="DN5" s="3266"/>
      <c r="DO5" s="3266"/>
      <c r="DP5" s="3266"/>
      <c r="DQ5" s="3266"/>
      <c r="DR5" s="3266"/>
      <c r="DS5" s="3266"/>
      <c r="DT5" s="3266"/>
      <c r="DU5" s="3266"/>
      <c r="DV5" s="3266"/>
      <c r="DW5" s="3266"/>
      <c r="DX5" s="3266"/>
      <c r="DY5" s="3266"/>
      <c r="DZ5" s="3266"/>
      <c r="EA5" s="3266"/>
      <c r="EB5" s="3266"/>
      <c r="EC5" s="3266"/>
      <c r="ED5" s="3266"/>
      <c r="EE5" s="3266"/>
      <c r="EF5" s="3266"/>
      <c r="EG5" s="3266"/>
      <c r="EH5" s="3266"/>
      <c r="EI5" s="3266"/>
      <c r="EJ5" s="3266"/>
      <c r="EK5" s="3266"/>
      <c r="EL5" s="3266"/>
      <c r="EM5" s="3266"/>
      <c r="EN5" s="3266"/>
      <c r="EO5" s="3266"/>
      <c r="EP5" s="3266"/>
      <c r="EQ5" s="3266"/>
      <c r="ER5" s="3266"/>
      <c r="ES5" s="3266"/>
    </row>
    <row r="6" spans="1:149" ht="15.75" hidden="1" customHeight="1">
      <c r="A6" s="3270"/>
      <c r="B6" s="3279" t="s">
        <v>161</v>
      </c>
      <c r="C6" s="3285">
        <f>D6+E6+G6+H6</f>
        <v>235.70337499999999</v>
      </c>
      <c r="D6" s="3649">
        <v>14.854075</v>
      </c>
      <c r="E6" s="3649">
        <v>70.010000000000005</v>
      </c>
      <c r="F6" s="3649"/>
      <c r="G6" s="3649">
        <v>14.500999999999999</v>
      </c>
      <c r="H6" s="3649">
        <v>136.3383</v>
      </c>
      <c r="I6" s="3962">
        <f t="shared" ref="I6:I17" si="1">J6+L6+M6</f>
        <v>177.9446126</v>
      </c>
      <c r="J6" s="3963">
        <v>103.531322</v>
      </c>
      <c r="K6" s="3963"/>
      <c r="L6" s="3963">
        <v>0.72763920000000004</v>
      </c>
      <c r="M6" s="3963">
        <v>73.685651399999998</v>
      </c>
      <c r="N6" s="3285">
        <f t="shared" ref="N6:N17" si="2">O6+P6+Q6+R6</f>
        <v>69.71514311</v>
      </c>
      <c r="O6" s="3649">
        <v>17.874890000000001</v>
      </c>
      <c r="P6" s="3649">
        <v>9.3360802500000002</v>
      </c>
      <c r="Q6" s="3649">
        <f>0.64471446+13.9956216</f>
        <v>14.640336059999999</v>
      </c>
      <c r="R6" s="3956">
        <v>27.863836800000001</v>
      </c>
      <c r="S6" s="3283"/>
      <c r="T6" s="3266"/>
      <c r="U6" s="3283"/>
      <c r="V6" s="3283"/>
      <c r="W6" s="3283"/>
      <c r="X6" s="3283"/>
      <c r="Y6" s="3283"/>
      <c r="Z6" s="3288"/>
      <c r="AA6" s="3288"/>
      <c r="AB6" s="3288"/>
      <c r="AC6" s="3288"/>
      <c r="AD6" s="3288"/>
      <c r="AE6" s="3288"/>
      <c r="AF6" s="3292"/>
      <c r="AG6" s="3288"/>
      <c r="AH6" s="3288"/>
      <c r="AI6" s="3288"/>
      <c r="AJ6" s="3292"/>
      <c r="AK6" s="3320"/>
      <c r="AL6" s="3266"/>
      <c r="AM6" s="3266"/>
      <c r="AN6" s="3266"/>
      <c r="AO6" s="3266"/>
      <c r="AP6" s="3318"/>
      <c r="AQ6" s="3318"/>
      <c r="AR6" s="3318"/>
      <c r="AS6" s="3318"/>
      <c r="AT6" s="3318"/>
      <c r="AU6" s="3318"/>
      <c r="AV6" s="3318"/>
      <c r="AW6" s="3318"/>
      <c r="AX6" s="3319"/>
      <c r="AY6" s="3319"/>
      <c r="AZ6" s="3319"/>
      <c r="BA6" s="3319"/>
      <c r="BB6" s="3292"/>
      <c r="BC6" s="3292"/>
      <c r="BD6" s="3292"/>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c r="CF6" s="3266"/>
      <c r="CG6" s="3266"/>
      <c r="CH6" s="3266"/>
      <c r="CI6" s="3266"/>
      <c r="CJ6" s="3266"/>
      <c r="CK6" s="3266"/>
      <c r="CL6" s="3266"/>
      <c r="CM6" s="3266"/>
      <c r="CN6" s="3266"/>
      <c r="CO6" s="3266"/>
      <c r="CP6" s="3266"/>
      <c r="CQ6" s="3266"/>
      <c r="CR6" s="3266"/>
      <c r="CS6" s="3266"/>
      <c r="CT6" s="3266"/>
      <c r="CU6" s="3266"/>
      <c r="CV6" s="3266"/>
      <c r="CW6" s="3266"/>
      <c r="CX6" s="3266"/>
      <c r="CY6" s="3266"/>
      <c r="CZ6" s="3266"/>
      <c r="DA6" s="3266"/>
      <c r="DB6" s="3266"/>
      <c r="DC6" s="3266"/>
      <c r="DD6" s="3266"/>
      <c r="DE6" s="3266"/>
      <c r="DF6" s="3266"/>
      <c r="DG6" s="3266"/>
      <c r="DH6" s="3266"/>
      <c r="DI6" s="3266"/>
      <c r="DJ6" s="3266"/>
      <c r="DK6" s="3266"/>
      <c r="DL6" s="3266"/>
      <c r="DM6" s="3266"/>
      <c r="DN6" s="3266"/>
      <c r="DO6" s="3266"/>
      <c r="DP6" s="3266"/>
      <c r="DQ6" s="3266"/>
      <c r="DR6" s="3266"/>
      <c r="DS6" s="3266"/>
      <c r="DT6" s="3266"/>
      <c r="DU6" s="3266"/>
      <c r="DV6" s="3266"/>
      <c r="DW6" s="3266"/>
      <c r="DX6" s="3266"/>
      <c r="DY6" s="3266"/>
      <c r="DZ6" s="3266"/>
      <c r="EA6" s="3266"/>
      <c r="EB6" s="3266"/>
      <c r="EC6" s="3266"/>
      <c r="ED6" s="3266"/>
      <c r="EE6" s="3266"/>
      <c r="EF6" s="3266"/>
      <c r="EG6" s="3266"/>
      <c r="EH6" s="3266"/>
      <c r="EI6" s="3266"/>
      <c r="EJ6" s="3266"/>
      <c r="EK6" s="3266"/>
      <c r="EL6" s="3266"/>
      <c r="EM6" s="3266"/>
      <c r="EN6" s="3266"/>
      <c r="EO6" s="3266"/>
      <c r="EP6" s="3266"/>
      <c r="EQ6" s="3266"/>
      <c r="ER6" s="3266"/>
      <c r="ES6" s="3266"/>
    </row>
    <row r="7" spans="1:149" ht="15.75" hidden="1" customHeight="1">
      <c r="A7" s="3270"/>
      <c r="B7" s="3279" t="s">
        <v>162</v>
      </c>
      <c r="C7" s="3285">
        <f t="shared" ref="C7:C52" si="3">D7+E7+G7+H7</f>
        <v>177.16176999999999</v>
      </c>
      <c r="D7" s="3649">
        <v>10.543918</v>
      </c>
      <c r="E7" s="3649">
        <v>52.682000000000002</v>
      </c>
      <c r="F7" s="3649"/>
      <c r="G7" s="3649">
        <v>11.305152</v>
      </c>
      <c r="H7" s="3649">
        <v>102.6307</v>
      </c>
      <c r="I7" s="3962">
        <f t="shared" si="1"/>
        <v>94.255127799999997</v>
      </c>
      <c r="J7" s="3963">
        <v>68.0047</v>
      </c>
      <c r="K7" s="3963"/>
      <c r="L7" s="3963">
        <v>4.1841359999999996</v>
      </c>
      <c r="M7" s="3963">
        <v>22.066291799999998</v>
      </c>
      <c r="N7" s="3285">
        <f t="shared" si="2"/>
        <v>60.5403199</v>
      </c>
      <c r="O7" s="3649">
        <v>12.6527016</v>
      </c>
      <c r="P7" s="3649">
        <v>8.3652789999999992</v>
      </c>
      <c r="Q7" s="3649">
        <f>8.4449556+4.184136</f>
        <v>12.629091599999999</v>
      </c>
      <c r="R7" s="3957">
        <v>26.8932477</v>
      </c>
      <c r="S7" s="3283"/>
      <c r="T7" s="3266"/>
      <c r="U7" s="3283"/>
      <c r="V7" s="3283"/>
      <c r="W7" s="3283"/>
      <c r="X7" s="3283"/>
      <c r="Y7" s="3283"/>
      <c r="Z7" s="3288"/>
      <c r="AA7" s="3288"/>
      <c r="AB7" s="3288"/>
      <c r="AC7" s="3288"/>
      <c r="AD7" s="3288"/>
      <c r="AE7" s="3288"/>
      <c r="AF7" s="3292"/>
      <c r="AG7" s="3288"/>
      <c r="AH7" s="3288"/>
      <c r="AI7" s="3288"/>
      <c r="AJ7" s="3292"/>
      <c r="AK7" s="3320"/>
      <c r="AL7" s="3266"/>
      <c r="AM7" s="3266"/>
      <c r="AN7" s="3266"/>
      <c r="AO7" s="3266"/>
      <c r="AP7" s="3318"/>
      <c r="AQ7" s="3318"/>
      <c r="AR7" s="3318"/>
      <c r="AS7" s="3318"/>
      <c r="AT7" s="3318"/>
      <c r="AU7" s="3318"/>
      <c r="AV7" s="3318"/>
      <c r="AW7" s="3318"/>
      <c r="AX7" s="3319"/>
      <c r="AY7" s="3319"/>
      <c r="AZ7" s="3319"/>
      <c r="BA7" s="3319"/>
      <c r="BB7" s="3292"/>
      <c r="BC7" s="3292"/>
      <c r="BD7" s="3292"/>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c r="CF7" s="3266"/>
      <c r="CG7" s="3266"/>
      <c r="CH7" s="3266"/>
      <c r="CI7" s="3266"/>
      <c r="CJ7" s="3266"/>
      <c r="CK7" s="3266"/>
      <c r="CL7" s="3266"/>
      <c r="CM7" s="3266"/>
      <c r="CN7" s="3266"/>
      <c r="CO7" s="3266"/>
      <c r="CP7" s="3266"/>
      <c r="CQ7" s="3266"/>
      <c r="CR7" s="3266"/>
      <c r="CS7" s="3266"/>
      <c r="CT7" s="3266"/>
      <c r="CU7" s="3266"/>
      <c r="CV7" s="3266"/>
      <c r="CW7" s="3266"/>
      <c r="CX7" s="3266"/>
      <c r="CY7" s="3266"/>
      <c r="CZ7" s="3266"/>
      <c r="DA7" s="3266"/>
      <c r="DB7" s="3266"/>
      <c r="DC7" s="3266"/>
      <c r="DD7" s="3266"/>
      <c r="DE7" s="3266"/>
      <c r="DF7" s="3266"/>
      <c r="DG7" s="3266"/>
      <c r="DH7" s="3266"/>
      <c r="DI7" s="3266"/>
      <c r="DJ7" s="3266"/>
      <c r="DK7" s="3266"/>
      <c r="DL7" s="3266"/>
      <c r="DM7" s="3266"/>
      <c r="DN7" s="3266"/>
      <c r="DO7" s="3266"/>
      <c r="DP7" s="3266"/>
      <c r="DQ7" s="3266"/>
      <c r="DR7" s="3266"/>
      <c r="DS7" s="3266"/>
      <c r="DT7" s="3266"/>
      <c r="DU7" s="3266"/>
      <c r="DV7" s="3266"/>
      <c r="DW7" s="3266"/>
      <c r="DX7" s="3266"/>
      <c r="DY7" s="3266"/>
      <c r="DZ7" s="3266"/>
      <c r="EA7" s="3266"/>
      <c r="EB7" s="3266"/>
      <c r="EC7" s="3266"/>
      <c r="ED7" s="3266"/>
      <c r="EE7" s="3266"/>
      <c r="EF7" s="3266"/>
      <c r="EG7" s="3266"/>
      <c r="EH7" s="3266"/>
      <c r="EI7" s="3266"/>
      <c r="EJ7" s="3266"/>
      <c r="EK7" s="3266"/>
      <c r="EL7" s="3266"/>
      <c r="EM7" s="3266"/>
      <c r="EN7" s="3266"/>
      <c r="EO7" s="3266"/>
      <c r="EP7" s="3266"/>
      <c r="EQ7" s="3266"/>
      <c r="ER7" s="3266"/>
      <c r="ES7" s="3266"/>
    </row>
    <row r="8" spans="1:149" ht="15.75" hidden="1" customHeight="1">
      <c r="A8" s="3270"/>
      <c r="B8" s="3279" t="s">
        <v>163</v>
      </c>
      <c r="C8" s="3285">
        <f t="shared" si="3"/>
        <v>223.96639399999998</v>
      </c>
      <c r="D8" s="3649">
        <f>11569870/1000000</f>
        <v>11.56987</v>
      </c>
      <c r="E8" s="3649">
        <v>64.78</v>
      </c>
      <c r="F8" s="3649"/>
      <c r="G8" s="3649">
        <v>18.659324000000002</v>
      </c>
      <c r="H8" s="3649">
        <v>128.9572</v>
      </c>
      <c r="I8" s="3962">
        <f t="shared" si="1"/>
        <v>161.13103900000002</v>
      </c>
      <c r="J8" s="3963">
        <v>94.870168000000007</v>
      </c>
      <c r="K8" s="3963"/>
      <c r="L8" s="3963">
        <v>13.502440999999999</v>
      </c>
      <c r="M8" s="3963">
        <v>52.758429999999997</v>
      </c>
      <c r="N8" s="3285">
        <f t="shared" si="2"/>
        <v>74.614974000000004</v>
      </c>
      <c r="O8" s="3649">
        <f>13665168/1000000</f>
        <v>13.665168</v>
      </c>
      <c r="P8" s="3649">
        <v>8.3979909999999993</v>
      </c>
      <c r="Q8" s="3649">
        <f>9.706183+13.502441</f>
        <v>23.208624</v>
      </c>
      <c r="R8" s="3957">
        <v>29.343191000000001</v>
      </c>
      <c r="S8" s="3283"/>
      <c r="T8" s="3266"/>
      <c r="U8" s="3283"/>
      <c r="V8" s="3283"/>
      <c r="W8" s="3283"/>
      <c r="X8" s="3283"/>
      <c r="Y8" s="3283"/>
      <c r="Z8" s="3288"/>
      <c r="AA8" s="3288"/>
      <c r="AB8" s="3288"/>
      <c r="AC8" s="3288"/>
      <c r="AD8" s="3288"/>
      <c r="AE8" s="3288"/>
      <c r="AF8" s="3292"/>
      <c r="AG8" s="3288"/>
      <c r="AH8" s="3288"/>
      <c r="AI8" s="3288"/>
      <c r="AJ8" s="3292"/>
      <c r="AK8" s="3320"/>
      <c r="AL8" s="3266"/>
      <c r="AM8" s="3266"/>
      <c r="AN8" s="3266"/>
      <c r="AO8" s="3266"/>
      <c r="AP8" s="3318"/>
      <c r="AQ8" s="3318"/>
      <c r="AR8" s="3318"/>
      <c r="AS8" s="3318"/>
      <c r="AT8" s="3318"/>
      <c r="AU8" s="3318"/>
      <c r="AV8" s="3318"/>
      <c r="AW8" s="3318"/>
      <c r="AX8" s="3319"/>
      <c r="AY8" s="3319"/>
      <c r="AZ8" s="3319"/>
      <c r="BA8" s="3319"/>
      <c r="BB8" s="3292"/>
      <c r="BC8" s="3292"/>
      <c r="BD8" s="3292"/>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c r="CF8" s="3266"/>
      <c r="CG8" s="3266"/>
      <c r="CH8" s="3266"/>
      <c r="CI8" s="3266"/>
      <c r="CJ8" s="3266"/>
      <c r="CK8" s="3266"/>
      <c r="CL8" s="3266"/>
      <c r="CM8" s="3266"/>
      <c r="CN8" s="3266"/>
      <c r="CO8" s="3266"/>
      <c r="CP8" s="3266"/>
      <c r="CQ8" s="3266"/>
      <c r="CR8" s="3266"/>
      <c r="CS8" s="3266"/>
      <c r="CT8" s="3266"/>
      <c r="CU8" s="3266"/>
      <c r="CV8" s="3266"/>
      <c r="CW8" s="3266"/>
      <c r="CX8" s="3266"/>
      <c r="CY8" s="3266"/>
      <c r="CZ8" s="3266"/>
      <c r="DA8" s="3266"/>
      <c r="DB8" s="3266"/>
      <c r="DC8" s="3266"/>
      <c r="DD8" s="3266"/>
      <c r="DE8" s="3266"/>
      <c r="DF8" s="3266"/>
      <c r="DG8" s="3266"/>
      <c r="DH8" s="3266"/>
      <c r="DI8" s="3266"/>
      <c r="DJ8" s="3266"/>
      <c r="DK8" s="3266"/>
      <c r="DL8" s="3266"/>
      <c r="DM8" s="3266"/>
      <c r="DN8" s="3266"/>
      <c r="DO8" s="3266"/>
      <c r="DP8" s="3266"/>
      <c r="DQ8" s="3266"/>
      <c r="DR8" s="3266"/>
      <c r="DS8" s="3266"/>
      <c r="DT8" s="3266"/>
      <c r="DU8" s="3266"/>
      <c r="DV8" s="3266"/>
      <c r="DW8" s="3266"/>
      <c r="DX8" s="3266"/>
      <c r="DY8" s="3266"/>
      <c r="DZ8" s="3266"/>
      <c r="EA8" s="3266"/>
      <c r="EB8" s="3266"/>
      <c r="EC8" s="3266"/>
      <c r="ED8" s="3266"/>
      <c r="EE8" s="3266"/>
      <c r="EF8" s="3266"/>
      <c r="EG8" s="3266"/>
      <c r="EH8" s="3266"/>
      <c r="EI8" s="3266"/>
      <c r="EJ8" s="3266"/>
      <c r="EK8" s="3266"/>
      <c r="EL8" s="3266"/>
      <c r="EM8" s="3266"/>
      <c r="EN8" s="3266"/>
      <c r="EO8" s="3266"/>
      <c r="EP8" s="3266"/>
      <c r="EQ8" s="3266"/>
      <c r="ER8" s="3266"/>
      <c r="ES8" s="3266"/>
    </row>
    <row r="9" spans="1:149" ht="15.75" hidden="1" customHeight="1">
      <c r="A9" s="3270"/>
      <c r="B9" s="3279" t="s">
        <v>164</v>
      </c>
      <c r="C9" s="3285">
        <f t="shared" si="3"/>
        <v>301.80319600000001</v>
      </c>
      <c r="D9" s="3649">
        <v>10.780530000000001</v>
      </c>
      <c r="E9" s="3649">
        <v>90.563999999999993</v>
      </c>
      <c r="F9" s="3649"/>
      <c r="G9" s="3649">
        <v>23.883966000000001</v>
      </c>
      <c r="H9" s="3649">
        <v>176.57470000000001</v>
      </c>
      <c r="I9" s="3962">
        <f t="shared" si="1"/>
        <v>312.435272</v>
      </c>
      <c r="J9" s="3963">
        <v>152.0198</v>
      </c>
      <c r="K9" s="3963"/>
      <c r="L9" s="3963">
        <v>14.135472</v>
      </c>
      <c r="M9" s="3963">
        <v>146.28</v>
      </c>
      <c r="N9" s="3285">
        <f t="shared" si="2"/>
        <v>62.930667200000002</v>
      </c>
      <c r="O9" s="3649">
        <v>12.738163199999999</v>
      </c>
      <c r="P9" s="3649">
        <v>7.0527300000000004</v>
      </c>
      <c r="Q9" s="3649">
        <f>1.061881+14.576593</f>
        <v>15.638474</v>
      </c>
      <c r="R9" s="3957">
        <v>27.501300000000001</v>
      </c>
      <c r="S9" s="3266"/>
      <c r="T9" s="3266"/>
      <c r="U9" s="3283"/>
      <c r="V9" s="3283"/>
      <c r="W9" s="3283"/>
      <c r="X9" s="3283"/>
      <c r="Y9" s="3283"/>
      <c r="Z9" s="3288"/>
      <c r="AA9" s="3288"/>
      <c r="AB9" s="3288"/>
      <c r="AC9" s="3288"/>
      <c r="AD9" s="3288"/>
      <c r="AE9" s="3288"/>
      <c r="AF9" s="3292"/>
      <c r="AG9" s="3288"/>
      <c r="AH9" s="3288"/>
      <c r="AI9" s="3288"/>
      <c r="AJ9" s="3292"/>
      <c r="AK9" s="3320"/>
      <c r="AL9" s="3266"/>
      <c r="AM9" s="3266"/>
      <c r="AN9" s="3266"/>
      <c r="AO9" s="3266"/>
      <c r="AP9" s="3318"/>
      <c r="AQ9" s="3318"/>
      <c r="AR9" s="3318"/>
      <c r="AS9" s="3318"/>
      <c r="AT9" s="3318"/>
      <c r="AU9" s="3318"/>
      <c r="AV9" s="3318"/>
      <c r="AW9" s="3318"/>
      <c r="AX9" s="3319"/>
      <c r="AY9" s="3319"/>
      <c r="AZ9" s="3319"/>
      <c r="BA9" s="3319"/>
      <c r="BB9" s="3292"/>
      <c r="BC9" s="3292"/>
      <c r="BD9" s="3292"/>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c r="CF9" s="3266"/>
      <c r="CG9" s="3266"/>
      <c r="CH9" s="3266"/>
      <c r="CI9" s="3266"/>
      <c r="CJ9" s="3266"/>
      <c r="CK9" s="3266"/>
      <c r="CL9" s="3266"/>
      <c r="CM9" s="3266"/>
      <c r="CN9" s="3266"/>
      <c r="CO9" s="3266"/>
      <c r="CP9" s="3266"/>
      <c r="CQ9" s="3266"/>
      <c r="CR9" s="3266"/>
      <c r="CS9" s="3266"/>
      <c r="CT9" s="3266"/>
      <c r="CU9" s="3266"/>
      <c r="CV9" s="3266"/>
      <c r="CW9" s="3266"/>
      <c r="CX9" s="3266"/>
      <c r="CY9" s="3266"/>
      <c r="CZ9" s="3266"/>
      <c r="DA9" s="3266"/>
      <c r="DB9" s="3266"/>
      <c r="DC9" s="3266"/>
      <c r="DD9" s="3266"/>
      <c r="DE9" s="3266"/>
      <c r="DF9" s="3266"/>
      <c r="DG9" s="3266"/>
      <c r="DH9" s="3266"/>
      <c r="DI9" s="3266"/>
      <c r="DJ9" s="3266"/>
      <c r="DK9" s="3266"/>
      <c r="DL9" s="3266"/>
      <c r="DM9" s="3266"/>
      <c r="DN9" s="3266"/>
      <c r="DO9" s="3266"/>
      <c r="DP9" s="3266"/>
      <c r="DQ9" s="3266"/>
      <c r="DR9" s="3266"/>
      <c r="DS9" s="3266"/>
      <c r="DT9" s="3266"/>
      <c r="DU9" s="3266"/>
      <c r="DV9" s="3266"/>
      <c r="DW9" s="3266"/>
      <c r="DX9" s="3266"/>
      <c r="DY9" s="3266"/>
      <c r="DZ9" s="3266"/>
      <c r="EA9" s="3266"/>
      <c r="EB9" s="3266"/>
      <c r="EC9" s="3266"/>
      <c r="ED9" s="3266"/>
      <c r="EE9" s="3266"/>
      <c r="EF9" s="3266"/>
      <c r="EG9" s="3266"/>
      <c r="EH9" s="3266"/>
      <c r="EI9" s="3266"/>
      <c r="EJ9" s="3266"/>
      <c r="EK9" s="3266"/>
      <c r="EL9" s="3266"/>
      <c r="EM9" s="3266"/>
      <c r="EN9" s="3266"/>
      <c r="EO9" s="3266"/>
      <c r="EP9" s="3266"/>
      <c r="EQ9" s="3266"/>
      <c r="ER9" s="3266"/>
      <c r="ES9" s="3266"/>
    </row>
    <row r="10" spans="1:149" ht="15.75" hidden="1" customHeight="1">
      <c r="A10" s="3270"/>
      <c r="B10" s="3279" t="s">
        <v>165</v>
      </c>
      <c r="C10" s="3285">
        <f t="shared" si="3"/>
        <v>423.04457000000002</v>
      </c>
      <c r="D10" s="3649">
        <v>14.678370000000001</v>
      </c>
      <c r="E10" s="3649">
        <v>123.571</v>
      </c>
      <c r="F10" s="3649"/>
      <c r="G10" s="3649">
        <v>34.219799999999999</v>
      </c>
      <c r="H10" s="3649">
        <v>250.5754</v>
      </c>
      <c r="I10" s="3962">
        <f t="shared" si="1"/>
        <v>535.59018779999997</v>
      </c>
      <c r="J10" s="3963">
        <v>227.7792</v>
      </c>
      <c r="K10" s="3963"/>
      <c r="L10" s="3963">
        <v>29.926770000000001</v>
      </c>
      <c r="M10" s="3963">
        <v>277.88421779999999</v>
      </c>
      <c r="N10" s="3285">
        <f t="shared" si="2"/>
        <v>68.672762000000006</v>
      </c>
      <c r="O10" s="3649">
        <v>17.277807599999999</v>
      </c>
      <c r="P10" s="3649">
        <v>7.0657399999999999</v>
      </c>
      <c r="Q10" s="3649">
        <f>1.521416+14.494792</f>
        <v>16.016207999999999</v>
      </c>
      <c r="R10" s="3957">
        <v>28.313006399999999</v>
      </c>
      <c r="S10" s="3283"/>
      <c r="T10" s="3266"/>
      <c r="U10" s="3283"/>
      <c r="V10" s="3283"/>
      <c r="W10" s="3283"/>
      <c r="X10" s="3283"/>
      <c r="Y10" s="3283"/>
      <c r="Z10" s="3288"/>
      <c r="AA10" s="3288"/>
      <c r="AB10" s="3288"/>
      <c r="AC10" s="3288"/>
      <c r="AD10" s="3288"/>
      <c r="AE10" s="3288"/>
      <c r="AF10" s="3292"/>
      <c r="AG10" s="3288"/>
      <c r="AH10" s="3288"/>
      <c r="AI10" s="3288"/>
      <c r="AJ10" s="3292"/>
      <c r="AK10" s="3320"/>
      <c r="AL10" s="3266"/>
      <c r="AM10" s="3266"/>
      <c r="AN10" s="3266"/>
      <c r="AO10" s="3266"/>
      <c r="AP10" s="3318"/>
      <c r="AQ10" s="3318"/>
      <c r="AR10" s="3318"/>
      <c r="AS10" s="3318"/>
      <c r="AT10" s="3318"/>
      <c r="AU10" s="3318"/>
      <c r="AV10" s="3318"/>
      <c r="AW10" s="3318"/>
      <c r="AX10" s="3319"/>
      <c r="AY10" s="3319"/>
      <c r="AZ10" s="3319"/>
      <c r="BA10" s="3319"/>
      <c r="BB10" s="3292"/>
      <c r="BC10" s="3292"/>
      <c r="BD10" s="3292"/>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c r="CF10" s="3266"/>
      <c r="CG10" s="3266"/>
      <c r="CH10" s="3266"/>
      <c r="CI10" s="3266"/>
      <c r="CJ10" s="3266"/>
      <c r="CK10" s="3266"/>
      <c r="CL10" s="3266"/>
      <c r="CM10" s="3266"/>
      <c r="CN10" s="3266"/>
      <c r="CO10" s="3266"/>
      <c r="CP10" s="3266"/>
      <c r="CQ10" s="3266"/>
      <c r="CR10" s="3266"/>
      <c r="CS10" s="3266"/>
      <c r="CT10" s="3266"/>
      <c r="CU10" s="3266"/>
      <c r="CV10" s="3266"/>
      <c r="CW10" s="3266"/>
      <c r="CX10" s="3266"/>
      <c r="CY10" s="3266"/>
      <c r="CZ10" s="3266"/>
      <c r="DA10" s="3266"/>
      <c r="DB10" s="3266"/>
      <c r="DC10" s="3266"/>
      <c r="DD10" s="3266"/>
      <c r="DE10" s="3266"/>
      <c r="DF10" s="3266"/>
      <c r="DG10" s="3266"/>
      <c r="DH10" s="3266"/>
      <c r="DI10" s="3266"/>
      <c r="DJ10" s="3266"/>
      <c r="DK10" s="3266"/>
      <c r="DL10" s="3266"/>
      <c r="DM10" s="3266"/>
      <c r="DN10" s="3266"/>
      <c r="DO10" s="3266"/>
      <c r="DP10" s="3266"/>
      <c r="DQ10" s="3266"/>
      <c r="DR10" s="3266"/>
      <c r="DS10" s="3266"/>
      <c r="DT10" s="3266"/>
      <c r="DU10" s="3266"/>
      <c r="DV10" s="3266"/>
      <c r="DW10" s="3266"/>
      <c r="DX10" s="3266"/>
      <c r="DY10" s="3266"/>
      <c r="DZ10" s="3266"/>
      <c r="EA10" s="3266"/>
      <c r="EB10" s="3266"/>
      <c r="EC10" s="3266"/>
      <c r="ED10" s="3266"/>
      <c r="EE10" s="3266"/>
      <c r="EF10" s="3266"/>
      <c r="EG10" s="3266"/>
      <c r="EH10" s="3266"/>
      <c r="EI10" s="3266"/>
      <c r="EJ10" s="3266"/>
      <c r="EK10" s="3266"/>
      <c r="EL10" s="3266"/>
      <c r="EM10" s="3266"/>
      <c r="EN10" s="3266"/>
      <c r="EO10" s="3266"/>
      <c r="EP10" s="3266"/>
      <c r="EQ10" s="3266"/>
      <c r="ER10" s="3266"/>
      <c r="ES10" s="3266"/>
    </row>
    <row r="11" spans="1:149" ht="15.75" hidden="1" customHeight="1">
      <c r="A11" s="3270"/>
      <c r="B11" s="3279" t="s">
        <v>166</v>
      </c>
      <c r="C11" s="3285">
        <f t="shared" si="3"/>
        <v>727.57581400000004</v>
      </c>
      <c r="D11" s="3649">
        <v>28.55875</v>
      </c>
      <c r="E11" s="3649">
        <v>194.166</v>
      </c>
      <c r="F11" s="3649"/>
      <c r="G11" s="3649">
        <v>42.541564000000001</v>
      </c>
      <c r="H11" s="3649">
        <v>462.30950000000001</v>
      </c>
      <c r="I11" s="3962">
        <f t="shared" si="1"/>
        <v>1113.2852298</v>
      </c>
      <c r="J11" s="3963">
        <v>399.15944000000002</v>
      </c>
      <c r="K11" s="3963"/>
      <c r="L11" s="3963">
        <v>41.859763000000001</v>
      </c>
      <c r="M11" s="3963">
        <f>672266026.8/1000000</f>
        <v>672.26602679999996</v>
      </c>
      <c r="N11" s="3285">
        <f t="shared" si="2"/>
        <v>85.105266149999991</v>
      </c>
      <c r="O11" s="3649">
        <v>33.777356399999988</v>
      </c>
      <c r="P11" s="3649">
        <v>6.9327328499999998</v>
      </c>
      <c r="Q11" s="3649">
        <f>1.891398+14.937861</f>
        <v>16.829259</v>
      </c>
      <c r="R11" s="3957">
        <f>27565917.9/1000000</f>
        <v>27.565917899999999</v>
      </c>
      <c r="S11" s="3283"/>
      <c r="T11" s="3266"/>
      <c r="U11" s="3283"/>
      <c r="V11" s="3283"/>
      <c r="W11" s="3283"/>
      <c r="X11" s="3283"/>
      <c r="Y11" s="3283"/>
      <c r="Z11" s="3288"/>
      <c r="AA11" s="3288"/>
      <c r="AB11" s="3288"/>
      <c r="AC11" s="3288"/>
      <c r="AD11" s="3288"/>
      <c r="AE11" s="3288"/>
      <c r="AF11" s="3292"/>
      <c r="AG11" s="3288"/>
      <c r="AH11" s="3288"/>
      <c r="AI11" s="3288"/>
      <c r="AJ11" s="3292"/>
      <c r="AK11" s="3320"/>
      <c r="AL11" s="3266"/>
      <c r="AM11" s="3266"/>
      <c r="AN11" s="3266"/>
      <c r="AO11" s="3266"/>
      <c r="AP11" s="3318"/>
      <c r="AQ11" s="3318"/>
      <c r="AR11" s="3318"/>
      <c r="AS11" s="3318"/>
      <c r="AT11" s="3318"/>
      <c r="AU11" s="3318"/>
      <c r="AV11" s="3318"/>
      <c r="AW11" s="3318"/>
      <c r="AX11" s="3319"/>
      <c r="AY11" s="3319"/>
      <c r="AZ11" s="3319"/>
      <c r="BA11" s="3319"/>
      <c r="BB11" s="3292"/>
      <c r="BC11" s="3292"/>
      <c r="BD11" s="3292"/>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c r="CF11" s="3266"/>
      <c r="CG11" s="3266"/>
      <c r="CH11" s="3266"/>
      <c r="CI11" s="3266"/>
      <c r="CJ11" s="3266"/>
      <c r="CK11" s="3266"/>
      <c r="CL11" s="3266"/>
      <c r="CM11" s="3266"/>
      <c r="CN11" s="3266"/>
      <c r="CO11" s="3266"/>
      <c r="CP11" s="3266"/>
      <c r="CQ11" s="3266"/>
      <c r="CR11" s="3266"/>
      <c r="CS11" s="3266"/>
      <c r="CT11" s="3266"/>
      <c r="CU11" s="3266"/>
      <c r="CV11" s="3266"/>
      <c r="CW11" s="3266"/>
      <c r="CX11" s="3266"/>
      <c r="CY11" s="3266"/>
      <c r="CZ11" s="3266"/>
      <c r="DA11" s="3266"/>
      <c r="DB11" s="3266"/>
      <c r="DC11" s="3266"/>
      <c r="DD11" s="3266"/>
      <c r="DE11" s="3266"/>
      <c r="DF11" s="3266"/>
      <c r="DG11" s="3266"/>
      <c r="DH11" s="3266"/>
      <c r="DI11" s="3266"/>
      <c r="DJ11" s="3266"/>
      <c r="DK11" s="3266"/>
      <c r="DL11" s="3266"/>
      <c r="DM11" s="3266"/>
      <c r="DN11" s="3266"/>
      <c r="DO11" s="3266"/>
      <c r="DP11" s="3266"/>
      <c r="DQ11" s="3266"/>
      <c r="DR11" s="3266"/>
      <c r="DS11" s="3266"/>
      <c r="DT11" s="3266"/>
      <c r="DU11" s="3266"/>
      <c r="DV11" s="3266"/>
      <c r="DW11" s="3266"/>
      <c r="DX11" s="3266"/>
      <c r="DY11" s="3266"/>
      <c r="DZ11" s="3266"/>
      <c r="EA11" s="3266"/>
      <c r="EB11" s="3266"/>
      <c r="EC11" s="3266"/>
      <c r="ED11" s="3266"/>
      <c r="EE11" s="3266"/>
      <c r="EF11" s="3266"/>
      <c r="EG11" s="3266"/>
      <c r="EH11" s="3266"/>
      <c r="EI11" s="3266"/>
      <c r="EJ11" s="3266"/>
      <c r="EK11" s="3266"/>
      <c r="EL11" s="3266"/>
      <c r="EM11" s="3266"/>
      <c r="EN11" s="3266"/>
      <c r="EO11" s="3266"/>
      <c r="EP11" s="3266"/>
      <c r="EQ11" s="3266"/>
      <c r="ER11" s="3266"/>
      <c r="ES11" s="3266"/>
    </row>
    <row r="12" spans="1:149" ht="15.75" hidden="1" customHeight="1">
      <c r="A12" s="3270"/>
      <c r="B12" s="3279" t="s">
        <v>167</v>
      </c>
      <c r="C12" s="3285">
        <f t="shared" si="3"/>
        <v>1189.492976</v>
      </c>
      <c r="D12" s="3649">
        <f>49226200/1000000</f>
        <v>49.226199999999999</v>
      </c>
      <c r="E12" s="3649">
        <v>271.92500000000001</v>
      </c>
      <c r="F12" s="3649"/>
      <c r="G12" s="3649">
        <v>46.764476000000002</v>
      </c>
      <c r="H12" s="3649">
        <v>821.57730000000004</v>
      </c>
      <c r="I12" s="3962">
        <f t="shared" si="1"/>
        <v>1926.0139835999998</v>
      </c>
      <c r="J12" s="3963">
        <v>584.95335999999998</v>
      </c>
      <c r="K12" s="3963"/>
      <c r="L12" s="3963">
        <v>48.069482000000001</v>
      </c>
      <c r="M12" s="3963">
        <f>1292991141.6/1000000</f>
        <v>1292.9911416</v>
      </c>
      <c r="N12" s="3285">
        <f t="shared" si="2"/>
        <v>111.2231184</v>
      </c>
      <c r="O12" s="3649">
        <f>58285519.2/1000000</f>
        <v>58.285519200000003</v>
      </c>
      <c r="P12" s="3649">
        <v>7.7443353000000004</v>
      </c>
      <c r="Q12" s="3649">
        <f>2.079149+15.08032</f>
        <v>17.159469000000001</v>
      </c>
      <c r="R12" s="3957">
        <f>28033794.9/1000000</f>
        <v>28.0337949</v>
      </c>
      <c r="S12" s="3283"/>
      <c r="T12" s="3266"/>
      <c r="U12" s="3283"/>
      <c r="V12" s="3283"/>
      <c r="W12" s="3283"/>
      <c r="X12" s="3283"/>
      <c r="Y12" s="3283"/>
      <c r="Z12" s="3288"/>
      <c r="AA12" s="3288"/>
      <c r="AB12" s="3288"/>
      <c r="AC12" s="3288"/>
      <c r="AD12" s="3288"/>
      <c r="AE12" s="3288"/>
      <c r="AF12" s="3292"/>
      <c r="AG12" s="3288"/>
      <c r="AH12" s="3288"/>
      <c r="AI12" s="3288"/>
      <c r="AJ12" s="3292"/>
      <c r="AK12" s="3320"/>
      <c r="AL12" s="3266"/>
      <c r="AM12" s="3266"/>
      <c r="AN12" s="3266"/>
      <c r="AO12" s="3266"/>
      <c r="AP12" s="3318"/>
      <c r="AQ12" s="3318"/>
      <c r="AR12" s="3318"/>
      <c r="AS12" s="3318"/>
      <c r="AT12" s="3318"/>
      <c r="AU12" s="3318"/>
      <c r="AV12" s="3318"/>
      <c r="AW12" s="3318"/>
      <c r="AX12" s="3319"/>
      <c r="AY12" s="3319"/>
      <c r="AZ12" s="3319"/>
      <c r="BA12" s="3319"/>
      <c r="BB12" s="3292"/>
      <c r="BC12" s="3292"/>
      <c r="BD12" s="3292"/>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c r="CF12" s="3266"/>
      <c r="CG12" s="3266"/>
      <c r="CH12" s="3266"/>
      <c r="CI12" s="3266"/>
      <c r="CJ12" s="3266"/>
      <c r="CK12" s="3266"/>
      <c r="CL12" s="3266"/>
      <c r="CM12" s="3266"/>
      <c r="CN12" s="3266"/>
      <c r="CO12" s="3266"/>
      <c r="CP12" s="3266"/>
      <c r="CQ12" s="3266"/>
      <c r="CR12" s="3266"/>
      <c r="CS12" s="3266"/>
      <c r="CT12" s="3266"/>
      <c r="CU12" s="3266"/>
      <c r="CV12" s="3266"/>
      <c r="CW12" s="3266"/>
      <c r="CX12" s="3266"/>
      <c r="CY12" s="3266"/>
      <c r="CZ12" s="3266"/>
      <c r="DA12" s="3266"/>
      <c r="DB12" s="3266"/>
      <c r="DC12" s="3266"/>
      <c r="DD12" s="3266"/>
      <c r="DE12" s="3266"/>
      <c r="DF12" s="3266"/>
      <c r="DG12" s="3266"/>
      <c r="DH12" s="3266"/>
      <c r="DI12" s="3266"/>
      <c r="DJ12" s="3266"/>
      <c r="DK12" s="3266"/>
      <c r="DL12" s="3266"/>
      <c r="DM12" s="3266"/>
      <c r="DN12" s="3266"/>
      <c r="DO12" s="3266"/>
      <c r="DP12" s="3266"/>
      <c r="DQ12" s="3266"/>
      <c r="DR12" s="3266"/>
      <c r="DS12" s="3266"/>
      <c r="DT12" s="3266"/>
      <c r="DU12" s="3266"/>
      <c r="DV12" s="3266"/>
      <c r="DW12" s="3266"/>
      <c r="DX12" s="3266"/>
      <c r="DY12" s="3266"/>
      <c r="DZ12" s="3266"/>
      <c r="EA12" s="3266"/>
      <c r="EB12" s="3266"/>
      <c r="EC12" s="3266"/>
      <c r="ED12" s="3266"/>
      <c r="EE12" s="3266"/>
      <c r="EF12" s="3266"/>
      <c r="EG12" s="3266"/>
      <c r="EH12" s="3266"/>
      <c r="EI12" s="3266"/>
      <c r="EJ12" s="3266"/>
      <c r="EK12" s="3266"/>
      <c r="EL12" s="3266"/>
      <c r="EM12" s="3266"/>
      <c r="EN12" s="3266"/>
      <c r="EO12" s="3266"/>
      <c r="EP12" s="3266"/>
      <c r="EQ12" s="3266"/>
      <c r="ER12" s="3266"/>
      <c r="ES12" s="3266"/>
    </row>
    <row r="13" spans="1:149" s="3269" customFormat="1" ht="15.75" hidden="1" customHeight="1">
      <c r="A13" s="3270"/>
      <c r="B13" s="3279" t="s">
        <v>168</v>
      </c>
      <c r="C13" s="3285">
        <f t="shared" si="3"/>
        <v>1178.212534</v>
      </c>
      <c r="D13" s="3649">
        <f>49035420/1000000</f>
        <v>49.035420000000002</v>
      </c>
      <c r="E13" s="3649">
        <v>270.16000000000003</v>
      </c>
      <c r="F13" s="3649"/>
      <c r="G13" s="3649">
        <v>46.705314000000001</v>
      </c>
      <c r="H13" s="3649">
        <v>812.31179999999995</v>
      </c>
      <c r="I13" s="3962">
        <f t="shared" si="1"/>
        <v>1903.456267</v>
      </c>
      <c r="J13" s="3963">
        <v>579.56425000000002</v>
      </c>
      <c r="K13" s="3963"/>
      <c r="L13" s="3963">
        <v>51.153120000000001</v>
      </c>
      <c r="M13" s="3963">
        <v>1272.738897</v>
      </c>
      <c r="N13" s="3285">
        <f t="shared" si="2"/>
        <v>87.430208890000017</v>
      </c>
      <c r="O13" s="3649">
        <f>58036107.6/1000000</f>
        <v>58.036107600000001</v>
      </c>
      <c r="P13" s="3649">
        <v>3.4482253699999998</v>
      </c>
      <c r="Q13" s="3649">
        <f>0.899825+12.963057</f>
        <v>13.862881999999999</v>
      </c>
      <c r="R13" s="3957">
        <v>12.08299392</v>
      </c>
      <c r="S13" s="3288"/>
      <c r="T13" s="3292"/>
      <c r="U13" s="3288"/>
      <c r="V13" s="3288"/>
      <c r="W13" s="3288"/>
      <c r="X13" s="3288"/>
      <c r="Y13" s="3288"/>
      <c r="Z13" s="3288"/>
      <c r="AA13" s="3288"/>
      <c r="AB13" s="3288"/>
      <c r="AC13" s="3288"/>
      <c r="AD13" s="3288"/>
      <c r="AE13" s="3288"/>
      <c r="AF13" s="3292"/>
      <c r="AG13" s="3288"/>
      <c r="AH13" s="3288"/>
      <c r="AI13" s="3288"/>
      <c r="AJ13" s="3292"/>
      <c r="AK13" s="3320"/>
      <c r="AL13" s="3292"/>
      <c r="AM13" s="3292"/>
      <c r="AN13" s="3292"/>
      <c r="AO13" s="3292"/>
      <c r="AP13" s="3318"/>
      <c r="AQ13" s="3318"/>
      <c r="AR13" s="3318"/>
      <c r="AS13" s="3318"/>
      <c r="AT13" s="3318"/>
      <c r="AU13" s="3318"/>
      <c r="AV13" s="3318"/>
      <c r="AW13" s="3318"/>
      <c r="AX13" s="3319"/>
      <c r="AY13" s="3319"/>
      <c r="AZ13" s="3319"/>
      <c r="BA13" s="3319"/>
      <c r="BB13" s="3292"/>
      <c r="BC13" s="3292"/>
      <c r="BD13" s="3292"/>
      <c r="BE13" s="3292"/>
      <c r="BF13" s="3292"/>
      <c r="BG13" s="3292"/>
      <c r="BH13" s="3292"/>
      <c r="BI13" s="3292"/>
      <c r="BJ13" s="3292"/>
      <c r="BK13" s="3292"/>
      <c r="BL13" s="3292"/>
      <c r="BM13" s="3292"/>
      <c r="BN13" s="3292"/>
      <c r="BO13" s="3292"/>
      <c r="BP13" s="3292"/>
      <c r="BQ13" s="3292"/>
      <c r="BR13" s="3292"/>
      <c r="BS13" s="3292"/>
      <c r="BT13" s="3292"/>
      <c r="BU13" s="3292"/>
      <c r="BV13" s="3292"/>
      <c r="BW13" s="3292"/>
      <c r="BX13" s="3292"/>
      <c r="BY13" s="3292"/>
      <c r="BZ13" s="3292"/>
      <c r="CA13" s="3292"/>
      <c r="CB13" s="3292"/>
      <c r="CC13" s="3292"/>
      <c r="CD13" s="3292"/>
      <c r="CE13" s="3292"/>
      <c r="CF13" s="3292"/>
      <c r="CG13" s="3292"/>
      <c r="CH13" s="3292"/>
      <c r="CI13" s="3292"/>
      <c r="CJ13" s="3292"/>
      <c r="CK13" s="3292"/>
      <c r="CL13" s="3292"/>
      <c r="CM13" s="3292"/>
      <c r="CN13" s="3292"/>
      <c r="CO13" s="3292"/>
      <c r="CP13" s="3292"/>
      <c r="CQ13" s="3292"/>
      <c r="CR13" s="3292"/>
      <c r="CS13" s="3292"/>
      <c r="CT13" s="3292"/>
      <c r="CU13" s="3292"/>
      <c r="CV13" s="3292"/>
      <c r="CW13" s="3292"/>
      <c r="CX13" s="3292"/>
      <c r="CY13" s="3292"/>
      <c r="CZ13" s="3292"/>
      <c r="DA13" s="3292"/>
      <c r="DB13" s="3292"/>
      <c r="DC13" s="3292"/>
      <c r="DD13" s="3292"/>
      <c r="DE13" s="3292"/>
      <c r="DF13" s="3292"/>
      <c r="DG13" s="3292"/>
      <c r="DH13" s="3292"/>
      <c r="DI13" s="3292"/>
      <c r="DJ13" s="3292"/>
      <c r="DK13" s="3292"/>
      <c r="DL13" s="3292"/>
      <c r="DM13" s="3292"/>
      <c r="DN13" s="3292"/>
      <c r="DO13" s="3292"/>
      <c r="DP13" s="3292"/>
      <c r="DQ13" s="3292"/>
      <c r="DR13" s="3292"/>
      <c r="DS13" s="3292"/>
      <c r="DT13" s="3292"/>
      <c r="DU13" s="3292"/>
      <c r="DV13" s="3292"/>
      <c r="DW13" s="3292"/>
      <c r="DX13" s="3292"/>
      <c r="DY13" s="3292"/>
      <c r="DZ13" s="3292"/>
      <c r="EA13" s="3292"/>
      <c r="EB13" s="3292"/>
      <c r="EC13" s="3292"/>
      <c r="ED13" s="3292"/>
      <c r="EE13" s="3292"/>
      <c r="EF13" s="3292"/>
      <c r="EG13" s="3292"/>
      <c r="EH13" s="3292"/>
      <c r="EI13" s="3292"/>
      <c r="EJ13" s="3292"/>
      <c r="EK13" s="3292"/>
      <c r="EL13" s="3292"/>
      <c r="EM13" s="3292"/>
      <c r="EN13" s="3292"/>
      <c r="EO13" s="3292"/>
      <c r="EP13" s="3292"/>
      <c r="EQ13" s="3292"/>
      <c r="ER13" s="3292"/>
      <c r="ES13" s="3292"/>
    </row>
    <row r="14" spans="1:149" ht="15.75" hidden="1" customHeight="1">
      <c r="A14" s="3270"/>
      <c r="B14" s="3279" t="s">
        <v>169</v>
      </c>
      <c r="C14" s="3285">
        <f t="shared" si="3"/>
        <v>1141.7570799999999</v>
      </c>
      <c r="D14" s="3649">
        <v>48.100450000000002</v>
      </c>
      <c r="E14" s="3649">
        <v>259.35700000000003</v>
      </c>
      <c r="F14" s="3649"/>
      <c r="G14" s="3649">
        <v>43.17033</v>
      </c>
      <c r="H14" s="3649">
        <v>791.12929999999994</v>
      </c>
      <c r="I14" s="3962">
        <f t="shared" si="1"/>
        <v>1842.365591</v>
      </c>
      <c r="J14" s="3963">
        <v>556.58797000000004</v>
      </c>
      <c r="K14" s="3963"/>
      <c r="L14" s="3963">
        <v>46.814695</v>
      </c>
      <c r="M14" s="3963">
        <v>1238.9629259999999</v>
      </c>
      <c r="N14" s="3285">
        <f t="shared" si="2"/>
        <v>85.285084879999999</v>
      </c>
      <c r="O14" s="3649">
        <v>56.926282800000003</v>
      </c>
      <c r="P14" s="3649">
        <v>3.4295812200000002</v>
      </c>
      <c r="Q14" s="3649">
        <f>0.83172+12.287063</f>
        <v>13.118783000000001</v>
      </c>
      <c r="R14" s="3957">
        <v>11.81043786</v>
      </c>
      <c r="S14" s="3283"/>
      <c r="T14" s="3266"/>
      <c r="U14" s="3283"/>
      <c r="V14" s="3283"/>
      <c r="W14" s="3283"/>
      <c r="X14" s="3283"/>
      <c r="Y14" s="3283"/>
      <c r="Z14" s="3288"/>
      <c r="AA14" s="3288"/>
      <c r="AB14" s="3288"/>
      <c r="AC14" s="3288"/>
      <c r="AD14" s="3288"/>
      <c r="AE14" s="3288"/>
      <c r="AF14" s="3292"/>
      <c r="AG14" s="3288"/>
      <c r="AH14" s="3288"/>
      <c r="AI14" s="3288"/>
      <c r="AJ14" s="3292"/>
      <c r="AK14" s="3292"/>
      <c r="AL14" s="3266"/>
      <c r="AM14" s="3266"/>
      <c r="AN14" s="3266"/>
      <c r="AO14" s="3266"/>
      <c r="AP14" s="3292"/>
      <c r="AQ14" s="3292"/>
      <c r="AR14" s="3292"/>
      <c r="AS14" s="3292"/>
      <c r="AT14" s="3292"/>
      <c r="AU14" s="3292"/>
      <c r="AV14" s="3292"/>
      <c r="AW14" s="3292"/>
      <c r="AX14" s="3319"/>
      <c r="AY14" s="3319"/>
      <c r="AZ14" s="3319"/>
      <c r="BA14" s="3292"/>
      <c r="BB14" s="3292"/>
      <c r="BC14" s="3292"/>
      <c r="BD14" s="3292"/>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c r="CF14" s="3266"/>
      <c r="CG14" s="3266"/>
      <c r="CH14" s="3266"/>
      <c r="CI14" s="3266"/>
      <c r="CJ14" s="3266"/>
      <c r="CK14" s="3266"/>
      <c r="CL14" s="3266"/>
      <c r="CM14" s="3266"/>
      <c r="CN14" s="3266"/>
      <c r="CO14" s="3266"/>
      <c r="CP14" s="3266"/>
      <c r="CQ14" s="3266"/>
      <c r="CR14" s="3266"/>
      <c r="CS14" s="3266"/>
      <c r="CT14" s="3266"/>
      <c r="CU14" s="3266"/>
      <c r="CV14" s="3266"/>
      <c r="CW14" s="3266"/>
      <c r="CX14" s="3266"/>
      <c r="CY14" s="3266"/>
      <c r="CZ14" s="3266"/>
      <c r="DA14" s="3266"/>
      <c r="DB14" s="3266"/>
      <c r="DC14" s="3266"/>
      <c r="DD14" s="3266"/>
      <c r="DE14" s="3266"/>
      <c r="DF14" s="3266"/>
      <c r="DG14" s="3266"/>
      <c r="DH14" s="3266"/>
      <c r="DI14" s="3266"/>
      <c r="DJ14" s="3266"/>
      <c r="DK14" s="3266"/>
      <c r="DL14" s="3266"/>
      <c r="DM14" s="3266"/>
      <c r="DN14" s="3266"/>
      <c r="DO14" s="3266"/>
      <c r="DP14" s="3266"/>
      <c r="DQ14" s="3266"/>
      <c r="DR14" s="3266"/>
      <c r="DS14" s="3266"/>
      <c r="DT14" s="3266"/>
      <c r="DU14" s="3266"/>
      <c r="DV14" s="3266"/>
      <c r="DW14" s="3266"/>
      <c r="DX14" s="3266"/>
      <c r="DY14" s="3266"/>
      <c r="DZ14" s="3266"/>
      <c r="EA14" s="3266"/>
      <c r="EB14" s="3266"/>
      <c r="EC14" s="3266"/>
      <c r="ED14" s="3266"/>
      <c r="EE14" s="3266"/>
      <c r="EF14" s="3266"/>
      <c r="EG14" s="3266"/>
      <c r="EH14" s="3266"/>
      <c r="EI14" s="3266"/>
      <c r="EJ14" s="3266"/>
      <c r="EK14" s="3266"/>
      <c r="EL14" s="3266"/>
      <c r="EM14" s="3266"/>
      <c r="EN14" s="3266"/>
      <c r="EO14" s="3266"/>
      <c r="EP14" s="3266"/>
      <c r="EQ14" s="3266"/>
      <c r="ER14" s="3266"/>
      <c r="ES14" s="3266"/>
    </row>
    <row r="15" spans="1:149" ht="15.75" hidden="1" customHeight="1">
      <c r="A15" s="3270"/>
      <c r="B15" s="3279" t="s">
        <v>170</v>
      </c>
      <c r="C15" s="3285">
        <f t="shared" si="3"/>
        <v>891.32997900000009</v>
      </c>
      <c r="D15" s="3649">
        <v>44.264589999999998</v>
      </c>
      <c r="E15" s="3649">
        <v>246.06100000000001</v>
      </c>
      <c r="F15" s="3649"/>
      <c r="G15" s="3649">
        <v>46.017589000000001</v>
      </c>
      <c r="H15" s="3649">
        <v>554.98680000000002</v>
      </c>
      <c r="I15" s="3962">
        <f t="shared" si="1"/>
        <v>1384.834075</v>
      </c>
      <c r="J15" s="3963">
        <v>515.29609200000004</v>
      </c>
      <c r="K15" s="3963"/>
      <c r="L15" s="3963">
        <v>49.322909000000003</v>
      </c>
      <c r="M15" s="3963">
        <v>820.21507399999996</v>
      </c>
      <c r="N15" s="3285">
        <f t="shared" si="2"/>
        <v>81.687286440000008</v>
      </c>
      <c r="O15" s="3649">
        <v>52.377012000000001</v>
      </c>
      <c r="P15" s="3649">
        <v>3.7317260499999998</v>
      </c>
      <c r="Q15" s="3649">
        <f>0.886575+13.51664</f>
        <v>14.403215000000001</v>
      </c>
      <c r="R15" s="3957">
        <v>11.17533339</v>
      </c>
      <c r="S15" s="3283"/>
      <c r="T15" s="3266"/>
      <c r="U15" s="3283"/>
      <c r="V15" s="3283"/>
      <c r="W15" s="3283"/>
      <c r="X15" s="3283"/>
      <c r="Y15" s="3283"/>
      <c r="Z15" s="3288"/>
      <c r="AA15" s="3288"/>
      <c r="AB15" s="3288"/>
      <c r="AC15" s="3288"/>
      <c r="AD15" s="3288"/>
      <c r="AE15" s="3288"/>
      <c r="AF15" s="3292"/>
      <c r="AG15" s="3288"/>
      <c r="AH15" s="3288"/>
      <c r="AI15" s="3288"/>
      <c r="AJ15" s="3292"/>
      <c r="AK15" s="3320"/>
      <c r="AL15" s="3266"/>
      <c r="AM15" s="3266"/>
      <c r="AN15" s="3266"/>
      <c r="AO15" s="3266"/>
      <c r="AP15" s="3292"/>
      <c r="AQ15" s="3292"/>
      <c r="AR15" s="3292"/>
      <c r="AS15" s="3292"/>
      <c r="AT15" s="3292"/>
      <c r="AU15" s="3292"/>
      <c r="AV15" s="3292"/>
      <c r="AW15" s="3292"/>
      <c r="AX15" s="3319"/>
      <c r="AY15" s="3319"/>
      <c r="AZ15" s="3319"/>
      <c r="BA15" s="3292"/>
      <c r="BB15" s="3292"/>
      <c r="BC15" s="3292"/>
      <c r="BD15" s="3292"/>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c r="CF15" s="3266"/>
      <c r="CG15" s="3266"/>
      <c r="CH15" s="3266"/>
      <c r="CI15" s="3266"/>
      <c r="CJ15" s="3266"/>
      <c r="CK15" s="3266"/>
      <c r="CL15" s="3266"/>
      <c r="CM15" s="3266"/>
      <c r="CN15" s="3266"/>
      <c r="CO15" s="3266"/>
      <c r="CP15" s="3266"/>
      <c r="CQ15" s="3266"/>
      <c r="CR15" s="3266"/>
      <c r="CS15" s="3266"/>
      <c r="CT15" s="3266"/>
      <c r="CU15" s="3266"/>
      <c r="CV15" s="3266"/>
      <c r="CW15" s="3266"/>
      <c r="CX15" s="3266"/>
      <c r="CY15" s="3266"/>
      <c r="CZ15" s="3266"/>
      <c r="DA15" s="3266"/>
      <c r="DB15" s="3266"/>
      <c r="DC15" s="3266"/>
      <c r="DD15" s="3266"/>
      <c r="DE15" s="3266"/>
      <c r="DF15" s="3266"/>
      <c r="DG15" s="3266"/>
      <c r="DH15" s="3266"/>
      <c r="DI15" s="3266"/>
      <c r="DJ15" s="3266"/>
      <c r="DK15" s="3266"/>
      <c r="DL15" s="3266"/>
      <c r="DM15" s="3266"/>
      <c r="DN15" s="3266"/>
      <c r="DO15" s="3266"/>
      <c r="DP15" s="3266"/>
      <c r="DQ15" s="3266"/>
      <c r="DR15" s="3266"/>
      <c r="DS15" s="3266"/>
      <c r="DT15" s="3266"/>
      <c r="DU15" s="3266"/>
      <c r="DV15" s="3266"/>
      <c r="DW15" s="3266"/>
      <c r="DX15" s="3266"/>
      <c r="DY15" s="3266"/>
      <c r="DZ15" s="3266"/>
      <c r="EA15" s="3266"/>
      <c r="EB15" s="3266"/>
      <c r="EC15" s="3266"/>
      <c r="ED15" s="3266"/>
      <c r="EE15" s="3266"/>
      <c r="EF15" s="3266"/>
      <c r="EG15" s="3266"/>
      <c r="EH15" s="3266"/>
      <c r="EI15" s="3266"/>
      <c r="EJ15" s="3266"/>
      <c r="EK15" s="3266"/>
      <c r="EL15" s="3266"/>
      <c r="EM15" s="3266"/>
      <c r="EN15" s="3266"/>
      <c r="EO15" s="3266"/>
      <c r="EP15" s="3266"/>
      <c r="EQ15" s="3266"/>
      <c r="ER15" s="3266"/>
      <c r="ES15" s="3266"/>
    </row>
    <row r="16" spans="1:149" ht="15.75" hidden="1" customHeight="1">
      <c r="A16" s="3270"/>
      <c r="B16" s="3279" t="s">
        <v>171</v>
      </c>
      <c r="C16" s="3285">
        <f t="shared" si="3"/>
        <v>488.43801699999995</v>
      </c>
      <c r="D16" s="3649">
        <v>27.979229999999998</v>
      </c>
      <c r="E16" s="3649">
        <v>136.78200000000001</v>
      </c>
      <c r="F16" s="3649"/>
      <c r="G16" s="3649">
        <v>29.998687</v>
      </c>
      <c r="H16" s="3649">
        <v>293.67809999999997</v>
      </c>
      <c r="I16" s="3962">
        <f t="shared" si="1"/>
        <v>647.93956400000002</v>
      </c>
      <c r="J16" s="3963">
        <v>261.78833600000002</v>
      </c>
      <c r="K16" s="3963"/>
      <c r="L16" s="3963">
        <v>23.269162000000001</v>
      </c>
      <c r="M16" s="3963">
        <v>362.88206600000001</v>
      </c>
      <c r="N16" s="3285">
        <f t="shared" si="2"/>
        <v>63.483489919999997</v>
      </c>
      <c r="O16" s="3649">
        <v>33.085779600000002</v>
      </c>
      <c r="P16" s="3649">
        <v>3.9898086199999998</v>
      </c>
      <c r="Q16" s="3649">
        <f>0.577955+14.702598</f>
        <v>15.280552999999999</v>
      </c>
      <c r="R16" s="3957">
        <v>11.127348700000001</v>
      </c>
      <c r="S16" s="3290"/>
      <c r="T16" s="3266"/>
      <c r="U16" s="3283"/>
      <c r="V16" s="3283"/>
      <c r="W16" s="3283"/>
      <c r="X16" s="3283"/>
      <c r="Y16" s="3283"/>
      <c r="Z16" s="3288"/>
      <c r="AA16" s="3288"/>
      <c r="AB16" s="3288"/>
      <c r="AC16" s="3288"/>
      <c r="AD16" s="3288"/>
      <c r="AE16" s="3288"/>
      <c r="AF16" s="3292"/>
      <c r="AG16" s="3288"/>
      <c r="AH16" s="3288"/>
      <c r="AI16" s="3288"/>
      <c r="AJ16" s="3292"/>
      <c r="AK16" s="3320"/>
      <c r="AL16" s="3266"/>
      <c r="AM16" s="3266"/>
      <c r="AN16" s="3266"/>
      <c r="AO16" s="3266"/>
      <c r="AP16" s="3292"/>
      <c r="AQ16" s="3292"/>
      <c r="AR16" s="3292"/>
      <c r="AS16" s="3292"/>
      <c r="AT16" s="3292"/>
      <c r="AU16" s="3292"/>
      <c r="AV16" s="3292"/>
      <c r="AW16" s="3292"/>
      <c r="AX16" s="3319"/>
      <c r="AY16" s="3319"/>
      <c r="AZ16" s="3319"/>
      <c r="BA16" s="3292"/>
      <c r="BB16" s="3292"/>
      <c r="BC16" s="3292"/>
      <c r="BD16" s="3292"/>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c r="CF16" s="3266"/>
      <c r="CG16" s="3266"/>
      <c r="CH16" s="3266"/>
      <c r="CI16" s="3266"/>
      <c r="CJ16" s="3266"/>
      <c r="CK16" s="3266"/>
      <c r="CL16" s="3266"/>
      <c r="CM16" s="3266"/>
      <c r="CN16" s="3266"/>
      <c r="CO16" s="3266"/>
      <c r="CP16" s="3266"/>
      <c r="CQ16" s="3266"/>
      <c r="CR16" s="3266"/>
      <c r="CS16" s="3266"/>
      <c r="CT16" s="3266"/>
      <c r="CU16" s="3266"/>
      <c r="CV16" s="3266"/>
      <c r="CW16" s="3266"/>
      <c r="CX16" s="3266"/>
      <c r="CY16" s="3266"/>
      <c r="CZ16" s="3266"/>
      <c r="DA16" s="3266"/>
      <c r="DB16" s="3266"/>
      <c r="DC16" s="3266"/>
      <c r="DD16" s="3266"/>
      <c r="DE16" s="3266"/>
      <c r="DF16" s="3266"/>
      <c r="DG16" s="3266"/>
      <c r="DH16" s="3266"/>
      <c r="DI16" s="3266"/>
      <c r="DJ16" s="3266"/>
      <c r="DK16" s="3266"/>
      <c r="DL16" s="3266"/>
      <c r="DM16" s="3266"/>
      <c r="DN16" s="3266"/>
      <c r="DO16" s="3266"/>
      <c r="DP16" s="3266"/>
      <c r="DQ16" s="3266"/>
      <c r="DR16" s="3266"/>
      <c r="DS16" s="3266"/>
      <c r="DT16" s="3266"/>
      <c r="DU16" s="3266"/>
      <c r="DV16" s="3266"/>
      <c r="DW16" s="3266"/>
      <c r="DX16" s="3266"/>
      <c r="DY16" s="3266"/>
      <c r="DZ16" s="3266"/>
      <c r="EA16" s="3266"/>
      <c r="EB16" s="3266"/>
      <c r="EC16" s="3266"/>
      <c r="ED16" s="3266"/>
      <c r="EE16" s="3266"/>
      <c r="EF16" s="3266"/>
      <c r="EG16" s="3266"/>
      <c r="EH16" s="3266"/>
      <c r="EI16" s="3266"/>
      <c r="EJ16" s="3266"/>
      <c r="EK16" s="3266"/>
      <c r="EL16" s="3266"/>
      <c r="EM16" s="3266"/>
      <c r="EN16" s="3266"/>
      <c r="EO16" s="3266"/>
      <c r="EP16" s="3266"/>
      <c r="EQ16" s="3266"/>
      <c r="ER16" s="3266"/>
      <c r="ES16" s="3266"/>
    </row>
    <row r="17" spans="1:149" s="3280" customFormat="1" ht="15.75" hidden="1" customHeight="1">
      <c r="A17" s="3951"/>
      <c r="B17" s="3279" t="s">
        <v>148</v>
      </c>
      <c r="C17" s="3285">
        <f t="shared" si="3"/>
        <v>325.52204</v>
      </c>
      <c r="D17" s="3649">
        <v>20.415959999999998</v>
      </c>
      <c r="E17" s="3649">
        <v>89.498999999999995</v>
      </c>
      <c r="F17" s="3649"/>
      <c r="G17" s="3649">
        <v>19.92388</v>
      </c>
      <c r="H17" s="3649">
        <v>195.6832</v>
      </c>
      <c r="I17" s="3962">
        <f t="shared" si="1"/>
        <v>312.20641899999998</v>
      </c>
      <c r="J17" s="3963">
        <v>143.80371</v>
      </c>
      <c r="K17" s="3963"/>
      <c r="L17" s="3963">
        <v>4.4373100000000001</v>
      </c>
      <c r="M17" s="3963">
        <v>163.96539899999999</v>
      </c>
      <c r="N17" s="3285">
        <f t="shared" si="2"/>
        <v>58.870321329999996</v>
      </c>
      <c r="O17" s="3649">
        <v>24.016297199999997</v>
      </c>
      <c r="P17" s="3649">
        <v>4.5713646600000004</v>
      </c>
      <c r="Q17" s="3649">
        <f>0.383853+16.906409</f>
        <v>17.290261999999998</v>
      </c>
      <c r="R17" s="3957">
        <v>12.99239747</v>
      </c>
      <c r="S17" s="3290"/>
      <c r="T17" s="3266"/>
      <c r="U17" s="3283"/>
      <c r="V17" s="3283"/>
      <c r="W17" s="3283"/>
      <c r="X17" s="3283"/>
      <c r="Y17" s="3283"/>
      <c r="Z17" s="3288"/>
      <c r="AA17" s="3288"/>
      <c r="AB17" s="3288"/>
      <c r="AC17" s="3288"/>
      <c r="AD17" s="3288"/>
      <c r="AE17" s="3288"/>
      <c r="AF17" s="3292"/>
      <c r="AG17" s="3288"/>
      <c r="AH17" s="3288"/>
      <c r="AI17" s="3288"/>
      <c r="AJ17" s="3292"/>
      <c r="AK17" s="3320"/>
      <c r="AL17" s="3266"/>
      <c r="AM17" s="3266"/>
      <c r="AN17" s="3266"/>
      <c r="AO17" s="3266"/>
      <c r="AP17" s="3292"/>
      <c r="AQ17" s="3292"/>
      <c r="AR17" s="3292"/>
      <c r="AS17" s="3292"/>
      <c r="AT17" s="3292"/>
      <c r="AU17" s="3292"/>
      <c r="AV17" s="3292"/>
      <c r="AW17" s="3292"/>
      <c r="AX17" s="3319"/>
      <c r="AY17" s="3319"/>
      <c r="AZ17" s="3319"/>
      <c r="BA17" s="3292"/>
      <c r="BB17" s="3292"/>
      <c r="BC17" s="3292"/>
      <c r="BD17" s="3292"/>
      <c r="BE17" s="3266"/>
      <c r="BF17" s="3266"/>
      <c r="BG17" s="3266"/>
      <c r="BH17" s="3266"/>
      <c r="BI17" s="3266"/>
      <c r="BJ17" s="3266"/>
      <c r="BK17" s="3266"/>
      <c r="BL17" s="3266"/>
      <c r="BM17" s="3266"/>
      <c r="BN17" s="3266"/>
      <c r="BO17" s="3266"/>
      <c r="BP17" s="3266"/>
      <c r="BQ17" s="3266"/>
      <c r="BR17" s="3266"/>
      <c r="BS17" s="3266"/>
      <c r="BT17" s="3266"/>
      <c r="BU17" s="3266"/>
      <c r="BV17" s="3266"/>
      <c r="BW17" s="3266"/>
      <c r="BX17" s="3266"/>
      <c r="BY17" s="3266"/>
      <c r="BZ17" s="3266"/>
      <c r="CA17" s="3266"/>
      <c r="CB17" s="3266"/>
      <c r="CC17" s="3266"/>
      <c r="CD17" s="3266"/>
      <c r="CE17" s="3266"/>
      <c r="CF17" s="3266"/>
      <c r="CG17" s="3266"/>
      <c r="CH17" s="3266"/>
      <c r="CI17" s="3266"/>
      <c r="CJ17" s="3266"/>
      <c r="CK17" s="3266"/>
      <c r="CL17" s="3266"/>
      <c r="CM17" s="3266"/>
      <c r="CN17" s="3266"/>
      <c r="CO17" s="3266"/>
      <c r="CP17" s="3266"/>
      <c r="CQ17" s="3266"/>
      <c r="CR17" s="3266"/>
      <c r="CS17" s="3266"/>
      <c r="CT17" s="3266"/>
      <c r="CU17" s="3266"/>
      <c r="CV17" s="3266"/>
      <c r="CW17" s="3266"/>
      <c r="CX17" s="3266"/>
      <c r="CY17" s="3266"/>
      <c r="CZ17" s="3266"/>
      <c r="DA17" s="3266"/>
      <c r="DB17" s="3266"/>
      <c r="DC17" s="3266"/>
      <c r="DD17" s="3266"/>
      <c r="DE17" s="3266"/>
      <c r="DF17" s="3266"/>
      <c r="DG17" s="3266"/>
      <c r="DH17" s="3266"/>
      <c r="DI17" s="3266"/>
      <c r="DJ17" s="3266"/>
      <c r="DK17" s="3266"/>
      <c r="DL17" s="3266"/>
      <c r="DM17" s="3266"/>
      <c r="DN17" s="3266"/>
      <c r="DO17" s="3266"/>
      <c r="DP17" s="3266"/>
      <c r="DQ17" s="3266"/>
      <c r="DR17" s="3266"/>
      <c r="DS17" s="3266"/>
      <c r="DT17" s="3266"/>
      <c r="DU17" s="3266"/>
      <c r="DV17" s="3266"/>
      <c r="DW17" s="3266"/>
      <c r="DX17" s="3266"/>
      <c r="DY17" s="3266"/>
      <c r="DZ17" s="3266"/>
      <c r="EA17" s="3266"/>
      <c r="EB17" s="3266"/>
      <c r="EC17" s="3266"/>
      <c r="ED17" s="3266"/>
      <c r="EE17" s="3266"/>
      <c r="EF17" s="3266"/>
      <c r="EG17" s="3266"/>
      <c r="EH17" s="3266"/>
      <c r="EI17" s="3266"/>
      <c r="EJ17" s="3266"/>
      <c r="EK17" s="3266"/>
      <c r="EL17" s="3266"/>
      <c r="EM17" s="3266"/>
      <c r="EN17" s="3266"/>
      <c r="EO17" s="3266"/>
      <c r="EP17" s="3266"/>
      <c r="EQ17" s="3266"/>
      <c r="ER17" s="3266"/>
      <c r="ES17" s="3266"/>
    </row>
    <row r="18" spans="1:149" s="3280" customFormat="1" ht="15.75">
      <c r="A18" s="3951"/>
      <c r="B18" s="3286">
        <v>2011</v>
      </c>
      <c r="C18" s="3285">
        <f>SUM(C19:C30)</f>
        <v>7046.197435000001</v>
      </c>
      <c r="D18" s="3649">
        <f t="shared" ref="D18:Q18" si="4">SUM(D19:D30)</f>
        <v>322.26841000000002</v>
      </c>
      <c r="E18" s="3649">
        <f t="shared" si="4"/>
        <v>1774.1250000000002</v>
      </c>
      <c r="F18" s="3649"/>
      <c r="G18" s="3649">
        <f t="shared" si="4"/>
        <v>361.81192500000003</v>
      </c>
      <c r="H18" s="3649">
        <f t="shared" si="4"/>
        <v>4587.9921000000013</v>
      </c>
      <c r="I18" s="3962">
        <f t="shared" si="4"/>
        <v>9825.0197029999981</v>
      </c>
      <c r="J18" s="3963">
        <f t="shared" si="4"/>
        <v>3419.2139220000004</v>
      </c>
      <c r="K18" s="3963"/>
      <c r="L18" s="3963">
        <f t="shared" si="4"/>
        <v>267.88461799999999</v>
      </c>
      <c r="M18" s="3963">
        <f t="shared" si="4"/>
        <v>6137.921163</v>
      </c>
      <c r="N18" s="3285">
        <f>SUM(N19:N30)</f>
        <v>759.77551650999999</v>
      </c>
      <c r="O18" s="3649">
        <f t="shared" si="4"/>
        <v>382.09400900000003</v>
      </c>
      <c r="P18" s="3649">
        <f t="shared" si="4"/>
        <v>47.490850959999996</v>
      </c>
      <c r="Q18" s="3649">
        <f t="shared" si="4"/>
        <v>184.98013599999999</v>
      </c>
      <c r="R18" s="3955">
        <f>SUM(R19:R30)</f>
        <v>145.21052055000001</v>
      </c>
      <c r="S18" s="3283"/>
      <c r="T18" s="3266"/>
      <c r="U18" s="3283"/>
      <c r="V18" s="3283"/>
      <c r="W18" s="3283"/>
      <c r="X18" s="3283"/>
      <c r="Y18" s="3283"/>
      <c r="Z18" s="3288"/>
      <c r="AA18" s="3288"/>
      <c r="AB18" s="3288"/>
      <c r="AC18" s="3288"/>
      <c r="AD18" s="3288"/>
      <c r="AE18" s="3288"/>
      <c r="AF18" s="3292"/>
      <c r="AG18" s="3288"/>
      <c r="AH18" s="3288"/>
      <c r="AI18" s="3288"/>
      <c r="AJ18" s="3292"/>
      <c r="AK18" s="3320"/>
      <c r="AL18" s="3266"/>
      <c r="AM18" s="3266"/>
      <c r="AN18" s="3266"/>
      <c r="AO18" s="3266"/>
      <c r="AP18" s="3292"/>
      <c r="AQ18" s="3292"/>
      <c r="AR18" s="3292"/>
      <c r="AS18" s="3292"/>
      <c r="AT18" s="3292"/>
      <c r="AU18" s="3292"/>
      <c r="AV18" s="3292"/>
      <c r="AW18" s="3292"/>
      <c r="AX18" s="3319"/>
      <c r="AY18" s="3319"/>
      <c r="AZ18" s="3319"/>
      <c r="BA18" s="3292"/>
      <c r="BB18" s="3292"/>
      <c r="BC18" s="3292"/>
      <c r="BD18" s="3292"/>
      <c r="BE18" s="3266"/>
      <c r="BF18" s="3266"/>
      <c r="BG18" s="3266"/>
      <c r="BH18" s="3266"/>
      <c r="BI18" s="3266"/>
      <c r="BJ18" s="3266"/>
      <c r="BK18" s="3266"/>
      <c r="BL18" s="3266"/>
      <c r="BM18" s="3266"/>
      <c r="BN18" s="3266"/>
      <c r="BO18" s="3266"/>
      <c r="BP18" s="3266"/>
      <c r="BQ18" s="3266"/>
      <c r="BR18" s="3266"/>
      <c r="BS18" s="3266"/>
      <c r="BT18" s="3266"/>
      <c r="BU18" s="3266"/>
      <c r="BV18" s="3266"/>
      <c r="BW18" s="3266"/>
      <c r="BX18" s="3266"/>
      <c r="BY18" s="3266"/>
      <c r="BZ18" s="3266"/>
      <c r="CA18" s="3266"/>
      <c r="CB18" s="3266"/>
      <c r="CC18" s="3266"/>
      <c r="CD18" s="3266"/>
      <c r="CE18" s="3266"/>
      <c r="CF18" s="3266"/>
      <c r="CG18" s="3266"/>
      <c r="CH18" s="3266"/>
      <c r="CI18" s="3266"/>
      <c r="CJ18" s="3266"/>
      <c r="CK18" s="3266"/>
      <c r="CL18" s="3266"/>
      <c r="CM18" s="3266"/>
      <c r="CN18" s="3266"/>
      <c r="CO18" s="3266"/>
      <c r="CP18" s="3266"/>
      <c r="CQ18" s="3266"/>
      <c r="CR18" s="3266"/>
      <c r="CS18" s="3266"/>
      <c r="CT18" s="3266"/>
      <c r="CU18" s="3266"/>
      <c r="CV18" s="3266"/>
      <c r="CW18" s="3266"/>
      <c r="CX18" s="3266"/>
      <c r="CY18" s="3266"/>
      <c r="CZ18" s="3266"/>
      <c r="DA18" s="3266"/>
      <c r="DB18" s="3266"/>
      <c r="DC18" s="3266"/>
      <c r="DD18" s="3266"/>
      <c r="DE18" s="3266"/>
      <c r="DF18" s="3266"/>
      <c r="DG18" s="3266"/>
      <c r="DH18" s="3266"/>
      <c r="DI18" s="3266"/>
      <c r="DJ18" s="3266"/>
      <c r="DK18" s="3266"/>
      <c r="DL18" s="3266"/>
      <c r="DM18" s="3266"/>
      <c r="DN18" s="3266"/>
      <c r="DO18" s="3266"/>
      <c r="DP18" s="3266"/>
      <c r="DQ18" s="3266"/>
      <c r="DR18" s="3266"/>
      <c r="DS18" s="3266"/>
      <c r="DT18" s="3266"/>
      <c r="DU18" s="3266"/>
      <c r="DV18" s="3266"/>
      <c r="DW18" s="3266"/>
      <c r="DX18" s="3266"/>
      <c r="DY18" s="3266"/>
      <c r="DZ18" s="3266"/>
      <c r="EA18" s="3266"/>
      <c r="EB18" s="3266"/>
      <c r="EC18" s="3266"/>
      <c r="ED18" s="3266"/>
      <c r="EE18" s="3266"/>
      <c r="EF18" s="3266"/>
      <c r="EG18" s="3266"/>
      <c r="EH18" s="3266"/>
      <c r="EI18" s="3266"/>
      <c r="EJ18" s="3266"/>
      <c r="EK18" s="3266"/>
      <c r="EL18" s="3266"/>
      <c r="EM18" s="3266"/>
      <c r="EN18" s="3266"/>
      <c r="EO18" s="3266"/>
      <c r="EP18" s="3266"/>
      <c r="EQ18" s="3266"/>
      <c r="ER18" s="3266"/>
      <c r="ES18" s="3266"/>
    </row>
    <row r="19" spans="1:149" ht="15.75" hidden="1" customHeight="1">
      <c r="A19" s="3270"/>
      <c r="B19" s="3279" t="s">
        <v>161</v>
      </c>
      <c r="C19" s="3285">
        <f>D19+E19+G19+H19</f>
        <v>245.87429900000001</v>
      </c>
      <c r="D19" s="3649">
        <v>16.18366</v>
      </c>
      <c r="E19" s="3649">
        <v>66.641000000000005</v>
      </c>
      <c r="F19" s="3649"/>
      <c r="G19" s="3649">
        <v>14.951339000000001</v>
      </c>
      <c r="H19" s="3649">
        <v>148.09829999999999</v>
      </c>
      <c r="I19" s="3962">
        <f t="shared" ref="I19:I52" si="5">J19+L19+M19</f>
        <v>169.227328</v>
      </c>
      <c r="J19" s="3963">
        <v>90.691652000000005</v>
      </c>
      <c r="K19" s="3963"/>
      <c r="L19" s="3963">
        <v>-4.6681160000000004</v>
      </c>
      <c r="M19" s="3963">
        <v>83.203792000000007</v>
      </c>
      <c r="N19" s="3285">
        <f t="shared" ref="N19:N30" si="6">O19+P19+Q19+R19</f>
        <v>51.72096062</v>
      </c>
      <c r="O19" s="3649">
        <v>18.955767999999999</v>
      </c>
      <c r="P19" s="3649">
        <v>4.66238507</v>
      </c>
      <c r="Q19" s="3649">
        <f>0.288052+14.951147</f>
        <v>15.239199000000001</v>
      </c>
      <c r="R19" s="3957">
        <v>12.86360855</v>
      </c>
      <c r="S19" s="3283"/>
      <c r="T19" s="3266"/>
      <c r="U19" s="3283"/>
      <c r="V19" s="3283"/>
      <c r="W19" s="3283"/>
      <c r="X19" s="3283"/>
      <c r="Y19" s="3283"/>
      <c r="Z19" s="3288"/>
      <c r="AA19" s="3288"/>
      <c r="AB19" s="3288"/>
      <c r="AC19" s="3288"/>
      <c r="AD19" s="3288"/>
      <c r="AE19" s="3288"/>
      <c r="AF19" s="3292"/>
      <c r="AG19" s="3288"/>
      <c r="AH19" s="3288"/>
      <c r="AI19" s="3288"/>
      <c r="AJ19" s="3292"/>
      <c r="AK19" s="3320"/>
      <c r="AL19" s="3266"/>
      <c r="AM19" s="3266"/>
      <c r="AN19" s="3266"/>
      <c r="AO19" s="3266"/>
      <c r="AP19" s="3292"/>
      <c r="AQ19" s="3292"/>
      <c r="AR19" s="3292"/>
      <c r="AS19" s="3292"/>
      <c r="AT19" s="3292"/>
      <c r="AU19" s="3292"/>
      <c r="AV19" s="3292"/>
      <c r="AW19" s="3292"/>
      <c r="AX19" s="3319"/>
      <c r="AY19" s="3319"/>
      <c r="AZ19" s="3319"/>
      <c r="BA19" s="3292"/>
      <c r="BB19" s="3292"/>
      <c r="BC19" s="3292"/>
      <c r="BD19" s="3292"/>
      <c r="BE19" s="3266"/>
      <c r="BF19" s="3266"/>
      <c r="BG19" s="3266"/>
      <c r="BH19" s="3266"/>
      <c r="BI19" s="3266"/>
      <c r="BJ19" s="3266"/>
      <c r="BK19" s="3266"/>
      <c r="BL19" s="3266"/>
      <c r="BM19" s="3266"/>
      <c r="BN19" s="3266"/>
      <c r="BO19" s="3266"/>
      <c r="BP19" s="3266"/>
      <c r="BQ19" s="3266"/>
      <c r="BR19" s="3266"/>
      <c r="BS19" s="3266"/>
      <c r="BT19" s="3266"/>
      <c r="BU19" s="3266"/>
      <c r="BV19" s="3266"/>
      <c r="BW19" s="3266"/>
      <c r="BX19" s="3266"/>
      <c r="BY19" s="3266"/>
      <c r="BZ19" s="3266"/>
      <c r="CA19" s="3266"/>
      <c r="CB19" s="3266"/>
      <c r="CC19" s="3266"/>
      <c r="CD19" s="3266"/>
      <c r="CE19" s="3266"/>
      <c r="CF19" s="3266"/>
      <c r="CG19" s="3266"/>
      <c r="CH19" s="3266"/>
      <c r="CI19" s="3266"/>
      <c r="CJ19" s="3266"/>
      <c r="CK19" s="3266"/>
      <c r="CL19" s="3266"/>
      <c r="CM19" s="3266"/>
      <c r="CN19" s="3266"/>
      <c r="CO19" s="3266"/>
      <c r="CP19" s="3266"/>
      <c r="CQ19" s="3266"/>
      <c r="CR19" s="3266"/>
      <c r="CS19" s="3266"/>
      <c r="CT19" s="3266"/>
      <c r="CU19" s="3266"/>
      <c r="CV19" s="3266"/>
      <c r="CW19" s="3266"/>
      <c r="CX19" s="3266"/>
      <c r="CY19" s="3266"/>
      <c r="CZ19" s="3266"/>
      <c r="DA19" s="3266"/>
      <c r="DB19" s="3266"/>
      <c r="DC19" s="3266"/>
      <c r="DD19" s="3266"/>
      <c r="DE19" s="3266"/>
      <c r="DF19" s="3266"/>
      <c r="DG19" s="3266"/>
      <c r="DH19" s="3266"/>
      <c r="DI19" s="3266"/>
      <c r="DJ19" s="3266"/>
      <c r="DK19" s="3266"/>
      <c r="DL19" s="3266"/>
      <c r="DM19" s="3266"/>
      <c r="DN19" s="3266"/>
      <c r="DO19" s="3266"/>
      <c r="DP19" s="3266"/>
      <c r="DQ19" s="3266"/>
      <c r="DR19" s="3266"/>
      <c r="DS19" s="3266"/>
      <c r="DT19" s="3266"/>
      <c r="DU19" s="3266"/>
      <c r="DV19" s="3266"/>
      <c r="DW19" s="3266"/>
      <c r="DX19" s="3266"/>
      <c r="DY19" s="3266"/>
      <c r="DZ19" s="3266"/>
      <c r="EA19" s="3266"/>
      <c r="EB19" s="3266"/>
      <c r="EC19" s="3266"/>
      <c r="ED19" s="3266"/>
      <c r="EE19" s="3266"/>
      <c r="EF19" s="3266"/>
      <c r="EG19" s="3266"/>
      <c r="EH19" s="3266"/>
      <c r="EI19" s="3266"/>
      <c r="EJ19" s="3266"/>
      <c r="EK19" s="3266"/>
      <c r="EL19" s="3266"/>
      <c r="EM19" s="3266"/>
      <c r="EN19" s="3266"/>
      <c r="EO19" s="3266"/>
      <c r="EP19" s="3266"/>
      <c r="EQ19" s="3266"/>
      <c r="ER19" s="3266"/>
      <c r="ES19" s="3266"/>
    </row>
    <row r="20" spans="1:149" ht="15.75" hidden="1" customHeight="1">
      <c r="A20" s="3270"/>
      <c r="B20" s="3279" t="s">
        <v>162</v>
      </c>
      <c r="C20" s="3285">
        <f t="shared" si="3"/>
        <v>201.740308</v>
      </c>
      <c r="D20" s="3649">
        <v>12.694509999999999</v>
      </c>
      <c r="E20" s="3649">
        <v>58.186</v>
      </c>
      <c r="F20" s="3649"/>
      <c r="G20" s="3649">
        <v>12.675698000000001</v>
      </c>
      <c r="H20" s="3649">
        <v>118.1841</v>
      </c>
      <c r="I20" s="3962">
        <f t="shared" si="5"/>
        <v>120.08812399999999</v>
      </c>
      <c r="J20" s="3963">
        <v>78.238973999999999</v>
      </c>
      <c r="K20" s="3963"/>
      <c r="L20" s="3963">
        <v>-2.724335</v>
      </c>
      <c r="M20" s="3963">
        <v>44.573484999999998</v>
      </c>
      <c r="N20" s="3285">
        <f t="shared" si="6"/>
        <v>43.513236849999998</v>
      </c>
      <c r="O20" s="3649">
        <v>14.855262</v>
      </c>
      <c r="P20" s="3649">
        <v>3.91945385</v>
      </c>
      <c r="Q20" s="3649">
        <f>0.24421+12.620417</f>
        <v>12.864627</v>
      </c>
      <c r="R20" s="3957">
        <v>11.873894</v>
      </c>
      <c r="S20" s="3283"/>
      <c r="T20" s="3266"/>
      <c r="U20" s="3283"/>
      <c r="V20" s="3283"/>
      <c r="W20" s="3283"/>
      <c r="X20" s="3283"/>
      <c r="Y20" s="3283"/>
      <c r="Z20" s="3288"/>
      <c r="AA20" s="3288"/>
      <c r="AB20" s="3288"/>
      <c r="AC20" s="3288"/>
      <c r="AD20" s="3288"/>
      <c r="AE20" s="3288"/>
      <c r="AF20" s="3292"/>
      <c r="AG20" s="3288"/>
      <c r="AH20" s="3288"/>
      <c r="AI20" s="3288"/>
      <c r="AJ20" s="3292"/>
      <c r="AK20" s="3320"/>
      <c r="AL20" s="3266"/>
      <c r="AM20" s="3266"/>
      <c r="AN20" s="3266"/>
      <c r="AO20" s="3266"/>
      <c r="AP20" s="3292"/>
      <c r="AQ20" s="3292"/>
      <c r="AR20" s="3292"/>
      <c r="AS20" s="3292"/>
      <c r="AT20" s="3292"/>
      <c r="AU20" s="3292"/>
      <c r="AV20" s="3292"/>
      <c r="AW20" s="3292"/>
      <c r="AX20" s="3319"/>
      <c r="AY20" s="3319"/>
      <c r="AZ20" s="3319"/>
      <c r="BA20" s="3292"/>
      <c r="BB20" s="3292"/>
      <c r="BC20" s="3292"/>
      <c r="BD20" s="3292"/>
      <c r="BE20" s="3266"/>
      <c r="BF20" s="3266"/>
      <c r="BG20" s="3266"/>
      <c r="BH20" s="3266"/>
      <c r="BI20" s="3266"/>
      <c r="BJ20" s="3266"/>
      <c r="BK20" s="3266"/>
      <c r="BL20" s="3266"/>
      <c r="BM20" s="3266"/>
      <c r="BN20" s="3266"/>
      <c r="BO20" s="3266"/>
      <c r="BP20" s="3266"/>
      <c r="BQ20" s="3266"/>
      <c r="BR20" s="3266"/>
      <c r="BS20" s="3266"/>
      <c r="BT20" s="3266"/>
      <c r="BU20" s="3266"/>
      <c r="BV20" s="3266"/>
      <c r="BW20" s="3266"/>
      <c r="BX20" s="3266"/>
      <c r="BY20" s="3266"/>
      <c r="BZ20" s="3266"/>
      <c r="CA20" s="3266"/>
      <c r="CB20" s="3266"/>
      <c r="CC20" s="3266"/>
      <c r="CD20" s="3266"/>
      <c r="CE20" s="3266"/>
      <c r="CF20" s="3266"/>
      <c r="CG20" s="3266"/>
      <c r="CH20" s="3266"/>
      <c r="CI20" s="3266"/>
      <c r="CJ20" s="3266"/>
      <c r="CK20" s="3266"/>
      <c r="CL20" s="3266"/>
      <c r="CM20" s="3266"/>
      <c r="CN20" s="3266"/>
      <c r="CO20" s="3266"/>
      <c r="CP20" s="3266"/>
      <c r="CQ20" s="3266"/>
      <c r="CR20" s="3266"/>
      <c r="CS20" s="3266"/>
      <c r="CT20" s="3266"/>
      <c r="CU20" s="3266"/>
      <c r="CV20" s="3266"/>
      <c r="CW20" s="3266"/>
      <c r="CX20" s="3266"/>
      <c r="CY20" s="3266"/>
      <c r="CZ20" s="3266"/>
      <c r="DA20" s="3266"/>
      <c r="DB20" s="3266"/>
      <c r="DC20" s="3266"/>
      <c r="DD20" s="3266"/>
      <c r="DE20" s="3266"/>
      <c r="DF20" s="3266"/>
      <c r="DG20" s="3266"/>
      <c r="DH20" s="3266"/>
      <c r="DI20" s="3266"/>
      <c r="DJ20" s="3266"/>
      <c r="DK20" s="3266"/>
      <c r="DL20" s="3266"/>
      <c r="DM20" s="3266"/>
      <c r="DN20" s="3266"/>
      <c r="DO20" s="3266"/>
      <c r="DP20" s="3266"/>
      <c r="DQ20" s="3266"/>
      <c r="DR20" s="3266"/>
      <c r="DS20" s="3266"/>
      <c r="DT20" s="3266"/>
      <c r="DU20" s="3266"/>
      <c r="DV20" s="3266"/>
      <c r="DW20" s="3266"/>
      <c r="DX20" s="3266"/>
      <c r="DY20" s="3266"/>
      <c r="DZ20" s="3266"/>
      <c r="EA20" s="3266"/>
      <c r="EB20" s="3266"/>
      <c r="EC20" s="3266"/>
      <c r="ED20" s="3266"/>
      <c r="EE20" s="3266"/>
      <c r="EF20" s="3266"/>
      <c r="EG20" s="3266"/>
      <c r="EH20" s="3266"/>
      <c r="EI20" s="3266"/>
      <c r="EJ20" s="3266"/>
      <c r="EK20" s="3266"/>
      <c r="EL20" s="3266"/>
      <c r="EM20" s="3266"/>
      <c r="EN20" s="3266"/>
      <c r="EO20" s="3266"/>
      <c r="EP20" s="3266"/>
      <c r="EQ20" s="3266"/>
      <c r="ER20" s="3266"/>
      <c r="ES20" s="3266"/>
    </row>
    <row r="21" spans="1:149" ht="15.75" hidden="1" customHeight="1">
      <c r="A21" s="3270"/>
      <c r="B21" s="3279" t="s">
        <v>163</v>
      </c>
      <c r="C21" s="3285">
        <f t="shared" si="3"/>
        <v>206.815586</v>
      </c>
      <c r="D21" s="3649">
        <v>12.45478</v>
      </c>
      <c r="E21" s="3649">
        <v>59.234999999999999</v>
      </c>
      <c r="F21" s="3649"/>
      <c r="G21" s="3649">
        <v>15.453906</v>
      </c>
      <c r="H21" s="3649">
        <v>119.67189999999999</v>
      </c>
      <c r="I21" s="3962">
        <f t="shared" si="5"/>
        <v>116.302335</v>
      </c>
      <c r="J21" s="3963">
        <v>76.896398000000005</v>
      </c>
      <c r="K21" s="3963"/>
      <c r="L21" s="3963">
        <v>-2.833412</v>
      </c>
      <c r="M21" s="3963">
        <v>42.239348999999997</v>
      </c>
      <c r="N21" s="3285">
        <f t="shared" si="6"/>
        <v>46.576304880000002</v>
      </c>
      <c r="O21" s="3649">
        <v>14.524687</v>
      </c>
      <c r="P21" s="3649">
        <v>4.0944378800000001</v>
      </c>
      <c r="Q21" s="3649">
        <f>0.297735+15.413253</f>
        <v>15.710987999999999</v>
      </c>
      <c r="R21" s="3957">
        <v>12.246192000000001</v>
      </c>
      <c r="S21" s="3283"/>
      <c r="T21" s="3266"/>
      <c r="U21" s="3283"/>
      <c r="V21" s="3283"/>
      <c r="W21" s="3283"/>
      <c r="X21" s="3283"/>
      <c r="Y21" s="3283"/>
      <c r="Z21" s="3288"/>
      <c r="AA21" s="3288"/>
      <c r="AB21" s="3288"/>
      <c r="AC21" s="3288"/>
      <c r="AD21" s="3288"/>
      <c r="AE21" s="3288"/>
      <c r="AF21" s="3292"/>
      <c r="AG21" s="3288"/>
      <c r="AH21" s="3288"/>
      <c r="AI21" s="3288"/>
      <c r="AJ21" s="3292"/>
      <c r="AK21" s="3320"/>
      <c r="AL21" s="3266"/>
      <c r="AM21" s="3266"/>
      <c r="AN21" s="3266"/>
      <c r="AO21" s="3266"/>
      <c r="AP21" s="3292"/>
      <c r="AQ21" s="3292"/>
      <c r="AR21" s="3292"/>
      <c r="AS21" s="3292"/>
      <c r="AT21" s="3292"/>
      <c r="AU21" s="3292"/>
      <c r="AV21" s="3292"/>
      <c r="AW21" s="3292"/>
      <c r="AX21" s="3319"/>
      <c r="AY21" s="3319"/>
      <c r="AZ21" s="3319"/>
      <c r="BA21" s="3292"/>
      <c r="BB21" s="3292"/>
      <c r="BC21" s="3292"/>
      <c r="BD21" s="3292"/>
      <c r="BE21" s="3266"/>
      <c r="BF21" s="3266"/>
      <c r="BG21" s="3266"/>
      <c r="BH21" s="3266"/>
      <c r="BI21" s="3266"/>
      <c r="BJ21" s="3266"/>
      <c r="BK21" s="3266"/>
      <c r="BL21" s="3266"/>
      <c r="BM21" s="3266"/>
      <c r="BN21" s="3266"/>
      <c r="BO21" s="3266"/>
      <c r="BP21" s="3266"/>
      <c r="BQ21" s="3266"/>
      <c r="BR21" s="3266"/>
      <c r="BS21" s="3266"/>
      <c r="BT21" s="3266"/>
      <c r="BU21" s="3266"/>
      <c r="BV21" s="3266"/>
      <c r="BW21" s="3266"/>
      <c r="BX21" s="3266"/>
      <c r="BY21" s="3266"/>
      <c r="BZ21" s="3266"/>
      <c r="CA21" s="3266"/>
      <c r="CB21" s="3266"/>
      <c r="CC21" s="3266"/>
      <c r="CD21" s="3266"/>
      <c r="CE21" s="3266"/>
      <c r="CF21" s="3266"/>
      <c r="CG21" s="3266"/>
      <c r="CH21" s="3266"/>
      <c r="CI21" s="3266"/>
      <c r="CJ21" s="3266"/>
      <c r="CK21" s="3266"/>
      <c r="CL21" s="3266"/>
      <c r="CM21" s="3266"/>
      <c r="CN21" s="3266"/>
      <c r="CO21" s="3266"/>
      <c r="CP21" s="3266"/>
      <c r="CQ21" s="3266"/>
      <c r="CR21" s="3266"/>
      <c r="CS21" s="3266"/>
      <c r="CT21" s="3266"/>
      <c r="CU21" s="3266"/>
      <c r="CV21" s="3266"/>
      <c r="CW21" s="3266"/>
      <c r="CX21" s="3266"/>
      <c r="CY21" s="3266"/>
      <c r="CZ21" s="3266"/>
      <c r="DA21" s="3266"/>
      <c r="DB21" s="3266"/>
      <c r="DC21" s="3266"/>
      <c r="DD21" s="3266"/>
      <c r="DE21" s="3266"/>
      <c r="DF21" s="3266"/>
      <c r="DG21" s="3266"/>
      <c r="DH21" s="3266"/>
      <c r="DI21" s="3266"/>
      <c r="DJ21" s="3266"/>
      <c r="DK21" s="3266"/>
      <c r="DL21" s="3266"/>
      <c r="DM21" s="3266"/>
      <c r="DN21" s="3266"/>
      <c r="DO21" s="3266"/>
      <c r="DP21" s="3266"/>
      <c r="DQ21" s="3266"/>
      <c r="DR21" s="3266"/>
      <c r="DS21" s="3266"/>
      <c r="DT21" s="3266"/>
      <c r="DU21" s="3266"/>
      <c r="DV21" s="3266"/>
      <c r="DW21" s="3266"/>
      <c r="DX21" s="3266"/>
      <c r="DY21" s="3266"/>
      <c r="DZ21" s="3266"/>
      <c r="EA21" s="3266"/>
      <c r="EB21" s="3266"/>
      <c r="EC21" s="3266"/>
      <c r="ED21" s="3266"/>
      <c r="EE21" s="3266"/>
      <c r="EF21" s="3266"/>
      <c r="EG21" s="3266"/>
      <c r="EH21" s="3266"/>
      <c r="EI21" s="3266"/>
      <c r="EJ21" s="3266"/>
      <c r="EK21" s="3266"/>
      <c r="EL21" s="3266"/>
      <c r="EM21" s="3266"/>
      <c r="EN21" s="3266"/>
      <c r="EO21" s="3266"/>
      <c r="EP21" s="3266"/>
      <c r="EQ21" s="3266"/>
      <c r="ER21" s="3266"/>
      <c r="ES21" s="3266"/>
    </row>
    <row r="22" spans="1:149" ht="15.75" hidden="1" customHeight="1">
      <c r="A22" s="3270"/>
      <c r="B22" s="3279" t="s">
        <v>164</v>
      </c>
      <c r="C22" s="3285">
        <f t="shared" si="3"/>
        <v>238.87175400000001</v>
      </c>
      <c r="D22" s="3649">
        <v>11.68679</v>
      </c>
      <c r="E22" s="3649">
        <v>68.539000000000001</v>
      </c>
      <c r="F22" s="3649"/>
      <c r="G22" s="3649">
        <v>20.870363999999999</v>
      </c>
      <c r="H22" s="3649">
        <v>137.7756</v>
      </c>
      <c r="I22" s="3962">
        <f t="shared" si="5"/>
        <v>207.60503399999999</v>
      </c>
      <c r="J22" s="3963">
        <v>109.96585</v>
      </c>
      <c r="K22" s="3963"/>
      <c r="L22" s="3963">
        <v>8.348573</v>
      </c>
      <c r="M22" s="3963">
        <v>89.290610999999998</v>
      </c>
      <c r="N22" s="3285">
        <f t="shared" si="6"/>
        <v>43.647224530000003</v>
      </c>
      <c r="O22" s="3649">
        <v>13.617768</v>
      </c>
      <c r="P22" s="3649">
        <v>3.1184325300000002</v>
      </c>
      <c r="Q22" s="3649">
        <f>0.402088+15.344862</f>
        <v>15.746949999999998</v>
      </c>
      <c r="R22" s="3957">
        <v>11.164073999999999</v>
      </c>
      <c r="S22" s="3283"/>
      <c r="T22" s="3266"/>
      <c r="U22" s="3283"/>
      <c r="V22" s="3283"/>
      <c r="W22" s="3283"/>
      <c r="X22" s="3283"/>
      <c r="Y22" s="3283"/>
      <c r="Z22" s="3288"/>
      <c r="AA22" s="3288"/>
      <c r="AB22" s="3288"/>
      <c r="AC22" s="3288"/>
      <c r="AD22" s="3288"/>
      <c r="AE22" s="3288"/>
      <c r="AF22" s="3292"/>
      <c r="AG22" s="3288"/>
      <c r="AH22" s="3288"/>
      <c r="AI22" s="3288"/>
      <c r="AJ22" s="3292"/>
      <c r="AK22" s="3320"/>
      <c r="AL22" s="3266"/>
      <c r="AM22" s="3266"/>
      <c r="AN22" s="3266"/>
      <c r="AO22" s="3266"/>
      <c r="AP22" s="3292"/>
      <c r="AQ22" s="3292"/>
      <c r="AR22" s="3292"/>
      <c r="AS22" s="3292"/>
      <c r="AT22" s="3292"/>
      <c r="AU22" s="3292"/>
      <c r="AV22" s="3292"/>
      <c r="AW22" s="3292"/>
      <c r="AX22" s="3319"/>
      <c r="AY22" s="3319"/>
      <c r="AZ22" s="3319"/>
      <c r="BA22" s="3292"/>
      <c r="BB22" s="3292"/>
      <c r="BC22" s="3292"/>
      <c r="BD22" s="3292"/>
      <c r="BE22" s="3266"/>
      <c r="BF22" s="3266"/>
      <c r="BG22" s="3266"/>
      <c r="BH22" s="3266"/>
      <c r="BI22" s="3266"/>
      <c r="BJ22" s="3266"/>
      <c r="BK22" s="3266"/>
      <c r="BL22" s="3266"/>
      <c r="BM22" s="3266"/>
      <c r="BN22" s="3266"/>
      <c r="BO22" s="3266"/>
      <c r="BP22" s="3266"/>
      <c r="BQ22" s="3266"/>
      <c r="BR22" s="3266"/>
      <c r="BS22" s="3266"/>
      <c r="BT22" s="3266"/>
      <c r="BU22" s="3266"/>
      <c r="BV22" s="3266"/>
      <c r="BW22" s="3266"/>
      <c r="BX22" s="3266"/>
      <c r="BY22" s="3266"/>
      <c r="BZ22" s="3266"/>
      <c r="CA22" s="3266"/>
      <c r="CB22" s="3266"/>
      <c r="CC22" s="3266"/>
      <c r="CD22" s="3266"/>
      <c r="CE22" s="3266"/>
      <c r="CF22" s="3266"/>
      <c r="CG22" s="3266"/>
      <c r="CH22" s="3266"/>
      <c r="CI22" s="3266"/>
      <c r="CJ22" s="3266"/>
      <c r="CK22" s="3266"/>
      <c r="CL22" s="3266"/>
      <c r="CM22" s="3266"/>
      <c r="CN22" s="3266"/>
      <c r="CO22" s="3266"/>
      <c r="CP22" s="3266"/>
      <c r="CQ22" s="3266"/>
      <c r="CR22" s="3266"/>
      <c r="CS22" s="3266"/>
      <c r="CT22" s="3266"/>
      <c r="CU22" s="3266"/>
      <c r="CV22" s="3266"/>
      <c r="CW22" s="3266"/>
      <c r="CX22" s="3266"/>
      <c r="CY22" s="3266"/>
      <c r="CZ22" s="3266"/>
      <c r="DA22" s="3266"/>
      <c r="DB22" s="3266"/>
      <c r="DC22" s="3266"/>
      <c r="DD22" s="3266"/>
      <c r="DE22" s="3266"/>
      <c r="DF22" s="3266"/>
      <c r="DG22" s="3266"/>
      <c r="DH22" s="3266"/>
      <c r="DI22" s="3266"/>
      <c r="DJ22" s="3266"/>
      <c r="DK22" s="3266"/>
      <c r="DL22" s="3266"/>
      <c r="DM22" s="3266"/>
      <c r="DN22" s="3266"/>
      <c r="DO22" s="3266"/>
      <c r="DP22" s="3266"/>
      <c r="DQ22" s="3266"/>
      <c r="DR22" s="3266"/>
      <c r="DS22" s="3266"/>
      <c r="DT22" s="3266"/>
      <c r="DU22" s="3266"/>
      <c r="DV22" s="3266"/>
      <c r="DW22" s="3266"/>
      <c r="DX22" s="3266"/>
      <c r="DY22" s="3266"/>
      <c r="DZ22" s="3266"/>
      <c r="EA22" s="3266"/>
      <c r="EB22" s="3266"/>
      <c r="EC22" s="3266"/>
      <c r="ED22" s="3266"/>
      <c r="EE22" s="3266"/>
      <c r="EF22" s="3266"/>
      <c r="EG22" s="3266"/>
      <c r="EH22" s="3266"/>
      <c r="EI22" s="3266"/>
      <c r="EJ22" s="3266"/>
      <c r="EK22" s="3266"/>
      <c r="EL22" s="3266"/>
      <c r="EM22" s="3266"/>
      <c r="EN22" s="3266"/>
      <c r="EO22" s="3266"/>
      <c r="EP22" s="3266"/>
      <c r="EQ22" s="3266"/>
      <c r="ER22" s="3266"/>
      <c r="ES22" s="3266"/>
    </row>
    <row r="23" spans="1:149" ht="15.75" hidden="1" customHeight="1">
      <c r="A23" s="3270"/>
      <c r="B23" s="3279" t="s">
        <v>165</v>
      </c>
      <c r="C23" s="3285">
        <f t="shared" si="3"/>
        <v>428.44886699999995</v>
      </c>
      <c r="D23" s="3649">
        <v>13.76098</v>
      </c>
      <c r="E23" s="3649">
        <v>125.01300000000001</v>
      </c>
      <c r="F23" s="3649"/>
      <c r="G23" s="3649">
        <v>35.919286999999997</v>
      </c>
      <c r="H23" s="3649">
        <v>253.75559999999999</v>
      </c>
      <c r="I23" s="3962">
        <f t="shared" si="5"/>
        <v>556.95358099999999</v>
      </c>
      <c r="J23" s="3963">
        <v>223.81793999999999</v>
      </c>
      <c r="K23" s="3963"/>
      <c r="L23" s="3963">
        <v>32.041721000000003</v>
      </c>
      <c r="M23" s="3963">
        <v>301.09392000000003</v>
      </c>
      <c r="N23" s="3285">
        <f t="shared" si="6"/>
        <v>46.106194119999998</v>
      </c>
      <c r="O23" s="3649">
        <v>16.131730999999998</v>
      </c>
      <c r="P23" s="3649">
        <v>3.4112551199999999</v>
      </c>
      <c r="Q23" s="3649">
        <f>0.692021+14.787316</f>
        <v>15.479337000000001</v>
      </c>
      <c r="R23" s="3957">
        <v>11.083871</v>
      </c>
      <c r="S23" s="3283"/>
      <c r="T23" s="3266"/>
      <c r="U23" s="3283"/>
      <c r="V23" s="3283"/>
      <c r="W23" s="3283"/>
      <c r="X23" s="3283"/>
      <c r="Y23" s="3283"/>
      <c r="Z23" s="3288"/>
      <c r="AA23" s="3288"/>
      <c r="AB23" s="3288"/>
      <c r="AC23" s="3288"/>
      <c r="AD23" s="3288"/>
      <c r="AE23" s="3288"/>
      <c r="AF23" s="3292"/>
      <c r="AG23" s="3288"/>
      <c r="AH23" s="3288"/>
      <c r="AI23" s="3288"/>
      <c r="AJ23" s="3292"/>
      <c r="AK23" s="3320"/>
      <c r="AL23" s="3266"/>
      <c r="AM23" s="3266"/>
      <c r="AN23" s="3266"/>
      <c r="AO23" s="3266"/>
      <c r="AP23" s="3292"/>
      <c r="AQ23" s="3292"/>
      <c r="AR23" s="3292"/>
      <c r="AS23" s="3292"/>
      <c r="AT23" s="3292"/>
      <c r="AU23" s="3292"/>
      <c r="AV23" s="3292"/>
      <c r="AW23" s="3292"/>
      <c r="AX23" s="3319"/>
      <c r="AY23" s="3319"/>
      <c r="AZ23" s="3319"/>
      <c r="BA23" s="3292"/>
      <c r="BB23" s="3292"/>
      <c r="BC23" s="3292"/>
      <c r="BD23" s="3292"/>
      <c r="BE23" s="3266"/>
      <c r="BF23" s="3266"/>
      <c r="BG23" s="3266"/>
      <c r="BH23" s="3266"/>
      <c r="BI23" s="3266"/>
      <c r="BJ23" s="3266"/>
      <c r="BK23" s="3266"/>
      <c r="BL23" s="3266"/>
      <c r="BM23" s="3266"/>
      <c r="BN23" s="3266"/>
      <c r="BO23" s="3266"/>
      <c r="BP23" s="3266"/>
      <c r="BQ23" s="3266"/>
      <c r="BR23" s="3266"/>
      <c r="BS23" s="3266"/>
      <c r="BT23" s="3266"/>
      <c r="BU23" s="3266"/>
      <c r="BV23" s="3266"/>
      <c r="BW23" s="3266"/>
      <c r="BX23" s="3266"/>
      <c r="BY23" s="3266"/>
      <c r="BZ23" s="3266"/>
      <c r="CA23" s="3266"/>
      <c r="CB23" s="3266"/>
      <c r="CC23" s="3266"/>
      <c r="CD23" s="3266"/>
      <c r="CE23" s="3266"/>
      <c r="CF23" s="3266"/>
      <c r="CG23" s="3266"/>
      <c r="CH23" s="3266"/>
      <c r="CI23" s="3266"/>
      <c r="CJ23" s="3266"/>
      <c r="CK23" s="3266"/>
      <c r="CL23" s="3266"/>
      <c r="CM23" s="3266"/>
      <c r="CN23" s="3266"/>
      <c r="CO23" s="3266"/>
      <c r="CP23" s="3266"/>
      <c r="CQ23" s="3266"/>
      <c r="CR23" s="3266"/>
      <c r="CS23" s="3266"/>
      <c r="CT23" s="3266"/>
      <c r="CU23" s="3266"/>
      <c r="CV23" s="3266"/>
      <c r="CW23" s="3266"/>
      <c r="CX23" s="3266"/>
      <c r="CY23" s="3266"/>
      <c r="CZ23" s="3266"/>
      <c r="DA23" s="3266"/>
      <c r="DB23" s="3266"/>
      <c r="DC23" s="3266"/>
      <c r="DD23" s="3266"/>
      <c r="DE23" s="3266"/>
      <c r="DF23" s="3266"/>
      <c r="DG23" s="3266"/>
      <c r="DH23" s="3266"/>
      <c r="DI23" s="3266"/>
      <c r="DJ23" s="3266"/>
      <c r="DK23" s="3266"/>
      <c r="DL23" s="3266"/>
      <c r="DM23" s="3266"/>
      <c r="DN23" s="3266"/>
      <c r="DO23" s="3266"/>
      <c r="DP23" s="3266"/>
      <c r="DQ23" s="3266"/>
      <c r="DR23" s="3266"/>
      <c r="DS23" s="3266"/>
      <c r="DT23" s="3266"/>
      <c r="DU23" s="3266"/>
      <c r="DV23" s="3266"/>
      <c r="DW23" s="3266"/>
      <c r="DX23" s="3266"/>
      <c r="DY23" s="3266"/>
      <c r="DZ23" s="3266"/>
      <c r="EA23" s="3266"/>
      <c r="EB23" s="3266"/>
      <c r="EC23" s="3266"/>
      <c r="ED23" s="3266"/>
      <c r="EE23" s="3266"/>
      <c r="EF23" s="3266"/>
      <c r="EG23" s="3266"/>
      <c r="EH23" s="3266"/>
      <c r="EI23" s="3266"/>
      <c r="EJ23" s="3266"/>
      <c r="EK23" s="3266"/>
      <c r="EL23" s="3266"/>
      <c r="EM23" s="3266"/>
      <c r="EN23" s="3266"/>
      <c r="EO23" s="3266"/>
      <c r="EP23" s="3266"/>
      <c r="EQ23" s="3266"/>
      <c r="ER23" s="3266"/>
      <c r="ES23" s="3266"/>
    </row>
    <row r="24" spans="1:149" ht="15.75" hidden="1" customHeight="1">
      <c r="A24" s="3270"/>
      <c r="B24" s="3279" t="s">
        <v>166</v>
      </c>
      <c r="C24" s="3285">
        <f t="shared" si="3"/>
        <v>748.03844000000004</v>
      </c>
      <c r="D24" s="3649">
        <v>27.360939999999999</v>
      </c>
      <c r="E24" s="3649">
        <v>195.393</v>
      </c>
      <c r="F24" s="3649"/>
      <c r="G24" s="3649">
        <v>44.5974</v>
      </c>
      <c r="H24" s="3649">
        <v>480.68709999999999</v>
      </c>
      <c r="I24" s="3962">
        <f t="shared" si="5"/>
        <v>1162.781551</v>
      </c>
      <c r="J24" s="3963">
        <v>394.62358799999998</v>
      </c>
      <c r="K24" s="3963"/>
      <c r="L24" s="3963">
        <v>47.510776999999997</v>
      </c>
      <c r="M24" s="3963">
        <v>720.64718600000003</v>
      </c>
      <c r="N24" s="3285">
        <f t="shared" si="6"/>
        <v>60.520521770000002</v>
      </c>
      <c r="O24" s="3649">
        <v>32.372895999999997</v>
      </c>
      <c r="P24" s="3649">
        <v>3.3073547699999999</v>
      </c>
      <c r="Q24" s="3649">
        <f>0.859214+13.264412</f>
        <v>14.123626</v>
      </c>
      <c r="R24" s="3957">
        <v>10.716645</v>
      </c>
      <c r="S24" s="3283"/>
      <c r="T24" s="3266"/>
      <c r="U24" s="3283"/>
      <c r="V24" s="3283"/>
      <c r="W24" s="3283"/>
      <c r="X24" s="3283"/>
      <c r="Y24" s="3283"/>
      <c r="Z24" s="3288"/>
      <c r="AA24" s="3288"/>
      <c r="AB24" s="3288"/>
      <c r="AC24" s="3288"/>
      <c r="AD24" s="3288"/>
      <c r="AE24" s="3288"/>
      <c r="AF24" s="3292"/>
      <c r="AG24" s="3288"/>
      <c r="AH24" s="3288"/>
      <c r="AI24" s="3288"/>
      <c r="AJ24" s="3292"/>
      <c r="AK24" s="3320"/>
      <c r="AL24" s="3266"/>
      <c r="AM24" s="3266"/>
      <c r="AN24" s="3266"/>
      <c r="AO24" s="3266"/>
      <c r="AP24" s="3292"/>
      <c r="AQ24" s="3292"/>
      <c r="AR24" s="3292"/>
      <c r="AS24" s="3292"/>
      <c r="AT24" s="3292"/>
      <c r="AU24" s="3292"/>
      <c r="AV24" s="3292"/>
      <c r="AW24" s="3292"/>
      <c r="AX24" s="3319"/>
      <c r="AY24" s="3319"/>
      <c r="AZ24" s="3319"/>
      <c r="BA24" s="3292"/>
      <c r="BB24" s="3292"/>
      <c r="BC24" s="3292"/>
      <c r="BD24" s="3292"/>
      <c r="BE24" s="3266"/>
      <c r="BF24" s="3266"/>
      <c r="BG24" s="3266"/>
      <c r="BH24" s="3266"/>
      <c r="BI24" s="3266"/>
      <c r="BJ24" s="3266"/>
      <c r="BK24" s="3266"/>
      <c r="BL24" s="3266"/>
      <c r="BM24" s="3266"/>
      <c r="BN24" s="3266"/>
      <c r="BO24" s="3266"/>
      <c r="BP24" s="3266"/>
      <c r="BQ24" s="3266"/>
      <c r="BR24" s="3266"/>
      <c r="BS24" s="3266"/>
      <c r="BT24" s="3266"/>
      <c r="BU24" s="3266"/>
      <c r="BV24" s="3266"/>
      <c r="BW24" s="3266"/>
      <c r="BX24" s="3266"/>
      <c r="BY24" s="3266"/>
      <c r="BZ24" s="3266"/>
      <c r="CA24" s="3266"/>
      <c r="CB24" s="3266"/>
      <c r="CC24" s="3266"/>
      <c r="CD24" s="3266"/>
      <c r="CE24" s="3266"/>
      <c r="CF24" s="3266"/>
      <c r="CG24" s="3266"/>
      <c r="CH24" s="3266"/>
      <c r="CI24" s="3266"/>
      <c r="CJ24" s="3266"/>
      <c r="CK24" s="3266"/>
      <c r="CL24" s="3266"/>
      <c r="CM24" s="3266"/>
      <c r="CN24" s="3266"/>
      <c r="CO24" s="3266"/>
      <c r="CP24" s="3266"/>
      <c r="CQ24" s="3266"/>
      <c r="CR24" s="3266"/>
      <c r="CS24" s="3266"/>
      <c r="CT24" s="3266"/>
      <c r="CU24" s="3266"/>
      <c r="CV24" s="3266"/>
      <c r="CW24" s="3266"/>
      <c r="CX24" s="3266"/>
      <c r="CY24" s="3266"/>
      <c r="CZ24" s="3266"/>
      <c r="DA24" s="3266"/>
      <c r="DB24" s="3266"/>
      <c r="DC24" s="3266"/>
      <c r="DD24" s="3266"/>
      <c r="DE24" s="3266"/>
      <c r="DF24" s="3266"/>
      <c r="DG24" s="3266"/>
      <c r="DH24" s="3266"/>
      <c r="DI24" s="3266"/>
      <c r="DJ24" s="3266"/>
      <c r="DK24" s="3266"/>
      <c r="DL24" s="3266"/>
      <c r="DM24" s="3266"/>
      <c r="DN24" s="3266"/>
      <c r="DO24" s="3266"/>
      <c r="DP24" s="3266"/>
      <c r="DQ24" s="3266"/>
      <c r="DR24" s="3266"/>
      <c r="DS24" s="3266"/>
      <c r="DT24" s="3266"/>
      <c r="DU24" s="3266"/>
      <c r="DV24" s="3266"/>
      <c r="DW24" s="3266"/>
      <c r="DX24" s="3266"/>
      <c r="DY24" s="3266"/>
      <c r="DZ24" s="3266"/>
      <c r="EA24" s="3266"/>
      <c r="EB24" s="3266"/>
      <c r="EC24" s="3266"/>
      <c r="ED24" s="3266"/>
      <c r="EE24" s="3266"/>
      <c r="EF24" s="3266"/>
      <c r="EG24" s="3266"/>
      <c r="EH24" s="3266"/>
      <c r="EI24" s="3266"/>
      <c r="EJ24" s="3266"/>
      <c r="EK24" s="3266"/>
      <c r="EL24" s="3266"/>
      <c r="EM24" s="3266"/>
      <c r="EN24" s="3266"/>
      <c r="EO24" s="3266"/>
      <c r="EP24" s="3266"/>
      <c r="EQ24" s="3266"/>
      <c r="ER24" s="3266"/>
      <c r="ES24" s="3266"/>
    </row>
    <row r="25" spans="1:149" ht="15.75" hidden="1" customHeight="1">
      <c r="A25" s="3270"/>
      <c r="B25" s="3279" t="s">
        <v>167</v>
      </c>
      <c r="C25" s="3285">
        <f t="shared" si="3"/>
        <v>1180.742589</v>
      </c>
      <c r="D25" s="3649">
        <v>49.564360000000001</v>
      </c>
      <c r="E25" s="3649">
        <v>273.52199999999999</v>
      </c>
      <c r="F25" s="3649"/>
      <c r="G25" s="3649">
        <v>41.323829000000003</v>
      </c>
      <c r="H25" s="3649">
        <v>816.33240000000001</v>
      </c>
      <c r="I25" s="3962">
        <f t="shared" si="5"/>
        <v>1924.9478780000002</v>
      </c>
      <c r="J25" s="3963">
        <v>585.17118000000005</v>
      </c>
      <c r="K25" s="3963"/>
      <c r="L25" s="3963">
        <v>42.659654000000003</v>
      </c>
      <c r="M25" s="3963">
        <v>1297.1170440000001</v>
      </c>
      <c r="N25" s="3285">
        <f t="shared" si="6"/>
        <v>87.295004049999989</v>
      </c>
      <c r="O25" s="3649">
        <v>58.785190999999998</v>
      </c>
      <c r="P25" s="3649">
        <v>3.6642250500000002</v>
      </c>
      <c r="Q25" s="3649">
        <f>0.796145+12.968808</f>
        <v>13.764952999999998</v>
      </c>
      <c r="R25" s="3957">
        <v>11.080634999999999</v>
      </c>
      <c r="S25" s="3283"/>
      <c r="T25" s="3266"/>
      <c r="U25" s="3283"/>
      <c r="V25" s="3283"/>
      <c r="W25" s="3283"/>
      <c r="X25" s="3283"/>
      <c r="Y25" s="3283"/>
      <c r="Z25" s="3288"/>
      <c r="AA25" s="3288"/>
      <c r="AB25" s="3288"/>
      <c r="AC25" s="3288"/>
      <c r="AD25" s="3288"/>
      <c r="AE25" s="3288"/>
      <c r="AF25" s="3292"/>
      <c r="AG25" s="3288"/>
      <c r="AH25" s="3288"/>
      <c r="AI25" s="3288"/>
      <c r="AJ25" s="3292"/>
      <c r="AK25" s="3320"/>
      <c r="AL25" s="3266"/>
      <c r="AM25" s="3266"/>
      <c r="AN25" s="3266"/>
      <c r="AO25" s="3266"/>
      <c r="AP25" s="3292"/>
      <c r="AQ25" s="3292"/>
      <c r="AR25" s="3292"/>
      <c r="AS25" s="3292"/>
      <c r="AT25" s="3292"/>
      <c r="AU25" s="3292"/>
      <c r="AV25" s="3292"/>
      <c r="AW25" s="3292"/>
      <c r="AX25" s="3319"/>
      <c r="AY25" s="3319"/>
      <c r="AZ25" s="3319"/>
      <c r="BA25" s="3292"/>
      <c r="BB25" s="3292"/>
      <c r="BC25" s="3292"/>
      <c r="BD25" s="3292"/>
      <c r="BE25" s="3266"/>
      <c r="BF25" s="3266"/>
      <c r="BG25" s="3266"/>
      <c r="BH25" s="3266"/>
      <c r="BI25" s="3266"/>
      <c r="BJ25" s="3266"/>
      <c r="BK25" s="3266"/>
      <c r="BL25" s="3266"/>
      <c r="BM25" s="3266"/>
      <c r="BN25" s="3266"/>
      <c r="BO25" s="3266"/>
      <c r="BP25" s="3266"/>
      <c r="BQ25" s="3266"/>
      <c r="BR25" s="3266"/>
      <c r="BS25" s="3266"/>
      <c r="BT25" s="3266"/>
      <c r="BU25" s="3266"/>
      <c r="BV25" s="3266"/>
      <c r="BW25" s="3266"/>
      <c r="BX25" s="3266"/>
      <c r="BY25" s="3266"/>
      <c r="BZ25" s="3266"/>
      <c r="CA25" s="3266"/>
      <c r="CB25" s="3266"/>
      <c r="CC25" s="3266"/>
      <c r="CD25" s="3266"/>
      <c r="CE25" s="3266"/>
      <c r="CF25" s="3266"/>
      <c r="CG25" s="3266"/>
      <c r="CH25" s="3266"/>
      <c r="CI25" s="3266"/>
      <c r="CJ25" s="3266"/>
      <c r="CK25" s="3266"/>
      <c r="CL25" s="3266"/>
      <c r="CM25" s="3266"/>
      <c r="CN25" s="3266"/>
      <c r="CO25" s="3266"/>
      <c r="CP25" s="3266"/>
      <c r="CQ25" s="3266"/>
      <c r="CR25" s="3266"/>
      <c r="CS25" s="3266"/>
      <c r="CT25" s="3266"/>
      <c r="CU25" s="3266"/>
      <c r="CV25" s="3266"/>
      <c r="CW25" s="3266"/>
      <c r="CX25" s="3266"/>
      <c r="CY25" s="3266"/>
      <c r="CZ25" s="3266"/>
      <c r="DA25" s="3266"/>
      <c r="DB25" s="3266"/>
      <c r="DC25" s="3266"/>
      <c r="DD25" s="3266"/>
      <c r="DE25" s="3266"/>
      <c r="DF25" s="3266"/>
      <c r="DG25" s="3266"/>
      <c r="DH25" s="3266"/>
      <c r="DI25" s="3266"/>
      <c r="DJ25" s="3266"/>
      <c r="DK25" s="3266"/>
      <c r="DL25" s="3266"/>
      <c r="DM25" s="3266"/>
      <c r="DN25" s="3266"/>
      <c r="DO25" s="3266"/>
      <c r="DP25" s="3266"/>
      <c r="DQ25" s="3266"/>
      <c r="DR25" s="3266"/>
      <c r="DS25" s="3266"/>
      <c r="DT25" s="3266"/>
      <c r="DU25" s="3266"/>
      <c r="DV25" s="3266"/>
      <c r="DW25" s="3266"/>
      <c r="DX25" s="3266"/>
      <c r="DY25" s="3266"/>
      <c r="DZ25" s="3266"/>
      <c r="EA25" s="3266"/>
      <c r="EB25" s="3266"/>
      <c r="EC25" s="3266"/>
      <c r="ED25" s="3266"/>
      <c r="EE25" s="3266"/>
      <c r="EF25" s="3266"/>
      <c r="EG25" s="3266"/>
      <c r="EH25" s="3266"/>
      <c r="EI25" s="3266"/>
      <c r="EJ25" s="3266"/>
      <c r="EK25" s="3266"/>
      <c r="EL25" s="3266"/>
      <c r="EM25" s="3266"/>
      <c r="EN25" s="3266"/>
      <c r="EO25" s="3266"/>
      <c r="EP25" s="3266"/>
      <c r="EQ25" s="3266"/>
      <c r="ER25" s="3266"/>
      <c r="ES25" s="3266"/>
    </row>
    <row r="26" spans="1:149" s="3269" customFormat="1" ht="15.75" hidden="1" customHeight="1">
      <c r="A26" s="3270"/>
      <c r="B26" s="3279" t="s">
        <v>168</v>
      </c>
      <c r="C26" s="3285">
        <f t="shared" si="3"/>
        <v>1183.1956290000001</v>
      </c>
      <c r="D26" s="3649">
        <v>49.109430000000003</v>
      </c>
      <c r="E26" s="3649">
        <v>265.65199999999999</v>
      </c>
      <c r="F26" s="3649"/>
      <c r="G26" s="3649">
        <v>45.489198999999999</v>
      </c>
      <c r="H26" s="3649">
        <v>822.94500000000005</v>
      </c>
      <c r="I26" s="3962">
        <f t="shared" si="5"/>
        <v>1902.1015560000001</v>
      </c>
      <c r="J26" s="3963">
        <v>566.49129800000003</v>
      </c>
      <c r="K26" s="3963"/>
      <c r="L26" s="3963">
        <v>47.030349999999999</v>
      </c>
      <c r="M26" s="3963">
        <v>1288.5799079999999</v>
      </c>
      <c r="N26" s="3285">
        <f t="shared" si="6"/>
        <v>90.061594769999985</v>
      </c>
      <c r="O26" s="3649">
        <v>58.227789999999999</v>
      </c>
      <c r="P26" s="3649">
        <v>3.7924497700000002</v>
      </c>
      <c r="Q26" s="3649">
        <f>0.876395+14.450953</f>
        <v>15.327348000000001</v>
      </c>
      <c r="R26" s="3957">
        <v>12.714007000000001</v>
      </c>
      <c r="S26" s="3288"/>
      <c r="T26" s="3292"/>
      <c r="U26" s="3288"/>
      <c r="V26" s="3288"/>
      <c r="W26" s="3288"/>
      <c r="X26" s="3288"/>
      <c r="Y26" s="3288"/>
      <c r="Z26" s="3288"/>
      <c r="AA26" s="3288"/>
      <c r="AB26" s="3288"/>
      <c r="AC26" s="3288"/>
      <c r="AD26" s="3288"/>
      <c r="AE26" s="3288"/>
      <c r="AF26" s="3292"/>
      <c r="AG26" s="3288"/>
      <c r="AH26" s="3288"/>
      <c r="AI26" s="3288"/>
      <c r="AJ26" s="3292"/>
      <c r="AK26" s="3320"/>
      <c r="AL26" s="3292"/>
      <c r="AM26" s="3292"/>
      <c r="AN26" s="3292"/>
      <c r="AO26" s="3292"/>
      <c r="AP26" s="3292"/>
      <c r="AQ26" s="3292"/>
      <c r="AR26" s="3292"/>
      <c r="AS26" s="3292"/>
      <c r="AT26" s="3292"/>
      <c r="AU26" s="3292"/>
      <c r="AV26" s="3292"/>
      <c r="AW26" s="3292"/>
      <c r="AX26" s="3319"/>
      <c r="AY26" s="3319"/>
      <c r="AZ26" s="3319"/>
      <c r="BA26" s="3292"/>
      <c r="BB26" s="3292"/>
      <c r="BC26" s="3292"/>
      <c r="BD26" s="3292"/>
      <c r="BE26" s="3292"/>
      <c r="BF26" s="3292"/>
      <c r="BG26" s="3292"/>
      <c r="BH26" s="3292"/>
      <c r="BI26" s="3292"/>
      <c r="BJ26" s="3292"/>
      <c r="BK26" s="3292"/>
      <c r="BL26" s="3292"/>
      <c r="BM26" s="3292"/>
      <c r="BN26" s="3292"/>
      <c r="BO26" s="3292"/>
      <c r="BP26" s="3292"/>
      <c r="BQ26" s="3292"/>
      <c r="BR26" s="3292"/>
      <c r="BS26" s="3292"/>
      <c r="BT26" s="3292"/>
      <c r="BU26" s="3292"/>
      <c r="BV26" s="3292"/>
      <c r="BW26" s="3292"/>
      <c r="BX26" s="3292"/>
      <c r="BY26" s="3292"/>
      <c r="BZ26" s="3292"/>
      <c r="CA26" s="3292"/>
      <c r="CB26" s="3292"/>
      <c r="CC26" s="3292"/>
      <c r="CD26" s="3292"/>
      <c r="CE26" s="3292"/>
      <c r="CF26" s="3292"/>
      <c r="CG26" s="3292"/>
      <c r="CH26" s="3292"/>
      <c r="CI26" s="3292"/>
      <c r="CJ26" s="3292"/>
      <c r="CK26" s="3292"/>
      <c r="CL26" s="3292"/>
      <c r="CM26" s="3292"/>
      <c r="CN26" s="3292"/>
      <c r="CO26" s="3292"/>
      <c r="CP26" s="3292"/>
      <c r="CQ26" s="3292"/>
      <c r="CR26" s="3292"/>
      <c r="CS26" s="3292"/>
      <c r="CT26" s="3292"/>
      <c r="CU26" s="3292"/>
      <c r="CV26" s="3292"/>
      <c r="CW26" s="3292"/>
      <c r="CX26" s="3292"/>
      <c r="CY26" s="3292"/>
      <c r="CZ26" s="3292"/>
      <c r="DA26" s="3292"/>
      <c r="DB26" s="3292"/>
      <c r="DC26" s="3292"/>
      <c r="DD26" s="3292"/>
      <c r="DE26" s="3292"/>
      <c r="DF26" s="3292"/>
      <c r="DG26" s="3292"/>
      <c r="DH26" s="3292"/>
      <c r="DI26" s="3292"/>
      <c r="DJ26" s="3292"/>
      <c r="DK26" s="3292"/>
      <c r="DL26" s="3292"/>
      <c r="DM26" s="3292"/>
      <c r="DN26" s="3292"/>
      <c r="DO26" s="3292"/>
      <c r="DP26" s="3292"/>
      <c r="DQ26" s="3292"/>
      <c r="DR26" s="3292"/>
      <c r="DS26" s="3292"/>
      <c r="DT26" s="3292"/>
      <c r="DU26" s="3292"/>
      <c r="DV26" s="3292"/>
      <c r="DW26" s="3292"/>
      <c r="DX26" s="3292"/>
      <c r="DY26" s="3292"/>
      <c r="DZ26" s="3292"/>
      <c r="EA26" s="3292"/>
      <c r="EB26" s="3292"/>
      <c r="EC26" s="3292"/>
      <c r="ED26" s="3292"/>
      <c r="EE26" s="3292"/>
      <c r="EF26" s="3292"/>
      <c r="EG26" s="3292"/>
      <c r="EH26" s="3292"/>
      <c r="EI26" s="3292"/>
      <c r="EJ26" s="3292"/>
      <c r="EK26" s="3292"/>
      <c r="EL26" s="3292"/>
      <c r="EM26" s="3292"/>
      <c r="EN26" s="3292"/>
      <c r="EO26" s="3292"/>
      <c r="EP26" s="3292"/>
      <c r="EQ26" s="3292"/>
      <c r="ER26" s="3292"/>
      <c r="ES26" s="3292"/>
    </row>
    <row r="27" spans="1:149" ht="15.75" hidden="1" customHeight="1">
      <c r="A27" s="3270"/>
      <c r="B27" s="3279" t="s">
        <v>169</v>
      </c>
      <c r="C27" s="3285">
        <f t="shared" si="3"/>
        <v>1056.0130060000001</v>
      </c>
      <c r="D27" s="3649">
        <v>46.631740000000001</v>
      </c>
      <c r="E27" s="3649">
        <v>225.09200000000001</v>
      </c>
      <c r="F27" s="3649"/>
      <c r="G27" s="3649">
        <v>46.003666000000003</v>
      </c>
      <c r="H27" s="3649">
        <v>738.28560000000004</v>
      </c>
      <c r="I27" s="3962">
        <f t="shared" si="5"/>
        <v>1668.4279859999999</v>
      </c>
      <c r="J27" s="3963">
        <v>480.72297400000002</v>
      </c>
      <c r="K27" s="3963"/>
      <c r="L27" s="3963">
        <v>47.474423999999999</v>
      </c>
      <c r="M27" s="3963">
        <v>1140.2305879999999</v>
      </c>
      <c r="N27" s="3285">
        <f t="shared" si="6"/>
        <v>87.041713270000002</v>
      </c>
      <c r="O27" s="3649">
        <v>55.426673000000001</v>
      </c>
      <c r="P27" s="3649">
        <v>3.6837812699999999</v>
      </c>
      <c r="Q27" s="3649">
        <f>0.886307+14.682006</f>
        <v>15.568313</v>
      </c>
      <c r="R27" s="3957">
        <v>12.362946000000001</v>
      </c>
      <c r="S27" s="3283"/>
      <c r="T27" s="3266"/>
      <c r="U27" s="3283"/>
      <c r="V27" s="3283"/>
      <c r="W27" s="3283"/>
      <c r="X27" s="3283"/>
      <c r="Y27" s="3283"/>
      <c r="Z27" s="3288"/>
      <c r="AA27" s="3288"/>
      <c r="AB27" s="3288"/>
      <c r="AC27" s="3288"/>
      <c r="AD27" s="3288"/>
      <c r="AE27" s="3288"/>
      <c r="AF27" s="3292"/>
      <c r="AG27" s="3288"/>
      <c r="AH27" s="3288"/>
      <c r="AI27" s="3288"/>
      <c r="AJ27" s="3292"/>
      <c r="AK27" s="3292"/>
      <c r="AL27" s="3266"/>
      <c r="AM27" s="3266"/>
      <c r="AN27" s="3266"/>
      <c r="AO27" s="3266"/>
      <c r="AP27" s="3292"/>
      <c r="AQ27" s="3292"/>
      <c r="AR27" s="3292"/>
      <c r="AS27" s="3292"/>
      <c r="AT27" s="3292"/>
      <c r="AU27" s="3292"/>
      <c r="AV27" s="3292"/>
      <c r="AW27" s="3292"/>
      <c r="AX27" s="3319"/>
      <c r="AY27" s="3319"/>
      <c r="AZ27" s="3319"/>
      <c r="BA27" s="3292"/>
      <c r="BB27" s="3292"/>
      <c r="BC27" s="3292"/>
      <c r="BD27" s="3292"/>
      <c r="BE27" s="3266"/>
      <c r="BF27" s="3266"/>
      <c r="BG27" s="3266"/>
      <c r="BH27" s="3266"/>
      <c r="BI27" s="3266"/>
      <c r="BJ27" s="3266"/>
      <c r="BK27" s="3266"/>
      <c r="BL27" s="3266"/>
      <c r="BM27" s="3266"/>
      <c r="BN27" s="3266"/>
      <c r="BO27" s="3266"/>
      <c r="BP27" s="3266"/>
      <c r="BQ27" s="3266"/>
      <c r="BR27" s="3266"/>
      <c r="BS27" s="3266"/>
      <c r="BT27" s="3266"/>
      <c r="BU27" s="3266"/>
      <c r="BV27" s="3266"/>
      <c r="BW27" s="3266"/>
      <c r="BX27" s="3266"/>
      <c r="BY27" s="3266"/>
      <c r="BZ27" s="3266"/>
      <c r="CA27" s="3266"/>
      <c r="CB27" s="3266"/>
      <c r="CC27" s="3266"/>
      <c r="CD27" s="3266"/>
      <c r="CE27" s="3266"/>
      <c r="CF27" s="3266"/>
      <c r="CG27" s="3266"/>
      <c r="CH27" s="3266"/>
      <c r="CI27" s="3266"/>
      <c r="CJ27" s="3266"/>
      <c r="CK27" s="3266"/>
      <c r="CL27" s="3266"/>
      <c r="CM27" s="3266"/>
      <c r="CN27" s="3266"/>
      <c r="CO27" s="3266"/>
      <c r="CP27" s="3266"/>
      <c r="CQ27" s="3266"/>
      <c r="CR27" s="3266"/>
      <c r="CS27" s="3266"/>
      <c r="CT27" s="3266"/>
      <c r="CU27" s="3266"/>
      <c r="CV27" s="3266"/>
      <c r="CW27" s="3266"/>
      <c r="CX27" s="3266"/>
      <c r="CY27" s="3266"/>
      <c r="CZ27" s="3266"/>
      <c r="DA27" s="3266"/>
      <c r="DB27" s="3266"/>
      <c r="DC27" s="3266"/>
      <c r="DD27" s="3266"/>
      <c r="DE27" s="3266"/>
      <c r="DF27" s="3266"/>
      <c r="DG27" s="3266"/>
      <c r="DH27" s="3266"/>
      <c r="DI27" s="3266"/>
      <c r="DJ27" s="3266"/>
      <c r="DK27" s="3266"/>
      <c r="DL27" s="3266"/>
      <c r="DM27" s="3266"/>
      <c r="DN27" s="3266"/>
      <c r="DO27" s="3266"/>
      <c r="DP27" s="3266"/>
      <c r="DQ27" s="3266"/>
      <c r="DR27" s="3266"/>
      <c r="DS27" s="3266"/>
      <c r="DT27" s="3266"/>
      <c r="DU27" s="3266"/>
      <c r="DV27" s="3266"/>
      <c r="DW27" s="3266"/>
      <c r="DX27" s="3266"/>
      <c r="DY27" s="3266"/>
      <c r="DZ27" s="3266"/>
      <c r="EA27" s="3266"/>
      <c r="EB27" s="3266"/>
      <c r="EC27" s="3266"/>
      <c r="ED27" s="3266"/>
      <c r="EE27" s="3266"/>
      <c r="EF27" s="3266"/>
      <c r="EG27" s="3266"/>
      <c r="EH27" s="3266"/>
      <c r="EI27" s="3266"/>
      <c r="EJ27" s="3266"/>
      <c r="EK27" s="3266"/>
      <c r="EL27" s="3266"/>
      <c r="EM27" s="3266"/>
      <c r="EN27" s="3266"/>
      <c r="EO27" s="3266"/>
      <c r="EP27" s="3266"/>
      <c r="EQ27" s="3266"/>
      <c r="ER27" s="3266"/>
      <c r="ES27" s="3266"/>
    </row>
    <row r="28" spans="1:149" ht="15.75" hidden="1" customHeight="1">
      <c r="A28" s="3270"/>
      <c r="B28" s="3279" t="s">
        <v>170</v>
      </c>
      <c r="C28" s="3285">
        <f t="shared" si="3"/>
        <v>784.99034400000005</v>
      </c>
      <c r="D28" s="3649">
        <v>38.49127</v>
      </c>
      <c r="E28" s="3649">
        <v>213.273</v>
      </c>
      <c r="F28" s="3649"/>
      <c r="G28" s="3649">
        <v>39.739573999999998</v>
      </c>
      <c r="H28" s="3649">
        <v>493.48649999999998</v>
      </c>
      <c r="I28" s="3962">
        <f t="shared" si="5"/>
        <v>1160.1538930000002</v>
      </c>
      <c r="J28" s="3963">
        <v>435.68214999999998</v>
      </c>
      <c r="K28" s="3963"/>
      <c r="L28" s="3963">
        <v>37.434570999999998</v>
      </c>
      <c r="M28" s="3963">
        <v>687.03717200000006</v>
      </c>
      <c r="N28" s="3285">
        <f t="shared" si="6"/>
        <v>78.367912849999996</v>
      </c>
      <c r="O28" s="3649">
        <v>45.842784000000002</v>
      </c>
      <c r="P28" s="3649">
        <v>4.0688758500000004</v>
      </c>
      <c r="Q28" s="3649">
        <f>0.765623+15.024671</f>
        <v>15.790293999999999</v>
      </c>
      <c r="R28" s="3957">
        <v>12.665959000000001</v>
      </c>
      <c r="S28" s="3283"/>
      <c r="T28" s="3266"/>
      <c r="U28" s="3283"/>
      <c r="V28" s="3283"/>
      <c r="W28" s="3283"/>
      <c r="X28" s="3283"/>
      <c r="Y28" s="3283"/>
      <c r="Z28" s="3288"/>
      <c r="AA28" s="3288"/>
      <c r="AB28" s="3288"/>
      <c r="AC28" s="3288"/>
      <c r="AD28" s="3288"/>
      <c r="AE28" s="3288"/>
      <c r="AF28" s="3292"/>
      <c r="AG28" s="3288"/>
      <c r="AH28" s="3288"/>
      <c r="AI28" s="3288"/>
      <c r="AJ28" s="3292"/>
      <c r="AK28" s="3292"/>
      <c r="AL28" s="3266"/>
      <c r="AM28" s="3266"/>
      <c r="AN28" s="3266"/>
      <c r="AO28" s="3266"/>
      <c r="AP28" s="3292"/>
      <c r="AQ28" s="3292"/>
      <c r="AR28" s="3292"/>
      <c r="AS28" s="3292"/>
      <c r="AT28" s="3292"/>
      <c r="AU28" s="3292"/>
      <c r="AV28" s="3292"/>
      <c r="AW28" s="3292"/>
      <c r="AX28" s="3319"/>
      <c r="AY28" s="3319"/>
      <c r="AZ28" s="3319"/>
      <c r="BA28" s="3292"/>
      <c r="BB28" s="3292"/>
      <c r="BC28" s="3292"/>
      <c r="BD28" s="3292"/>
      <c r="BE28" s="3266"/>
      <c r="BF28" s="3266"/>
      <c r="BG28" s="3266"/>
      <c r="BH28" s="3266"/>
      <c r="BI28" s="3266"/>
      <c r="BJ28" s="3266"/>
      <c r="BK28" s="3266"/>
      <c r="BL28" s="3266"/>
      <c r="BM28" s="3266"/>
      <c r="BN28" s="3266"/>
      <c r="BO28" s="3266"/>
      <c r="BP28" s="3266"/>
      <c r="BQ28" s="3266"/>
      <c r="BR28" s="3266"/>
      <c r="BS28" s="3266"/>
      <c r="BT28" s="3266"/>
      <c r="BU28" s="3266"/>
      <c r="BV28" s="3266"/>
      <c r="BW28" s="3266"/>
      <c r="BX28" s="3266"/>
      <c r="BY28" s="3266"/>
      <c r="BZ28" s="3266"/>
      <c r="CA28" s="3266"/>
      <c r="CB28" s="3266"/>
      <c r="CC28" s="3266"/>
      <c r="CD28" s="3266"/>
      <c r="CE28" s="3266"/>
      <c r="CF28" s="3266"/>
      <c r="CG28" s="3266"/>
      <c r="CH28" s="3266"/>
      <c r="CI28" s="3266"/>
      <c r="CJ28" s="3266"/>
      <c r="CK28" s="3266"/>
      <c r="CL28" s="3266"/>
      <c r="CM28" s="3266"/>
      <c r="CN28" s="3266"/>
      <c r="CO28" s="3266"/>
      <c r="CP28" s="3266"/>
      <c r="CQ28" s="3266"/>
      <c r="CR28" s="3266"/>
      <c r="CS28" s="3266"/>
      <c r="CT28" s="3266"/>
      <c r="CU28" s="3266"/>
      <c r="CV28" s="3266"/>
      <c r="CW28" s="3266"/>
      <c r="CX28" s="3266"/>
      <c r="CY28" s="3266"/>
      <c r="CZ28" s="3266"/>
      <c r="DA28" s="3266"/>
      <c r="DB28" s="3266"/>
      <c r="DC28" s="3266"/>
      <c r="DD28" s="3266"/>
      <c r="DE28" s="3266"/>
      <c r="DF28" s="3266"/>
      <c r="DG28" s="3266"/>
      <c r="DH28" s="3266"/>
      <c r="DI28" s="3266"/>
      <c r="DJ28" s="3266"/>
      <c r="DK28" s="3266"/>
      <c r="DL28" s="3266"/>
      <c r="DM28" s="3266"/>
      <c r="DN28" s="3266"/>
      <c r="DO28" s="3266"/>
      <c r="DP28" s="3266"/>
      <c r="DQ28" s="3266"/>
      <c r="DR28" s="3266"/>
      <c r="DS28" s="3266"/>
      <c r="DT28" s="3266"/>
      <c r="DU28" s="3266"/>
      <c r="DV28" s="3266"/>
      <c r="DW28" s="3266"/>
      <c r="DX28" s="3266"/>
      <c r="DY28" s="3266"/>
      <c r="DZ28" s="3266"/>
      <c r="EA28" s="3266"/>
      <c r="EB28" s="3266"/>
      <c r="EC28" s="3266"/>
      <c r="ED28" s="3266"/>
      <c r="EE28" s="3266"/>
      <c r="EF28" s="3266"/>
      <c r="EG28" s="3266"/>
      <c r="EH28" s="3266"/>
      <c r="EI28" s="3266"/>
      <c r="EJ28" s="3266"/>
      <c r="EK28" s="3266"/>
      <c r="EL28" s="3266"/>
      <c r="EM28" s="3266"/>
      <c r="EN28" s="3266"/>
      <c r="EO28" s="3266"/>
      <c r="EP28" s="3266"/>
      <c r="EQ28" s="3266"/>
      <c r="ER28" s="3266"/>
      <c r="ES28" s="3266"/>
    </row>
    <row r="29" spans="1:149" ht="15.75" hidden="1" customHeight="1">
      <c r="A29" s="3270"/>
      <c r="B29" s="3279" t="s">
        <v>171</v>
      </c>
      <c r="C29" s="3285">
        <f t="shared" si="3"/>
        <v>448.20063600000003</v>
      </c>
      <c r="D29" s="3649">
        <v>25.69997</v>
      </c>
      <c r="E29" s="3649">
        <v>128.84299999999999</v>
      </c>
      <c r="F29" s="3649"/>
      <c r="G29" s="3649">
        <v>25.661566000000001</v>
      </c>
      <c r="H29" s="3649">
        <v>267.99610000000001</v>
      </c>
      <c r="I29" s="3962">
        <f t="shared" si="5"/>
        <v>536.78277400000002</v>
      </c>
      <c r="J29" s="3963">
        <v>231.97785200000001</v>
      </c>
      <c r="K29" s="3963"/>
      <c r="L29" s="3963">
        <v>15.501067000000001</v>
      </c>
      <c r="M29" s="3963">
        <v>289.303855</v>
      </c>
      <c r="N29" s="3285">
        <f t="shared" si="6"/>
        <v>64.672340000000005</v>
      </c>
      <c r="O29" s="3649">
        <v>30.721080000000001</v>
      </c>
      <c r="P29" s="3649">
        <v>4.718896</v>
      </c>
      <c r="Q29" s="3649">
        <f>0.494396+15.457758</f>
        <v>15.952154</v>
      </c>
      <c r="R29" s="3957">
        <v>13.28021</v>
      </c>
      <c r="S29" s="3283"/>
      <c r="T29" s="3266"/>
      <c r="U29" s="3283"/>
      <c r="V29" s="3283"/>
      <c r="W29" s="3283"/>
      <c r="X29" s="3283"/>
      <c r="Y29" s="3283"/>
      <c r="Z29" s="3288"/>
      <c r="AA29" s="3288"/>
      <c r="AB29" s="3288"/>
      <c r="AC29" s="3288"/>
      <c r="AD29" s="3288"/>
      <c r="AE29" s="3288"/>
      <c r="AF29" s="3292"/>
      <c r="AG29" s="3288"/>
      <c r="AH29" s="3288"/>
      <c r="AI29" s="3288"/>
      <c r="AJ29" s="3292"/>
      <c r="AK29" s="3292"/>
      <c r="AL29" s="3266"/>
      <c r="AM29" s="3266"/>
      <c r="AN29" s="3266"/>
      <c r="AO29" s="3266"/>
      <c r="AP29" s="3292"/>
      <c r="AQ29" s="3292"/>
      <c r="AR29" s="3292"/>
      <c r="AS29" s="3292"/>
      <c r="AT29" s="3292"/>
      <c r="AU29" s="3292"/>
      <c r="AV29" s="3292"/>
      <c r="AW29" s="3292"/>
      <c r="AX29" s="3319"/>
      <c r="AY29" s="3319"/>
      <c r="AZ29" s="3319"/>
      <c r="BA29" s="3292"/>
      <c r="BB29" s="3292"/>
      <c r="BC29" s="3292"/>
      <c r="BD29" s="3292"/>
      <c r="BE29" s="3266"/>
      <c r="BF29" s="3266"/>
      <c r="BG29" s="3266"/>
      <c r="BH29" s="3266"/>
      <c r="BI29" s="3266"/>
      <c r="BJ29" s="3266"/>
      <c r="BK29" s="3266"/>
      <c r="BL29" s="3266"/>
      <c r="BM29" s="3266"/>
      <c r="BN29" s="3266"/>
      <c r="BO29" s="3266"/>
      <c r="BP29" s="3266"/>
      <c r="BQ29" s="3266"/>
      <c r="BR29" s="3266"/>
      <c r="BS29" s="3266"/>
      <c r="BT29" s="3266"/>
      <c r="BU29" s="3266"/>
      <c r="BV29" s="3266"/>
      <c r="BW29" s="3266"/>
      <c r="BX29" s="3266"/>
      <c r="BY29" s="3266"/>
      <c r="BZ29" s="3266"/>
      <c r="CA29" s="3266"/>
      <c r="CB29" s="3266"/>
      <c r="CC29" s="3266"/>
      <c r="CD29" s="3266"/>
      <c r="CE29" s="3266"/>
      <c r="CF29" s="3266"/>
      <c r="CG29" s="3266"/>
      <c r="CH29" s="3266"/>
      <c r="CI29" s="3266"/>
      <c r="CJ29" s="3266"/>
      <c r="CK29" s="3266"/>
      <c r="CL29" s="3266"/>
      <c r="CM29" s="3266"/>
      <c r="CN29" s="3266"/>
      <c r="CO29" s="3266"/>
      <c r="CP29" s="3266"/>
      <c r="CQ29" s="3266"/>
      <c r="CR29" s="3266"/>
      <c r="CS29" s="3266"/>
      <c r="CT29" s="3266"/>
      <c r="CU29" s="3266"/>
      <c r="CV29" s="3266"/>
      <c r="CW29" s="3266"/>
      <c r="CX29" s="3266"/>
      <c r="CY29" s="3266"/>
      <c r="CZ29" s="3266"/>
      <c r="DA29" s="3266"/>
      <c r="DB29" s="3266"/>
      <c r="DC29" s="3266"/>
      <c r="DD29" s="3266"/>
      <c r="DE29" s="3266"/>
      <c r="DF29" s="3266"/>
      <c r="DG29" s="3266"/>
      <c r="DH29" s="3266"/>
      <c r="DI29" s="3266"/>
      <c r="DJ29" s="3266"/>
      <c r="DK29" s="3266"/>
      <c r="DL29" s="3266"/>
      <c r="DM29" s="3266"/>
      <c r="DN29" s="3266"/>
      <c r="DO29" s="3266"/>
      <c r="DP29" s="3266"/>
      <c r="DQ29" s="3266"/>
      <c r="DR29" s="3266"/>
      <c r="DS29" s="3266"/>
      <c r="DT29" s="3266"/>
      <c r="DU29" s="3266"/>
      <c r="DV29" s="3266"/>
      <c r="DW29" s="3266"/>
      <c r="DX29" s="3266"/>
      <c r="DY29" s="3266"/>
      <c r="DZ29" s="3266"/>
      <c r="EA29" s="3266"/>
      <c r="EB29" s="3266"/>
      <c r="EC29" s="3266"/>
      <c r="ED29" s="3266"/>
      <c r="EE29" s="3266"/>
      <c r="EF29" s="3266"/>
      <c r="EG29" s="3266"/>
      <c r="EH29" s="3266"/>
      <c r="EI29" s="3266"/>
      <c r="EJ29" s="3266"/>
      <c r="EK29" s="3266"/>
      <c r="EL29" s="3266"/>
      <c r="EM29" s="3266"/>
      <c r="EN29" s="3266"/>
      <c r="EO29" s="3266"/>
      <c r="EP29" s="3266"/>
      <c r="EQ29" s="3266"/>
      <c r="ER29" s="3266"/>
      <c r="ES29" s="3266"/>
    </row>
    <row r="30" spans="1:149" ht="15.75" hidden="1" customHeight="1">
      <c r="A30" s="3270"/>
      <c r="B30" s="3279" t="s">
        <v>148</v>
      </c>
      <c r="C30" s="3285">
        <f t="shared" si="3"/>
        <v>323.26597700000002</v>
      </c>
      <c r="D30" s="3649">
        <v>18.62998</v>
      </c>
      <c r="E30" s="3649">
        <v>94.736000000000004</v>
      </c>
      <c r="F30" s="3649"/>
      <c r="G30" s="3649">
        <v>19.126097000000001</v>
      </c>
      <c r="H30" s="3649">
        <v>190.7739</v>
      </c>
      <c r="I30" s="3962">
        <f t="shared" si="5"/>
        <v>299.64766299999997</v>
      </c>
      <c r="J30" s="3963">
        <v>144.934066</v>
      </c>
      <c r="K30" s="3963"/>
      <c r="L30" s="3963">
        <v>0.109344</v>
      </c>
      <c r="M30" s="3963">
        <v>154.604253</v>
      </c>
      <c r="N30" s="3285">
        <f t="shared" si="6"/>
        <v>60.252508800000001</v>
      </c>
      <c r="O30" s="3649">
        <v>22.632379</v>
      </c>
      <c r="P30" s="3649">
        <v>5.0493037999999997</v>
      </c>
      <c r="Q30" s="3649">
        <f>19.043864+0.368483</f>
        <v>19.412347</v>
      </c>
      <c r="R30" s="3957">
        <v>13.158479</v>
      </c>
      <c r="S30" s="3283"/>
      <c r="T30" s="3266"/>
      <c r="U30" s="3283"/>
      <c r="V30" s="3283"/>
      <c r="W30" s="3283"/>
      <c r="X30" s="3283"/>
      <c r="Y30" s="3283"/>
      <c r="Z30" s="3288"/>
      <c r="AA30" s="3288"/>
      <c r="AB30" s="3288"/>
      <c r="AC30" s="3288"/>
      <c r="AD30" s="3288"/>
      <c r="AE30" s="3288"/>
      <c r="AF30" s="3292"/>
      <c r="AG30" s="3288"/>
      <c r="AH30" s="3288"/>
      <c r="AI30" s="3288"/>
      <c r="AJ30" s="3292"/>
      <c r="AK30" s="3292"/>
      <c r="AL30" s="3266"/>
      <c r="AM30" s="3266"/>
      <c r="AN30" s="3266"/>
      <c r="AO30" s="3266"/>
      <c r="AP30" s="3292"/>
      <c r="AQ30" s="3292"/>
      <c r="AR30" s="3292"/>
      <c r="AS30" s="3292"/>
      <c r="AT30" s="3292"/>
      <c r="AU30" s="3292"/>
      <c r="AV30" s="3292"/>
      <c r="AW30" s="3292"/>
      <c r="AX30" s="3319"/>
      <c r="AY30" s="3319"/>
      <c r="AZ30" s="3319"/>
      <c r="BA30" s="3292"/>
      <c r="BB30" s="3292"/>
      <c r="BC30" s="3292"/>
      <c r="BD30" s="3292"/>
      <c r="BE30" s="3266"/>
      <c r="BF30" s="3266"/>
      <c r="BG30" s="3266"/>
      <c r="BH30" s="3266"/>
      <c r="BI30" s="3266"/>
      <c r="BJ30" s="3266"/>
      <c r="BK30" s="3266"/>
      <c r="BL30" s="3266"/>
      <c r="BM30" s="3266"/>
      <c r="BN30" s="3266"/>
      <c r="BO30" s="3266"/>
      <c r="BP30" s="3266"/>
      <c r="BQ30" s="3266"/>
      <c r="BR30" s="3266"/>
      <c r="BS30" s="3266"/>
      <c r="BT30" s="3266"/>
      <c r="BU30" s="3266"/>
      <c r="BV30" s="3266"/>
      <c r="BW30" s="3266"/>
      <c r="BX30" s="3266"/>
      <c r="BY30" s="3266"/>
      <c r="BZ30" s="3266"/>
      <c r="CA30" s="3266"/>
      <c r="CB30" s="3266"/>
      <c r="CC30" s="3266"/>
      <c r="CD30" s="3266"/>
      <c r="CE30" s="3266"/>
      <c r="CF30" s="3266"/>
      <c r="CG30" s="3266"/>
      <c r="CH30" s="3266"/>
      <c r="CI30" s="3266"/>
      <c r="CJ30" s="3266"/>
      <c r="CK30" s="3266"/>
      <c r="CL30" s="3266"/>
      <c r="CM30" s="3266"/>
      <c r="CN30" s="3266"/>
      <c r="CO30" s="3266"/>
      <c r="CP30" s="3266"/>
      <c r="CQ30" s="3266"/>
      <c r="CR30" s="3266"/>
      <c r="CS30" s="3266"/>
      <c r="CT30" s="3266"/>
      <c r="CU30" s="3266"/>
      <c r="CV30" s="3266"/>
      <c r="CW30" s="3266"/>
      <c r="CX30" s="3266"/>
      <c r="CY30" s="3266"/>
      <c r="CZ30" s="3266"/>
      <c r="DA30" s="3266"/>
      <c r="DB30" s="3266"/>
      <c r="DC30" s="3266"/>
      <c r="DD30" s="3266"/>
      <c r="DE30" s="3266"/>
      <c r="DF30" s="3266"/>
      <c r="DG30" s="3266"/>
      <c r="DH30" s="3266"/>
      <c r="DI30" s="3266"/>
      <c r="DJ30" s="3266"/>
      <c r="DK30" s="3266"/>
      <c r="DL30" s="3266"/>
      <c r="DM30" s="3266"/>
      <c r="DN30" s="3266"/>
      <c r="DO30" s="3266"/>
      <c r="DP30" s="3266"/>
      <c r="DQ30" s="3266"/>
      <c r="DR30" s="3266"/>
      <c r="DS30" s="3266"/>
      <c r="DT30" s="3266"/>
      <c r="DU30" s="3266"/>
      <c r="DV30" s="3266"/>
      <c r="DW30" s="3266"/>
      <c r="DX30" s="3266"/>
      <c r="DY30" s="3266"/>
      <c r="DZ30" s="3266"/>
      <c r="EA30" s="3266"/>
      <c r="EB30" s="3266"/>
      <c r="EC30" s="3266"/>
      <c r="ED30" s="3266"/>
      <c r="EE30" s="3266"/>
      <c r="EF30" s="3266"/>
      <c r="EG30" s="3266"/>
      <c r="EH30" s="3266"/>
      <c r="EI30" s="3266"/>
      <c r="EJ30" s="3266"/>
      <c r="EK30" s="3266"/>
      <c r="EL30" s="3266"/>
      <c r="EM30" s="3266"/>
      <c r="EN30" s="3266"/>
      <c r="EO30" s="3266"/>
      <c r="EP30" s="3266"/>
      <c r="EQ30" s="3266"/>
      <c r="ER30" s="3266"/>
      <c r="ES30" s="3266"/>
    </row>
    <row r="31" spans="1:149" ht="15.75">
      <c r="A31" s="3270"/>
      <c r="B31" s="3286">
        <v>2012</v>
      </c>
      <c r="C31" s="3285">
        <f>SUM(C32:C43)</f>
        <v>6810.7267180000008</v>
      </c>
      <c r="D31" s="3649">
        <f t="shared" ref="D31:Q31" si="7">SUM(D32:D43)</f>
        <v>299.78483</v>
      </c>
      <c r="E31" s="3649">
        <f t="shared" si="7"/>
        <v>1744.537</v>
      </c>
      <c r="F31" s="3649"/>
      <c r="G31" s="3649">
        <f t="shared" si="7"/>
        <v>360.92638799999997</v>
      </c>
      <c r="H31" s="3649">
        <f t="shared" si="7"/>
        <v>4405.4785000000002</v>
      </c>
      <c r="I31" s="3962">
        <f t="shared" si="7"/>
        <v>9714.5267729999996</v>
      </c>
      <c r="J31" s="3963">
        <f>SUM(J32:J43)</f>
        <v>3215.2756899999999</v>
      </c>
      <c r="K31" s="3963"/>
      <c r="L31" s="3963">
        <f t="shared" si="7"/>
        <v>274.30358500000006</v>
      </c>
      <c r="M31" s="3963">
        <f t="shared" si="7"/>
        <v>6224.9474980000014</v>
      </c>
      <c r="N31" s="3285">
        <f t="shared" si="7"/>
        <v>763.28174077999995</v>
      </c>
      <c r="O31" s="3649">
        <f>SUM(O32:O43)</f>
        <v>356.48576700000001</v>
      </c>
      <c r="P31" s="3649">
        <f t="shared" si="7"/>
        <v>54.269189779999991</v>
      </c>
      <c r="Q31" s="3649">
        <f t="shared" si="7"/>
        <v>196.65724800000004</v>
      </c>
      <c r="R31" s="3955">
        <f>SUM(R32:R43)</f>
        <v>155.86953599999995</v>
      </c>
      <c r="S31" s="3283"/>
      <c r="T31" s="3266"/>
      <c r="U31" s="3283"/>
      <c r="V31" s="3283"/>
      <c r="W31" s="3283"/>
      <c r="X31" s="3283"/>
      <c r="Y31" s="3283"/>
      <c r="Z31" s="3288"/>
      <c r="AA31" s="3288"/>
      <c r="AB31" s="3288"/>
      <c r="AC31" s="3288"/>
      <c r="AD31" s="3288"/>
      <c r="AE31" s="3288"/>
      <c r="AF31" s="3292"/>
      <c r="AG31" s="3288"/>
      <c r="AH31" s="3288"/>
      <c r="AI31" s="3288"/>
      <c r="AJ31" s="3292"/>
      <c r="AK31" s="3292"/>
      <c r="AL31" s="3266"/>
      <c r="AM31" s="3266"/>
      <c r="AN31" s="3266"/>
      <c r="AO31" s="3266"/>
      <c r="AP31" s="3292"/>
      <c r="AQ31" s="3292"/>
      <c r="AR31" s="3292"/>
      <c r="AS31" s="3292"/>
      <c r="AT31" s="3292"/>
      <c r="AU31" s="3292"/>
      <c r="AV31" s="3292"/>
      <c r="AW31" s="3292"/>
      <c r="AX31" s="3319"/>
      <c r="AY31" s="3319"/>
      <c r="AZ31" s="3319"/>
      <c r="BA31" s="3292"/>
      <c r="BB31" s="3292"/>
      <c r="BC31" s="3292"/>
      <c r="BD31" s="3292"/>
      <c r="BE31" s="3266"/>
      <c r="BF31" s="3266"/>
      <c r="BG31" s="3266"/>
      <c r="BH31" s="3266"/>
      <c r="BI31" s="3266"/>
      <c r="BJ31" s="3266"/>
      <c r="BK31" s="3266"/>
      <c r="BL31" s="3266"/>
      <c r="BM31" s="3266"/>
      <c r="BN31" s="3266"/>
      <c r="BO31" s="3266"/>
      <c r="BP31" s="3266"/>
      <c r="BQ31" s="3266"/>
      <c r="BR31" s="3266"/>
      <c r="BS31" s="3266"/>
      <c r="BT31" s="3266"/>
      <c r="BU31" s="3266"/>
      <c r="BV31" s="3266"/>
      <c r="BW31" s="3266"/>
      <c r="BX31" s="3266"/>
      <c r="BY31" s="3266"/>
      <c r="BZ31" s="3266"/>
      <c r="CA31" s="3266"/>
      <c r="CB31" s="3266"/>
      <c r="CC31" s="3266"/>
      <c r="CD31" s="3266"/>
      <c r="CE31" s="3266"/>
      <c r="CF31" s="3266"/>
      <c r="CG31" s="3266"/>
      <c r="CH31" s="3266"/>
      <c r="CI31" s="3266"/>
      <c r="CJ31" s="3266"/>
      <c r="CK31" s="3266"/>
      <c r="CL31" s="3266"/>
      <c r="CM31" s="3266"/>
      <c r="CN31" s="3266"/>
      <c r="CO31" s="3266"/>
      <c r="CP31" s="3266"/>
      <c r="CQ31" s="3266"/>
      <c r="CR31" s="3266"/>
      <c r="CS31" s="3266"/>
      <c r="CT31" s="3266"/>
      <c r="CU31" s="3266"/>
      <c r="CV31" s="3266"/>
      <c r="CW31" s="3266"/>
      <c r="CX31" s="3266"/>
      <c r="CY31" s="3266"/>
      <c r="CZ31" s="3266"/>
      <c r="DA31" s="3266"/>
      <c r="DB31" s="3266"/>
      <c r="DC31" s="3266"/>
      <c r="DD31" s="3266"/>
      <c r="DE31" s="3266"/>
      <c r="DF31" s="3266"/>
      <c r="DG31" s="3266"/>
      <c r="DH31" s="3266"/>
      <c r="DI31" s="3266"/>
      <c r="DJ31" s="3266"/>
      <c r="DK31" s="3266"/>
      <c r="DL31" s="3266"/>
      <c r="DM31" s="3266"/>
      <c r="DN31" s="3266"/>
      <c r="DO31" s="3266"/>
      <c r="DP31" s="3266"/>
      <c r="DQ31" s="3266"/>
      <c r="DR31" s="3266"/>
      <c r="DS31" s="3266"/>
      <c r="DT31" s="3266"/>
      <c r="DU31" s="3266"/>
      <c r="DV31" s="3266"/>
      <c r="DW31" s="3266"/>
      <c r="DX31" s="3266"/>
      <c r="DY31" s="3266"/>
      <c r="DZ31" s="3266"/>
      <c r="EA31" s="3266"/>
      <c r="EB31" s="3266"/>
      <c r="EC31" s="3266"/>
      <c r="ED31" s="3266"/>
      <c r="EE31" s="3266"/>
      <c r="EF31" s="3266"/>
      <c r="EG31" s="3266"/>
      <c r="EH31" s="3266"/>
      <c r="EI31" s="3266"/>
      <c r="EJ31" s="3266"/>
      <c r="EK31" s="3266"/>
      <c r="EL31" s="3266"/>
      <c r="EM31" s="3266"/>
      <c r="EN31" s="3266"/>
      <c r="EO31" s="3266"/>
      <c r="EP31" s="3266"/>
      <c r="EQ31" s="3266"/>
      <c r="ER31" s="3266"/>
      <c r="ES31" s="3266"/>
    </row>
    <row r="32" spans="1:149" ht="15.75" hidden="1" customHeight="1">
      <c r="A32" s="3270"/>
      <c r="B32" s="3279" t="s">
        <v>161</v>
      </c>
      <c r="C32" s="3285">
        <f t="shared" si="3"/>
        <v>251.98972400000002</v>
      </c>
      <c r="D32" s="3649">
        <v>14.851279999999999</v>
      </c>
      <c r="E32" s="3649">
        <v>73.421000000000006</v>
      </c>
      <c r="F32" s="3649"/>
      <c r="G32" s="3649">
        <v>14.775444</v>
      </c>
      <c r="H32" s="3649">
        <v>148.94200000000001</v>
      </c>
      <c r="I32" s="3962">
        <f t="shared" si="5"/>
        <v>168.85678000000001</v>
      </c>
      <c r="J32" s="3963">
        <v>91.950676000000001</v>
      </c>
      <c r="K32" s="3963"/>
      <c r="L32" s="3963">
        <v>-2.551895</v>
      </c>
      <c r="M32" s="3963">
        <v>79.457999000000001</v>
      </c>
      <c r="N32" s="3285">
        <f t="shared" ref="N32:N43" si="8">O32+P32+Q32+R32</f>
        <v>52.003118280000002</v>
      </c>
      <c r="O32" s="3649">
        <v>17.938686000000001</v>
      </c>
      <c r="P32" s="3649">
        <v>5.2934732799999997</v>
      </c>
      <c r="Q32" s="3649">
        <f>14.7455+0.284664</f>
        <v>15.030163999999999</v>
      </c>
      <c r="R32" s="3957">
        <v>13.740795</v>
      </c>
      <c r="S32" s="3283"/>
      <c r="T32" s="3266"/>
      <c r="U32" s="3283"/>
      <c r="V32" s="3283"/>
      <c r="W32" s="3283"/>
      <c r="X32" s="3283"/>
      <c r="Y32" s="3283"/>
      <c r="Z32" s="3288"/>
      <c r="AA32" s="3288"/>
      <c r="AB32" s="3288"/>
      <c r="AC32" s="3288"/>
      <c r="AD32" s="3288"/>
      <c r="AE32" s="3288"/>
      <c r="AF32" s="3292"/>
      <c r="AG32" s="3288"/>
      <c r="AH32" s="3288"/>
      <c r="AI32" s="3288"/>
      <c r="AJ32" s="3292"/>
      <c r="AK32" s="3292"/>
      <c r="AL32" s="3266"/>
      <c r="AM32" s="3266"/>
      <c r="AN32" s="3266"/>
      <c r="AO32" s="3266"/>
      <c r="AP32" s="3292"/>
      <c r="AQ32" s="3292"/>
      <c r="AR32" s="3292"/>
      <c r="AS32" s="3292"/>
      <c r="AT32" s="3292"/>
      <c r="AU32" s="3292"/>
      <c r="AV32" s="3292"/>
      <c r="AW32" s="3292"/>
      <c r="AX32" s="3319"/>
      <c r="AY32" s="3319"/>
      <c r="AZ32" s="3319"/>
      <c r="BA32" s="3292"/>
      <c r="BB32" s="3292"/>
      <c r="BC32" s="3292"/>
      <c r="BD32" s="3292"/>
      <c r="BE32" s="3266"/>
      <c r="BF32" s="3266"/>
      <c r="BG32" s="3266"/>
      <c r="BH32" s="3266"/>
      <c r="BI32" s="3266"/>
      <c r="BJ32" s="3266"/>
      <c r="BK32" s="3266"/>
      <c r="BL32" s="3266"/>
      <c r="BM32" s="3266"/>
      <c r="BN32" s="3266"/>
      <c r="BO32" s="3266"/>
      <c r="BP32" s="3266"/>
      <c r="BQ32" s="3266"/>
      <c r="BR32" s="3266"/>
      <c r="BS32" s="3266"/>
      <c r="BT32" s="3266"/>
      <c r="BU32" s="3266"/>
      <c r="BV32" s="3266"/>
      <c r="BW32" s="3266"/>
      <c r="BX32" s="3266"/>
      <c r="BY32" s="3266"/>
      <c r="BZ32" s="3266"/>
      <c r="CA32" s="3266"/>
      <c r="CB32" s="3266"/>
      <c r="CC32" s="3266"/>
      <c r="CD32" s="3266"/>
      <c r="CE32" s="3266"/>
      <c r="CF32" s="3266"/>
      <c r="CG32" s="3266"/>
      <c r="CH32" s="3266"/>
      <c r="CI32" s="3266"/>
      <c r="CJ32" s="3266"/>
      <c r="CK32" s="3266"/>
      <c r="CL32" s="3266"/>
      <c r="CM32" s="3266"/>
      <c r="CN32" s="3266"/>
      <c r="CO32" s="3266"/>
      <c r="CP32" s="3266"/>
      <c r="CQ32" s="3266"/>
      <c r="CR32" s="3266"/>
      <c r="CS32" s="3266"/>
      <c r="CT32" s="3266"/>
      <c r="CU32" s="3266"/>
      <c r="CV32" s="3266"/>
      <c r="CW32" s="3266"/>
      <c r="CX32" s="3266"/>
      <c r="CY32" s="3266"/>
      <c r="CZ32" s="3266"/>
      <c r="DA32" s="3266"/>
      <c r="DB32" s="3266"/>
      <c r="DC32" s="3266"/>
      <c r="DD32" s="3266"/>
      <c r="DE32" s="3266"/>
      <c r="DF32" s="3266"/>
      <c r="DG32" s="3266"/>
      <c r="DH32" s="3266"/>
      <c r="DI32" s="3266"/>
      <c r="DJ32" s="3266"/>
      <c r="DK32" s="3266"/>
      <c r="DL32" s="3266"/>
      <c r="DM32" s="3266"/>
      <c r="DN32" s="3266"/>
      <c r="DO32" s="3266"/>
      <c r="DP32" s="3266"/>
      <c r="DQ32" s="3266"/>
      <c r="DR32" s="3266"/>
      <c r="DS32" s="3266"/>
      <c r="DT32" s="3266"/>
      <c r="DU32" s="3266"/>
      <c r="DV32" s="3266"/>
      <c r="DW32" s="3266"/>
      <c r="DX32" s="3266"/>
      <c r="DY32" s="3266"/>
      <c r="DZ32" s="3266"/>
      <c r="EA32" s="3266"/>
      <c r="EB32" s="3266"/>
      <c r="EC32" s="3266"/>
      <c r="ED32" s="3266"/>
      <c r="EE32" s="3266"/>
      <c r="EF32" s="3266"/>
      <c r="EG32" s="3266"/>
      <c r="EH32" s="3266"/>
      <c r="EI32" s="3266"/>
      <c r="EJ32" s="3266"/>
      <c r="EK32" s="3266"/>
      <c r="EL32" s="3266"/>
      <c r="EM32" s="3266"/>
      <c r="EN32" s="3266"/>
      <c r="EO32" s="3266"/>
      <c r="EP32" s="3266"/>
      <c r="EQ32" s="3266"/>
      <c r="ER32" s="3266"/>
      <c r="ES32" s="3266"/>
    </row>
    <row r="33" spans="1:149" ht="15.75" hidden="1" customHeight="1">
      <c r="A33" s="3270"/>
      <c r="B33" s="3279" t="s">
        <v>162</v>
      </c>
      <c r="C33" s="3285">
        <f t="shared" si="3"/>
        <v>209.674847</v>
      </c>
      <c r="D33" s="3649">
        <v>12.202220000000001</v>
      </c>
      <c r="E33" s="3649">
        <v>61.252000000000002</v>
      </c>
      <c r="F33" s="3649"/>
      <c r="G33" s="3649">
        <v>13.461926999999999</v>
      </c>
      <c r="H33" s="3649">
        <v>122.7587</v>
      </c>
      <c r="I33" s="3962">
        <f t="shared" si="5"/>
        <v>112.57236399999999</v>
      </c>
      <c r="J33" s="3963">
        <v>73.276960000000003</v>
      </c>
      <c r="K33" s="3963"/>
      <c r="L33" s="3963">
        <v>-1.83744</v>
      </c>
      <c r="M33" s="3963">
        <v>41.132843999999999</v>
      </c>
      <c r="N33" s="3285">
        <f t="shared" si="8"/>
        <v>46.108620139999992</v>
      </c>
      <c r="O33" s="3649">
        <v>14.805531999999999</v>
      </c>
      <c r="P33" s="3649">
        <v>4.6506081400000001</v>
      </c>
      <c r="Q33" s="3649">
        <f>13.461912+0.259357</f>
        <v>13.721268999999999</v>
      </c>
      <c r="R33" s="3957">
        <v>12.931210999999999</v>
      </c>
      <c r="S33" s="3283"/>
      <c r="T33" s="3266"/>
      <c r="U33" s="3283"/>
      <c r="V33" s="3283"/>
      <c r="W33" s="3283"/>
      <c r="X33" s="3283"/>
      <c r="Y33" s="3283"/>
      <c r="Z33" s="3288"/>
      <c r="AA33" s="3288"/>
      <c r="AB33" s="3288"/>
      <c r="AC33" s="3288"/>
      <c r="AD33" s="3288"/>
      <c r="AE33" s="3288"/>
      <c r="AF33" s="3292"/>
      <c r="AG33" s="3288"/>
      <c r="AH33" s="3288"/>
      <c r="AI33" s="3288"/>
      <c r="AJ33" s="3292"/>
      <c r="AK33" s="3292"/>
      <c r="AL33" s="3266"/>
      <c r="AM33" s="3266"/>
      <c r="AN33" s="3266"/>
      <c r="AO33" s="3266"/>
      <c r="AP33" s="3292"/>
      <c r="AQ33" s="3292"/>
      <c r="AR33" s="3292"/>
      <c r="AS33" s="3292"/>
      <c r="AT33" s="3292"/>
      <c r="AU33" s="3292"/>
      <c r="AV33" s="3292"/>
      <c r="AW33" s="3292"/>
      <c r="AX33" s="3319"/>
      <c r="AY33" s="3319"/>
      <c r="AZ33" s="3319"/>
      <c r="BA33" s="3292"/>
      <c r="BB33" s="3292"/>
      <c r="BC33" s="3292"/>
      <c r="BD33" s="3292"/>
      <c r="BE33" s="3266"/>
      <c r="BF33" s="3266"/>
      <c r="BG33" s="3266"/>
      <c r="BH33" s="3266"/>
      <c r="BI33" s="3266"/>
      <c r="BJ33" s="3266"/>
      <c r="BK33" s="3266"/>
      <c r="BL33" s="3266"/>
      <c r="BM33" s="3266"/>
      <c r="BN33" s="3266"/>
      <c r="BO33" s="3266"/>
      <c r="BP33" s="3266"/>
      <c r="BQ33" s="3266"/>
      <c r="BR33" s="3266"/>
      <c r="BS33" s="3266"/>
      <c r="BT33" s="3266"/>
      <c r="BU33" s="3266"/>
      <c r="BV33" s="3266"/>
      <c r="BW33" s="3266"/>
      <c r="BX33" s="3266"/>
      <c r="BY33" s="3266"/>
      <c r="BZ33" s="3266"/>
      <c r="CA33" s="3266"/>
      <c r="CB33" s="3266"/>
      <c r="CC33" s="3266"/>
      <c r="CD33" s="3266"/>
      <c r="CE33" s="3266"/>
      <c r="CF33" s="3266"/>
      <c r="CG33" s="3266"/>
      <c r="CH33" s="3266"/>
      <c r="CI33" s="3266"/>
      <c r="CJ33" s="3266"/>
      <c r="CK33" s="3266"/>
      <c r="CL33" s="3266"/>
      <c r="CM33" s="3266"/>
      <c r="CN33" s="3266"/>
      <c r="CO33" s="3266"/>
      <c r="CP33" s="3266"/>
      <c r="CQ33" s="3266"/>
      <c r="CR33" s="3266"/>
      <c r="CS33" s="3266"/>
      <c r="CT33" s="3266"/>
      <c r="CU33" s="3266"/>
      <c r="CV33" s="3266"/>
      <c r="CW33" s="3266"/>
      <c r="CX33" s="3266"/>
      <c r="CY33" s="3266"/>
      <c r="CZ33" s="3266"/>
      <c r="DA33" s="3266"/>
      <c r="DB33" s="3266"/>
      <c r="DC33" s="3266"/>
      <c r="DD33" s="3266"/>
      <c r="DE33" s="3266"/>
      <c r="DF33" s="3266"/>
      <c r="DG33" s="3266"/>
      <c r="DH33" s="3266"/>
      <c r="DI33" s="3266"/>
      <c r="DJ33" s="3266"/>
      <c r="DK33" s="3266"/>
      <c r="DL33" s="3266"/>
      <c r="DM33" s="3266"/>
      <c r="DN33" s="3266"/>
      <c r="DO33" s="3266"/>
      <c r="DP33" s="3266"/>
      <c r="DQ33" s="3266"/>
      <c r="DR33" s="3266"/>
      <c r="DS33" s="3266"/>
      <c r="DT33" s="3266"/>
      <c r="DU33" s="3266"/>
      <c r="DV33" s="3266"/>
      <c r="DW33" s="3266"/>
      <c r="DX33" s="3266"/>
      <c r="DY33" s="3266"/>
      <c r="DZ33" s="3266"/>
      <c r="EA33" s="3266"/>
      <c r="EB33" s="3266"/>
      <c r="EC33" s="3266"/>
      <c r="ED33" s="3266"/>
      <c r="EE33" s="3266"/>
      <c r="EF33" s="3266"/>
      <c r="EG33" s="3266"/>
      <c r="EH33" s="3266"/>
      <c r="EI33" s="3266"/>
      <c r="EJ33" s="3266"/>
      <c r="EK33" s="3266"/>
      <c r="EL33" s="3266"/>
      <c r="EM33" s="3266"/>
      <c r="EN33" s="3266"/>
      <c r="EO33" s="3266"/>
      <c r="EP33" s="3266"/>
      <c r="EQ33" s="3266"/>
      <c r="ER33" s="3266"/>
      <c r="ES33" s="3266"/>
    </row>
    <row r="34" spans="1:149" ht="15.75" hidden="1" customHeight="1">
      <c r="A34" s="3270"/>
      <c r="B34" s="3279" t="s">
        <v>163</v>
      </c>
      <c r="C34" s="3285">
        <f>D34+E34+G34+H34</f>
        <v>239.96025399999999</v>
      </c>
      <c r="D34" s="3649">
        <v>12.33</v>
      </c>
      <c r="E34" s="3649">
        <v>70.287000000000006</v>
      </c>
      <c r="F34" s="3649"/>
      <c r="G34" s="3649">
        <v>18.275054000000001</v>
      </c>
      <c r="H34" s="3649">
        <v>139.06819999999999</v>
      </c>
      <c r="I34" s="3962">
        <f t="shared" si="5"/>
        <v>151.729017</v>
      </c>
      <c r="J34" s="3963">
        <v>89.823480000000004</v>
      </c>
      <c r="K34" s="3963"/>
      <c r="L34" s="3963">
        <v>-0.26928000000000002</v>
      </c>
      <c r="M34" s="3963">
        <v>62.174816999999997</v>
      </c>
      <c r="N34" s="3285">
        <f t="shared" si="8"/>
        <v>52.13032243</v>
      </c>
      <c r="O34" s="3649">
        <v>14.997636999999999</v>
      </c>
      <c r="P34" s="3649">
        <v>4.7950124299999999</v>
      </c>
      <c r="Q34" s="3649">
        <f>0.352087+18.28052</f>
        <v>18.632607</v>
      </c>
      <c r="R34" s="3957">
        <v>13.705066</v>
      </c>
      <c r="S34" s="3283"/>
      <c r="T34" s="3266"/>
      <c r="U34" s="3283"/>
      <c r="V34" s="3283"/>
      <c r="W34" s="3283"/>
      <c r="X34" s="3283"/>
      <c r="Y34" s="3283"/>
      <c r="Z34" s="3288"/>
      <c r="AA34" s="3288"/>
      <c r="AB34" s="3288"/>
      <c r="AC34" s="3288"/>
      <c r="AD34" s="3288"/>
      <c r="AE34" s="3288"/>
      <c r="AF34" s="3292"/>
      <c r="AG34" s="3288"/>
      <c r="AH34" s="3288"/>
      <c r="AI34" s="3288"/>
      <c r="AJ34" s="3292"/>
      <c r="AK34" s="3292"/>
      <c r="AL34" s="3266"/>
      <c r="AM34" s="3266"/>
      <c r="AN34" s="3266"/>
      <c r="AO34" s="3266"/>
      <c r="AP34" s="3292"/>
      <c r="AQ34" s="3292"/>
      <c r="AR34" s="3292"/>
      <c r="AS34" s="3292"/>
      <c r="AT34" s="3292"/>
      <c r="AU34" s="3292"/>
      <c r="AV34" s="3292"/>
      <c r="AW34" s="3292"/>
      <c r="AX34" s="3319"/>
      <c r="AY34" s="3319"/>
      <c r="AZ34" s="3319"/>
      <c r="BA34" s="3292"/>
      <c r="BB34" s="3292"/>
      <c r="BC34" s="3292"/>
      <c r="BD34" s="3292"/>
      <c r="BE34" s="3266"/>
      <c r="BF34" s="3266"/>
      <c r="BG34" s="3266"/>
      <c r="BH34" s="3266"/>
      <c r="BI34" s="3266"/>
      <c r="BJ34" s="3266"/>
      <c r="BK34" s="3266"/>
      <c r="BL34" s="3266"/>
      <c r="BM34" s="3266"/>
      <c r="BN34" s="3266"/>
      <c r="BO34" s="3266"/>
      <c r="BP34" s="3266"/>
      <c r="BQ34" s="3266"/>
      <c r="BR34" s="3266"/>
      <c r="BS34" s="3266"/>
      <c r="BT34" s="3266"/>
      <c r="BU34" s="3266"/>
      <c r="BV34" s="3266"/>
      <c r="BW34" s="3266"/>
      <c r="BX34" s="3266"/>
      <c r="BY34" s="3266"/>
      <c r="BZ34" s="3266"/>
      <c r="CA34" s="3266"/>
      <c r="CB34" s="3266"/>
      <c r="CC34" s="3266"/>
      <c r="CD34" s="3266"/>
      <c r="CE34" s="3266"/>
      <c r="CF34" s="3266"/>
      <c r="CG34" s="3266"/>
      <c r="CH34" s="3266"/>
      <c r="CI34" s="3266"/>
      <c r="CJ34" s="3266"/>
      <c r="CK34" s="3266"/>
      <c r="CL34" s="3266"/>
      <c r="CM34" s="3266"/>
      <c r="CN34" s="3266"/>
      <c r="CO34" s="3266"/>
      <c r="CP34" s="3266"/>
      <c r="CQ34" s="3266"/>
      <c r="CR34" s="3266"/>
      <c r="CS34" s="3266"/>
      <c r="CT34" s="3266"/>
      <c r="CU34" s="3266"/>
      <c r="CV34" s="3266"/>
      <c r="CW34" s="3266"/>
      <c r="CX34" s="3266"/>
      <c r="CY34" s="3266"/>
      <c r="CZ34" s="3266"/>
      <c r="DA34" s="3266"/>
      <c r="DB34" s="3266"/>
      <c r="DC34" s="3266"/>
      <c r="DD34" s="3266"/>
      <c r="DE34" s="3266"/>
      <c r="DF34" s="3266"/>
      <c r="DG34" s="3266"/>
      <c r="DH34" s="3266"/>
      <c r="DI34" s="3266"/>
      <c r="DJ34" s="3266"/>
      <c r="DK34" s="3266"/>
      <c r="DL34" s="3266"/>
      <c r="DM34" s="3266"/>
      <c r="DN34" s="3266"/>
      <c r="DO34" s="3266"/>
      <c r="DP34" s="3266"/>
      <c r="DQ34" s="3266"/>
      <c r="DR34" s="3266"/>
      <c r="DS34" s="3266"/>
      <c r="DT34" s="3266"/>
      <c r="DU34" s="3266"/>
      <c r="DV34" s="3266"/>
      <c r="DW34" s="3266"/>
      <c r="DX34" s="3266"/>
      <c r="DY34" s="3266"/>
      <c r="DZ34" s="3266"/>
      <c r="EA34" s="3266"/>
      <c r="EB34" s="3266"/>
      <c r="EC34" s="3266"/>
      <c r="ED34" s="3266"/>
      <c r="EE34" s="3266"/>
      <c r="EF34" s="3266"/>
      <c r="EG34" s="3266"/>
      <c r="EH34" s="3266"/>
      <c r="EI34" s="3266"/>
      <c r="EJ34" s="3266"/>
      <c r="EK34" s="3266"/>
      <c r="EL34" s="3266"/>
      <c r="EM34" s="3266"/>
      <c r="EN34" s="3266"/>
      <c r="EO34" s="3266"/>
      <c r="EP34" s="3266"/>
      <c r="EQ34" s="3266"/>
      <c r="ER34" s="3266"/>
      <c r="ES34" s="3266"/>
    </row>
    <row r="35" spans="1:149" ht="15.75" hidden="1" customHeight="1">
      <c r="A35" s="3270"/>
      <c r="B35" s="3279" t="s">
        <v>164</v>
      </c>
      <c r="C35" s="3285">
        <f t="shared" si="3"/>
        <v>360.89268099999998</v>
      </c>
      <c r="D35" s="3649">
        <v>13.179259999999999</v>
      </c>
      <c r="E35" s="3649">
        <v>105.364</v>
      </c>
      <c r="F35" s="3649"/>
      <c r="G35" s="3649">
        <v>25.541421</v>
      </c>
      <c r="H35" s="3649">
        <v>216.80799999999999</v>
      </c>
      <c r="I35" s="3962">
        <f t="shared" si="5"/>
        <v>425.89112399999999</v>
      </c>
      <c r="J35" s="3963">
        <v>173.57440399999999</v>
      </c>
      <c r="K35" s="3963"/>
      <c r="L35" s="3963">
        <v>15.461819999999999</v>
      </c>
      <c r="M35" s="3963">
        <v>236.85489999999999</v>
      </c>
      <c r="N35" s="3285">
        <f t="shared" si="8"/>
        <v>48.452022230000004</v>
      </c>
      <c r="O35" s="3649">
        <v>15.739525</v>
      </c>
      <c r="P35" s="3649">
        <v>4.1317362299999996</v>
      </c>
      <c r="Q35" s="3649">
        <v>16.713514</v>
      </c>
      <c r="R35" s="3957">
        <v>11.867247000000001</v>
      </c>
      <c r="S35" s="3283"/>
      <c r="T35" s="3266"/>
      <c r="U35" s="3283"/>
      <c r="V35" s="3283"/>
      <c r="W35" s="3283"/>
      <c r="X35" s="3283"/>
      <c r="Y35" s="3283"/>
      <c r="Z35" s="3288"/>
      <c r="AA35" s="3288"/>
      <c r="AB35" s="3288"/>
      <c r="AC35" s="3288"/>
      <c r="AD35" s="3288"/>
      <c r="AE35" s="3288"/>
      <c r="AF35" s="3292"/>
      <c r="AG35" s="3288"/>
      <c r="AH35" s="3288"/>
      <c r="AI35" s="3288"/>
      <c r="AJ35" s="3292"/>
      <c r="AK35" s="3292"/>
      <c r="AL35" s="3266"/>
      <c r="AM35" s="3266"/>
      <c r="AN35" s="3266"/>
      <c r="AO35" s="3266"/>
      <c r="AP35" s="3292"/>
      <c r="AQ35" s="3292"/>
      <c r="AR35" s="3292"/>
      <c r="AS35" s="3292"/>
      <c r="AT35" s="3292"/>
      <c r="AU35" s="3292"/>
      <c r="AV35" s="3292"/>
      <c r="AW35" s="3292"/>
      <c r="AX35" s="3319"/>
      <c r="AY35" s="3319"/>
      <c r="AZ35" s="3319"/>
      <c r="BA35" s="3292"/>
      <c r="BB35" s="3292"/>
      <c r="BC35" s="3292"/>
      <c r="BD35" s="3292"/>
      <c r="BE35" s="3266"/>
      <c r="BF35" s="3266"/>
      <c r="BG35" s="3266"/>
      <c r="BH35" s="3266"/>
      <c r="BI35" s="3266"/>
      <c r="BJ35" s="3266"/>
      <c r="BK35" s="3266"/>
      <c r="BL35" s="3266"/>
      <c r="BM35" s="3266"/>
      <c r="BN35" s="3266"/>
      <c r="BO35" s="3266"/>
      <c r="BP35" s="3266"/>
      <c r="BQ35" s="3266"/>
      <c r="BR35" s="3266"/>
      <c r="BS35" s="3266"/>
      <c r="BT35" s="3266"/>
      <c r="BU35" s="3266"/>
      <c r="BV35" s="3266"/>
      <c r="BW35" s="3266"/>
      <c r="BX35" s="3266"/>
      <c r="BY35" s="3266"/>
      <c r="BZ35" s="3266"/>
      <c r="CA35" s="3266"/>
      <c r="CB35" s="3266"/>
      <c r="CC35" s="3266"/>
      <c r="CD35" s="3266"/>
      <c r="CE35" s="3266"/>
      <c r="CF35" s="3266"/>
      <c r="CG35" s="3266"/>
      <c r="CH35" s="3266"/>
      <c r="CI35" s="3266"/>
      <c r="CJ35" s="3266"/>
      <c r="CK35" s="3266"/>
      <c r="CL35" s="3266"/>
      <c r="CM35" s="3266"/>
      <c r="CN35" s="3266"/>
      <c r="CO35" s="3266"/>
      <c r="CP35" s="3266"/>
      <c r="CQ35" s="3266"/>
      <c r="CR35" s="3266"/>
      <c r="CS35" s="3266"/>
      <c r="CT35" s="3266"/>
      <c r="CU35" s="3266"/>
      <c r="CV35" s="3266"/>
      <c r="CW35" s="3266"/>
      <c r="CX35" s="3266"/>
      <c r="CY35" s="3266"/>
      <c r="CZ35" s="3266"/>
      <c r="DA35" s="3266"/>
      <c r="DB35" s="3266"/>
      <c r="DC35" s="3266"/>
      <c r="DD35" s="3266"/>
      <c r="DE35" s="3266"/>
      <c r="DF35" s="3266"/>
      <c r="DG35" s="3266"/>
      <c r="DH35" s="3266"/>
      <c r="DI35" s="3266"/>
      <c r="DJ35" s="3266"/>
      <c r="DK35" s="3266"/>
      <c r="DL35" s="3266"/>
      <c r="DM35" s="3266"/>
      <c r="DN35" s="3266"/>
      <c r="DO35" s="3266"/>
      <c r="DP35" s="3266"/>
      <c r="DQ35" s="3266"/>
      <c r="DR35" s="3266"/>
      <c r="DS35" s="3266"/>
      <c r="DT35" s="3266"/>
      <c r="DU35" s="3266"/>
      <c r="DV35" s="3266"/>
      <c r="DW35" s="3266"/>
      <c r="DX35" s="3266"/>
      <c r="DY35" s="3266"/>
      <c r="DZ35" s="3266"/>
      <c r="EA35" s="3266"/>
      <c r="EB35" s="3266"/>
      <c r="EC35" s="3266"/>
      <c r="ED35" s="3266"/>
      <c r="EE35" s="3266"/>
      <c r="EF35" s="3266"/>
      <c r="EG35" s="3266"/>
      <c r="EH35" s="3266"/>
      <c r="EI35" s="3266"/>
      <c r="EJ35" s="3266"/>
      <c r="EK35" s="3266"/>
      <c r="EL35" s="3266"/>
      <c r="EM35" s="3266"/>
      <c r="EN35" s="3266"/>
      <c r="EO35" s="3266"/>
      <c r="EP35" s="3266"/>
      <c r="EQ35" s="3266"/>
      <c r="ER35" s="3266"/>
      <c r="ES35" s="3266"/>
    </row>
    <row r="36" spans="1:149" ht="15.75" hidden="1" customHeight="1">
      <c r="A36" s="3270"/>
      <c r="B36" s="3279" t="s">
        <v>165</v>
      </c>
      <c r="C36" s="3285">
        <f t="shared" si="3"/>
        <v>385.00698799999998</v>
      </c>
      <c r="D36" s="3649">
        <v>10.31657</v>
      </c>
      <c r="E36" s="3649">
        <v>113.41800000000001</v>
      </c>
      <c r="F36" s="3649"/>
      <c r="G36" s="3649">
        <v>36.269517999999998</v>
      </c>
      <c r="H36" s="3649">
        <v>225.00290000000001</v>
      </c>
      <c r="I36" s="3962">
        <f t="shared" si="5"/>
        <v>470.31922499999996</v>
      </c>
      <c r="J36" s="3963">
        <v>188.64333199999999</v>
      </c>
      <c r="K36" s="3963"/>
      <c r="L36" s="3963">
        <v>32.905619999999999</v>
      </c>
      <c r="M36" s="3963">
        <v>248.770273</v>
      </c>
      <c r="N36" s="3285">
        <f t="shared" si="8"/>
        <v>45.655272519999997</v>
      </c>
      <c r="O36" s="3649">
        <v>12.165203</v>
      </c>
      <c r="P36" s="3649">
        <v>3.6112455200000002</v>
      </c>
      <c r="Q36" s="3649">
        <f>0.698769+16.52393</f>
        <v>17.222698999999999</v>
      </c>
      <c r="R36" s="3957">
        <v>12.656124999999999</v>
      </c>
      <c r="S36" s="3283"/>
      <c r="T36" s="3266"/>
      <c r="U36" s="3283"/>
      <c r="V36" s="3283"/>
      <c r="W36" s="3283"/>
      <c r="X36" s="3283"/>
      <c r="Y36" s="3283"/>
      <c r="Z36" s="3288"/>
      <c r="AA36" s="3288"/>
      <c r="AB36" s="3288"/>
      <c r="AC36" s="3288"/>
      <c r="AD36" s="3288"/>
      <c r="AE36" s="3288"/>
      <c r="AF36" s="3292"/>
      <c r="AG36" s="3288"/>
      <c r="AH36" s="3288"/>
      <c r="AI36" s="3288"/>
      <c r="AJ36" s="3292"/>
      <c r="AK36" s="3292"/>
      <c r="AL36" s="3266"/>
      <c r="AM36" s="3266"/>
      <c r="AN36" s="3266"/>
      <c r="AO36" s="3266"/>
      <c r="AP36" s="3292"/>
      <c r="AQ36" s="3292"/>
      <c r="AR36" s="3292"/>
      <c r="AS36" s="3292"/>
      <c r="AT36" s="3292"/>
      <c r="AU36" s="3292"/>
      <c r="AV36" s="3292"/>
      <c r="AW36" s="3292"/>
      <c r="AX36" s="3319"/>
      <c r="AY36" s="3319"/>
      <c r="AZ36" s="3319"/>
      <c r="BA36" s="3292"/>
      <c r="BB36" s="3292"/>
      <c r="BC36" s="3292"/>
      <c r="BD36" s="3292"/>
      <c r="BE36" s="3266"/>
      <c r="BF36" s="3266"/>
      <c r="BG36" s="3266"/>
      <c r="BH36" s="3266"/>
      <c r="BI36" s="3266"/>
      <c r="BJ36" s="3266"/>
      <c r="BK36" s="3266"/>
      <c r="BL36" s="3266"/>
      <c r="BM36" s="3266"/>
      <c r="BN36" s="3266"/>
      <c r="BO36" s="3266"/>
      <c r="BP36" s="3266"/>
      <c r="BQ36" s="3266"/>
      <c r="BR36" s="3266"/>
      <c r="BS36" s="3266"/>
      <c r="BT36" s="3266"/>
      <c r="BU36" s="3266"/>
      <c r="BV36" s="3266"/>
      <c r="BW36" s="3266"/>
      <c r="BX36" s="3266"/>
      <c r="BY36" s="3266"/>
      <c r="BZ36" s="3266"/>
      <c r="CA36" s="3266"/>
      <c r="CB36" s="3266"/>
      <c r="CC36" s="3266"/>
      <c r="CD36" s="3266"/>
      <c r="CE36" s="3266"/>
      <c r="CF36" s="3266"/>
      <c r="CG36" s="3266"/>
      <c r="CH36" s="3266"/>
      <c r="CI36" s="3266"/>
      <c r="CJ36" s="3266"/>
      <c r="CK36" s="3266"/>
      <c r="CL36" s="3266"/>
      <c r="CM36" s="3266"/>
      <c r="CN36" s="3266"/>
      <c r="CO36" s="3266"/>
      <c r="CP36" s="3266"/>
      <c r="CQ36" s="3266"/>
      <c r="CR36" s="3266"/>
      <c r="CS36" s="3266"/>
      <c r="CT36" s="3266"/>
      <c r="CU36" s="3266"/>
      <c r="CV36" s="3266"/>
      <c r="CW36" s="3266"/>
      <c r="CX36" s="3266"/>
      <c r="CY36" s="3266"/>
      <c r="CZ36" s="3266"/>
      <c r="DA36" s="3266"/>
      <c r="DB36" s="3266"/>
      <c r="DC36" s="3266"/>
      <c r="DD36" s="3266"/>
      <c r="DE36" s="3266"/>
      <c r="DF36" s="3266"/>
      <c r="DG36" s="3266"/>
      <c r="DH36" s="3266"/>
      <c r="DI36" s="3266"/>
      <c r="DJ36" s="3266"/>
      <c r="DK36" s="3266"/>
      <c r="DL36" s="3266"/>
      <c r="DM36" s="3266"/>
      <c r="DN36" s="3266"/>
      <c r="DO36" s="3266"/>
      <c r="DP36" s="3266"/>
      <c r="DQ36" s="3266"/>
      <c r="DR36" s="3266"/>
      <c r="DS36" s="3266"/>
      <c r="DT36" s="3266"/>
      <c r="DU36" s="3266"/>
      <c r="DV36" s="3266"/>
      <c r="DW36" s="3266"/>
      <c r="DX36" s="3266"/>
      <c r="DY36" s="3266"/>
      <c r="DZ36" s="3266"/>
      <c r="EA36" s="3266"/>
      <c r="EB36" s="3266"/>
      <c r="EC36" s="3266"/>
      <c r="ED36" s="3266"/>
      <c r="EE36" s="3266"/>
      <c r="EF36" s="3266"/>
      <c r="EG36" s="3266"/>
      <c r="EH36" s="3266"/>
      <c r="EI36" s="3266"/>
      <c r="EJ36" s="3266"/>
      <c r="EK36" s="3266"/>
      <c r="EL36" s="3266"/>
      <c r="EM36" s="3266"/>
      <c r="EN36" s="3266"/>
      <c r="EO36" s="3266"/>
      <c r="EP36" s="3266"/>
      <c r="EQ36" s="3266"/>
      <c r="ER36" s="3266"/>
      <c r="ES36" s="3266"/>
    </row>
    <row r="37" spans="1:149" ht="15.75" hidden="1" customHeight="1">
      <c r="A37" s="3270"/>
      <c r="B37" s="3279" t="s">
        <v>166</v>
      </c>
      <c r="C37" s="3285">
        <f t="shared" si="3"/>
        <v>633.93173400000001</v>
      </c>
      <c r="D37" s="3649">
        <v>22.963229999999999</v>
      </c>
      <c r="E37" s="3649">
        <v>169.68700000000001</v>
      </c>
      <c r="F37" s="3649"/>
      <c r="G37" s="3649">
        <v>45.060504000000002</v>
      </c>
      <c r="H37" s="3649">
        <v>396.221</v>
      </c>
      <c r="I37" s="3962">
        <f t="shared" si="5"/>
        <v>976.8963060000001</v>
      </c>
      <c r="J37" s="3963">
        <v>323.13197000000002</v>
      </c>
      <c r="K37" s="3963"/>
      <c r="L37" s="3963">
        <v>49.822740000000003</v>
      </c>
      <c r="M37" s="3963">
        <v>603.941596</v>
      </c>
      <c r="N37" s="3285">
        <f t="shared" si="8"/>
        <v>58.850967529999998</v>
      </c>
      <c r="O37" s="3649">
        <v>27.203189999999999</v>
      </c>
      <c r="P37" s="3649">
        <v>3.7599305300000001</v>
      </c>
      <c r="Q37" s="3649">
        <f>0.868136+15.199402</f>
        <v>16.067537999999999</v>
      </c>
      <c r="R37" s="3957">
        <v>11.820309</v>
      </c>
      <c r="S37" s="3283"/>
      <c r="T37" s="3266"/>
      <c r="U37" s="3283"/>
      <c r="V37" s="3283"/>
      <c r="W37" s="3283"/>
      <c r="X37" s="3283"/>
      <c r="Y37" s="3283"/>
      <c r="Z37" s="3288"/>
      <c r="AA37" s="3288"/>
      <c r="AB37" s="3288"/>
      <c r="AC37" s="3288"/>
      <c r="AD37" s="3288"/>
      <c r="AE37" s="3288"/>
      <c r="AF37" s="3292"/>
      <c r="AG37" s="3288"/>
      <c r="AH37" s="3288"/>
      <c r="AI37" s="3288"/>
      <c r="AJ37" s="3292"/>
      <c r="AK37" s="3292"/>
      <c r="AL37" s="3266"/>
      <c r="AM37" s="3266"/>
      <c r="AN37" s="3266"/>
      <c r="AO37" s="3266"/>
      <c r="AP37" s="3292"/>
      <c r="AQ37" s="3292"/>
      <c r="AR37" s="3292"/>
      <c r="AS37" s="3292"/>
      <c r="AT37" s="3292"/>
      <c r="AU37" s="3292"/>
      <c r="AV37" s="3292"/>
      <c r="AW37" s="3292"/>
      <c r="AX37" s="3319"/>
      <c r="AY37" s="3319"/>
      <c r="AZ37" s="3319"/>
      <c r="BA37" s="3292"/>
      <c r="BB37" s="3292"/>
      <c r="BC37" s="3292"/>
      <c r="BD37" s="3292"/>
      <c r="BE37" s="3266"/>
      <c r="BF37" s="3266"/>
      <c r="BG37" s="3266"/>
      <c r="BH37" s="3266"/>
      <c r="BI37" s="3266"/>
      <c r="BJ37" s="3266"/>
      <c r="BK37" s="3266"/>
      <c r="BL37" s="3266"/>
      <c r="BM37" s="3266"/>
      <c r="BN37" s="3266"/>
      <c r="BO37" s="3266"/>
      <c r="BP37" s="3266"/>
      <c r="BQ37" s="3266"/>
      <c r="BR37" s="3266"/>
      <c r="BS37" s="3266"/>
      <c r="BT37" s="3266"/>
      <c r="BU37" s="3266"/>
      <c r="BV37" s="3266"/>
      <c r="BW37" s="3266"/>
      <c r="BX37" s="3266"/>
      <c r="BY37" s="3266"/>
      <c r="BZ37" s="3266"/>
      <c r="CA37" s="3266"/>
      <c r="CB37" s="3266"/>
      <c r="CC37" s="3266"/>
      <c r="CD37" s="3266"/>
      <c r="CE37" s="3266"/>
      <c r="CF37" s="3266"/>
      <c r="CG37" s="3266"/>
      <c r="CH37" s="3266"/>
      <c r="CI37" s="3266"/>
      <c r="CJ37" s="3266"/>
      <c r="CK37" s="3266"/>
      <c r="CL37" s="3266"/>
      <c r="CM37" s="3266"/>
      <c r="CN37" s="3266"/>
      <c r="CO37" s="3266"/>
      <c r="CP37" s="3266"/>
      <c r="CQ37" s="3266"/>
      <c r="CR37" s="3266"/>
      <c r="CS37" s="3266"/>
      <c r="CT37" s="3266"/>
      <c r="CU37" s="3266"/>
      <c r="CV37" s="3266"/>
      <c r="CW37" s="3266"/>
      <c r="CX37" s="3266"/>
      <c r="CY37" s="3266"/>
      <c r="CZ37" s="3266"/>
      <c r="DA37" s="3266"/>
      <c r="DB37" s="3266"/>
      <c r="DC37" s="3266"/>
      <c r="DD37" s="3266"/>
      <c r="DE37" s="3266"/>
      <c r="DF37" s="3266"/>
      <c r="DG37" s="3266"/>
      <c r="DH37" s="3266"/>
      <c r="DI37" s="3266"/>
      <c r="DJ37" s="3266"/>
      <c r="DK37" s="3266"/>
      <c r="DL37" s="3266"/>
      <c r="DM37" s="3266"/>
      <c r="DN37" s="3266"/>
      <c r="DO37" s="3266"/>
      <c r="DP37" s="3266"/>
      <c r="DQ37" s="3266"/>
      <c r="DR37" s="3266"/>
      <c r="DS37" s="3266"/>
      <c r="DT37" s="3266"/>
      <c r="DU37" s="3266"/>
      <c r="DV37" s="3266"/>
      <c r="DW37" s="3266"/>
      <c r="DX37" s="3266"/>
      <c r="DY37" s="3266"/>
      <c r="DZ37" s="3266"/>
      <c r="EA37" s="3266"/>
      <c r="EB37" s="3266"/>
      <c r="EC37" s="3266"/>
      <c r="ED37" s="3266"/>
      <c r="EE37" s="3266"/>
      <c r="EF37" s="3266"/>
      <c r="EG37" s="3266"/>
      <c r="EH37" s="3266"/>
      <c r="EI37" s="3266"/>
      <c r="EJ37" s="3266"/>
      <c r="EK37" s="3266"/>
      <c r="EL37" s="3266"/>
      <c r="EM37" s="3266"/>
      <c r="EN37" s="3266"/>
      <c r="EO37" s="3266"/>
      <c r="EP37" s="3266"/>
      <c r="EQ37" s="3266"/>
      <c r="ER37" s="3266"/>
      <c r="ES37" s="3266"/>
    </row>
    <row r="38" spans="1:149" ht="15.75" hidden="1" customHeight="1">
      <c r="A38" s="3270"/>
      <c r="B38" s="3279" t="s">
        <v>167</v>
      </c>
      <c r="C38" s="3285">
        <f t="shared" si="3"/>
        <v>1143.436954</v>
      </c>
      <c r="D38" s="3649">
        <v>46.780450000000002</v>
      </c>
      <c r="E38" s="3649">
        <v>262.26</v>
      </c>
      <c r="F38" s="3649"/>
      <c r="G38" s="3649">
        <v>46.006203999999997</v>
      </c>
      <c r="H38" s="3649">
        <v>788.39030000000002</v>
      </c>
      <c r="I38" s="3962">
        <f t="shared" si="5"/>
        <v>1973.451278</v>
      </c>
      <c r="J38" s="3963">
        <v>553.32777999999996</v>
      </c>
      <c r="K38" s="3963"/>
      <c r="L38" s="3963">
        <v>51.596820000000001</v>
      </c>
      <c r="M38" s="3963">
        <v>1368.5266779999999</v>
      </c>
      <c r="N38" s="3285">
        <f t="shared" si="8"/>
        <v>87.533633379999998</v>
      </c>
      <c r="O38" s="3649">
        <v>55.461036999999997</v>
      </c>
      <c r="P38" s="3649">
        <v>4.0368803800000004</v>
      </c>
      <c r="Q38" s="3649">
        <f>0.886356+15.072008</f>
        <v>15.958364</v>
      </c>
      <c r="R38" s="3957">
        <v>12.077351999999999</v>
      </c>
      <c r="S38" s="3283"/>
      <c r="T38" s="3266"/>
      <c r="U38" s="3283"/>
      <c r="V38" s="3283"/>
      <c r="W38" s="3283"/>
      <c r="X38" s="3283"/>
      <c r="Y38" s="3283"/>
      <c r="Z38" s="3288"/>
      <c r="AA38" s="3288"/>
      <c r="AB38" s="3288"/>
      <c r="AC38" s="3288"/>
      <c r="AD38" s="3288"/>
      <c r="AE38" s="3288"/>
      <c r="AF38" s="3292"/>
      <c r="AG38" s="3288"/>
      <c r="AH38" s="3288"/>
      <c r="AI38" s="3288"/>
      <c r="AJ38" s="3292"/>
      <c r="AK38" s="3292"/>
      <c r="AL38" s="3266"/>
      <c r="AM38" s="3266"/>
      <c r="AN38" s="3266"/>
      <c r="AO38" s="3266"/>
      <c r="AP38" s="3292"/>
      <c r="AQ38" s="3292"/>
      <c r="AR38" s="3292"/>
      <c r="AS38" s="3292"/>
      <c r="AT38" s="3292"/>
      <c r="AU38" s="3292"/>
      <c r="AV38" s="3292"/>
      <c r="AW38" s="3292"/>
      <c r="AX38" s="3319"/>
      <c r="AY38" s="3319"/>
      <c r="AZ38" s="3319"/>
      <c r="BA38" s="3292"/>
      <c r="BB38" s="3292"/>
      <c r="BC38" s="3292"/>
      <c r="BD38" s="3292"/>
      <c r="BE38" s="3266"/>
      <c r="BF38" s="3266"/>
      <c r="BG38" s="3266"/>
      <c r="BH38" s="3266"/>
      <c r="BI38" s="3266"/>
      <c r="BJ38" s="3266"/>
      <c r="BK38" s="3266"/>
      <c r="BL38" s="3266"/>
      <c r="BM38" s="3266"/>
      <c r="BN38" s="3266"/>
      <c r="BO38" s="3266"/>
      <c r="BP38" s="3266"/>
      <c r="BQ38" s="3266"/>
      <c r="BR38" s="3266"/>
      <c r="BS38" s="3266"/>
      <c r="BT38" s="3266"/>
      <c r="BU38" s="3266"/>
      <c r="BV38" s="3266"/>
      <c r="BW38" s="3266"/>
      <c r="BX38" s="3266"/>
      <c r="BY38" s="3266"/>
      <c r="BZ38" s="3266"/>
      <c r="CA38" s="3266"/>
      <c r="CB38" s="3266"/>
      <c r="CC38" s="3266"/>
      <c r="CD38" s="3266"/>
      <c r="CE38" s="3266"/>
      <c r="CF38" s="3266"/>
      <c r="CG38" s="3266"/>
      <c r="CH38" s="3266"/>
      <c r="CI38" s="3266"/>
      <c r="CJ38" s="3266"/>
      <c r="CK38" s="3266"/>
      <c r="CL38" s="3266"/>
      <c r="CM38" s="3266"/>
      <c r="CN38" s="3266"/>
      <c r="CO38" s="3266"/>
      <c r="CP38" s="3266"/>
      <c r="CQ38" s="3266"/>
      <c r="CR38" s="3266"/>
      <c r="CS38" s="3266"/>
      <c r="CT38" s="3266"/>
      <c r="CU38" s="3266"/>
      <c r="CV38" s="3266"/>
      <c r="CW38" s="3266"/>
      <c r="CX38" s="3266"/>
      <c r="CY38" s="3266"/>
      <c r="CZ38" s="3266"/>
      <c r="DA38" s="3266"/>
      <c r="DB38" s="3266"/>
      <c r="DC38" s="3266"/>
      <c r="DD38" s="3266"/>
      <c r="DE38" s="3266"/>
      <c r="DF38" s="3266"/>
      <c r="DG38" s="3266"/>
      <c r="DH38" s="3266"/>
      <c r="DI38" s="3266"/>
      <c r="DJ38" s="3266"/>
      <c r="DK38" s="3266"/>
      <c r="DL38" s="3266"/>
      <c r="DM38" s="3266"/>
      <c r="DN38" s="3266"/>
      <c r="DO38" s="3266"/>
      <c r="DP38" s="3266"/>
      <c r="DQ38" s="3266"/>
      <c r="DR38" s="3266"/>
      <c r="DS38" s="3266"/>
      <c r="DT38" s="3266"/>
      <c r="DU38" s="3266"/>
      <c r="DV38" s="3266"/>
      <c r="DW38" s="3266"/>
      <c r="DX38" s="3266"/>
      <c r="DY38" s="3266"/>
      <c r="DZ38" s="3266"/>
      <c r="EA38" s="3266"/>
      <c r="EB38" s="3266"/>
      <c r="EC38" s="3266"/>
      <c r="ED38" s="3266"/>
      <c r="EE38" s="3266"/>
      <c r="EF38" s="3266"/>
      <c r="EG38" s="3266"/>
      <c r="EH38" s="3266"/>
      <c r="EI38" s="3266"/>
      <c r="EJ38" s="3266"/>
      <c r="EK38" s="3266"/>
      <c r="EL38" s="3266"/>
      <c r="EM38" s="3266"/>
      <c r="EN38" s="3266"/>
      <c r="EO38" s="3266"/>
      <c r="EP38" s="3266"/>
      <c r="EQ38" s="3266"/>
      <c r="ER38" s="3266"/>
      <c r="ES38" s="3266"/>
    </row>
    <row r="39" spans="1:149" ht="15.75" hidden="1" customHeight="1">
      <c r="A39" s="3270"/>
      <c r="B39" s="3279" t="s">
        <v>168</v>
      </c>
      <c r="C39" s="3285">
        <f t="shared" si="3"/>
        <v>1195.356088</v>
      </c>
      <c r="D39" s="3649">
        <v>47.216160000000002</v>
      </c>
      <c r="E39" s="3649">
        <v>272.11700000000002</v>
      </c>
      <c r="F39" s="3649"/>
      <c r="G39" s="3649">
        <v>46.855528</v>
      </c>
      <c r="H39" s="3649">
        <v>829.16740000000004</v>
      </c>
      <c r="I39" s="3962">
        <f t="shared" si="5"/>
        <v>2057.8277779999999</v>
      </c>
      <c r="J39" s="3963">
        <v>572.00373200000001</v>
      </c>
      <c r="K39" s="3963"/>
      <c r="L39" s="3963">
        <v>51.557220000000001</v>
      </c>
      <c r="M39" s="3963">
        <v>1434.266826</v>
      </c>
      <c r="N39" s="3285">
        <f t="shared" si="8"/>
        <v>89.112694289999993</v>
      </c>
      <c r="O39" s="3649">
        <v>55.981996000000002</v>
      </c>
      <c r="P39" s="3649">
        <v>4.0894182900000002</v>
      </c>
      <c r="Q39" s="3649">
        <f>0.902719+15.897486</f>
        <v>16.800205000000002</v>
      </c>
      <c r="R39" s="3957">
        <v>12.241075</v>
      </c>
      <c r="S39" s="3283"/>
      <c r="T39" s="3266"/>
      <c r="U39" s="3283"/>
      <c r="V39" s="3283"/>
      <c r="W39" s="3283"/>
      <c r="X39" s="3283"/>
      <c r="Y39" s="3283"/>
      <c r="Z39" s="3288"/>
      <c r="AA39" s="3288"/>
      <c r="AB39" s="3288"/>
      <c r="AC39" s="3288"/>
      <c r="AD39" s="3288"/>
      <c r="AE39" s="3288"/>
      <c r="AF39" s="3292"/>
      <c r="AG39" s="3288"/>
      <c r="AH39" s="3288"/>
      <c r="AI39" s="3288"/>
      <c r="AJ39" s="3292"/>
      <c r="AK39" s="3292"/>
      <c r="AL39" s="3266"/>
      <c r="AM39" s="3266"/>
      <c r="AN39" s="3266"/>
      <c r="AO39" s="3266"/>
      <c r="AP39" s="3292"/>
      <c r="AQ39" s="3292"/>
      <c r="AR39" s="3292"/>
      <c r="AS39" s="3292"/>
      <c r="AT39" s="3292"/>
      <c r="AU39" s="3292"/>
      <c r="AV39" s="3292"/>
      <c r="AW39" s="3292"/>
      <c r="AX39" s="3319"/>
      <c r="AY39" s="3319"/>
      <c r="AZ39" s="3319"/>
      <c r="BA39" s="3292"/>
      <c r="BB39" s="3292"/>
      <c r="BC39" s="3292"/>
      <c r="BD39" s="3292"/>
      <c r="BE39" s="3266"/>
      <c r="BF39" s="3266"/>
      <c r="BG39" s="3266"/>
      <c r="BH39" s="3266"/>
      <c r="BI39" s="3266"/>
      <c r="BJ39" s="3266"/>
      <c r="BK39" s="3266"/>
      <c r="BL39" s="3266"/>
      <c r="BM39" s="3266"/>
      <c r="BN39" s="3266"/>
      <c r="BO39" s="3266"/>
      <c r="BP39" s="3266"/>
      <c r="BQ39" s="3266"/>
      <c r="BR39" s="3266"/>
      <c r="BS39" s="3266"/>
      <c r="BT39" s="3266"/>
      <c r="BU39" s="3266"/>
      <c r="BV39" s="3266"/>
      <c r="BW39" s="3266"/>
      <c r="BX39" s="3266"/>
      <c r="BY39" s="3266"/>
      <c r="BZ39" s="3266"/>
      <c r="CA39" s="3266"/>
      <c r="CB39" s="3266"/>
      <c r="CC39" s="3266"/>
      <c r="CD39" s="3266"/>
      <c r="CE39" s="3266"/>
      <c r="CF39" s="3266"/>
      <c r="CG39" s="3266"/>
      <c r="CH39" s="3266"/>
      <c r="CI39" s="3266"/>
      <c r="CJ39" s="3266"/>
      <c r="CK39" s="3266"/>
      <c r="CL39" s="3266"/>
      <c r="CM39" s="3266"/>
      <c r="CN39" s="3266"/>
      <c r="CO39" s="3266"/>
      <c r="CP39" s="3266"/>
      <c r="CQ39" s="3266"/>
      <c r="CR39" s="3266"/>
      <c r="CS39" s="3266"/>
      <c r="CT39" s="3266"/>
      <c r="CU39" s="3266"/>
      <c r="CV39" s="3266"/>
      <c r="CW39" s="3266"/>
      <c r="CX39" s="3266"/>
      <c r="CY39" s="3266"/>
      <c r="CZ39" s="3266"/>
      <c r="DA39" s="3266"/>
      <c r="DB39" s="3266"/>
      <c r="DC39" s="3266"/>
      <c r="DD39" s="3266"/>
      <c r="DE39" s="3266"/>
      <c r="DF39" s="3266"/>
      <c r="DG39" s="3266"/>
      <c r="DH39" s="3266"/>
      <c r="DI39" s="3266"/>
      <c r="DJ39" s="3266"/>
      <c r="DK39" s="3266"/>
      <c r="DL39" s="3266"/>
      <c r="DM39" s="3266"/>
      <c r="DN39" s="3266"/>
      <c r="DO39" s="3266"/>
      <c r="DP39" s="3266"/>
      <c r="DQ39" s="3266"/>
      <c r="DR39" s="3266"/>
      <c r="DS39" s="3266"/>
      <c r="DT39" s="3266"/>
      <c r="DU39" s="3266"/>
      <c r="DV39" s="3266"/>
      <c r="DW39" s="3266"/>
      <c r="DX39" s="3266"/>
      <c r="DY39" s="3266"/>
      <c r="DZ39" s="3266"/>
      <c r="EA39" s="3266"/>
      <c r="EB39" s="3266"/>
      <c r="EC39" s="3266"/>
      <c r="ED39" s="3266"/>
      <c r="EE39" s="3266"/>
      <c r="EF39" s="3266"/>
      <c r="EG39" s="3266"/>
      <c r="EH39" s="3266"/>
      <c r="EI39" s="3266"/>
      <c r="EJ39" s="3266"/>
      <c r="EK39" s="3266"/>
      <c r="EL39" s="3266"/>
      <c r="EM39" s="3266"/>
      <c r="EN39" s="3266"/>
      <c r="EO39" s="3266"/>
      <c r="EP39" s="3266"/>
      <c r="EQ39" s="3266"/>
      <c r="ER39" s="3266"/>
      <c r="ES39" s="3266"/>
    </row>
    <row r="40" spans="1:149" ht="15.75" hidden="1" customHeight="1">
      <c r="A40" s="3270"/>
      <c r="B40" s="3279" t="s">
        <v>169</v>
      </c>
      <c r="C40" s="3285">
        <f t="shared" si="3"/>
        <v>1084.36887</v>
      </c>
      <c r="D40" s="3649">
        <v>47.26202</v>
      </c>
      <c r="E40" s="3649">
        <v>262.66000000000003</v>
      </c>
      <c r="F40" s="3649"/>
      <c r="G40" s="3649">
        <v>36.356850000000001</v>
      </c>
      <c r="H40" s="3649">
        <v>738.09</v>
      </c>
      <c r="I40" s="3962">
        <f t="shared" si="5"/>
        <v>1830.658516</v>
      </c>
      <c r="J40" s="3963">
        <v>551.90387199999998</v>
      </c>
      <c r="K40" s="3963"/>
      <c r="L40" s="3963">
        <v>37.382399999999997</v>
      </c>
      <c r="M40" s="3963">
        <v>1241.3722439999999</v>
      </c>
      <c r="N40" s="3285">
        <f t="shared" si="8"/>
        <v>87.636725390000009</v>
      </c>
      <c r="O40" s="3649">
        <v>56.029927999999998</v>
      </c>
      <c r="P40" s="3649">
        <v>4.1405483900000002</v>
      </c>
      <c r="Q40" s="3649">
        <f>0.700451+13.940755</f>
        <v>14.641205999999999</v>
      </c>
      <c r="R40" s="3957">
        <v>12.825043000000001</v>
      </c>
      <c r="S40" s="3283"/>
      <c r="T40" s="3283"/>
      <c r="U40" s="3283"/>
      <c r="V40" s="3283"/>
      <c r="W40" s="3283"/>
      <c r="X40" s="3283"/>
      <c r="Y40" s="3283"/>
      <c r="Z40" s="3288"/>
      <c r="AA40" s="3288"/>
      <c r="AB40" s="3288"/>
      <c r="AC40" s="3288"/>
      <c r="AD40" s="3288"/>
      <c r="AE40" s="3288"/>
      <c r="AF40" s="3292"/>
      <c r="AG40" s="3288"/>
      <c r="AH40" s="3288"/>
      <c r="AI40" s="3288"/>
      <c r="AJ40" s="3292"/>
      <c r="AK40" s="3292"/>
      <c r="AL40" s="3266"/>
      <c r="AM40" s="3266"/>
      <c r="AN40" s="3266"/>
      <c r="AO40" s="3266"/>
      <c r="AP40" s="3292"/>
      <c r="AQ40" s="3292"/>
      <c r="AR40" s="3292"/>
      <c r="AS40" s="3292"/>
      <c r="AT40" s="3292"/>
      <c r="AU40" s="3292"/>
      <c r="AV40" s="3292"/>
      <c r="AW40" s="3292"/>
      <c r="AX40" s="3319"/>
      <c r="AY40" s="3319"/>
      <c r="AZ40" s="3319"/>
      <c r="BA40" s="3292"/>
      <c r="BB40" s="3292"/>
      <c r="BC40" s="3292"/>
      <c r="BD40" s="3292"/>
      <c r="BE40" s="3266"/>
      <c r="BF40" s="3266"/>
      <c r="BG40" s="3266"/>
      <c r="BH40" s="3266"/>
      <c r="BI40" s="3266"/>
      <c r="BJ40" s="3266"/>
      <c r="BK40" s="3266"/>
      <c r="BL40" s="3266"/>
      <c r="BM40" s="3266"/>
      <c r="BN40" s="3266"/>
      <c r="BO40" s="3266"/>
      <c r="BP40" s="3266"/>
      <c r="BQ40" s="3266"/>
      <c r="BR40" s="3266"/>
      <c r="BS40" s="3266"/>
      <c r="BT40" s="3266"/>
      <c r="BU40" s="3266"/>
      <c r="BV40" s="3266"/>
      <c r="BW40" s="3266"/>
      <c r="BX40" s="3266"/>
      <c r="BY40" s="3266"/>
      <c r="BZ40" s="3266"/>
      <c r="CA40" s="3266"/>
      <c r="CB40" s="3266"/>
      <c r="CC40" s="3266"/>
      <c r="CD40" s="3266"/>
      <c r="CE40" s="3266"/>
      <c r="CF40" s="3266"/>
      <c r="CG40" s="3266"/>
      <c r="CH40" s="3266"/>
      <c r="CI40" s="3266"/>
      <c r="CJ40" s="3266"/>
      <c r="CK40" s="3266"/>
      <c r="CL40" s="3266"/>
      <c r="CM40" s="3266"/>
      <c r="CN40" s="3266"/>
      <c r="CO40" s="3266"/>
      <c r="CP40" s="3266"/>
      <c r="CQ40" s="3266"/>
      <c r="CR40" s="3266"/>
      <c r="CS40" s="3266"/>
      <c r="CT40" s="3266"/>
      <c r="CU40" s="3266"/>
      <c r="CV40" s="3266"/>
      <c r="CW40" s="3266"/>
      <c r="CX40" s="3266"/>
      <c r="CY40" s="3266"/>
      <c r="CZ40" s="3266"/>
      <c r="DA40" s="3266"/>
      <c r="DB40" s="3266"/>
      <c r="DC40" s="3266"/>
      <c r="DD40" s="3266"/>
      <c r="DE40" s="3266"/>
      <c r="DF40" s="3266"/>
      <c r="DG40" s="3266"/>
      <c r="DH40" s="3266"/>
      <c r="DI40" s="3266"/>
      <c r="DJ40" s="3266"/>
      <c r="DK40" s="3266"/>
      <c r="DL40" s="3266"/>
      <c r="DM40" s="3266"/>
      <c r="DN40" s="3266"/>
      <c r="DO40" s="3266"/>
      <c r="DP40" s="3266"/>
      <c r="DQ40" s="3266"/>
      <c r="DR40" s="3266"/>
      <c r="DS40" s="3266"/>
      <c r="DT40" s="3266"/>
      <c r="DU40" s="3266"/>
      <c r="DV40" s="3266"/>
      <c r="DW40" s="3266"/>
      <c r="DX40" s="3266"/>
      <c r="DY40" s="3266"/>
      <c r="DZ40" s="3266"/>
      <c r="EA40" s="3266"/>
      <c r="EB40" s="3266"/>
      <c r="EC40" s="3266"/>
      <c r="ED40" s="3266"/>
      <c r="EE40" s="3266"/>
      <c r="EF40" s="3266"/>
      <c r="EG40" s="3266"/>
      <c r="EH40" s="3266"/>
      <c r="EI40" s="3266"/>
      <c r="EJ40" s="3266"/>
      <c r="EK40" s="3266"/>
      <c r="EL40" s="3266"/>
      <c r="EM40" s="3266"/>
      <c r="EN40" s="3266"/>
      <c r="EO40" s="3266"/>
      <c r="EP40" s="3266"/>
      <c r="EQ40" s="3266"/>
      <c r="ER40" s="3266"/>
      <c r="ES40" s="3266"/>
    </row>
    <row r="41" spans="1:149" ht="15.75" hidden="1" customHeight="1">
      <c r="A41" s="3270"/>
      <c r="B41" s="3279" t="s">
        <v>170</v>
      </c>
      <c r="C41" s="3285">
        <f t="shared" si="3"/>
        <v>682.67375100000004</v>
      </c>
      <c r="D41" s="3649">
        <v>35.435429999999997</v>
      </c>
      <c r="E41" s="3649">
        <v>189.124</v>
      </c>
      <c r="F41" s="3649"/>
      <c r="G41" s="3649">
        <v>39.536721</v>
      </c>
      <c r="H41" s="3649">
        <v>418.57760000000002</v>
      </c>
      <c r="I41" s="3962">
        <f t="shared" si="5"/>
        <v>997.80629900000008</v>
      </c>
      <c r="J41" s="3963">
        <v>367.13319799999999</v>
      </c>
      <c r="K41" s="3963"/>
      <c r="L41" s="3963">
        <v>39.891060000000003</v>
      </c>
      <c r="M41" s="3963">
        <v>590.78204100000005</v>
      </c>
      <c r="N41" s="3285">
        <f t="shared" si="8"/>
        <v>77.401723599999997</v>
      </c>
      <c r="O41" s="3649">
        <v>42.056207999999998</v>
      </c>
      <c r="P41" s="3649">
        <v>4.7820955999999999</v>
      </c>
      <c r="Q41" s="3649">
        <f>0.761717+15.582659</f>
        <v>16.344376</v>
      </c>
      <c r="R41" s="3957">
        <v>14.219044</v>
      </c>
      <c r="S41" s="3283"/>
      <c r="T41" s="3283"/>
      <c r="U41" s="3283"/>
      <c r="V41" s="3283"/>
      <c r="W41" s="3283"/>
      <c r="X41" s="3283"/>
      <c r="Y41" s="3283"/>
      <c r="Z41" s="3288"/>
      <c r="AA41" s="3288"/>
      <c r="AB41" s="3288"/>
      <c r="AC41" s="3288"/>
      <c r="AD41" s="3288"/>
      <c r="AE41" s="3288"/>
      <c r="AF41" s="3292"/>
      <c r="AG41" s="3288"/>
      <c r="AH41" s="3288"/>
      <c r="AI41" s="3288"/>
      <c r="AJ41" s="3292"/>
      <c r="AK41" s="3292"/>
      <c r="AL41" s="3266"/>
      <c r="AM41" s="3266"/>
      <c r="AN41" s="3266"/>
      <c r="AO41" s="3266"/>
      <c r="AP41" s="3292"/>
      <c r="AQ41" s="3292"/>
      <c r="AR41" s="3292"/>
      <c r="AS41" s="3292"/>
      <c r="AT41" s="3292"/>
      <c r="AU41" s="3292"/>
      <c r="AV41" s="3292"/>
      <c r="AW41" s="3292"/>
      <c r="AX41" s="3319"/>
      <c r="AY41" s="3319"/>
      <c r="AZ41" s="3319"/>
      <c r="BA41" s="3292"/>
      <c r="BB41" s="3292"/>
      <c r="BC41" s="3292"/>
      <c r="BD41" s="3292"/>
      <c r="BE41" s="3266"/>
      <c r="BF41" s="3266"/>
      <c r="BG41" s="3266"/>
      <c r="BH41" s="3266"/>
      <c r="BI41" s="3266"/>
      <c r="BJ41" s="3266"/>
      <c r="BK41" s="3266"/>
      <c r="BL41" s="3266"/>
      <c r="BM41" s="3266"/>
      <c r="BN41" s="3266"/>
      <c r="BO41" s="3266"/>
      <c r="BP41" s="3266"/>
      <c r="BQ41" s="3266"/>
      <c r="BR41" s="3266"/>
      <c r="BS41" s="3266"/>
      <c r="BT41" s="3266"/>
      <c r="BU41" s="3266"/>
      <c r="BV41" s="3266"/>
      <c r="BW41" s="3266"/>
      <c r="BX41" s="3266"/>
      <c r="BY41" s="3266"/>
      <c r="BZ41" s="3266"/>
      <c r="CA41" s="3266"/>
      <c r="CB41" s="3266"/>
      <c r="CC41" s="3266"/>
      <c r="CD41" s="3266"/>
      <c r="CE41" s="3266"/>
      <c r="CF41" s="3266"/>
      <c r="CG41" s="3266"/>
      <c r="CH41" s="3266"/>
      <c r="CI41" s="3266"/>
      <c r="CJ41" s="3266"/>
      <c r="CK41" s="3266"/>
      <c r="CL41" s="3266"/>
      <c r="CM41" s="3266"/>
      <c r="CN41" s="3266"/>
      <c r="CO41" s="3266"/>
      <c r="CP41" s="3266"/>
      <c r="CQ41" s="3266"/>
      <c r="CR41" s="3266"/>
      <c r="CS41" s="3266"/>
      <c r="CT41" s="3266"/>
      <c r="CU41" s="3266"/>
      <c r="CV41" s="3266"/>
      <c r="CW41" s="3266"/>
      <c r="CX41" s="3266"/>
      <c r="CY41" s="3266"/>
      <c r="CZ41" s="3266"/>
      <c r="DA41" s="3266"/>
      <c r="DB41" s="3266"/>
      <c r="DC41" s="3266"/>
      <c r="DD41" s="3266"/>
      <c r="DE41" s="3266"/>
      <c r="DF41" s="3266"/>
      <c r="DG41" s="3266"/>
      <c r="DH41" s="3266"/>
      <c r="DI41" s="3266"/>
      <c r="DJ41" s="3266"/>
      <c r="DK41" s="3266"/>
      <c r="DL41" s="3266"/>
      <c r="DM41" s="3266"/>
      <c r="DN41" s="3266"/>
      <c r="DO41" s="3266"/>
      <c r="DP41" s="3266"/>
      <c r="DQ41" s="3266"/>
      <c r="DR41" s="3266"/>
      <c r="DS41" s="3266"/>
      <c r="DT41" s="3266"/>
      <c r="DU41" s="3266"/>
      <c r="DV41" s="3266"/>
      <c r="DW41" s="3266"/>
      <c r="DX41" s="3266"/>
      <c r="DY41" s="3266"/>
      <c r="DZ41" s="3266"/>
      <c r="EA41" s="3266"/>
      <c r="EB41" s="3266"/>
      <c r="EC41" s="3266"/>
      <c r="ED41" s="3266"/>
      <c r="EE41" s="3266"/>
      <c r="EF41" s="3266"/>
      <c r="EG41" s="3266"/>
      <c r="EH41" s="3266"/>
      <c r="EI41" s="3266"/>
      <c r="EJ41" s="3266"/>
      <c r="EK41" s="3266"/>
      <c r="EL41" s="3266"/>
      <c r="EM41" s="3266"/>
      <c r="EN41" s="3266"/>
      <c r="EO41" s="3266"/>
      <c r="EP41" s="3266"/>
      <c r="EQ41" s="3266"/>
      <c r="ER41" s="3266"/>
      <c r="ES41" s="3266"/>
    </row>
    <row r="42" spans="1:149" ht="15.75" hidden="1" customHeight="1">
      <c r="A42" s="3270"/>
      <c r="B42" s="3279" t="s">
        <v>171</v>
      </c>
      <c r="C42" s="3285">
        <f>D42+E42+G42+H42</f>
        <v>359.17353200000002</v>
      </c>
      <c r="D42" s="3649">
        <v>21.111799999999999</v>
      </c>
      <c r="E42" s="3649">
        <v>96.656000000000006</v>
      </c>
      <c r="F42" s="3649"/>
      <c r="G42" s="3649">
        <v>22.007632000000001</v>
      </c>
      <c r="H42" s="3649">
        <v>219.3981</v>
      </c>
      <c r="I42" s="3962">
        <f>J42+L42+M42</f>
        <v>378.41920800000003</v>
      </c>
      <c r="J42" s="3963">
        <v>152.01012399999999</v>
      </c>
      <c r="K42" s="3963"/>
      <c r="L42" s="3963">
        <v>6.5557800000000004</v>
      </c>
      <c r="M42" s="3963">
        <v>219.85330400000001</v>
      </c>
      <c r="N42" s="3285">
        <f t="shared" si="8"/>
        <v>62.301507149999999</v>
      </c>
      <c r="O42" s="3649">
        <v>25.022926999999999</v>
      </c>
      <c r="P42" s="3649">
        <v>5.2731031499999999</v>
      </c>
      <c r="Q42" s="3649">
        <f>18.065623+0.423999</f>
        <v>18.489621999999997</v>
      </c>
      <c r="R42" s="3957">
        <v>13.515855</v>
      </c>
      <c r="S42" s="3283"/>
      <c r="T42" s="3266"/>
      <c r="U42" s="3283"/>
      <c r="V42" s="3283"/>
      <c r="W42" s="3283"/>
      <c r="X42" s="3283"/>
      <c r="Y42" s="3283"/>
      <c r="Z42" s="3288"/>
      <c r="AA42" s="3288"/>
      <c r="AB42" s="3288"/>
      <c r="AC42" s="3288"/>
      <c r="AD42" s="3288"/>
      <c r="AE42" s="3288"/>
      <c r="AF42" s="3292"/>
      <c r="AG42" s="3288"/>
      <c r="AH42" s="3288"/>
      <c r="AI42" s="3288"/>
      <c r="AJ42" s="3292"/>
      <c r="AK42" s="3292"/>
      <c r="AL42" s="3266"/>
      <c r="AM42" s="3266"/>
      <c r="AN42" s="3266"/>
      <c r="AO42" s="3266"/>
      <c r="AP42" s="3292"/>
      <c r="AQ42" s="3292"/>
      <c r="AR42" s="3292"/>
      <c r="AS42" s="3292"/>
      <c r="AT42" s="3292"/>
      <c r="AU42" s="3292"/>
      <c r="AV42" s="3292"/>
      <c r="AW42" s="3292"/>
      <c r="AX42" s="3319"/>
      <c r="AY42" s="3319"/>
      <c r="AZ42" s="3319"/>
      <c r="BA42" s="3292"/>
      <c r="BB42" s="3292"/>
      <c r="BC42" s="3292"/>
      <c r="BD42" s="3292"/>
      <c r="BE42" s="3266"/>
      <c r="BF42" s="3266"/>
      <c r="BG42" s="3266"/>
      <c r="BH42" s="3266"/>
      <c r="BI42" s="3266"/>
      <c r="BJ42" s="3266"/>
      <c r="BK42" s="3266"/>
      <c r="BL42" s="3266"/>
      <c r="BM42" s="3266"/>
      <c r="BN42" s="3266"/>
      <c r="BO42" s="3266"/>
      <c r="BP42" s="3266"/>
      <c r="BQ42" s="3266"/>
      <c r="BR42" s="3266"/>
      <c r="BS42" s="3266"/>
      <c r="BT42" s="3266"/>
      <c r="BU42" s="3266"/>
      <c r="BV42" s="3266"/>
      <c r="BW42" s="3266"/>
      <c r="BX42" s="3266"/>
      <c r="BY42" s="3266"/>
      <c r="BZ42" s="3266"/>
      <c r="CA42" s="3266"/>
      <c r="CB42" s="3266"/>
      <c r="CC42" s="3266"/>
      <c r="CD42" s="3266"/>
      <c r="CE42" s="3266"/>
      <c r="CF42" s="3266"/>
      <c r="CG42" s="3266"/>
      <c r="CH42" s="3266"/>
      <c r="CI42" s="3266"/>
      <c r="CJ42" s="3266"/>
      <c r="CK42" s="3266"/>
      <c r="CL42" s="3266"/>
      <c r="CM42" s="3266"/>
      <c r="CN42" s="3266"/>
      <c r="CO42" s="3266"/>
      <c r="CP42" s="3266"/>
      <c r="CQ42" s="3266"/>
      <c r="CR42" s="3266"/>
      <c r="CS42" s="3266"/>
      <c r="CT42" s="3266"/>
      <c r="CU42" s="3266"/>
      <c r="CV42" s="3266"/>
      <c r="CW42" s="3266"/>
      <c r="CX42" s="3266"/>
      <c r="CY42" s="3266"/>
      <c r="CZ42" s="3266"/>
      <c r="DA42" s="3266"/>
      <c r="DB42" s="3266"/>
      <c r="DC42" s="3266"/>
      <c r="DD42" s="3266"/>
      <c r="DE42" s="3266"/>
      <c r="DF42" s="3266"/>
      <c r="DG42" s="3266"/>
      <c r="DH42" s="3266"/>
      <c r="DI42" s="3266"/>
      <c r="DJ42" s="3266"/>
      <c r="DK42" s="3266"/>
      <c r="DL42" s="3266"/>
      <c r="DM42" s="3266"/>
      <c r="DN42" s="3266"/>
      <c r="DO42" s="3266"/>
      <c r="DP42" s="3266"/>
      <c r="DQ42" s="3266"/>
      <c r="DR42" s="3266"/>
      <c r="DS42" s="3266"/>
      <c r="DT42" s="3266"/>
      <c r="DU42" s="3266"/>
      <c r="DV42" s="3266"/>
      <c r="DW42" s="3266"/>
      <c r="DX42" s="3266"/>
      <c r="DY42" s="3266"/>
      <c r="DZ42" s="3266"/>
      <c r="EA42" s="3266"/>
      <c r="EB42" s="3266"/>
      <c r="EC42" s="3266"/>
      <c r="ED42" s="3266"/>
      <c r="EE42" s="3266"/>
      <c r="EF42" s="3266"/>
      <c r="EG42" s="3266"/>
      <c r="EH42" s="3266"/>
      <c r="EI42" s="3266"/>
      <c r="EJ42" s="3266"/>
      <c r="EK42" s="3266"/>
      <c r="EL42" s="3266"/>
      <c r="EM42" s="3266"/>
      <c r="EN42" s="3266"/>
      <c r="EO42" s="3266"/>
      <c r="EP42" s="3266"/>
      <c r="EQ42" s="3266"/>
      <c r="ER42" s="3266"/>
      <c r="ES42" s="3266"/>
    </row>
    <row r="43" spans="1:149" ht="15.75" hidden="1" customHeight="1">
      <c r="A43" s="3270"/>
      <c r="B43" s="3279" t="s">
        <v>148</v>
      </c>
      <c r="C43" s="3285">
        <f>D43+E43+G43+H43</f>
        <v>264.26129500000002</v>
      </c>
      <c r="D43" s="3649">
        <v>16.136410000000001</v>
      </c>
      <c r="E43" s="3649">
        <v>68.290999999999997</v>
      </c>
      <c r="F43" s="3649"/>
      <c r="G43" s="3649">
        <v>16.779585000000001</v>
      </c>
      <c r="H43" s="3649">
        <v>163.05430000000001</v>
      </c>
      <c r="I43" s="3962">
        <f t="shared" si="5"/>
        <v>170.09887800000001</v>
      </c>
      <c r="J43" s="3963">
        <v>78.496161999999998</v>
      </c>
      <c r="K43" s="3963"/>
      <c r="L43" s="3963">
        <v>-6.2112600000000002</v>
      </c>
      <c r="M43" s="3963">
        <v>97.813975999999997</v>
      </c>
      <c r="N43" s="3285">
        <f t="shared" si="8"/>
        <v>56.095133840000003</v>
      </c>
      <c r="O43" s="3649">
        <v>19.083898000000001</v>
      </c>
      <c r="P43" s="3649">
        <v>5.7051378399999999</v>
      </c>
      <c r="Q43" s="3649">
        <f>16.712409+0.323275</f>
        <v>17.035684</v>
      </c>
      <c r="R43" s="3957">
        <v>14.270414000000001</v>
      </c>
      <c r="S43" s="3283"/>
      <c r="T43" s="3266"/>
      <c r="U43" s="3283"/>
      <c r="V43" s="3283"/>
      <c r="W43" s="3283"/>
      <c r="X43" s="3283"/>
      <c r="Y43" s="3283"/>
      <c r="Z43" s="3288"/>
      <c r="AA43" s="3288"/>
      <c r="AB43" s="3288"/>
      <c r="AC43" s="3288"/>
      <c r="AD43" s="3288"/>
      <c r="AE43" s="3288"/>
      <c r="AF43" s="3292"/>
      <c r="AG43" s="3288"/>
      <c r="AH43" s="3288"/>
      <c r="AI43" s="3288"/>
      <c r="AJ43" s="3292"/>
      <c r="AK43" s="3292"/>
      <c r="AL43" s="3266"/>
      <c r="AM43" s="3266"/>
      <c r="AN43" s="3266"/>
      <c r="AO43" s="3266"/>
      <c r="AP43" s="3292"/>
      <c r="AQ43" s="3292"/>
      <c r="AR43" s="3292"/>
      <c r="AS43" s="3292"/>
      <c r="AT43" s="3292"/>
      <c r="AU43" s="3292"/>
      <c r="AV43" s="3292"/>
      <c r="AW43" s="3292"/>
      <c r="AX43" s="3319"/>
      <c r="AY43" s="3319"/>
      <c r="AZ43" s="3319"/>
      <c r="BA43" s="3292"/>
      <c r="BB43" s="3292"/>
      <c r="BC43" s="3292"/>
      <c r="BD43" s="3292"/>
      <c r="BE43" s="3266"/>
      <c r="BF43" s="3266"/>
      <c r="BG43" s="3266"/>
      <c r="BH43" s="3266"/>
      <c r="BI43" s="3266"/>
      <c r="BJ43" s="3266"/>
      <c r="BK43" s="3266"/>
      <c r="BL43" s="3266"/>
      <c r="BM43" s="3266"/>
      <c r="BN43" s="3266"/>
      <c r="BO43" s="3266"/>
      <c r="BP43" s="3266"/>
      <c r="BQ43" s="3266"/>
      <c r="BR43" s="3266"/>
      <c r="BS43" s="3266"/>
      <c r="BT43" s="3266"/>
      <c r="BU43" s="3266"/>
      <c r="BV43" s="3266"/>
      <c r="BW43" s="3266"/>
      <c r="BX43" s="3266"/>
      <c r="BY43" s="3266"/>
      <c r="BZ43" s="3266"/>
      <c r="CA43" s="3266"/>
      <c r="CB43" s="3266"/>
      <c r="CC43" s="3266"/>
      <c r="CD43" s="3266"/>
      <c r="CE43" s="3266"/>
      <c r="CF43" s="3266"/>
      <c r="CG43" s="3266"/>
      <c r="CH43" s="3266"/>
      <c r="CI43" s="3266"/>
      <c r="CJ43" s="3266"/>
      <c r="CK43" s="3266"/>
      <c r="CL43" s="3266"/>
      <c r="CM43" s="3266"/>
      <c r="CN43" s="3266"/>
      <c r="CO43" s="3266"/>
      <c r="CP43" s="3266"/>
      <c r="CQ43" s="3266"/>
      <c r="CR43" s="3266"/>
      <c r="CS43" s="3266"/>
      <c r="CT43" s="3266"/>
      <c r="CU43" s="3266"/>
      <c r="CV43" s="3266"/>
      <c r="CW43" s="3266"/>
      <c r="CX43" s="3266"/>
      <c r="CY43" s="3266"/>
      <c r="CZ43" s="3266"/>
      <c r="DA43" s="3266"/>
      <c r="DB43" s="3266"/>
      <c r="DC43" s="3266"/>
      <c r="DD43" s="3266"/>
      <c r="DE43" s="3266"/>
      <c r="DF43" s="3266"/>
      <c r="DG43" s="3266"/>
      <c r="DH43" s="3266"/>
      <c r="DI43" s="3266"/>
      <c r="DJ43" s="3266"/>
      <c r="DK43" s="3266"/>
      <c r="DL43" s="3266"/>
      <c r="DM43" s="3266"/>
      <c r="DN43" s="3266"/>
      <c r="DO43" s="3266"/>
      <c r="DP43" s="3266"/>
      <c r="DQ43" s="3266"/>
      <c r="DR43" s="3266"/>
      <c r="DS43" s="3266"/>
      <c r="DT43" s="3266"/>
      <c r="DU43" s="3266"/>
      <c r="DV43" s="3266"/>
      <c r="DW43" s="3266"/>
      <c r="DX43" s="3266"/>
      <c r="DY43" s="3266"/>
      <c r="DZ43" s="3266"/>
      <c r="EA43" s="3266"/>
      <c r="EB43" s="3266"/>
      <c r="EC43" s="3266"/>
      <c r="ED43" s="3266"/>
      <c r="EE43" s="3266"/>
      <c r="EF43" s="3266"/>
      <c r="EG43" s="3266"/>
      <c r="EH43" s="3266"/>
      <c r="EI43" s="3266"/>
      <c r="EJ43" s="3266"/>
      <c r="EK43" s="3266"/>
      <c r="EL43" s="3266"/>
      <c r="EM43" s="3266"/>
      <c r="EN43" s="3266"/>
      <c r="EO43" s="3266"/>
      <c r="EP43" s="3266"/>
      <c r="EQ43" s="3266"/>
      <c r="ER43" s="3266"/>
      <c r="ES43" s="3266"/>
    </row>
    <row r="44" spans="1:149" ht="15.75">
      <c r="A44" s="3270"/>
      <c r="B44" s="3286">
        <v>2013</v>
      </c>
      <c r="C44" s="3285">
        <f>SUM(C45:C56)</f>
        <v>7536.498603</v>
      </c>
      <c r="D44" s="3649">
        <f t="shared" ref="D44:Q44" si="9">SUM(D45:D56)</f>
        <v>333.19668000000001</v>
      </c>
      <c r="E44" s="3649">
        <f t="shared" si="9"/>
        <v>1910.1079999999999</v>
      </c>
      <c r="F44" s="3649"/>
      <c r="G44" s="3649">
        <f t="shared" si="9"/>
        <v>378.60303099999993</v>
      </c>
      <c r="H44" s="3649">
        <f t="shared" si="9"/>
        <v>4914.5908920000011</v>
      </c>
      <c r="I44" s="3962">
        <f>SUM(I45:I56)</f>
        <v>11011.415583030001</v>
      </c>
      <c r="J44" s="3963">
        <f>SUM(J45:J56)</f>
        <v>3597.9133879999999</v>
      </c>
      <c r="K44" s="3963"/>
      <c r="L44" s="3963">
        <f t="shared" si="9"/>
        <v>301.39164</v>
      </c>
      <c r="M44" s="3963">
        <f t="shared" si="9"/>
        <v>7112.1105550300008</v>
      </c>
      <c r="N44" s="3285">
        <f t="shared" si="9"/>
        <v>1091.7936369364761</v>
      </c>
      <c r="O44" s="3649">
        <f>SUM(O45:O56)</f>
        <v>410.58848384999999</v>
      </c>
      <c r="P44" s="3649">
        <f t="shared" si="9"/>
        <v>129.86427122999999</v>
      </c>
      <c r="Q44" s="3649">
        <f t="shared" si="9"/>
        <v>203.99881138647601</v>
      </c>
      <c r="R44" s="3957">
        <f>SUM(R45:R56)</f>
        <v>347.34207047000001</v>
      </c>
      <c r="S44" s="3283"/>
      <c r="T44" s="3266"/>
      <c r="U44" s="3283"/>
      <c r="V44" s="3283"/>
      <c r="W44" s="3283"/>
      <c r="X44" s="3283"/>
      <c r="Y44" s="3283"/>
      <c r="Z44" s="3288"/>
      <c r="AA44" s="3288"/>
      <c r="AB44" s="3288"/>
      <c r="AC44" s="3288"/>
      <c r="AD44" s="3288"/>
      <c r="AE44" s="3288"/>
      <c r="AF44" s="3292"/>
      <c r="AG44" s="3288"/>
      <c r="AH44" s="3288"/>
      <c r="AI44" s="3288"/>
      <c r="AJ44" s="3292"/>
      <c r="AK44" s="3292"/>
      <c r="AL44" s="3266"/>
      <c r="AM44" s="3266"/>
      <c r="AN44" s="3266"/>
      <c r="AO44" s="3266"/>
      <c r="AP44" s="3292"/>
      <c r="AQ44" s="3292"/>
      <c r="AR44" s="3292"/>
      <c r="AS44" s="3292"/>
      <c r="AT44" s="3292"/>
      <c r="AU44" s="3292"/>
      <c r="AV44" s="3292"/>
      <c r="AW44" s="3292"/>
      <c r="AX44" s="3319"/>
      <c r="AY44" s="3319"/>
      <c r="AZ44" s="3319"/>
      <c r="BA44" s="3292"/>
      <c r="BB44" s="3292"/>
      <c r="BC44" s="3292"/>
      <c r="BD44" s="3292"/>
      <c r="BE44" s="3266"/>
      <c r="BF44" s="3266"/>
      <c r="BG44" s="3266"/>
      <c r="BH44" s="3266"/>
      <c r="BI44" s="3266"/>
      <c r="BJ44" s="3266"/>
      <c r="BK44" s="3266"/>
      <c r="BL44" s="3266"/>
      <c r="BM44" s="3266"/>
      <c r="BN44" s="3266"/>
      <c r="BO44" s="3266"/>
      <c r="BP44" s="3266"/>
      <c r="BQ44" s="3266"/>
      <c r="BR44" s="3266"/>
      <c r="BS44" s="3266"/>
      <c r="BT44" s="3266"/>
      <c r="BU44" s="3266"/>
      <c r="BV44" s="3266"/>
      <c r="BW44" s="3266"/>
      <c r="BX44" s="3266"/>
      <c r="BY44" s="3266"/>
      <c r="BZ44" s="3266"/>
      <c r="CA44" s="3266"/>
      <c r="CB44" s="3266"/>
      <c r="CC44" s="3266"/>
      <c r="CD44" s="3266"/>
      <c r="CE44" s="3266"/>
      <c r="CF44" s="3266"/>
      <c r="CG44" s="3266"/>
      <c r="CH44" s="3266"/>
      <c r="CI44" s="3266"/>
      <c r="CJ44" s="3266"/>
      <c r="CK44" s="3266"/>
      <c r="CL44" s="3266"/>
      <c r="CM44" s="3266"/>
      <c r="CN44" s="3266"/>
      <c r="CO44" s="3266"/>
      <c r="CP44" s="3266"/>
      <c r="CQ44" s="3266"/>
      <c r="CR44" s="3266"/>
      <c r="CS44" s="3266"/>
      <c r="CT44" s="3266"/>
      <c r="CU44" s="3266"/>
      <c r="CV44" s="3266"/>
      <c r="CW44" s="3266"/>
      <c r="CX44" s="3266"/>
      <c r="CY44" s="3266"/>
      <c r="CZ44" s="3266"/>
      <c r="DA44" s="3266"/>
      <c r="DB44" s="3266"/>
      <c r="DC44" s="3266"/>
      <c r="DD44" s="3266"/>
      <c r="DE44" s="3266"/>
      <c r="DF44" s="3266"/>
      <c r="DG44" s="3266"/>
      <c r="DH44" s="3266"/>
      <c r="DI44" s="3266"/>
      <c r="DJ44" s="3266"/>
      <c r="DK44" s="3266"/>
      <c r="DL44" s="3266"/>
      <c r="DM44" s="3266"/>
      <c r="DN44" s="3266"/>
      <c r="DO44" s="3266"/>
      <c r="DP44" s="3266"/>
      <c r="DQ44" s="3266"/>
      <c r="DR44" s="3266"/>
      <c r="DS44" s="3266"/>
      <c r="DT44" s="3266"/>
      <c r="DU44" s="3266"/>
      <c r="DV44" s="3266"/>
      <c r="DW44" s="3266"/>
      <c r="DX44" s="3266"/>
      <c r="DY44" s="3266"/>
      <c r="DZ44" s="3266"/>
      <c r="EA44" s="3266"/>
      <c r="EB44" s="3266"/>
      <c r="EC44" s="3266"/>
      <c r="ED44" s="3266"/>
      <c r="EE44" s="3266"/>
      <c r="EF44" s="3266"/>
      <c r="EG44" s="3266"/>
      <c r="EH44" s="3266"/>
      <c r="EI44" s="3266"/>
      <c r="EJ44" s="3266"/>
      <c r="EK44" s="3266"/>
      <c r="EL44" s="3266"/>
      <c r="EM44" s="3266"/>
      <c r="EN44" s="3266"/>
      <c r="EO44" s="3266"/>
      <c r="EP44" s="3266"/>
      <c r="EQ44" s="3266"/>
      <c r="ER44" s="3266"/>
      <c r="ES44" s="3266"/>
    </row>
    <row r="45" spans="1:149" ht="15.75">
      <c r="A45" s="3270"/>
      <c r="B45" s="3279" t="s">
        <v>161</v>
      </c>
      <c r="C45" s="3285">
        <f t="shared" si="3"/>
        <v>204.69179299999999</v>
      </c>
      <c r="D45" s="3649">
        <v>12.83968</v>
      </c>
      <c r="E45" s="3649">
        <v>49.561</v>
      </c>
      <c r="F45" s="3649"/>
      <c r="G45" s="3649">
        <v>13.317012999999999</v>
      </c>
      <c r="H45" s="3649">
        <v>128.97409999999999</v>
      </c>
      <c r="I45" s="3962">
        <f>J45+L45+M45</f>
        <v>57.961266999999999</v>
      </c>
      <c r="J45" s="3963">
        <v>33.912275999999999</v>
      </c>
      <c r="K45" s="3963"/>
      <c r="L45" s="3963">
        <v>-11.583</v>
      </c>
      <c r="M45" s="3963">
        <v>35.631990999999999</v>
      </c>
      <c r="N45" s="3285">
        <f>SUM(O45:R45)</f>
        <v>48.424271529999999</v>
      </c>
      <c r="O45" s="3649">
        <v>15.174168999999999</v>
      </c>
      <c r="P45" s="3649">
        <v>5.7226735299999998</v>
      </c>
      <c r="Q45" s="3649">
        <f>0.256566+13.233824</f>
        <v>13.49039</v>
      </c>
      <c r="R45" s="3957">
        <v>14.037039</v>
      </c>
      <c r="S45" s="3283"/>
      <c r="T45" s="3266"/>
      <c r="U45" s="3283"/>
      <c r="V45" s="3283"/>
      <c r="W45" s="3283"/>
      <c r="X45" s="3283"/>
      <c r="Y45" s="3283"/>
      <c r="Z45" s="3288"/>
      <c r="AA45" s="3288"/>
      <c r="AB45" s="3288"/>
      <c r="AC45" s="3288"/>
      <c r="AD45" s="3288"/>
      <c r="AE45" s="3288"/>
      <c r="AF45" s="3292"/>
      <c r="AG45" s="3288"/>
      <c r="AH45" s="3288"/>
      <c r="AI45" s="3288"/>
      <c r="AJ45" s="3292"/>
      <c r="AK45" s="3292"/>
      <c r="AL45" s="3266"/>
      <c r="AM45" s="3266"/>
      <c r="AN45" s="3266"/>
      <c r="AO45" s="3266"/>
      <c r="AP45" s="3292"/>
      <c r="AQ45" s="3292"/>
      <c r="AR45" s="3292"/>
      <c r="AS45" s="3292"/>
      <c r="AT45" s="3292"/>
      <c r="AU45" s="3292"/>
      <c r="AV45" s="3292"/>
      <c r="AW45" s="3292"/>
      <c r="AX45" s="3319"/>
      <c r="AY45" s="3319"/>
      <c r="AZ45" s="3319"/>
      <c r="BA45" s="3292"/>
      <c r="BB45" s="3292"/>
      <c r="BC45" s="3292"/>
      <c r="BD45" s="3292"/>
      <c r="BE45" s="3266"/>
      <c r="BF45" s="3266"/>
      <c r="BG45" s="3266"/>
      <c r="BH45" s="3266"/>
      <c r="BI45" s="3266"/>
      <c r="BJ45" s="3266"/>
      <c r="BK45" s="3266"/>
      <c r="BL45" s="3266"/>
      <c r="BM45" s="3266"/>
      <c r="BN45" s="3266"/>
      <c r="BO45" s="3266"/>
      <c r="BP45" s="3266"/>
      <c r="BQ45" s="3266"/>
      <c r="BR45" s="3266"/>
      <c r="BS45" s="3266"/>
      <c r="BT45" s="3266"/>
      <c r="BU45" s="3266"/>
      <c r="BV45" s="3266"/>
      <c r="BW45" s="3266"/>
      <c r="BX45" s="3266"/>
      <c r="BY45" s="3266"/>
      <c r="BZ45" s="3266"/>
      <c r="CA45" s="3266"/>
      <c r="CB45" s="3266"/>
      <c r="CC45" s="3266"/>
      <c r="CD45" s="3266"/>
      <c r="CE45" s="3266"/>
      <c r="CF45" s="3266"/>
      <c r="CG45" s="3266"/>
      <c r="CH45" s="3266"/>
      <c r="CI45" s="3266"/>
      <c r="CJ45" s="3266"/>
      <c r="CK45" s="3266"/>
      <c r="CL45" s="3266"/>
      <c r="CM45" s="3266"/>
      <c r="CN45" s="3266"/>
      <c r="CO45" s="3266"/>
      <c r="CP45" s="3266"/>
      <c r="CQ45" s="3266"/>
      <c r="CR45" s="3266"/>
      <c r="CS45" s="3266"/>
      <c r="CT45" s="3266"/>
      <c r="CU45" s="3266"/>
      <c r="CV45" s="3266"/>
      <c r="CW45" s="3266"/>
      <c r="CX45" s="3266"/>
      <c r="CY45" s="3266"/>
      <c r="CZ45" s="3266"/>
      <c r="DA45" s="3266"/>
      <c r="DB45" s="3266"/>
      <c r="DC45" s="3266"/>
      <c r="DD45" s="3266"/>
      <c r="DE45" s="3266"/>
      <c r="DF45" s="3266"/>
      <c r="DG45" s="3266"/>
      <c r="DH45" s="3266"/>
      <c r="DI45" s="3266"/>
      <c r="DJ45" s="3266"/>
      <c r="DK45" s="3266"/>
      <c r="DL45" s="3266"/>
      <c r="DM45" s="3266"/>
      <c r="DN45" s="3266"/>
      <c r="DO45" s="3266"/>
      <c r="DP45" s="3266"/>
      <c r="DQ45" s="3266"/>
      <c r="DR45" s="3266"/>
      <c r="DS45" s="3266"/>
      <c r="DT45" s="3266"/>
      <c r="DU45" s="3266"/>
      <c r="DV45" s="3266"/>
      <c r="DW45" s="3266"/>
      <c r="DX45" s="3266"/>
      <c r="DY45" s="3266"/>
      <c r="DZ45" s="3266"/>
      <c r="EA45" s="3266"/>
      <c r="EB45" s="3266"/>
      <c r="EC45" s="3266"/>
      <c r="ED45" s="3266"/>
      <c r="EE45" s="3266"/>
      <c r="EF45" s="3266"/>
      <c r="EG45" s="3266"/>
      <c r="EH45" s="3266"/>
      <c r="EI45" s="3266"/>
      <c r="EJ45" s="3266"/>
      <c r="EK45" s="3266"/>
      <c r="EL45" s="3266"/>
      <c r="EM45" s="3266"/>
      <c r="EN45" s="3266"/>
      <c r="EO45" s="3266"/>
      <c r="EP45" s="3266"/>
      <c r="EQ45" s="3266"/>
      <c r="ER45" s="3266"/>
      <c r="ES45" s="3266"/>
    </row>
    <row r="46" spans="1:149" ht="15.75">
      <c r="A46" s="3270"/>
      <c r="B46" s="3279" t="s">
        <v>162</v>
      </c>
      <c r="C46" s="3285">
        <f t="shared" si="3"/>
        <v>182.810293</v>
      </c>
      <c r="D46" s="3649">
        <v>10.20152</v>
      </c>
      <c r="E46" s="3649">
        <v>50.555999999999997</v>
      </c>
      <c r="F46" s="3649"/>
      <c r="G46" s="3649">
        <v>10.900373</v>
      </c>
      <c r="H46" s="3649">
        <v>111.1524</v>
      </c>
      <c r="I46" s="3962">
        <f t="shared" si="5"/>
        <v>58.257270999999989</v>
      </c>
      <c r="J46" s="3963">
        <v>43.121803999999997</v>
      </c>
      <c r="K46" s="3963"/>
      <c r="L46" s="3963">
        <v>-6.9280200000000001</v>
      </c>
      <c r="M46" s="3963">
        <v>22.063486999999999</v>
      </c>
      <c r="N46" s="3285">
        <f>SUM(O46:R46)</f>
        <v>40.834751390000001</v>
      </c>
      <c r="O46" s="3649">
        <v>12.040906</v>
      </c>
      <c r="P46" s="3649">
        <v>4.9091403900000001</v>
      </c>
      <c r="Q46" s="3649">
        <f>0.210007+10.865024</f>
        <v>11.075030999999999</v>
      </c>
      <c r="R46" s="3957">
        <v>12.809673999999999</v>
      </c>
      <c r="S46" s="3283"/>
      <c r="T46" s="3266"/>
      <c r="U46" s="3283"/>
      <c r="V46" s="3283"/>
      <c r="W46" s="3283"/>
      <c r="X46" s="3283"/>
      <c r="Y46" s="3283"/>
      <c r="Z46" s="3288"/>
      <c r="AA46" s="3288"/>
      <c r="AB46" s="3288"/>
      <c r="AC46" s="3288"/>
      <c r="AD46" s="3288"/>
      <c r="AE46" s="3288"/>
      <c r="AF46" s="3292"/>
      <c r="AG46" s="3288"/>
      <c r="AH46" s="3288"/>
      <c r="AI46" s="3288"/>
      <c r="AJ46" s="3292"/>
      <c r="AK46" s="3292"/>
      <c r="AL46" s="3266"/>
      <c r="AM46" s="3266"/>
      <c r="AN46" s="3266"/>
      <c r="AO46" s="3266"/>
      <c r="AP46" s="3292"/>
      <c r="AQ46" s="3292"/>
      <c r="AR46" s="3292"/>
      <c r="AS46" s="3292"/>
      <c r="AT46" s="3292"/>
      <c r="AU46" s="3292"/>
      <c r="AV46" s="3292"/>
      <c r="AW46" s="3292"/>
      <c r="AX46" s="3319"/>
      <c r="AY46" s="3319"/>
      <c r="AZ46" s="3319"/>
      <c r="BA46" s="3292"/>
      <c r="BB46" s="3292"/>
      <c r="BC46" s="3292"/>
      <c r="BD46" s="3292"/>
      <c r="BE46" s="3266"/>
      <c r="BF46" s="3266"/>
      <c r="BG46" s="3266"/>
      <c r="BH46" s="3266"/>
      <c r="BI46" s="3266"/>
      <c r="BJ46" s="3266"/>
      <c r="BK46" s="3266"/>
      <c r="BL46" s="3266"/>
      <c r="BM46" s="3266"/>
      <c r="BN46" s="3266"/>
      <c r="BO46" s="3266"/>
      <c r="BP46" s="3266"/>
      <c r="BQ46" s="3266"/>
      <c r="BR46" s="3266"/>
      <c r="BS46" s="3266"/>
      <c r="BT46" s="3266"/>
      <c r="BU46" s="3266"/>
      <c r="BV46" s="3266"/>
      <c r="BW46" s="3266"/>
      <c r="BX46" s="3266"/>
      <c r="BY46" s="3266"/>
      <c r="BZ46" s="3266"/>
      <c r="CA46" s="3266"/>
      <c r="CB46" s="3266"/>
      <c r="CC46" s="3266"/>
      <c r="CD46" s="3266"/>
      <c r="CE46" s="3266"/>
      <c r="CF46" s="3266"/>
      <c r="CG46" s="3266"/>
      <c r="CH46" s="3266"/>
      <c r="CI46" s="3266"/>
      <c r="CJ46" s="3266"/>
      <c r="CK46" s="3266"/>
      <c r="CL46" s="3266"/>
      <c r="CM46" s="3266"/>
      <c r="CN46" s="3266"/>
      <c r="CO46" s="3266"/>
      <c r="CP46" s="3266"/>
      <c r="CQ46" s="3266"/>
      <c r="CR46" s="3266"/>
      <c r="CS46" s="3266"/>
      <c r="CT46" s="3266"/>
      <c r="CU46" s="3266"/>
      <c r="CV46" s="3266"/>
      <c r="CW46" s="3266"/>
      <c r="CX46" s="3266"/>
      <c r="CY46" s="3266"/>
      <c r="CZ46" s="3266"/>
      <c r="DA46" s="3266"/>
      <c r="DB46" s="3266"/>
      <c r="DC46" s="3266"/>
      <c r="DD46" s="3266"/>
      <c r="DE46" s="3266"/>
      <c r="DF46" s="3266"/>
      <c r="DG46" s="3266"/>
      <c r="DH46" s="3266"/>
      <c r="DI46" s="3266"/>
      <c r="DJ46" s="3266"/>
      <c r="DK46" s="3266"/>
      <c r="DL46" s="3266"/>
      <c r="DM46" s="3266"/>
      <c r="DN46" s="3266"/>
      <c r="DO46" s="3266"/>
      <c r="DP46" s="3266"/>
      <c r="DQ46" s="3266"/>
      <c r="DR46" s="3266"/>
      <c r="DS46" s="3266"/>
      <c r="DT46" s="3266"/>
      <c r="DU46" s="3266"/>
      <c r="DV46" s="3266"/>
      <c r="DW46" s="3266"/>
      <c r="DX46" s="3266"/>
      <c r="DY46" s="3266"/>
      <c r="DZ46" s="3266"/>
      <c r="EA46" s="3266"/>
      <c r="EB46" s="3266"/>
      <c r="EC46" s="3266"/>
      <c r="ED46" s="3266"/>
      <c r="EE46" s="3266"/>
      <c r="EF46" s="3266"/>
      <c r="EG46" s="3266"/>
      <c r="EH46" s="3266"/>
      <c r="EI46" s="3266"/>
      <c r="EJ46" s="3266"/>
      <c r="EK46" s="3266"/>
      <c r="EL46" s="3266"/>
      <c r="EM46" s="3266"/>
      <c r="EN46" s="3266"/>
      <c r="EO46" s="3266"/>
      <c r="EP46" s="3266"/>
      <c r="EQ46" s="3266"/>
      <c r="ER46" s="3266"/>
      <c r="ES46" s="3266"/>
    </row>
    <row r="47" spans="1:149" ht="15.75">
      <c r="A47" s="3270"/>
      <c r="B47" s="3279" t="s">
        <v>163</v>
      </c>
      <c r="C47" s="3285">
        <f t="shared" si="3"/>
        <v>225.38406600000002</v>
      </c>
      <c r="D47" s="3649">
        <v>12.263640000000001</v>
      </c>
      <c r="E47" s="3649">
        <v>63.353000000000002</v>
      </c>
      <c r="F47" s="3649"/>
      <c r="G47" s="3649">
        <v>15.292726</v>
      </c>
      <c r="H47" s="3649">
        <v>134.47470000000001</v>
      </c>
      <c r="I47" s="3962">
        <f t="shared" si="5"/>
        <v>104.15387200000001</v>
      </c>
      <c r="J47" s="3963">
        <v>75.686447999999999</v>
      </c>
      <c r="K47" s="3963"/>
      <c r="L47" s="3963">
        <v>-9.8703000000000003</v>
      </c>
      <c r="M47" s="3963">
        <v>38.337724000000001</v>
      </c>
      <c r="N47" s="3285">
        <f t="shared" ref="N47:N48" si="10">SUM(O47:R47)</f>
        <v>49.333214920000003</v>
      </c>
      <c r="O47" s="3649">
        <v>14.490270000000001</v>
      </c>
      <c r="P47" s="3649">
        <v>4.5031579199999996</v>
      </c>
      <c r="Q47" s="3649">
        <f>15.264119+0.29463</f>
        <v>15.558749000000001</v>
      </c>
      <c r="R47" s="3957">
        <v>14.781038000000001</v>
      </c>
      <c r="S47" s="3283"/>
      <c r="T47" s="3266"/>
      <c r="U47" s="3283"/>
      <c r="V47" s="3283"/>
      <c r="W47" s="3283"/>
      <c r="X47" s="3283"/>
      <c r="Y47" s="3283"/>
      <c r="Z47" s="3288"/>
      <c r="AA47" s="3288"/>
      <c r="AB47" s="3288"/>
      <c r="AC47" s="3288"/>
      <c r="AD47" s="3288"/>
      <c r="AE47" s="3288"/>
      <c r="AF47" s="3292"/>
      <c r="AG47" s="3288"/>
      <c r="AH47" s="3288"/>
      <c r="AI47" s="3288"/>
      <c r="AJ47" s="3292"/>
      <c r="AK47" s="3292"/>
      <c r="AL47" s="3266"/>
      <c r="AM47" s="3266"/>
      <c r="AN47" s="3266"/>
      <c r="AO47" s="3266"/>
      <c r="AP47" s="3292"/>
      <c r="AQ47" s="3292"/>
      <c r="AR47" s="3292"/>
      <c r="AS47" s="3292"/>
      <c r="AT47" s="3292"/>
      <c r="AU47" s="3292"/>
      <c r="AV47" s="3292"/>
      <c r="AW47" s="3292"/>
      <c r="AX47" s="3319"/>
      <c r="AY47" s="3319"/>
      <c r="AZ47" s="3319"/>
      <c r="BA47" s="3292"/>
      <c r="BB47" s="3292"/>
      <c r="BC47" s="3292"/>
      <c r="BD47" s="3292"/>
      <c r="BE47" s="3266"/>
      <c r="BF47" s="3266"/>
      <c r="BG47" s="3266"/>
      <c r="BH47" s="3266"/>
      <c r="BI47" s="3266"/>
      <c r="BJ47" s="3266"/>
      <c r="BK47" s="3266"/>
      <c r="BL47" s="3266"/>
      <c r="BM47" s="3266"/>
      <c r="BN47" s="3266"/>
      <c r="BO47" s="3266"/>
      <c r="BP47" s="3266"/>
      <c r="BQ47" s="3266"/>
      <c r="BR47" s="3266"/>
      <c r="BS47" s="3266"/>
      <c r="BT47" s="3266"/>
      <c r="BU47" s="3266"/>
      <c r="BV47" s="3266"/>
      <c r="BW47" s="3266"/>
      <c r="BX47" s="3266"/>
      <c r="BY47" s="3266"/>
      <c r="BZ47" s="3266"/>
      <c r="CA47" s="3266"/>
      <c r="CB47" s="3266"/>
      <c r="CC47" s="3266"/>
      <c r="CD47" s="3266"/>
      <c r="CE47" s="3266"/>
      <c r="CF47" s="3266"/>
      <c r="CG47" s="3266"/>
      <c r="CH47" s="3266"/>
      <c r="CI47" s="3266"/>
      <c r="CJ47" s="3266"/>
      <c r="CK47" s="3266"/>
      <c r="CL47" s="3266"/>
      <c r="CM47" s="3266"/>
      <c r="CN47" s="3266"/>
      <c r="CO47" s="3266"/>
      <c r="CP47" s="3266"/>
      <c r="CQ47" s="3266"/>
      <c r="CR47" s="3266"/>
      <c r="CS47" s="3266"/>
      <c r="CT47" s="3266"/>
      <c r="CU47" s="3266"/>
      <c r="CV47" s="3266"/>
      <c r="CW47" s="3266"/>
      <c r="CX47" s="3266"/>
      <c r="CY47" s="3266"/>
      <c r="CZ47" s="3266"/>
      <c r="DA47" s="3266"/>
      <c r="DB47" s="3266"/>
      <c r="DC47" s="3266"/>
      <c r="DD47" s="3266"/>
      <c r="DE47" s="3266"/>
      <c r="DF47" s="3266"/>
      <c r="DG47" s="3266"/>
      <c r="DH47" s="3266"/>
      <c r="DI47" s="3266"/>
      <c r="DJ47" s="3266"/>
      <c r="DK47" s="3266"/>
      <c r="DL47" s="3266"/>
      <c r="DM47" s="3266"/>
      <c r="DN47" s="3266"/>
      <c r="DO47" s="3266"/>
      <c r="DP47" s="3266"/>
      <c r="DQ47" s="3266"/>
      <c r="DR47" s="3266"/>
      <c r="DS47" s="3266"/>
      <c r="DT47" s="3266"/>
      <c r="DU47" s="3266"/>
      <c r="DV47" s="3266"/>
      <c r="DW47" s="3266"/>
      <c r="DX47" s="3266"/>
      <c r="DY47" s="3266"/>
      <c r="DZ47" s="3266"/>
      <c r="EA47" s="3266"/>
      <c r="EB47" s="3266"/>
      <c r="EC47" s="3266"/>
      <c r="ED47" s="3266"/>
      <c r="EE47" s="3266"/>
      <c r="EF47" s="3266"/>
      <c r="EG47" s="3266"/>
      <c r="EH47" s="3266"/>
      <c r="EI47" s="3266"/>
      <c r="EJ47" s="3266"/>
      <c r="EK47" s="3266"/>
      <c r="EL47" s="3266"/>
      <c r="EM47" s="3266"/>
      <c r="EN47" s="3266"/>
      <c r="EO47" s="3266"/>
      <c r="EP47" s="3266"/>
      <c r="EQ47" s="3266"/>
      <c r="ER47" s="3266"/>
      <c r="ES47" s="3266"/>
    </row>
    <row r="48" spans="1:149" ht="15.75">
      <c r="A48" s="3270"/>
      <c r="B48" s="3279" t="s">
        <v>164</v>
      </c>
      <c r="C48" s="3285">
        <f t="shared" si="3"/>
        <v>343.30497400000002</v>
      </c>
      <c r="D48" s="3649">
        <v>12.263640000000001</v>
      </c>
      <c r="E48" s="3649">
        <f>99.851</f>
        <v>99.850999999999999</v>
      </c>
      <c r="F48" s="3649"/>
      <c r="G48" s="3649">
        <v>22.131433999999999</v>
      </c>
      <c r="H48" s="3649">
        <v>209.05889999999999</v>
      </c>
      <c r="I48" s="3962">
        <f t="shared" si="5"/>
        <v>367.76023499999997</v>
      </c>
      <c r="J48" s="3963">
        <v>154.436688</v>
      </c>
      <c r="K48" s="3963"/>
      <c r="L48" s="3963">
        <v>3.88476</v>
      </c>
      <c r="M48" s="3963">
        <v>209.43878699999999</v>
      </c>
      <c r="N48" s="3285">
        <f t="shared" si="10"/>
        <v>52.385175359999998</v>
      </c>
      <c r="O48" s="3649">
        <v>14.49027048</v>
      </c>
      <c r="P48" s="3649">
        <v>4.3320748800000004</v>
      </c>
      <c r="Q48" s="3649">
        <f>0.426384+19.68656</f>
        <v>20.112943999999999</v>
      </c>
      <c r="R48" s="3957">
        <v>13.449885999999999</v>
      </c>
      <c r="S48" s="3283"/>
      <c r="T48" s="3266"/>
      <c r="U48" s="3283"/>
      <c r="V48" s="3283"/>
      <c r="W48" s="3283"/>
      <c r="X48" s="3283"/>
      <c r="Y48" s="3283"/>
      <c r="Z48" s="3288"/>
      <c r="AA48" s="3288"/>
      <c r="AB48" s="3288"/>
      <c r="AC48" s="3288"/>
      <c r="AD48" s="3288"/>
      <c r="AE48" s="3288"/>
      <c r="AF48" s="3292"/>
      <c r="AG48" s="3288"/>
      <c r="AH48" s="3288"/>
      <c r="AI48" s="3288"/>
      <c r="AJ48" s="3292"/>
      <c r="AK48" s="3292"/>
      <c r="AL48" s="3266"/>
      <c r="AM48" s="3266"/>
      <c r="AN48" s="3266"/>
      <c r="AO48" s="3266"/>
      <c r="AP48" s="3292"/>
      <c r="AQ48" s="3292"/>
      <c r="AR48" s="3292"/>
      <c r="AS48" s="3292"/>
      <c r="AT48" s="3292"/>
      <c r="AU48" s="3292"/>
      <c r="AV48" s="3292"/>
      <c r="AW48" s="3292"/>
      <c r="AX48" s="3319"/>
      <c r="AY48" s="3319"/>
      <c r="AZ48" s="3319"/>
      <c r="BA48" s="3292"/>
      <c r="BB48" s="3292"/>
      <c r="BC48" s="3292"/>
      <c r="BD48" s="3292"/>
      <c r="BE48" s="3266"/>
      <c r="BF48" s="3266"/>
      <c r="BG48" s="3266"/>
      <c r="BH48" s="3266"/>
      <c r="BI48" s="3266"/>
      <c r="BJ48" s="3266"/>
      <c r="BK48" s="3266"/>
      <c r="BL48" s="3266"/>
      <c r="BM48" s="3266"/>
      <c r="BN48" s="3266"/>
      <c r="BO48" s="3266"/>
      <c r="BP48" s="3266"/>
      <c r="BQ48" s="3266"/>
      <c r="BR48" s="3266"/>
      <c r="BS48" s="3266"/>
      <c r="BT48" s="3266"/>
      <c r="BU48" s="3266"/>
      <c r="BV48" s="3266"/>
      <c r="BW48" s="3266"/>
      <c r="BX48" s="3266"/>
      <c r="BY48" s="3266"/>
      <c r="BZ48" s="3266"/>
      <c r="CA48" s="3266"/>
      <c r="CB48" s="3266"/>
      <c r="CC48" s="3266"/>
      <c r="CD48" s="3266"/>
      <c r="CE48" s="3266"/>
      <c r="CF48" s="3266"/>
      <c r="CG48" s="3266"/>
      <c r="CH48" s="3266"/>
      <c r="CI48" s="3266"/>
      <c r="CJ48" s="3266"/>
      <c r="CK48" s="3266"/>
      <c r="CL48" s="3266"/>
      <c r="CM48" s="3266"/>
      <c r="CN48" s="3266"/>
      <c r="CO48" s="3266"/>
      <c r="CP48" s="3266"/>
      <c r="CQ48" s="3266"/>
      <c r="CR48" s="3266"/>
      <c r="CS48" s="3266"/>
      <c r="CT48" s="3266"/>
      <c r="CU48" s="3266"/>
      <c r="CV48" s="3266"/>
      <c r="CW48" s="3266"/>
      <c r="CX48" s="3266"/>
      <c r="CY48" s="3266"/>
      <c r="CZ48" s="3266"/>
      <c r="DA48" s="3266"/>
      <c r="DB48" s="3266"/>
      <c r="DC48" s="3266"/>
      <c r="DD48" s="3266"/>
      <c r="DE48" s="3266"/>
      <c r="DF48" s="3266"/>
      <c r="DG48" s="3266"/>
      <c r="DH48" s="3266"/>
      <c r="DI48" s="3266"/>
      <c r="DJ48" s="3266"/>
      <c r="DK48" s="3266"/>
      <c r="DL48" s="3266"/>
      <c r="DM48" s="3266"/>
      <c r="DN48" s="3266"/>
      <c r="DO48" s="3266"/>
      <c r="DP48" s="3266"/>
      <c r="DQ48" s="3266"/>
      <c r="DR48" s="3266"/>
      <c r="DS48" s="3266"/>
      <c r="DT48" s="3266"/>
      <c r="DU48" s="3266"/>
      <c r="DV48" s="3266"/>
      <c r="DW48" s="3266"/>
      <c r="DX48" s="3266"/>
      <c r="DY48" s="3266"/>
      <c r="DZ48" s="3266"/>
      <c r="EA48" s="3266"/>
      <c r="EB48" s="3266"/>
      <c r="EC48" s="3266"/>
      <c r="ED48" s="3266"/>
      <c r="EE48" s="3266"/>
      <c r="EF48" s="3266"/>
      <c r="EG48" s="3266"/>
      <c r="EH48" s="3266"/>
      <c r="EI48" s="3266"/>
      <c r="EJ48" s="3266"/>
      <c r="EK48" s="3266"/>
      <c r="EL48" s="3266"/>
      <c r="EM48" s="3266"/>
      <c r="EN48" s="3266"/>
      <c r="EO48" s="3266"/>
      <c r="EP48" s="3266"/>
      <c r="EQ48" s="3266"/>
      <c r="ER48" s="3266"/>
      <c r="ES48" s="3266"/>
    </row>
    <row r="49" spans="1:149" ht="15.75">
      <c r="A49" s="3270"/>
      <c r="B49" s="3279" t="s">
        <v>165</v>
      </c>
      <c r="C49" s="3285">
        <f t="shared" si="3"/>
        <v>582.30727200000001</v>
      </c>
      <c r="D49" s="3649">
        <v>18.809999999999999</v>
      </c>
      <c r="E49" s="3649">
        <v>163.191</v>
      </c>
      <c r="F49" s="3649"/>
      <c r="G49" s="3649">
        <v>40.032772000000001</v>
      </c>
      <c r="H49" s="3649">
        <v>360.27350000000001</v>
      </c>
      <c r="I49" s="3962">
        <f t="shared" si="5"/>
        <v>843.64375699999994</v>
      </c>
      <c r="J49" s="3963">
        <v>294.39877799999999</v>
      </c>
      <c r="K49" s="3963"/>
      <c r="L49" s="3963">
        <v>43.997579999999999</v>
      </c>
      <c r="M49" s="3963">
        <v>505.24739899999997</v>
      </c>
      <c r="N49" s="3285">
        <f t="shared" ref="N49:N54" si="11">SUM(O49:R49)</f>
        <v>84.092610899999997</v>
      </c>
      <c r="O49" s="3649">
        <f>'[16]Progress report-MAY2013'!$T$18</f>
        <v>22.245506399999996</v>
      </c>
      <c r="P49" s="3649">
        <v>33.455629500000001</v>
      </c>
      <c r="Q49" s="3649">
        <f>0.771271+13.618894</f>
        <v>14.390165</v>
      </c>
      <c r="R49" s="3957">
        <v>14.00131</v>
      </c>
      <c r="S49" s="3266"/>
      <c r="T49" s="3266"/>
      <c r="U49" s="3283"/>
      <c r="V49" s="3283"/>
      <c r="W49" s="3283"/>
      <c r="X49" s="3283"/>
      <c r="Y49" s="3283"/>
      <c r="Z49" s="3288"/>
      <c r="AA49" s="3288"/>
      <c r="AB49" s="3288"/>
      <c r="AC49" s="3288"/>
      <c r="AD49" s="3288"/>
      <c r="AE49" s="3288"/>
      <c r="AF49" s="3292"/>
      <c r="AG49" s="3288"/>
      <c r="AH49" s="3288"/>
      <c r="AI49" s="3288"/>
      <c r="AJ49" s="3292"/>
      <c r="AK49" s="3292"/>
      <c r="AL49" s="3266"/>
      <c r="AM49" s="3266"/>
      <c r="AN49" s="3266"/>
      <c r="AO49" s="3266"/>
      <c r="AP49" s="3292"/>
      <c r="AQ49" s="3292"/>
      <c r="AR49" s="3292"/>
      <c r="AS49" s="3292"/>
      <c r="AT49" s="3292"/>
      <c r="AU49" s="3292"/>
      <c r="AV49" s="3292"/>
      <c r="AW49" s="3292"/>
      <c r="AX49" s="3319"/>
      <c r="AY49" s="3319"/>
      <c r="AZ49" s="3319"/>
      <c r="BA49" s="3292"/>
      <c r="BB49" s="3292"/>
      <c r="BC49" s="3292"/>
      <c r="BD49" s="3292"/>
      <c r="BE49" s="3266"/>
      <c r="BF49" s="3266"/>
      <c r="BG49" s="3266"/>
      <c r="BH49" s="3266"/>
      <c r="BI49" s="3266"/>
      <c r="BJ49" s="3266"/>
      <c r="BK49" s="3266"/>
      <c r="BL49" s="3266"/>
      <c r="BM49" s="3266"/>
      <c r="BN49" s="3266"/>
      <c r="BO49" s="3266"/>
      <c r="BP49" s="3266"/>
      <c r="BQ49" s="3266"/>
      <c r="BR49" s="3266"/>
      <c r="BS49" s="3266"/>
      <c r="BT49" s="3266"/>
      <c r="BU49" s="3266"/>
      <c r="BV49" s="3266"/>
      <c r="BW49" s="3266"/>
      <c r="BX49" s="3266"/>
      <c r="BY49" s="3266"/>
      <c r="BZ49" s="3266"/>
      <c r="CA49" s="3266"/>
      <c r="CB49" s="3266"/>
      <c r="CC49" s="3266"/>
      <c r="CD49" s="3266"/>
      <c r="CE49" s="3266"/>
      <c r="CF49" s="3266"/>
      <c r="CG49" s="3266"/>
      <c r="CH49" s="3266"/>
      <c r="CI49" s="3266"/>
      <c r="CJ49" s="3266"/>
      <c r="CK49" s="3266"/>
      <c r="CL49" s="3266"/>
      <c r="CM49" s="3266"/>
      <c r="CN49" s="3266"/>
      <c r="CO49" s="3266"/>
      <c r="CP49" s="3266"/>
      <c r="CQ49" s="3266"/>
      <c r="CR49" s="3266"/>
      <c r="CS49" s="3266"/>
      <c r="CT49" s="3266"/>
      <c r="CU49" s="3266"/>
      <c r="CV49" s="3266"/>
      <c r="CW49" s="3266"/>
      <c r="CX49" s="3266"/>
      <c r="CY49" s="3266"/>
      <c r="CZ49" s="3266"/>
      <c r="DA49" s="3266"/>
      <c r="DB49" s="3266"/>
      <c r="DC49" s="3266"/>
      <c r="DD49" s="3266"/>
      <c r="DE49" s="3266"/>
      <c r="DF49" s="3266"/>
      <c r="DG49" s="3266"/>
      <c r="DH49" s="3266"/>
      <c r="DI49" s="3266"/>
      <c r="DJ49" s="3266"/>
      <c r="DK49" s="3266"/>
      <c r="DL49" s="3266"/>
      <c r="DM49" s="3266"/>
      <c r="DN49" s="3266"/>
      <c r="DO49" s="3266"/>
      <c r="DP49" s="3266"/>
      <c r="DQ49" s="3266"/>
      <c r="DR49" s="3266"/>
      <c r="DS49" s="3266"/>
      <c r="DT49" s="3266"/>
      <c r="DU49" s="3266"/>
      <c r="DV49" s="3266"/>
      <c r="DW49" s="3266"/>
      <c r="DX49" s="3266"/>
      <c r="DY49" s="3266"/>
      <c r="DZ49" s="3266"/>
      <c r="EA49" s="3266"/>
      <c r="EB49" s="3266"/>
      <c r="EC49" s="3266"/>
      <c r="ED49" s="3266"/>
      <c r="EE49" s="3266"/>
      <c r="EF49" s="3266"/>
      <c r="EG49" s="3266"/>
      <c r="EH49" s="3266"/>
      <c r="EI49" s="3266"/>
      <c r="EJ49" s="3266"/>
      <c r="EK49" s="3266"/>
      <c r="EL49" s="3266"/>
      <c r="EM49" s="3266"/>
      <c r="EN49" s="3266"/>
      <c r="EO49" s="3266"/>
      <c r="EP49" s="3266"/>
      <c r="EQ49" s="3266"/>
      <c r="ER49" s="3266"/>
      <c r="ES49" s="3266"/>
    </row>
    <row r="50" spans="1:149" ht="15.75">
      <c r="A50" s="3270"/>
      <c r="B50" s="3279" t="s">
        <v>166</v>
      </c>
      <c r="C50" s="3285">
        <f t="shared" si="3"/>
        <v>983.68333000000007</v>
      </c>
      <c r="D50" s="3649">
        <f>37.79</f>
        <v>37.79</v>
      </c>
      <c r="E50" s="3649">
        <v>247.20699999999999</v>
      </c>
      <c r="F50" s="3649"/>
      <c r="G50" s="3649">
        <v>45.01153</v>
      </c>
      <c r="H50" s="3649">
        <v>653.6748</v>
      </c>
      <c r="I50" s="3962">
        <f t="shared" si="5"/>
        <v>1630.6037409999999</v>
      </c>
      <c r="J50" s="3963">
        <v>503.39542399999999</v>
      </c>
      <c r="K50" s="3963"/>
      <c r="L50" s="3963">
        <v>51.206760000000003</v>
      </c>
      <c r="M50" s="3963">
        <v>1076.001557</v>
      </c>
      <c r="N50" s="3285">
        <f t="shared" si="11"/>
        <v>77.334997554000012</v>
      </c>
      <c r="O50" s="3649">
        <v>44.81</v>
      </c>
      <c r="P50" s="3649">
        <v>4.126000554</v>
      </c>
      <c r="Q50" s="3649">
        <f>0.867192+14.293205</f>
        <v>15.160397</v>
      </c>
      <c r="R50" s="3957">
        <v>13.2386</v>
      </c>
      <c r="S50" s="3266"/>
      <c r="T50" s="3266"/>
      <c r="U50" s="3283"/>
      <c r="V50" s="3283"/>
      <c r="W50" s="3283"/>
      <c r="X50" s="3283"/>
      <c r="Y50" s="3283"/>
      <c r="Z50" s="3288"/>
      <c r="AA50" s="3288"/>
      <c r="AB50" s="3288"/>
      <c r="AC50" s="3288"/>
      <c r="AD50" s="3288"/>
      <c r="AE50" s="3288"/>
      <c r="AF50" s="3292"/>
      <c r="AG50" s="3288"/>
      <c r="AH50" s="3288"/>
      <c r="AI50" s="3288"/>
      <c r="AJ50" s="3292"/>
      <c r="AK50" s="3292"/>
      <c r="AL50" s="3266"/>
      <c r="AM50" s="3266"/>
      <c r="AN50" s="3266"/>
      <c r="AO50" s="3266"/>
      <c r="AP50" s="3266"/>
      <c r="AQ50" s="3266"/>
      <c r="AR50" s="3266"/>
      <c r="AS50" s="3266"/>
      <c r="AT50" s="3266"/>
      <c r="AU50" s="3266"/>
      <c r="AV50" s="3266"/>
      <c r="AW50" s="3266"/>
      <c r="AX50" s="3319"/>
      <c r="AY50" s="3319"/>
      <c r="AZ50" s="3319"/>
      <c r="BA50" s="3292"/>
      <c r="BB50" s="3266"/>
      <c r="BC50" s="3266"/>
      <c r="BD50" s="3266"/>
      <c r="BE50" s="3266"/>
      <c r="BF50" s="3266"/>
      <c r="BG50" s="3266"/>
      <c r="BH50" s="3266"/>
      <c r="BI50" s="3266"/>
      <c r="BJ50" s="3266"/>
      <c r="BK50" s="3266"/>
      <c r="BL50" s="3266"/>
      <c r="BM50" s="3266"/>
      <c r="BN50" s="3266"/>
      <c r="BO50" s="3266"/>
      <c r="BP50" s="3266"/>
      <c r="BQ50" s="3266"/>
      <c r="BR50" s="3266"/>
      <c r="BS50" s="3266"/>
      <c r="BT50" s="3266"/>
      <c r="BU50" s="3266"/>
      <c r="BV50" s="3266"/>
      <c r="BW50" s="3266"/>
      <c r="BX50" s="3266"/>
      <c r="BY50" s="3266"/>
      <c r="BZ50" s="3266"/>
      <c r="CA50" s="3266"/>
      <c r="CB50" s="3266"/>
      <c r="CC50" s="3266"/>
      <c r="CD50" s="3266"/>
      <c r="CE50" s="3266"/>
      <c r="CF50" s="3266"/>
      <c r="CG50" s="3266"/>
      <c r="CH50" s="3266"/>
      <c r="CI50" s="3266"/>
      <c r="CJ50" s="3266"/>
      <c r="CK50" s="3266"/>
      <c r="CL50" s="3266"/>
      <c r="CM50" s="3266"/>
      <c r="CN50" s="3266"/>
      <c r="CO50" s="3266"/>
      <c r="CP50" s="3266"/>
      <c r="CQ50" s="3266"/>
      <c r="CR50" s="3266"/>
      <c r="CS50" s="3266"/>
      <c r="CT50" s="3266"/>
      <c r="CU50" s="3266"/>
      <c r="CV50" s="3266"/>
      <c r="CW50" s="3266"/>
      <c r="CX50" s="3266"/>
      <c r="CY50" s="3266"/>
      <c r="CZ50" s="3266"/>
      <c r="DA50" s="3266"/>
      <c r="DB50" s="3266"/>
      <c r="DC50" s="3266"/>
      <c r="DD50" s="3266"/>
      <c r="DE50" s="3266"/>
      <c r="DF50" s="3266"/>
      <c r="DG50" s="3266"/>
      <c r="DH50" s="3266"/>
      <c r="DI50" s="3266"/>
      <c r="DJ50" s="3266"/>
      <c r="DK50" s="3266"/>
      <c r="DL50" s="3266"/>
      <c r="DM50" s="3266"/>
      <c r="DN50" s="3266"/>
      <c r="DO50" s="3266"/>
      <c r="DP50" s="3266"/>
      <c r="DQ50" s="3266"/>
      <c r="DR50" s="3266"/>
      <c r="DS50" s="3266"/>
      <c r="DT50" s="3266"/>
      <c r="DU50" s="3266"/>
      <c r="DV50" s="3266"/>
      <c r="DW50" s="3266"/>
      <c r="DX50" s="3266"/>
      <c r="DY50" s="3266"/>
      <c r="DZ50" s="3266"/>
      <c r="EA50" s="3266"/>
      <c r="EB50" s="3266"/>
      <c r="EC50" s="3266"/>
      <c r="ED50" s="3266"/>
      <c r="EE50" s="3266"/>
      <c r="EF50" s="3266"/>
      <c r="EG50" s="3266"/>
      <c r="EH50" s="3266"/>
      <c r="EI50" s="3266"/>
      <c r="EJ50" s="3266"/>
      <c r="EK50" s="3266"/>
      <c r="EL50" s="3266"/>
      <c r="EM50" s="3266"/>
      <c r="EN50" s="3266"/>
      <c r="EO50" s="3266"/>
      <c r="EP50" s="3266"/>
      <c r="EQ50" s="3266"/>
      <c r="ER50" s="3266"/>
      <c r="ES50" s="3266"/>
    </row>
    <row r="51" spans="1:149" ht="15.75">
      <c r="A51" s="3270"/>
      <c r="B51" s="3279" t="s">
        <v>167</v>
      </c>
      <c r="C51" s="3285">
        <f t="shared" si="3"/>
        <v>1176.398962</v>
      </c>
      <c r="D51" s="3649">
        <v>48.59</v>
      </c>
      <c r="E51" s="3649">
        <v>246.55699999999999</v>
      </c>
      <c r="F51" s="3649"/>
      <c r="G51" s="3293">
        <v>48.141961999999999</v>
      </c>
      <c r="H51" s="3649">
        <v>833.11</v>
      </c>
      <c r="I51" s="3962">
        <f t="shared" si="5"/>
        <v>2003.619976</v>
      </c>
      <c r="J51" s="3963">
        <v>522.35389999999995</v>
      </c>
      <c r="K51" s="3963"/>
      <c r="L51" s="3963">
        <v>60.37218</v>
      </c>
      <c r="M51" s="3963">
        <f>1420893896/1000000</f>
        <v>1420.893896</v>
      </c>
      <c r="N51" s="3285">
        <f t="shared" si="11"/>
        <v>88.19264791781201</v>
      </c>
      <c r="O51" s="3649">
        <f>'[17]Progress report-JULY2013'!$T$18</f>
        <v>57.59944800000001</v>
      </c>
      <c r="P51" s="3649">
        <v>4.1729142000000001</v>
      </c>
      <c r="Q51" s="3649">
        <v>12.827317717812001</v>
      </c>
      <c r="R51" s="3957">
        <f>13592968/1000000</f>
        <v>13.592968000000001</v>
      </c>
      <c r="S51" s="3327"/>
      <c r="T51" s="3327"/>
      <c r="U51" s="3327"/>
      <c r="V51" s="3327"/>
      <c r="W51" s="3327"/>
      <c r="X51" s="3283"/>
      <c r="Y51" s="3283"/>
      <c r="Z51" s="3288"/>
      <c r="AA51" s="3288"/>
      <c r="AB51" s="3288"/>
      <c r="AC51" s="3288"/>
      <c r="AD51" s="3288"/>
      <c r="AE51" s="3288"/>
      <c r="AF51" s="3292"/>
      <c r="AG51" s="3288"/>
      <c r="AH51" s="3288"/>
      <c r="AI51" s="3288"/>
      <c r="AJ51" s="3292"/>
      <c r="AK51" s="3292"/>
      <c r="AL51" s="3266"/>
      <c r="AM51" s="3266"/>
      <c r="AN51" s="3266"/>
      <c r="AO51" s="3266"/>
      <c r="AX51" s="3291"/>
      <c r="AY51" s="3291"/>
      <c r="AZ51" s="3291"/>
      <c r="BA51" s="3269"/>
      <c r="BB51" s="3266"/>
    </row>
    <row r="52" spans="1:149" ht="15.75">
      <c r="A52" s="3270"/>
      <c r="B52" s="3279" t="s">
        <v>168</v>
      </c>
      <c r="C52" s="3285">
        <f t="shared" si="3"/>
        <v>1190.454655</v>
      </c>
      <c r="D52" s="3649">
        <v>49.49</v>
      </c>
      <c r="E52" s="3649">
        <v>266.50099999999998</v>
      </c>
      <c r="F52" s="3649"/>
      <c r="G52" s="3294">
        <v>48.423409999999997</v>
      </c>
      <c r="H52" s="3649">
        <v>826.04024500000003</v>
      </c>
      <c r="I52" s="3962">
        <f t="shared" si="5"/>
        <v>2042.557499</v>
      </c>
      <c r="J52" s="3963">
        <v>576.10363199999995</v>
      </c>
      <c r="K52" s="3963"/>
      <c r="L52" s="3963">
        <v>56.485439999999997</v>
      </c>
      <c r="M52" s="3963">
        <f>1409968427/1000000</f>
        <v>1409.968427</v>
      </c>
      <c r="N52" s="3285">
        <f t="shared" si="11"/>
        <v>91.007414312999998</v>
      </c>
      <c r="O52" s="3649">
        <v>58.64</v>
      </c>
      <c r="P52" s="3649">
        <v>3.3135843129999998</v>
      </c>
      <c r="Q52" s="3649">
        <v>15.45453</v>
      </c>
      <c r="R52" s="3649">
        <f>13599300/1000000</f>
        <v>13.599299999999999</v>
      </c>
      <c r="S52" s="4059"/>
      <c r="T52" s="3327"/>
      <c r="U52" s="3327"/>
      <c r="V52" s="3327"/>
      <c r="W52" s="3327"/>
      <c r="X52" s="3283"/>
      <c r="Y52" s="3283"/>
      <c r="Z52" s="3288"/>
      <c r="AA52" s="3288"/>
      <c r="AB52" s="3288"/>
      <c r="AC52" s="3288"/>
      <c r="AD52" s="3288"/>
      <c r="AE52" s="3288"/>
      <c r="AF52" s="3292"/>
      <c r="AG52" s="3288"/>
      <c r="AH52" s="3288"/>
      <c r="AI52" s="3288"/>
      <c r="AJ52" s="3292"/>
      <c r="AK52" s="3292"/>
      <c r="AL52" s="3266"/>
      <c r="AM52" s="3266"/>
      <c r="AN52" s="3266"/>
      <c r="AO52" s="3266"/>
      <c r="AX52" s="3291"/>
      <c r="AY52" s="3291"/>
      <c r="AZ52" s="3291"/>
      <c r="BA52" s="3269"/>
      <c r="BB52" s="3266"/>
    </row>
    <row r="53" spans="1:149" ht="15.75">
      <c r="A53" s="3270"/>
      <c r="B53" s="3279" t="s">
        <v>169</v>
      </c>
      <c r="C53" s="3285">
        <f>D53+E53+G53+H53</f>
        <v>969.44205699999998</v>
      </c>
      <c r="D53" s="3649">
        <v>46.61</v>
      </c>
      <c r="E53" s="3649">
        <v>247.434</v>
      </c>
      <c r="F53" s="3649"/>
      <c r="G53" s="3294">
        <f>'[18]KHP'''' REPORT'!$G$14</f>
        <v>46.100349999999999</v>
      </c>
      <c r="H53" s="3649">
        <v>629.29770699999995</v>
      </c>
      <c r="I53" s="3962">
        <f>J53+L53+M53</f>
        <v>1604.0176472400001</v>
      </c>
      <c r="J53" s="3963">
        <v>533.68024400000002</v>
      </c>
      <c r="K53" s="3963"/>
      <c r="L53" s="3963">
        <f>'[18]KHP'''' REPORT'!$G$32</f>
        <v>55.271699999999989</v>
      </c>
      <c r="M53" s="3963">
        <f>1015065703.24/1000000</f>
        <v>1015.0657032400001</v>
      </c>
      <c r="N53" s="3285">
        <f t="shared" si="11"/>
        <v>87.877078350999994</v>
      </c>
      <c r="O53" s="3649">
        <v>55.25</v>
      </c>
      <c r="P53" s="3649">
        <v>3.2102533709999999</v>
      </c>
      <c r="Q53" s="3649">
        <f>'[18]KHP'''' REPORT'!$G$33</f>
        <v>16.037245979999998</v>
      </c>
      <c r="R53" s="3649">
        <f>13379579/1000000</f>
        <v>13.379579</v>
      </c>
      <c r="S53" s="4059"/>
      <c r="T53" s="3327"/>
      <c r="U53" s="3327"/>
      <c r="V53" s="3327"/>
      <c r="W53" s="3327"/>
      <c r="X53" s="3283"/>
      <c r="Y53" s="3283"/>
      <c r="Z53" s="3288"/>
      <c r="AA53" s="3288"/>
      <c r="AB53" s="3288"/>
      <c r="AC53" s="3288"/>
      <c r="AD53" s="3288"/>
      <c r="AE53" s="3288"/>
      <c r="AF53" s="3292"/>
      <c r="AG53" s="3288"/>
      <c r="AH53" s="3288"/>
      <c r="AI53" s="3288"/>
      <c r="AJ53" s="3292"/>
      <c r="AK53" s="3292"/>
      <c r="AL53" s="3266"/>
      <c r="AM53" s="3266"/>
      <c r="AN53" s="3266"/>
      <c r="AO53" s="3266"/>
      <c r="AX53" s="3291"/>
      <c r="AY53" s="3291"/>
      <c r="AZ53" s="3291"/>
      <c r="BA53" s="3269"/>
      <c r="BB53" s="3266"/>
    </row>
    <row r="54" spans="1:149" ht="15.75">
      <c r="A54" s="3270"/>
      <c r="B54" s="3279" t="s">
        <v>170</v>
      </c>
      <c r="C54" s="3285">
        <f>D54+E54+G54+H54</f>
        <v>874.69669499999998</v>
      </c>
      <c r="D54" s="3295">
        <v>40.305489999999999</v>
      </c>
      <c r="E54" s="3649">
        <v>241.77099999999999</v>
      </c>
      <c r="F54" s="3649"/>
      <c r="G54" s="3296">
        <v>43.756686999999999</v>
      </c>
      <c r="H54" s="3649">
        <v>548.863518</v>
      </c>
      <c r="I54" s="3962">
        <f>J54+L54+M54</f>
        <v>1409.0673021900002</v>
      </c>
      <c r="J54" s="3963">
        <v>484.95760999999999</v>
      </c>
      <c r="K54" s="3963"/>
      <c r="L54" s="3963">
        <v>44.963819999999998</v>
      </c>
      <c r="M54" s="3963">
        <f>879145872.19/1000000</f>
        <v>879.14587219000009</v>
      </c>
      <c r="N54" s="3285">
        <f t="shared" si="11"/>
        <v>97.850448641115989</v>
      </c>
      <c r="O54" s="3958">
        <v>55.406620697999998</v>
      </c>
      <c r="P54" s="3296">
        <v>0</v>
      </c>
      <c r="Q54" s="3296">
        <v>20.334456723115995</v>
      </c>
      <c r="R54" s="4058">
        <f>22109371.22/1000000</f>
        <v>22.10937122</v>
      </c>
      <c r="S54" s="4060"/>
      <c r="T54" s="4061"/>
      <c r="U54" s="4061"/>
      <c r="V54" s="4061"/>
      <c r="W54" s="4061"/>
      <c r="X54" s="3288"/>
      <c r="Y54" s="3288"/>
      <c r="Z54" s="3288"/>
      <c r="AA54" s="3288"/>
      <c r="AB54" s="3288"/>
      <c r="AC54" s="3288"/>
      <c r="AD54" s="3288"/>
      <c r="AE54" s="3288"/>
      <c r="AF54" s="3292"/>
      <c r="AG54" s="3288"/>
      <c r="AH54" s="3288"/>
      <c r="AI54" s="3288"/>
      <c r="AJ54" s="3292"/>
      <c r="AK54" s="3292"/>
      <c r="AL54" s="3266"/>
      <c r="AM54" s="3266"/>
      <c r="AN54" s="3266"/>
      <c r="AO54" s="3266"/>
      <c r="AX54" s="3291"/>
      <c r="AY54" s="3291"/>
      <c r="AZ54" s="3291"/>
      <c r="BA54" s="3269"/>
      <c r="BB54" s="3266"/>
    </row>
    <row r="55" spans="1:149" ht="15.75">
      <c r="A55" s="3270"/>
      <c r="B55" s="3279" t="s">
        <v>171</v>
      </c>
      <c r="C55" s="3285">
        <f>D55+E55+G55+H55</f>
        <v>479.50538599999993</v>
      </c>
      <c r="D55" s="3296">
        <v>25.142710000000001</v>
      </c>
      <c r="E55" s="3649">
        <v>139.50399999999999</v>
      </c>
      <c r="F55" s="3649"/>
      <c r="G55" s="3296">
        <v>26.761854</v>
      </c>
      <c r="H55" s="3649">
        <v>288.09682199999997</v>
      </c>
      <c r="I55" s="3962">
        <f>J55+L55+M55</f>
        <v>606.29093756999998</v>
      </c>
      <c r="J55" s="3963">
        <v>241.967274</v>
      </c>
      <c r="K55" s="3963"/>
      <c r="L55" s="3963">
        <v>13.590719999999999</v>
      </c>
      <c r="M55" s="3963">
        <v>350.73294356999997</v>
      </c>
      <c r="N55" s="3285">
        <f>SUM(O55:R55)</f>
        <v>165.25178532970801</v>
      </c>
      <c r="O55" s="3296">
        <v>34.553085649999993</v>
      </c>
      <c r="P55" s="3296">
        <v>23.207813909999999</v>
      </c>
      <c r="Q55" s="3296">
        <v>21.618819059708002</v>
      </c>
      <c r="R55" s="3296">
        <v>85.872066709999999</v>
      </c>
      <c r="S55" s="4062"/>
      <c r="T55" s="3292"/>
      <c r="U55" s="3288"/>
      <c r="V55" s="3288"/>
      <c r="W55" s="3288"/>
      <c r="X55" s="3288"/>
      <c r="Y55" s="3288"/>
      <c r="Z55" s="3288"/>
      <c r="AA55" s="3288"/>
      <c r="AB55" s="3288"/>
      <c r="AC55" s="3288"/>
      <c r="AD55" s="3288"/>
      <c r="AE55" s="3288"/>
      <c r="AF55" s="3292"/>
      <c r="AG55" s="3283"/>
      <c r="AH55" s="3283"/>
      <c r="AI55" s="3283"/>
      <c r="AJ55" s="3266"/>
      <c r="AK55" s="3292"/>
      <c r="AL55" s="3266"/>
      <c r="AM55" s="3266"/>
      <c r="AN55" s="3266"/>
      <c r="AO55" s="3266"/>
      <c r="AX55" s="3291"/>
      <c r="AY55" s="3291"/>
      <c r="AZ55" s="3291"/>
      <c r="BA55" s="3269"/>
      <c r="BB55" s="3266"/>
    </row>
    <row r="56" spans="1:149" ht="15.75">
      <c r="A56" s="3270"/>
      <c r="B56" s="3279" t="s">
        <v>148</v>
      </c>
      <c r="C56" s="3297">
        <f>D56+E56+G56+H56</f>
        <v>323.81912</v>
      </c>
      <c r="D56" s="3296">
        <v>18.89</v>
      </c>
      <c r="E56" s="3649">
        <v>94.622</v>
      </c>
      <c r="F56" s="3649"/>
      <c r="G56" s="3296">
        <v>18.73292</v>
      </c>
      <c r="H56" s="3649">
        <v>191.57419999999999</v>
      </c>
      <c r="I56" s="3962">
        <f>J56+L56+M56</f>
        <v>283.48207803000003</v>
      </c>
      <c r="J56" s="3963">
        <v>133.89931000000001</v>
      </c>
      <c r="K56" s="3963"/>
      <c r="L56" s="3963">
        <v>0</v>
      </c>
      <c r="M56" s="3963">
        <f>149582768.03/1000000</f>
        <v>149.58276803000001</v>
      </c>
      <c r="N56" s="3285">
        <f>SUM(O56:R56)</f>
        <v>209.20924072984002</v>
      </c>
      <c r="O56" s="3296">
        <v>25.888207621999999</v>
      </c>
      <c r="P56" s="3296">
        <v>38.911028662</v>
      </c>
      <c r="Q56" s="3296">
        <v>27.938765905839997</v>
      </c>
      <c r="R56" s="3296">
        <f>116471238.54/1000000</f>
        <v>116.47123854</v>
      </c>
      <c r="S56" s="4062"/>
      <c r="T56" s="3292"/>
      <c r="U56" s="3288"/>
      <c r="V56" s="3292"/>
      <c r="W56" s="3292"/>
      <c r="X56" s="3288"/>
      <c r="Y56" s="3288"/>
      <c r="Z56" s="3288"/>
      <c r="AA56" s="3288"/>
      <c r="AB56" s="3288"/>
      <c r="AC56" s="3288"/>
      <c r="AD56" s="3288"/>
      <c r="AE56" s="3288"/>
      <c r="AF56" s="3292"/>
      <c r="AG56" s="3283"/>
      <c r="AH56" s="3283"/>
      <c r="AI56" s="3283"/>
      <c r="AJ56" s="3266"/>
      <c r="AK56" s="3292"/>
      <c r="AL56" s="3266"/>
      <c r="AM56" s="3266"/>
      <c r="AN56" s="3266"/>
      <c r="AO56" s="3266"/>
      <c r="AX56" s="3291"/>
      <c r="AY56" s="3291"/>
      <c r="AZ56" s="3291"/>
      <c r="BA56" s="3269"/>
      <c r="BB56" s="3266"/>
    </row>
    <row r="57" spans="1:149" ht="15.75">
      <c r="A57" s="3270"/>
      <c r="B57" s="3286">
        <v>2014</v>
      </c>
      <c r="C57" s="3285">
        <f>SUM(C58:C69)</f>
        <v>7147.3535900000006</v>
      </c>
      <c r="D57" s="3649">
        <f t="shared" ref="D57:Q57" si="12">SUM(D58:D69)</f>
        <v>306.33902000000006</v>
      </c>
      <c r="E57" s="3649">
        <f t="shared" si="12"/>
        <v>1797.954</v>
      </c>
      <c r="F57" s="3649"/>
      <c r="G57" s="3649">
        <f t="shared" si="12"/>
        <v>368.02839699999998</v>
      </c>
      <c r="H57" s="3649">
        <f t="shared" si="12"/>
        <v>4675.0321730000005</v>
      </c>
      <c r="I57" s="3962">
        <f>SUM(I58:I69)</f>
        <v>10420.526535599998</v>
      </c>
      <c r="J57" s="3963">
        <f>SUM(J58:J69)</f>
        <v>3682.0182268499998</v>
      </c>
      <c r="K57" s="3963"/>
      <c r="L57" s="3963">
        <f t="shared" si="12"/>
        <v>201.55013999999997</v>
      </c>
      <c r="M57" s="3963">
        <f t="shared" si="12"/>
        <v>6536.9581687500004</v>
      </c>
      <c r="N57" s="3285">
        <f t="shared" si="12"/>
        <v>1994.4729184471739</v>
      </c>
      <c r="O57" s="3649">
        <f>SUM(O58:O69)</f>
        <v>406.466194454</v>
      </c>
      <c r="P57" s="3649">
        <f t="shared" si="12"/>
        <v>264.93980325900003</v>
      </c>
      <c r="Q57" s="3649">
        <f t="shared" si="12"/>
        <v>390.84999163417393</v>
      </c>
      <c r="R57" s="3649">
        <f>SUM(R58:R69)</f>
        <v>932.2169290999999</v>
      </c>
      <c r="S57" s="4062"/>
      <c r="T57" s="3288"/>
      <c r="U57" s="3292"/>
      <c r="V57" s="3292"/>
      <c r="W57" s="3292"/>
      <c r="X57" s="3292"/>
      <c r="Y57" s="3292"/>
      <c r="Z57" s="3292"/>
      <c r="AA57" s="3292"/>
      <c r="AB57" s="3292"/>
      <c r="AC57" s="3292"/>
      <c r="AD57" s="3292"/>
      <c r="AE57" s="3292"/>
      <c r="AF57" s="3292"/>
      <c r="AG57" s="3266"/>
      <c r="AH57" s="3266"/>
      <c r="AI57" s="3266"/>
      <c r="AJ57" s="3266"/>
      <c r="AK57" s="3320"/>
      <c r="AL57" s="3266"/>
      <c r="AM57" s="3266"/>
      <c r="AN57" s="3266"/>
      <c r="AO57" s="3266"/>
      <c r="AX57" s="3269"/>
      <c r="AY57" s="3269"/>
      <c r="AZ57" s="3269"/>
      <c r="BA57" s="3269"/>
    </row>
    <row r="58" spans="1:149" ht="15.75">
      <c r="A58" s="3270"/>
      <c r="B58" s="3279" t="s">
        <v>161</v>
      </c>
      <c r="C58" s="3297">
        <f>D58+E58+G58+H58</f>
        <v>244.12108699999999</v>
      </c>
      <c r="D58" s="3296">
        <v>14.889610000000001</v>
      </c>
      <c r="E58" s="3649">
        <v>70.8</v>
      </c>
      <c r="F58" s="3649"/>
      <c r="G58" s="3296">
        <v>14.601050000000001</v>
      </c>
      <c r="H58" s="3649">
        <f>143.830427</f>
        <v>143.83042699999999</v>
      </c>
      <c r="I58" s="3962">
        <f>J58+L58+M58</f>
        <v>158.68139189999999</v>
      </c>
      <c r="J58" s="3963">
        <f>81.712212</f>
        <v>81.712211999999994</v>
      </c>
      <c r="K58" s="3963"/>
      <c r="L58" s="3963">
        <v>0</v>
      </c>
      <c r="M58" s="3963">
        <f>76969179.9/1000000</f>
        <v>76.9691799</v>
      </c>
      <c r="N58" s="3285">
        <f>SUM(O58:R58)</f>
        <v>215.71877602709998</v>
      </c>
      <c r="O58" s="3296">
        <v>20.399136541999997</v>
      </c>
      <c r="P58" s="3296">
        <v>42.579513743</v>
      </c>
      <c r="Q58" s="3296">
        <v>40.157817632099999</v>
      </c>
      <c r="R58" s="3296">
        <f>112582308.11/1000000</f>
        <v>112.58230811</v>
      </c>
      <c r="S58" s="4062"/>
      <c r="T58" s="3292"/>
      <c r="U58" s="3292"/>
      <c r="V58" s="3292"/>
      <c r="W58" s="3292"/>
      <c r="X58" s="3292"/>
      <c r="Y58" s="3292"/>
      <c r="Z58" s="3292"/>
      <c r="AA58" s="3292"/>
      <c r="AB58" s="3292"/>
      <c r="AC58" s="3292"/>
      <c r="AD58" s="3292"/>
      <c r="AE58" s="3292"/>
      <c r="AF58" s="3292"/>
      <c r="AG58" s="3266"/>
      <c r="AH58" s="3266"/>
      <c r="AI58" s="3266"/>
      <c r="AJ58" s="3266"/>
      <c r="AK58" s="3320"/>
      <c r="AL58" s="3266"/>
      <c r="AM58" s="3266"/>
      <c r="AN58" s="3266"/>
      <c r="AO58" s="3266"/>
      <c r="AX58" s="3269"/>
      <c r="AY58" s="3269"/>
      <c r="AZ58" s="3269"/>
      <c r="BA58" s="3269"/>
    </row>
    <row r="59" spans="1:149" ht="15.75">
      <c r="A59" s="3270"/>
      <c r="B59" s="3279" t="s">
        <v>162</v>
      </c>
      <c r="C59" s="3297">
        <f>D59+E59+G59+H59</f>
        <v>179.727892</v>
      </c>
      <c r="D59" s="3296">
        <v>11.571580000000001</v>
      </c>
      <c r="E59" s="3649">
        <v>47.073</v>
      </c>
      <c r="F59" s="3649"/>
      <c r="G59" s="3296">
        <v>12.007782000000001</v>
      </c>
      <c r="H59" s="3649">
        <f>109.07553</f>
        <v>109.07553</v>
      </c>
      <c r="I59" s="3962">
        <f>J59+L59+M59</f>
        <v>68.895478249999996</v>
      </c>
      <c r="J59" s="3963">
        <v>42.629276250000004</v>
      </c>
      <c r="K59" s="3963"/>
      <c r="L59" s="3963">
        <v>0</v>
      </c>
      <c r="M59" s="3963">
        <f>26.266202</f>
        <v>26.266202</v>
      </c>
      <c r="N59" s="3285">
        <f>SUM(O59:R59)</f>
        <v>202.874086019564</v>
      </c>
      <c r="O59" s="3296">
        <v>15.844447369999999</v>
      </c>
      <c r="P59" s="3296">
        <v>40.918539775999996</v>
      </c>
      <c r="Q59" s="3296">
        <v>38.481166873564</v>
      </c>
      <c r="R59" s="3296">
        <f>107.629932</f>
        <v>107.629932</v>
      </c>
      <c r="S59" s="4062"/>
      <c r="T59" s="3292"/>
      <c r="U59" s="3292"/>
      <c r="V59" s="3292"/>
      <c r="W59" s="3292"/>
      <c r="X59" s="3292"/>
      <c r="Y59" s="3292"/>
      <c r="Z59" s="3292"/>
      <c r="AA59" s="3292"/>
      <c r="AB59" s="3292"/>
      <c r="AC59" s="3292"/>
      <c r="AD59" s="3292"/>
      <c r="AE59" s="3292"/>
      <c r="AF59" s="3292"/>
      <c r="AG59" s="3266"/>
      <c r="AH59" s="3266"/>
      <c r="AI59" s="3266"/>
      <c r="AJ59" s="3266"/>
      <c r="AK59" s="3320"/>
      <c r="AL59" s="3266"/>
      <c r="AM59" s="3266"/>
      <c r="AN59" s="3266"/>
      <c r="AO59" s="3266"/>
    </row>
    <row r="60" spans="1:149" ht="15.75">
      <c r="A60" s="3270"/>
      <c r="B60" s="3279" t="s">
        <v>163</v>
      </c>
      <c r="C60" s="3297">
        <f>D60+E60+G60+H60</f>
        <v>210.57817500000002</v>
      </c>
      <c r="D60" s="3296">
        <v>11.735840000000014</v>
      </c>
      <c r="E60" s="3649">
        <v>58.508000000000003</v>
      </c>
      <c r="F60" s="3649"/>
      <c r="G60" s="3296">
        <v>15.648422</v>
      </c>
      <c r="H60" s="3649">
        <v>124.685913</v>
      </c>
      <c r="I60" s="3962">
        <f>J60+L60+M60</f>
        <v>108.43976649999999</v>
      </c>
      <c r="J60" s="3963">
        <v>69.120256499999996</v>
      </c>
      <c r="K60" s="3963"/>
      <c r="L60" s="3963">
        <v>0</v>
      </c>
      <c r="M60" s="3963">
        <f>39.31951</f>
        <v>39.319510000000001</v>
      </c>
      <c r="N60" s="3285">
        <f>SUM(O60:R60)</f>
        <v>211.571464374844</v>
      </c>
      <c r="O60" s="3296">
        <v>16.046556150000001</v>
      </c>
      <c r="P60" s="3296">
        <v>38.529072650000003</v>
      </c>
      <c r="Q60" s="3296">
        <v>39.282331574844001</v>
      </c>
      <c r="R60" s="3296">
        <f>117.713504</f>
        <v>117.713504</v>
      </c>
      <c r="S60" s="4062"/>
      <c r="T60" s="3292"/>
      <c r="U60" s="3292"/>
      <c r="V60" s="3292"/>
      <c r="W60" s="3292"/>
      <c r="X60" s="3292"/>
      <c r="Y60" s="3292"/>
      <c r="Z60" s="3292"/>
      <c r="AA60" s="3292"/>
      <c r="AB60" s="3292"/>
      <c r="AC60" s="3292"/>
      <c r="AD60" s="3292"/>
      <c r="AE60" s="3292"/>
      <c r="AF60" s="3292"/>
      <c r="AG60" s="3266"/>
      <c r="AH60" s="3266"/>
      <c r="AI60" s="3266"/>
      <c r="AJ60" s="3266"/>
      <c r="AK60" s="3320"/>
      <c r="AL60" s="3266"/>
      <c r="AM60" s="3266"/>
      <c r="AN60" s="3266"/>
      <c r="AO60" s="3266"/>
    </row>
    <row r="61" spans="1:149" ht="18">
      <c r="A61" s="3270"/>
      <c r="B61" s="3279" t="s">
        <v>164</v>
      </c>
      <c r="C61" s="3298">
        <f>D61+E61+G61+H61</f>
        <v>232.44769099999999</v>
      </c>
      <c r="D61" s="3296">
        <v>9.6300000000000008</v>
      </c>
      <c r="E61" s="3649">
        <v>66.381</v>
      </c>
      <c r="F61" s="3649"/>
      <c r="G61" s="3296">
        <f>21.49632</f>
        <v>21.496320000000001</v>
      </c>
      <c r="H61" s="3649">
        <v>134.940371</v>
      </c>
      <c r="I61" s="3962">
        <f>J61+L61+M61</f>
        <v>135.68902600000001</v>
      </c>
      <c r="J61" s="3963">
        <v>93.258639000000002</v>
      </c>
      <c r="K61" s="3963"/>
      <c r="L61" s="3963">
        <v>0</v>
      </c>
      <c r="M61" s="3963">
        <v>42.430387000000003</v>
      </c>
      <c r="N61" s="3285">
        <f>SUM(O61:R61)</f>
        <v>201.32292762</v>
      </c>
      <c r="O61" s="3296">
        <v>13.13</v>
      </c>
      <c r="P61" s="3296">
        <v>29.859257620000001</v>
      </c>
      <c r="Q61" s="3296">
        <v>31.342310000000001</v>
      </c>
      <c r="R61" s="3296">
        <v>126.99136</v>
      </c>
      <c r="S61" s="4062"/>
      <c r="T61" s="3292"/>
      <c r="U61" s="3292"/>
      <c r="V61" s="3292"/>
      <c r="W61" s="3292"/>
      <c r="X61" s="4063"/>
      <c r="Y61" s="4063"/>
      <c r="Z61" s="4063"/>
      <c r="AA61" s="3292"/>
      <c r="AB61" s="3292"/>
      <c r="AC61" s="3292"/>
      <c r="AD61" s="3292"/>
      <c r="AE61" s="3292"/>
      <c r="AF61" s="3292"/>
      <c r="AG61" s="3266"/>
      <c r="AH61" s="3266"/>
      <c r="AI61" s="3266"/>
      <c r="AJ61" s="3266"/>
      <c r="AK61" s="3320"/>
      <c r="AL61" s="3266"/>
      <c r="AM61" s="3266"/>
      <c r="AN61" s="3266"/>
      <c r="AO61" s="3266"/>
    </row>
    <row r="62" spans="1:149" ht="15.75">
      <c r="A62" s="3270"/>
      <c r="B62" s="3279" t="s">
        <v>165</v>
      </c>
      <c r="C62" s="3298">
        <f t="shared" ref="C62:C64" si="13">D62+E62+G62+H62</f>
        <v>450.39870200000001</v>
      </c>
      <c r="D62" s="3296">
        <v>12.66169</v>
      </c>
      <c r="E62" s="3649">
        <v>122.01600000000001</v>
      </c>
      <c r="F62" s="3649"/>
      <c r="G62" s="3296">
        <v>37.009599999999999</v>
      </c>
      <c r="H62" s="3649">
        <v>278.711412</v>
      </c>
      <c r="I62" s="3962">
        <f t="shared" ref="I62:I64" si="14">J62+L62+M62</f>
        <v>576.52204934999997</v>
      </c>
      <c r="J62" s="3963">
        <v>231.78189735000001</v>
      </c>
      <c r="K62" s="3963"/>
      <c r="L62" s="3963">
        <v>19.780200000000001</v>
      </c>
      <c r="M62" s="3963">
        <v>324.95995199999999</v>
      </c>
      <c r="N62" s="3285">
        <f t="shared" ref="N62:N64" si="15">SUM(O62:R62)</f>
        <v>165.28755106400001</v>
      </c>
      <c r="O62" s="3296">
        <v>17.285944923999999</v>
      </c>
      <c r="P62" s="3296">
        <v>16.876273139999999</v>
      </c>
      <c r="Q62" s="3296">
        <v>29.233029999999999</v>
      </c>
      <c r="R62" s="3296">
        <v>101.892303</v>
      </c>
      <c r="S62" s="4062"/>
      <c r="T62" s="3292"/>
      <c r="U62" s="3292"/>
      <c r="V62" s="3292"/>
      <c r="W62" s="3292"/>
      <c r="X62" s="3292"/>
      <c r="Y62" s="3292"/>
      <c r="Z62" s="3292"/>
      <c r="AA62" s="3292"/>
      <c r="AB62" s="3292"/>
      <c r="AC62" s="3292"/>
      <c r="AD62" s="3292"/>
      <c r="AE62" s="3292"/>
      <c r="AF62" s="3292"/>
      <c r="AG62" s="3266"/>
      <c r="AH62" s="3266"/>
      <c r="AI62" s="3266"/>
      <c r="AJ62" s="3266"/>
      <c r="AK62" s="3320"/>
      <c r="AL62" s="3266"/>
      <c r="AM62" s="3266"/>
      <c r="AN62" s="3266"/>
      <c r="AO62" s="3266"/>
    </row>
    <row r="63" spans="1:149" ht="15" customHeight="1">
      <c r="A63" s="3270"/>
      <c r="B63" s="3279" t="s">
        <v>166</v>
      </c>
      <c r="C63" s="3298">
        <f t="shared" si="13"/>
        <v>778.57685200000003</v>
      </c>
      <c r="D63" s="3296">
        <v>24.620820000000002</v>
      </c>
      <c r="E63" s="3649">
        <v>206.935</v>
      </c>
      <c r="F63" s="3649"/>
      <c r="G63" s="3296">
        <v>42.933274999999995</v>
      </c>
      <c r="H63" s="3649">
        <v>504.08775700000001</v>
      </c>
      <c r="I63" s="3962">
        <f t="shared" si="14"/>
        <v>1250.62710025</v>
      </c>
      <c r="J63" s="3963">
        <v>445.30571924999998</v>
      </c>
      <c r="K63" s="3963"/>
      <c r="L63" s="3963">
        <v>33.545159999999996</v>
      </c>
      <c r="M63" s="3963">
        <v>771.77622099999996</v>
      </c>
      <c r="N63" s="3285">
        <f t="shared" si="15"/>
        <v>113.26423254654999</v>
      </c>
      <c r="O63" s="3296">
        <v>33.767072619999993</v>
      </c>
      <c r="P63" s="3296">
        <v>0</v>
      </c>
      <c r="Q63" s="3296">
        <v>26.527562926549997</v>
      </c>
      <c r="R63" s="3959">
        <v>52.969597</v>
      </c>
      <c r="S63" s="3811"/>
      <c r="T63" s="3810"/>
      <c r="U63" s="3812"/>
      <c r="V63" s="3812"/>
      <c r="W63" s="3812"/>
      <c r="X63" s="3812"/>
      <c r="Y63" s="3812"/>
      <c r="Z63" s="3812"/>
      <c r="AA63" s="3812"/>
      <c r="AB63" s="3813"/>
      <c r="AC63" s="3813"/>
      <c r="AD63" s="3813"/>
      <c r="AE63" s="3813"/>
      <c r="AF63" s="3292"/>
      <c r="AG63" s="3266"/>
      <c r="AH63" s="3266"/>
      <c r="AI63" s="3266"/>
      <c r="AJ63" s="3266"/>
      <c r="AK63" s="3320"/>
      <c r="AL63" s="3266"/>
      <c r="AM63" s="3266"/>
      <c r="AN63" s="3266"/>
      <c r="AO63" s="3266"/>
      <c r="BB63" s="3266"/>
    </row>
    <row r="64" spans="1:149" ht="15" customHeight="1">
      <c r="A64" s="3270"/>
      <c r="B64" s="3279" t="s">
        <v>167</v>
      </c>
      <c r="C64" s="3298">
        <f t="shared" si="13"/>
        <v>1187.9293740000001</v>
      </c>
      <c r="D64" s="3296">
        <v>45.14</v>
      </c>
      <c r="E64" s="3649">
        <v>272.029</v>
      </c>
      <c r="F64" s="3649"/>
      <c r="G64" s="3296">
        <v>48.240389999999998</v>
      </c>
      <c r="H64" s="3649">
        <v>822.51998400000002</v>
      </c>
      <c r="I64" s="3962">
        <f t="shared" si="14"/>
        <v>2077.0381527499999</v>
      </c>
      <c r="J64" s="3963">
        <v>630.45683774999998</v>
      </c>
      <c r="K64" s="3963"/>
      <c r="L64" s="3963">
        <v>44.69652</v>
      </c>
      <c r="M64" s="3963">
        <v>1401.8847949999999</v>
      </c>
      <c r="N64" s="3285">
        <f t="shared" si="15"/>
        <v>86.908999999999992</v>
      </c>
      <c r="O64" s="3296">
        <v>62.01</v>
      </c>
      <c r="P64" s="3296">
        <v>0</v>
      </c>
      <c r="Q64" s="3296">
        <v>24.899000000000001</v>
      </c>
      <c r="R64" s="3959">
        <v>0</v>
      </c>
      <c r="S64" s="3811"/>
      <c r="T64" s="3810"/>
      <c r="U64" s="3812"/>
      <c r="W64" s="3812"/>
      <c r="X64" s="3812"/>
      <c r="Y64" s="3812"/>
      <c r="Z64" s="3812"/>
      <c r="AA64" s="3812"/>
      <c r="AB64" s="3813"/>
      <c r="AC64" s="3813"/>
      <c r="AD64" s="3813"/>
      <c r="AE64" s="3813"/>
      <c r="AF64" s="3292"/>
      <c r="AG64" s="3266"/>
      <c r="AH64" s="3266"/>
      <c r="AI64" s="3266"/>
      <c r="AJ64" s="3266"/>
      <c r="AK64" s="3320"/>
      <c r="AL64" s="3266"/>
      <c r="AM64" s="3266"/>
      <c r="AN64" s="3266"/>
      <c r="AO64" s="3266"/>
      <c r="BB64" s="3266"/>
    </row>
    <row r="65" spans="1:54" ht="15" customHeight="1">
      <c r="A65" s="3270"/>
      <c r="B65" s="3279" t="s">
        <v>168</v>
      </c>
      <c r="C65" s="3298">
        <f>D65+E65+G65+H65</f>
        <v>1200.4845929999999</v>
      </c>
      <c r="D65" s="3296">
        <v>48.8</v>
      </c>
      <c r="E65" s="3649">
        <v>269.43200000000002</v>
      </c>
      <c r="F65" s="3296"/>
      <c r="G65" s="3296">
        <v>48.673999999999999</v>
      </c>
      <c r="H65" s="3649">
        <v>833.57859299999996</v>
      </c>
      <c r="I65" s="3962">
        <f>J65+L65+M65</f>
        <v>2089.7113250000002</v>
      </c>
      <c r="J65" s="3963">
        <v>630.42610500000001</v>
      </c>
      <c r="K65" s="3963"/>
      <c r="L65" s="3963">
        <v>41.859180000000002</v>
      </c>
      <c r="M65" s="3963">
        <v>1417.4260400000001</v>
      </c>
      <c r="N65" s="3285">
        <f>SUM(O65:R65)</f>
        <v>124.67537419999999</v>
      </c>
      <c r="O65" s="3296">
        <v>62.01</v>
      </c>
      <c r="P65" s="3296">
        <v>35.267694200000001</v>
      </c>
      <c r="Q65" s="3296">
        <v>27.397680000000001</v>
      </c>
      <c r="R65" s="3959">
        <v>0</v>
      </c>
      <c r="S65" s="3811"/>
      <c r="T65" s="3810"/>
      <c r="U65" s="3812"/>
      <c r="W65" s="3812"/>
      <c r="X65" s="3812"/>
      <c r="Y65" s="3812"/>
      <c r="Z65" s="3812"/>
      <c r="AA65" s="3812"/>
      <c r="AB65" s="3813"/>
      <c r="AC65" s="3813"/>
      <c r="AD65" s="3813"/>
      <c r="AE65" s="3813"/>
      <c r="AF65" s="3292"/>
      <c r="AG65" s="3266"/>
      <c r="AH65" s="3266"/>
      <c r="AI65" s="3266"/>
      <c r="AJ65" s="3266"/>
      <c r="AK65" s="3320"/>
      <c r="AL65" s="3266"/>
      <c r="AM65" s="3266"/>
      <c r="AN65" s="3266"/>
      <c r="AO65" s="3266"/>
      <c r="BB65" s="3266"/>
    </row>
    <row r="66" spans="1:54" ht="15" customHeight="1">
      <c r="A66" s="3270"/>
      <c r="B66" s="3279" t="s">
        <v>183</v>
      </c>
      <c r="C66" s="3298">
        <f>D66+E66+G66+H66</f>
        <v>1163.6912379999999</v>
      </c>
      <c r="D66" s="3296">
        <v>48.01267</v>
      </c>
      <c r="E66" s="3649">
        <v>261.61500000000001</v>
      </c>
      <c r="F66" s="3296"/>
      <c r="G66" s="3296">
        <v>47.239939000000007</v>
      </c>
      <c r="H66" s="3649">
        <v>806.82362899999998</v>
      </c>
      <c r="I66" s="3962">
        <f>J66+L66+M66</f>
        <v>2027.6710104499998</v>
      </c>
      <c r="J66" s="3963">
        <v>612.74495249999995</v>
      </c>
      <c r="K66" s="3963"/>
      <c r="L66" s="3963">
        <v>41.296859999999995</v>
      </c>
      <c r="M66" s="3963">
        <f>1373629197.95/1000000</f>
        <v>1373.6291979499999</v>
      </c>
      <c r="N66" s="3285">
        <f>SUM(O66:R66)</f>
        <v>92.119666879877997</v>
      </c>
      <c r="O66" s="3296">
        <v>65.978313513999993</v>
      </c>
      <c r="P66" s="3296">
        <f>0</f>
        <v>0</v>
      </c>
      <c r="Q66" s="3296">
        <v>26.141353365877997</v>
      </c>
      <c r="R66" s="3959">
        <v>0</v>
      </c>
      <c r="S66" s="3811"/>
      <c r="T66" s="3810"/>
      <c r="U66" s="3812"/>
      <c r="V66" s="3812"/>
      <c r="W66" s="3812"/>
      <c r="X66" s="3812"/>
      <c r="Y66" s="3812"/>
      <c r="Z66" s="3812"/>
      <c r="AA66" s="3812"/>
      <c r="AB66" s="3813"/>
      <c r="AC66" s="3813"/>
      <c r="AD66" s="3813"/>
      <c r="AE66" s="3813"/>
      <c r="AF66" s="3292"/>
      <c r="AG66" s="3266"/>
      <c r="AH66" s="3266"/>
      <c r="AI66" s="3266"/>
      <c r="AJ66" s="3266"/>
      <c r="AK66" s="3320"/>
      <c r="AL66" s="3266"/>
      <c r="AM66" s="3266"/>
      <c r="AN66" s="3266"/>
      <c r="AO66" s="3266"/>
      <c r="BB66" s="3266"/>
    </row>
    <row r="67" spans="1:54" ht="15" customHeight="1">
      <c r="A67" s="3270"/>
      <c r="B67" s="3279" t="s">
        <v>170</v>
      </c>
      <c r="C67" s="3298">
        <f>D67+E67+G67+H67</f>
        <v>777.51392199999998</v>
      </c>
      <c r="D67" s="3296">
        <v>38.830289999999998</v>
      </c>
      <c r="E67" s="3649">
        <v>217.233</v>
      </c>
      <c r="F67" s="3296"/>
      <c r="G67" s="3296">
        <v>38.781882000000003</v>
      </c>
      <c r="H67" s="3649">
        <v>482.66874999999999</v>
      </c>
      <c r="I67" s="3962">
        <f>J67+L67+M67</f>
        <v>1210.7666502500001</v>
      </c>
      <c r="J67" s="3963">
        <v>480.12214725000001</v>
      </c>
      <c r="K67" s="3963"/>
      <c r="L67" s="3963">
        <v>20.372219999999999</v>
      </c>
      <c r="M67" s="3963">
        <v>710.27228300000002</v>
      </c>
      <c r="N67" s="3285">
        <f>SUM(O67:R67)</f>
        <v>140.99934998376398</v>
      </c>
      <c r="O67" s="3296">
        <v>53.379168921999991</v>
      </c>
      <c r="P67" s="3296">
        <v>0.74877353999999996</v>
      </c>
      <c r="Q67" s="3296">
        <v>30.934255521763998</v>
      </c>
      <c r="R67" s="3959">
        <v>55.937151999999998</v>
      </c>
      <c r="S67" s="3811"/>
      <c r="T67" s="3810"/>
      <c r="U67" s="3814"/>
      <c r="V67" s="3814"/>
      <c r="W67" s="3814"/>
      <c r="X67" s="3814"/>
      <c r="Y67" s="3814"/>
      <c r="Z67" s="3814"/>
      <c r="AA67" s="3814"/>
      <c r="AB67" s="3813"/>
      <c r="AC67" s="3813"/>
      <c r="AD67" s="3813"/>
      <c r="AE67" s="3813"/>
      <c r="AF67" s="3292"/>
      <c r="AG67" s="3266"/>
      <c r="AH67" s="3266"/>
      <c r="AI67" s="3266"/>
      <c r="AJ67" s="3266"/>
      <c r="AK67" s="3320"/>
      <c r="AL67" s="3266"/>
      <c r="AM67" s="3266"/>
      <c r="AN67" s="3266"/>
      <c r="AO67" s="3266"/>
      <c r="BB67" s="3266"/>
    </row>
    <row r="68" spans="1:54" ht="15" customHeight="1">
      <c r="A68" s="3270"/>
      <c r="B68" s="3279" t="s">
        <v>171</v>
      </c>
      <c r="C68" s="3298">
        <f>D68+E68+G68+H68</f>
        <v>414.18508099999997</v>
      </c>
      <c r="D68" s="3296">
        <v>23.086519999999997</v>
      </c>
      <c r="E68" s="3649">
        <v>117.992</v>
      </c>
      <c r="F68" s="3296"/>
      <c r="G68" s="3296">
        <v>23.720993</v>
      </c>
      <c r="H68" s="3649">
        <v>249.38556800000001</v>
      </c>
      <c r="I68" s="3962">
        <f>J68+L68+M68</f>
        <v>478.887765</v>
      </c>
      <c r="J68" s="3963">
        <v>229.07538</v>
      </c>
      <c r="K68" s="3963"/>
      <c r="L68" s="3963">
        <v>0</v>
      </c>
      <c r="M68" s="3963">
        <v>249.81238500000001</v>
      </c>
      <c r="N68" s="3285">
        <f>SUM(O68:R68)</f>
        <v>192.292012253986</v>
      </c>
      <c r="O68" s="3296">
        <v>22.858437799999997</v>
      </c>
      <c r="P68" s="3296">
        <v>22.170017300000001</v>
      </c>
      <c r="Q68" s="3296">
        <v>32.858253153985999</v>
      </c>
      <c r="R68" s="3959">
        <v>114.405304</v>
      </c>
      <c r="S68" s="3811"/>
      <c r="T68" s="3810"/>
      <c r="U68" s="3814"/>
      <c r="V68" s="3814"/>
      <c r="W68" s="3814"/>
      <c r="X68" s="3814"/>
      <c r="Y68" s="3814"/>
      <c r="Z68" s="3814"/>
      <c r="AA68" s="3814"/>
      <c r="AB68" s="3813"/>
      <c r="AC68" s="3813"/>
      <c r="AD68" s="3813"/>
      <c r="AE68" s="3813"/>
      <c r="AF68" s="3292"/>
      <c r="AG68" s="3266"/>
      <c r="AH68" s="3266"/>
      <c r="AI68" s="3266"/>
      <c r="AJ68" s="3266"/>
      <c r="AK68" s="3320"/>
      <c r="AL68" s="3266"/>
      <c r="AM68" s="3266"/>
      <c r="AN68" s="3266"/>
      <c r="AO68" s="3266"/>
      <c r="BB68" s="3266"/>
    </row>
    <row r="69" spans="1:54" ht="15" customHeight="1">
      <c r="A69" s="3270"/>
      <c r="B69" s="3279" t="s">
        <v>148</v>
      </c>
      <c r="C69" s="3298">
        <f>D69+E69+G69+H69</f>
        <v>307.698983</v>
      </c>
      <c r="D69" s="3296">
        <v>17.36</v>
      </c>
      <c r="E69" s="3649">
        <f>87.94</f>
        <v>87.94</v>
      </c>
      <c r="F69" s="3296"/>
      <c r="G69" s="3296">
        <v>17.674744</v>
      </c>
      <c r="H69" s="3649">
        <f>184.724239</f>
        <v>184.72423900000001</v>
      </c>
      <c r="I69" s="3962">
        <f>J69+L69+M69</f>
        <v>237.59681990000001</v>
      </c>
      <c r="J69" s="3963">
        <f>135.384804</f>
        <v>135.384804</v>
      </c>
      <c r="K69" s="3963"/>
      <c r="L69" s="3963">
        <v>0</v>
      </c>
      <c r="M69" s="3963">
        <f>102212015.9/1000000</f>
        <v>102.21201590000001</v>
      </c>
      <c r="N69" s="3285">
        <f>SUM(O69:R69)</f>
        <v>247.43847747748799</v>
      </c>
      <c r="O69" s="3296">
        <v>23.757116611999997</v>
      </c>
      <c r="P69" s="3296">
        <f>37.99066129</f>
        <v>37.990661289999998</v>
      </c>
      <c r="Q69" s="3296">
        <v>43.59523058548799</v>
      </c>
      <c r="R69" s="3959">
        <f>142095468.99/1000000</f>
        <v>142.09546899</v>
      </c>
      <c r="S69" s="3811"/>
      <c r="T69" s="3810"/>
      <c r="U69" s="3814"/>
      <c r="V69" s="3814"/>
      <c r="W69" s="3814"/>
      <c r="X69" s="3814"/>
      <c r="Y69" s="3814"/>
      <c r="Z69" s="3814"/>
      <c r="AA69" s="3814"/>
      <c r="AB69" s="3813"/>
      <c r="AC69" s="3813"/>
      <c r="AD69" s="3813"/>
      <c r="AE69" s="3813"/>
      <c r="AF69" s="3292"/>
      <c r="AG69" s="3266"/>
      <c r="AH69" s="3266"/>
      <c r="AI69" s="3266"/>
      <c r="AJ69" s="3266"/>
      <c r="AK69" s="3320"/>
      <c r="AL69" s="3266"/>
      <c r="AM69" s="3266"/>
      <c r="AN69" s="3266"/>
      <c r="AO69" s="3266"/>
      <c r="BB69" s="3266"/>
    </row>
    <row r="70" spans="1:54" ht="15" customHeight="1">
      <c r="A70" s="3270"/>
      <c r="B70" s="3286">
        <v>2015</v>
      </c>
      <c r="C70" s="3297"/>
      <c r="D70" s="3296"/>
      <c r="E70" s="3296"/>
      <c r="F70" s="3296"/>
      <c r="G70" s="3296"/>
      <c r="H70" s="3296"/>
      <c r="I70" s="3962"/>
      <c r="J70" s="3963"/>
      <c r="K70" s="3963"/>
      <c r="L70" s="3963"/>
      <c r="M70" s="3963"/>
      <c r="N70" s="3285"/>
      <c r="O70" s="3296"/>
      <c r="P70" s="3296"/>
      <c r="Q70" s="3296"/>
      <c r="R70" s="3959"/>
      <c r="S70" s="3811"/>
      <c r="T70" s="3810"/>
      <c r="U70" s="3814"/>
      <c r="V70" s="3814"/>
      <c r="W70" s="3814"/>
      <c r="X70" s="3814"/>
      <c r="Y70" s="3814"/>
      <c r="Z70" s="3814"/>
      <c r="AA70" s="3814"/>
      <c r="AB70" s="3813"/>
      <c r="AC70" s="3813"/>
      <c r="AD70" s="3813"/>
      <c r="AE70" s="3813"/>
      <c r="AF70" s="3292"/>
      <c r="AG70" s="3266"/>
      <c r="AH70" s="3266"/>
      <c r="AI70" s="3266"/>
      <c r="AJ70" s="3266"/>
      <c r="AK70" s="3320"/>
      <c r="AL70" s="3266"/>
      <c r="AM70" s="3266"/>
      <c r="AN70" s="3266"/>
      <c r="AO70" s="3266"/>
      <c r="BB70" s="3266"/>
    </row>
    <row r="71" spans="1:54" ht="15" customHeight="1">
      <c r="A71" s="3270"/>
      <c r="B71" s="3299" t="s">
        <v>161</v>
      </c>
      <c r="C71" s="3298">
        <f t="shared" ref="C71:C79" si="16">D71+E71+F71+G71+H71</f>
        <v>236.22656899999998</v>
      </c>
      <c r="D71" s="3296">
        <v>13.404669999999999</v>
      </c>
      <c r="E71" s="3296">
        <v>66.631</v>
      </c>
      <c r="F71" s="3296"/>
      <c r="G71" s="3296">
        <v>13.803162</v>
      </c>
      <c r="H71" s="3296">
        <v>142.38773699999999</v>
      </c>
      <c r="I71" s="3962">
        <f t="shared" ref="I71:I78" si="17">J71+K71+L71+M71</f>
        <v>102.76231200000001</v>
      </c>
      <c r="J71" s="3963">
        <v>68.903109000000001</v>
      </c>
      <c r="K71" s="3963"/>
      <c r="L71" s="3963">
        <v>0</v>
      </c>
      <c r="M71" s="3963">
        <v>33.859203000000001</v>
      </c>
      <c r="N71" s="3285">
        <f t="shared" ref="N71:N76" si="18">SUM(O71:R71)</f>
        <v>252.65434137432396</v>
      </c>
      <c r="O71" s="3296">
        <v>18.328167479999998</v>
      </c>
      <c r="P71" s="3296">
        <v>49.396749999999997</v>
      </c>
      <c r="Q71" s="3296">
        <v>43.826365454323998</v>
      </c>
      <c r="R71" s="3959">
        <f>141103058.44/1000000</f>
        <v>141.10305843999998</v>
      </c>
      <c r="S71" s="3811"/>
      <c r="T71" s="3810"/>
      <c r="U71" s="3814"/>
      <c r="V71" s="3814"/>
      <c r="W71" s="3814"/>
      <c r="X71" s="3814"/>
      <c r="Y71" s="3814"/>
      <c r="Z71" s="3814"/>
      <c r="AA71" s="3814"/>
      <c r="AB71" s="3813"/>
      <c r="AC71" s="3813"/>
      <c r="AD71" s="3813"/>
      <c r="AE71" s="3813"/>
      <c r="AF71" s="3292"/>
      <c r="AG71" s="3266"/>
      <c r="AH71" s="3266"/>
      <c r="AI71" s="3266"/>
      <c r="AJ71" s="3266"/>
      <c r="AK71" s="3320"/>
      <c r="AL71" s="3266"/>
      <c r="AM71" s="3266"/>
      <c r="AN71" s="3266"/>
      <c r="AO71" s="3266"/>
      <c r="BB71" s="3266"/>
    </row>
    <row r="72" spans="1:54" ht="15" customHeight="1">
      <c r="A72" s="3270"/>
      <c r="B72" s="3299" t="s">
        <v>162</v>
      </c>
      <c r="C72" s="3298">
        <f t="shared" si="16"/>
        <v>180.833662</v>
      </c>
      <c r="D72" s="3296">
        <v>10.28</v>
      </c>
      <c r="E72" s="3296">
        <v>46.027000000000001</v>
      </c>
      <c r="F72" s="3296">
        <v>2.8340000000000001</v>
      </c>
      <c r="G72" s="3296">
        <v>13.803162</v>
      </c>
      <c r="H72" s="3296">
        <v>107.8895</v>
      </c>
      <c r="I72" s="3962">
        <f t="shared" si="17"/>
        <v>67.685794999999999</v>
      </c>
      <c r="J72" s="3963">
        <v>37.353954000000002</v>
      </c>
      <c r="K72" s="3963">
        <v>7.3184529999999999</v>
      </c>
      <c r="L72" s="3963">
        <v>0</v>
      </c>
      <c r="M72" s="3963">
        <v>23.013387999999999</v>
      </c>
      <c r="N72" s="3285">
        <f t="shared" si="18"/>
        <v>204.23870041232402</v>
      </c>
      <c r="O72" s="3296">
        <v>14.066530617999998</v>
      </c>
      <c r="P72" s="3296">
        <v>38.331263</v>
      </c>
      <c r="Q72" s="3296">
        <v>43.826365454323998</v>
      </c>
      <c r="R72" s="3959">
        <f>108014541.34/1000000</f>
        <v>108.01454134000001</v>
      </c>
      <c r="S72" s="3811"/>
      <c r="T72" s="3810"/>
      <c r="U72" s="3814"/>
      <c r="V72" s="3814"/>
      <c r="W72" s="3814"/>
      <c r="X72" s="3814"/>
      <c r="Y72" s="3814"/>
      <c r="Z72" s="3814"/>
      <c r="AA72" s="3814"/>
      <c r="AB72" s="3813"/>
      <c r="AC72" s="3813"/>
      <c r="AD72" s="3813"/>
      <c r="AE72" s="3813"/>
      <c r="AF72" s="3292"/>
      <c r="AG72" s="3266"/>
      <c r="AH72" s="3266"/>
      <c r="AI72" s="3266"/>
      <c r="AJ72" s="3266"/>
      <c r="AK72" s="3320"/>
      <c r="AL72" s="3266"/>
      <c r="AM72" s="3266"/>
      <c r="AN72" s="3266"/>
      <c r="AO72" s="3266"/>
      <c r="BB72" s="3266"/>
    </row>
    <row r="73" spans="1:54" ht="15" customHeight="1">
      <c r="A73" s="3270"/>
      <c r="B73" s="3299" t="s">
        <v>163</v>
      </c>
      <c r="C73" s="3298">
        <f t="shared" si="16"/>
        <v>222.92519900000002</v>
      </c>
      <c r="D73" s="3296">
        <v>10.626720000000001</v>
      </c>
      <c r="E73" s="3296">
        <v>58.28</v>
      </c>
      <c r="F73" s="3296">
        <v>10.715999999999999</v>
      </c>
      <c r="G73" s="3296">
        <v>14.181378</v>
      </c>
      <c r="H73" s="3296">
        <v>129.12110100000001</v>
      </c>
      <c r="I73" s="3962">
        <f t="shared" si="17"/>
        <v>99.590933250000006</v>
      </c>
      <c r="J73" s="3963">
        <v>31.039135999999999</v>
      </c>
      <c r="K73" s="3963">
        <v>28.828040000000001</v>
      </c>
      <c r="L73" s="3963">
        <v>0</v>
      </c>
      <c r="M73" s="3963">
        <f>39723757.25/1000000</f>
        <v>39.723757249999998</v>
      </c>
      <c r="N73" s="3285">
        <f t="shared" si="18"/>
        <v>219.53008228000002</v>
      </c>
      <c r="O73" s="3296">
        <v>15.590117680000001</v>
      </c>
      <c r="P73" s="3296">
        <v>38.564503000000002</v>
      </c>
      <c r="Q73" s="3296">
        <v>42.48448784</v>
      </c>
      <c r="R73" s="3959">
        <f>122890973.76/1000000</f>
        <v>122.89097376000001</v>
      </c>
      <c r="S73" s="3811"/>
      <c r="T73" s="3810"/>
      <c r="U73" s="3814"/>
      <c r="V73" s="3814"/>
      <c r="W73" s="3814"/>
      <c r="X73" s="3814"/>
      <c r="Y73" s="3814"/>
      <c r="Z73" s="3814"/>
      <c r="AA73" s="3814"/>
      <c r="AB73" s="3813"/>
      <c r="AC73" s="3813"/>
      <c r="AD73" s="3813"/>
      <c r="AE73" s="3813"/>
      <c r="AF73" s="3292"/>
      <c r="AG73" s="3266"/>
      <c r="AH73" s="3266"/>
      <c r="AI73" s="3266"/>
      <c r="AJ73" s="3266"/>
      <c r="AK73" s="3320"/>
      <c r="AL73" s="3266"/>
      <c r="AM73" s="3266"/>
      <c r="AN73" s="3266"/>
      <c r="AO73" s="3266"/>
      <c r="BB73" s="3266"/>
    </row>
    <row r="74" spans="1:54" ht="15" customHeight="1">
      <c r="A74" s="3270"/>
      <c r="B74" s="3299" t="s">
        <v>164</v>
      </c>
      <c r="C74" s="3298">
        <f t="shared" si="16"/>
        <v>401.15272199999998</v>
      </c>
      <c r="D74" s="3296">
        <v>14.194009999999999</v>
      </c>
      <c r="E74" s="3296">
        <v>109.50700000000001</v>
      </c>
      <c r="F74" s="3296">
        <v>15.569000000000001</v>
      </c>
      <c r="G74" s="3296">
        <v>24.921650999999997</v>
      </c>
      <c r="H74" s="3296">
        <v>236.961061</v>
      </c>
      <c r="I74" s="3962">
        <f t="shared" si="17"/>
        <v>505.82454245000002</v>
      </c>
      <c r="J74" s="3963">
        <v>322.03991300000001</v>
      </c>
      <c r="K74" s="3963">
        <v>37.272101999999997</v>
      </c>
      <c r="L74" s="3963">
        <v>0</v>
      </c>
      <c r="M74" s="3963">
        <f>146512527.45/1000000</f>
        <v>146.51252744999999</v>
      </c>
      <c r="N74" s="3285">
        <f t="shared" si="18"/>
        <v>172.300303451302</v>
      </c>
      <c r="O74" s="3296">
        <v>18.894683663999995</v>
      </c>
      <c r="P74" s="3296">
        <v>26.938994999999998</v>
      </c>
      <c r="Q74" s="3296">
        <v>32.133853857302</v>
      </c>
      <c r="R74" s="3959">
        <f>94332770.93/1000000</f>
        <v>94.332770930000009</v>
      </c>
      <c r="S74" s="3811"/>
      <c r="T74" s="3810"/>
      <c r="U74" s="3814"/>
      <c r="V74" s="3814"/>
      <c r="W74" s="3814"/>
      <c r="X74" s="3814"/>
      <c r="Y74" s="3814"/>
      <c r="Z74" s="3814"/>
      <c r="AA74" s="3814"/>
      <c r="AB74" s="3813"/>
      <c r="AC74" s="3813"/>
      <c r="AD74" s="3813"/>
      <c r="AE74" s="3813"/>
      <c r="AF74" s="3292"/>
      <c r="AG74" s="3266"/>
      <c r="AH74" s="3266"/>
      <c r="AI74" s="3266"/>
      <c r="AJ74" s="3266"/>
      <c r="AK74" s="3320"/>
      <c r="AL74" s="3266"/>
      <c r="AM74" s="3266"/>
      <c r="AN74" s="3266"/>
      <c r="AO74" s="3266"/>
      <c r="BB74" s="3266"/>
    </row>
    <row r="75" spans="1:54" ht="15" customHeight="1">
      <c r="A75" s="3270"/>
      <c r="B75" s="3299" t="s">
        <v>165</v>
      </c>
      <c r="C75" s="3298">
        <f t="shared" si="16"/>
        <v>621.735274</v>
      </c>
      <c r="D75" s="3296">
        <v>15.56</v>
      </c>
      <c r="E75" s="3296">
        <v>176.977</v>
      </c>
      <c r="F75" s="3296">
        <v>17.363</v>
      </c>
      <c r="G75" s="3296">
        <v>41.010149999999996</v>
      </c>
      <c r="H75" s="3296">
        <v>370.82512400000002</v>
      </c>
      <c r="I75" s="3962">
        <f t="shared" si="17"/>
        <v>927.43623546000003</v>
      </c>
      <c r="J75" s="3963">
        <v>354.83306850000002</v>
      </c>
      <c r="K75" s="3963">
        <v>45.01097</v>
      </c>
      <c r="L75" s="3963">
        <v>30.270239999999998</v>
      </c>
      <c r="M75" s="3963">
        <f>497321956.96/1000000</f>
        <v>497.32195695999997</v>
      </c>
      <c r="N75" s="3285">
        <f t="shared" si="18"/>
        <v>143.65726331029998</v>
      </c>
      <c r="O75" s="3296">
        <v>21.547623000000002</v>
      </c>
      <c r="P75" s="3296">
        <v>10.836821280000001</v>
      </c>
      <c r="Q75" s="3296">
        <v>26.617680970299997</v>
      </c>
      <c r="R75" s="3959">
        <f>84655138.06/1000000</f>
        <v>84.655138059999999</v>
      </c>
      <c r="S75" s="3811"/>
      <c r="T75" s="3810"/>
      <c r="U75" s="3814"/>
      <c r="V75" s="3814"/>
      <c r="W75" s="3814"/>
      <c r="X75" s="3814"/>
      <c r="Y75" s="3814"/>
      <c r="Z75" s="3814"/>
      <c r="AA75" s="3814"/>
      <c r="AB75" s="3813"/>
      <c r="AC75" s="3813"/>
      <c r="AD75" s="3813"/>
      <c r="AE75" s="3813"/>
      <c r="AF75" s="3292"/>
      <c r="AG75" s="3266"/>
      <c r="AH75" s="3266"/>
      <c r="AI75" s="3266"/>
      <c r="AJ75" s="3266"/>
      <c r="AK75" s="3320"/>
      <c r="AL75" s="3266"/>
      <c r="AM75" s="3266"/>
      <c r="AN75" s="3266"/>
      <c r="AO75" s="3266"/>
      <c r="BB75" s="3266"/>
    </row>
    <row r="76" spans="1:54" ht="15" customHeight="1">
      <c r="A76" s="3270"/>
      <c r="B76" s="3299" t="s">
        <v>166</v>
      </c>
      <c r="C76" s="3298">
        <f t="shared" si="16"/>
        <v>867.58245000000011</v>
      </c>
      <c r="D76" s="3296">
        <v>28.88</v>
      </c>
      <c r="E76" s="3296">
        <v>214.95099999999999</v>
      </c>
      <c r="F76" s="3296">
        <v>28.587</v>
      </c>
      <c r="G76" s="3296">
        <v>44.836976</v>
      </c>
      <c r="H76" s="3296">
        <v>550.32747400000005</v>
      </c>
      <c r="I76" s="3962">
        <f t="shared" si="17"/>
        <v>1435.1657660399999</v>
      </c>
      <c r="J76" s="3963">
        <v>483.13096000000002</v>
      </c>
      <c r="K76" s="3963">
        <v>78.184732999999994</v>
      </c>
      <c r="L76" s="3963">
        <v>36.808199999999999</v>
      </c>
      <c r="M76" s="3963">
        <f>837041873.04/1000000</f>
        <v>837.04187303999993</v>
      </c>
      <c r="N76" s="3285">
        <f t="shared" si="18"/>
        <v>113.99971667000001</v>
      </c>
      <c r="O76" s="3296">
        <v>39.991525000000003</v>
      </c>
      <c r="P76" s="3296">
        <v>1.626598</v>
      </c>
      <c r="Q76" s="3296">
        <v>26.45028821</v>
      </c>
      <c r="R76" s="3959">
        <f>45931305.46/1000000</f>
        <v>45.931305460000004</v>
      </c>
      <c r="S76" s="3811"/>
      <c r="T76" s="3810"/>
      <c r="U76" s="3814"/>
      <c r="V76" s="3814"/>
      <c r="W76" s="3814"/>
      <c r="X76" s="3814"/>
      <c r="Y76" s="3814"/>
      <c r="Z76" s="3814"/>
      <c r="AA76" s="3814"/>
      <c r="AB76" s="3813"/>
      <c r="AC76" s="3813"/>
      <c r="AD76" s="3813"/>
      <c r="AE76" s="3813"/>
      <c r="AF76" s="3292"/>
      <c r="AG76" s="3266"/>
      <c r="AH76" s="3266"/>
      <c r="AI76" s="3266"/>
      <c r="AJ76" s="3266"/>
      <c r="AK76" s="3320"/>
      <c r="AL76" s="3266"/>
      <c r="AM76" s="3266"/>
      <c r="AN76" s="3266"/>
      <c r="AO76" s="3266"/>
      <c r="BB76" s="3266"/>
    </row>
    <row r="77" spans="1:54" ht="18" customHeight="1">
      <c r="A77" s="3270"/>
      <c r="B77" s="3279" t="s">
        <v>167</v>
      </c>
      <c r="C77" s="3298">
        <f t="shared" si="16"/>
        <v>1215.162585</v>
      </c>
      <c r="D77" s="3296">
        <v>44.846019999999996</v>
      </c>
      <c r="E77" s="3296">
        <v>269.01299999999998</v>
      </c>
      <c r="F77" s="3296">
        <v>49.345999999999997</v>
      </c>
      <c r="G77" s="3296">
        <v>49.343174000000005</v>
      </c>
      <c r="H77" s="3296">
        <v>802.61439099999996</v>
      </c>
      <c r="I77" s="3962">
        <f t="shared" si="17"/>
        <v>2147.2093748100001</v>
      </c>
      <c r="J77" s="3963">
        <v>624.08928400000002</v>
      </c>
      <c r="K77" s="3963">
        <v>144.67708500000001</v>
      </c>
      <c r="L77" s="3963">
        <v>37.241819999999997</v>
      </c>
      <c r="M77" s="3963">
        <f>1341201185.81/1000000</f>
        <v>1341.20118581</v>
      </c>
      <c r="N77" s="3285">
        <f>SUM(O77,P77,Q77,R77)</f>
        <v>79.27056494434801</v>
      </c>
      <c r="O77" s="3296">
        <v>60.793070302000011</v>
      </c>
      <c r="P77" s="3296">
        <v>0</v>
      </c>
      <c r="Q77" s="3296">
        <v>18.477494642347995</v>
      </c>
      <c r="R77" s="3959">
        <v>0</v>
      </c>
      <c r="S77" s="3811"/>
      <c r="T77" s="3810"/>
      <c r="U77" s="3814"/>
      <c r="V77" s="3814"/>
      <c r="W77" s="3814"/>
      <c r="X77" s="3814"/>
      <c r="Y77" s="3814"/>
      <c r="Z77" s="3814"/>
      <c r="AA77" s="3814"/>
      <c r="AB77" s="3813"/>
      <c r="AC77" s="3813"/>
      <c r="AD77" s="3813"/>
      <c r="AE77" s="3813"/>
      <c r="AF77" s="3292"/>
      <c r="AG77" s="3266"/>
      <c r="AH77" s="3266"/>
      <c r="AI77" s="3266"/>
      <c r="AJ77" s="3266"/>
      <c r="AK77" s="3320"/>
      <c r="AL77" s="3266"/>
      <c r="AM77" s="3266"/>
      <c r="AN77" s="3266"/>
      <c r="AO77" s="3266"/>
      <c r="BB77" s="3266"/>
    </row>
    <row r="78" spans="1:54" ht="15" customHeight="1">
      <c r="A78" s="3270"/>
      <c r="B78" s="3279" t="s">
        <v>168</v>
      </c>
      <c r="C78" s="3298">
        <f t="shared" si="16"/>
        <v>1233.5886909999999</v>
      </c>
      <c r="D78" s="3296">
        <v>47.601349999999996</v>
      </c>
      <c r="E78" s="3296">
        <v>250.42599999999999</v>
      </c>
      <c r="F78" s="3296">
        <v>61.94</v>
      </c>
      <c r="G78" s="3296">
        <v>47.724646</v>
      </c>
      <c r="H78" s="3296">
        <v>825.89669500000002</v>
      </c>
      <c r="I78" s="3962">
        <f t="shared" si="17"/>
        <v>2196.9912905599999</v>
      </c>
      <c r="J78" s="3963">
        <v>616.15397299999995</v>
      </c>
      <c r="K78" s="3963">
        <v>176.11499699999999</v>
      </c>
      <c r="L78" s="3963">
        <v>37.402200000000001</v>
      </c>
      <c r="M78" s="3963">
        <f>1367320120.56/1000000</f>
        <v>1367.3201205599999</v>
      </c>
      <c r="N78" s="3285">
        <f>SUM(O78,P78,Q78,R78)</f>
        <v>93.047858315292004</v>
      </c>
      <c r="O78" s="3296">
        <v>65.966868532000007</v>
      </c>
      <c r="P78" s="3296">
        <v>0</v>
      </c>
      <c r="Q78" s="3296">
        <v>27.080989783291997</v>
      </c>
      <c r="R78" s="3959">
        <v>0</v>
      </c>
      <c r="S78" s="3811"/>
      <c r="T78" s="3810"/>
      <c r="U78" s="3814"/>
      <c r="V78" s="3814"/>
      <c r="W78" s="3814"/>
      <c r="X78" s="3814"/>
      <c r="Y78" s="3814"/>
      <c r="Z78" s="3814"/>
      <c r="AA78" s="3814"/>
      <c r="AB78" s="3813"/>
      <c r="AC78" s="3813"/>
      <c r="AD78" s="3813"/>
      <c r="AE78" s="3813"/>
      <c r="AF78" s="3292"/>
      <c r="AG78" s="3266"/>
      <c r="AH78" s="3266"/>
      <c r="AI78" s="3266"/>
      <c r="AJ78" s="3266"/>
      <c r="AK78" s="3320"/>
      <c r="AL78" s="3266"/>
      <c r="AM78" s="3266"/>
      <c r="AN78" s="3266"/>
      <c r="AO78" s="3266"/>
      <c r="BB78" s="3266"/>
    </row>
    <row r="79" spans="1:54" ht="15" customHeight="1">
      <c r="A79" s="3270"/>
      <c r="B79" s="3279" t="s">
        <v>169</v>
      </c>
      <c r="C79" s="3297">
        <f t="shared" si="16"/>
        <v>1203.8307890000001</v>
      </c>
      <c r="D79" s="3296">
        <v>42.635400000000004</v>
      </c>
      <c r="E79" s="3296">
        <v>263.11399999999998</v>
      </c>
      <c r="F79" s="3296">
        <v>65.230999999999995</v>
      </c>
      <c r="G79" s="3296">
        <v>47.734259999999999</v>
      </c>
      <c r="H79" s="3296">
        <v>785.116129</v>
      </c>
      <c r="I79" s="3962">
        <f>J79+K79+L79+M79</f>
        <v>2136.1333163199997</v>
      </c>
      <c r="J79" s="3963">
        <v>616.68967099999998</v>
      </c>
      <c r="K79" s="3963">
        <v>180.129074</v>
      </c>
      <c r="L79" s="3963">
        <v>33.592680000000001</v>
      </c>
      <c r="M79" s="3963">
        <f>1305721891.32/1000000</f>
        <v>1305.7218913199999</v>
      </c>
      <c r="N79" s="3285">
        <f>SUM(O79,P79,Q79,R79)</f>
        <v>81.506302632519976</v>
      </c>
      <c r="O79" s="3296">
        <v>58.999605843999987</v>
      </c>
      <c r="P79" s="3296">
        <v>11.473468</v>
      </c>
      <c r="Q79" s="3296">
        <v>11.033228788519999</v>
      </c>
      <c r="R79" s="3959">
        <v>0</v>
      </c>
      <c r="S79" s="3811"/>
      <c r="T79" s="3810"/>
      <c r="U79" s="3814"/>
      <c r="V79" s="3814"/>
      <c r="W79" s="3814"/>
      <c r="X79" s="3814"/>
      <c r="Y79" s="3814"/>
      <c r="Z79" s="3814"/>
      <c r="AA79" s="3814"/>
      <c r="AB79" s="3813"/>
      <c r="AC79" s="3813"/>
      <c r="AD79" s="3813"/>
      <c r="AE79" s="3813"/>
      <c r="AF79" s="3292"/>
      <c r="AG79" s="3266"/>
      <c r="AH79" s="3266"/>
      <c r="AI79" s="3266"/>
      <c r="AJ79" s="3266"/>
      <c r="AK79" s="3320"/>
      <c r="AL79" s="3266"/>
      <c r="AM79" s="3266"/>
      <c r="AN79" s="3266"/>
      <c r="AO79" s="3266"/>
      <c r="BB79" s="3266"/>
    </row>
    <row r="80" spans="1:54" ht="15" customHeight="1">
      <c r="A80" s="3270"/>
      <c r="B80" s="3279" t="s">
        <v>170</v>
      </c>
      <c r="C80" s="3297">
        <f>D80+E80+F80+G80+H80</f>
        <v>802.48037499999998</v>
      </c>
      <c r="D80" s="3296">
        <v>41.643379999999993</v>
      </c>
      <c r="E80" s="3296">
        <v>211.08600000000001</v>
      </c>
      <c r="F80" s="3296">
        <v>52.85</v>
      </c>
      <c r="G80" s="3296">
        <v>40.699238000000001</v>
      </c>
      <c r="H80" s="3296">
        <v>456.20175699999999</v>
      </c>
      <c r="I80" s="3962">
        <f>J80+K80+L80+M80</f>
        <v>1289.4337452899999</v>
      </c>
      <c r="J80" s="3963">
        <v>472.73377699999998</v>
      </c>
      <c r="K80" s="3963">
        <v>146.35089300000001</v>
      </c>
      <c r="L80" s="3963">
        <v>19.598039999999997</v>
      </c>
      <c r="M80" s="3963">
        <f>650751035.29/1000000</f>
        <v>650.75103529</v>
      </c>
      <c r="N80" s="3285">
        <f>SUM(O80,P80,Q80,R80)</f>
        <v>159.64086386247601</v>
      </c>
      <c r="O80" s="3296">
        <v>56.153483821999991</v>
      </c>
      <c r="P80" s="3296">
        <v>25.128976000000002</v>
      </c>
      <c r="Q80" s="3296">
        <v>13.499125290475998</v>
      </c>
      <c r="R80" s="3959">
        <f>64859278.75/1000000</f>
        <v>64.859278750000001</v>
      </c>
      <c r="S80" s="3811"/>
      <c r="T80" s="3810"/>
      <c r="U80" s="3814"/>
      <c r="V80" s="3814"/>
      <c r="W80" s="3814"/>
      <c r="X80" s="3814"/>
      <c r="Y80" s="3814"/>
      <c r="Z80" s="3814"/>
      <c r="AA80" s="3814"/>
      <c r="AB80" s="3813"/>
      <c r="AC80" s="3813"/>
      <c r="AD80" s="3813"/>
      <c r="AE80" s="3813"/>
      <c r="AF80" s="3292"/>
      <c r="AG80" s="3266"/>
      <c r="AH80" s="3266"/>
      <c r="AI80" s="3266"/>
      <c r="AJ80" s="3266"/>
      <c r="AK80" s="3320"/>
      <c r="AL80" s="3266"/>
      <c r="AM80" s="3266"/>
      <c r="AN80" s="3266"/>
      <c r="AO80" s="3266"/>
      <c r="BB80" s="3266"/>
    </row>
    <row r="81" spans="1:54" ht="15" customHeight="1">
      <c r="A81" s="3270"/>
      <c r="B81" s="4056" t="s">
        <v>171</v>
      </c>
      <c r="C81" s="3297">
        <f>D81+E81+F81+G81+H81</f>
        <v>439.406451</v>
      </c>
      <c r="D81" s="3296">
        <v>24.83</v>
      </c>
      <c r="E81" s="3296">
        <v>117.086</v>
      </c>
      <c r="F81" s="3296">
        <v>29.03</v>
      </c>
      <c r="G81" s="3296">
        <v>25.115789999999997</v>
      </c>
      <c r="H81" s="3296">
        <v>243.344661</v>
      </c>
      <c r="I81" s="3962">
        <f>J81+K81+L81+M81</f>
        <v>545.40789248999999</v>
      </c>
      <c r="J81" s="3963">
        <v>222.708688</v>
      </c>
      <c r="K81" s="3963">
        <v>81.226860959999996</v>
      </c>
      <c r="L81" s="3963">
        <v>0</v>
      </c>
      <c r="M81" s="3963">
        <f>241472343.53/1000000</f>
        <v>241.47234352999999</v>
      </c>
      <c r="N81" s="3285">
        <f>SUM(O81,P81,Q81,R81)</f>
        <v>203.70446703158001</v>
      </c>
      <c r="O81" s="3296">
        <v>34.389204999999997</v>
      </c>
      <c r="P81" s="3296">
        <v>40.634133300000002</v>
      </c>
      <c r="Q81" s="3296">
        <v>28.485264331580002</v>
      </c>
      <c r="R81" s="4057">
        <f>100195864.4/1000000</f>
        <v>100.1958644</v>
      </c>
      <c r="S81" s="3811"/>
      <c r="T81" s="3810"/>
      <c r="U81" s="3814"/>
      <c r="V81" s="3814"/>
      <c r="W81" s="3814"/>
      <c r="X81" s="3814"/>
      <c r="Y81" s="3814"/>
      <c r="Z81" s="3814"/>
      <c r="AA81" s="3814"/>
      <c r="AB81" s="3813"/>
      <c r="AC81" s="3813"/>
      <c r="AD81" s="3813"/>
      <c r="AE81" s="3813"/>
      <c r="AF81" s="3292"/>
      <c r="AG81" s="3266"/>
      <c r="AH81" s="3266"/>
      <c r="AI81" s="3266"/>
      <c r="AJ81" s="3266"/>
      <c r="AK81" s="3320"/>
      <c r="AL81" s="3266"/>
      <c r="AM81" s="3266"/>
      <c r="AN81" s="3266"/>
      <c r="AO81" s="3266"/>
      <c r="BB81" s="3266"/>
    </row>
    <row r="82" spans="1:54" ht="15" customHeight="1">
      <c r="A82" s="3270"/>
      <c r="B82" s="4056" t="s">
        <v>148</v>
      </c>
      <c r="C82" s="3297">
        <v>310.348322</v>
      </c>
      <c r="D82" s="3296">
        <v>18.245190000000001</v>
      </c>
      <c r="E82" s="3296">
        <v>84.3</v>
      </c>
      <c r="F82" s="3296">
        <v>16.14</v>
      </c>
      <c r="G82" s="3296">
        <v>18.719540000000002</v>
      </c>
      <c r="H82" s="3296">
        <v>172.943592</v>
      </c>
      <c r="I82" s="3962">
        <v>261.27725600000002</v>
      </c>
      <c r="J82" s="3963">
        <v>123.482225</v>
      </c>
      <c r="K82" s="3963">
        <v>44.631086000000003</v>
      </c>
      <c r="L82" s="3963">
        <v>0</v>
      </c>
      <c r="M82" s="3963">
        <v>93.163944999999998</v>
      </c>
      <c r="N82" s="3285">
        <v>245.50010948308</v>
      </c>
      <c r="O82" s="3296">
        <v>25.181693973999998</v>
      </c>
      <c r="P82" s="3296">
        <v>47.677999999999997</v>
      </c>
      <c r="Q82" s="3296">
        <v>42.852926509079992</v>
      </c>
      <c r="R82" s="4258">
        <v>129.78748899999999</v>
      </c>
      <c r="S82" s="3811"/>
      <c r="T82" s="3810"/>
      <c r="U82" s="3814"/>
      <c r="V82" s="3814"/>
      <c r="W82" s="3814"/>
      <c r="X82" s="3814"/>
      <c r="Y82" s="3814"/>
      <c r="Z82" s="3814"/>
      <c r="AA82" s="3814"/>
      <c r="AB82" s="3813"/>
      <c r="AC82" s="3813"/>
      <c r="AD82" s="3813"/>
      <c r="AE82" s="3813"/>
      <c r="AF82" s="3292"/>
      <c r="AG82" s="3266"/>
      <c r="AH82" s="3266"/>
      <c r="AI82" s="3266"/>
      <c r="AJ82" s="3266"/>
      <c r="AK82" s="3320"/>
      <c r="AL82" s="3266"/>
      <c r="AM82" s="3266"/>
      <c r="AN82" s="3266"/>
      <c r="AO82" s="3266"/>
      <c r="BB82" s="3266"/>
    </row>
    <row r="83" spans="1:54" ht="15" customHeight="1">
      <c r="A83" s="3270"/>
      <c r="B83" s="4257">
        <v>2016</v>
      </c>
      <c r="C83" s="3297"/>
      <c r="D83" s="3296"/>
      <c r="E83" s="3296"/>
      <c r="F83" s="3296"/>
      <c r="G83" s="3296"/>
      <c r="H83" s="3296"/>
      <c r="I83" s="3962"/>
      <c r="J83" s="3963"/>
      <c r="K83" s="3963"/>
      <c r="L83" s="3963"/>
      <c r="M83" s="3963"/>
      <c r="N83" s="3285"/>
      <c r="O83" s="3296"/>
      <c r="P83" s="3296"/>
      <c r="Q83" s="3296"/>
      <c r="R83" s="4258"/>
      <c r="S83" s="3811"/>
      <c r="T83" s="3810"/>
      <c r="U83" s="3814"/>
      <c r="V83" s="3814"/>
      <c r="W83" s="3814"/>
      <c r="X83" s="3814"/>
      <c r="Y83" s="3814"/>
      <c r="Z83" s="3814"/>
      <c r="AA83" s="3814"/>
      <c r="AB83" s="3813"/>
      <c r="AC83" s="3813"/>
      <c r="AD83" s="3813"/>
      <c r="AE83" s="3813"/>
      <c r="AF83" s="3292"/>
      <c r="AG83" s="3266"/>
      <c r="AH83" s="3266"/>
      <c r="AI83" s="3266"/>
      <c r="AJ83" s="3266"/>
      <c r="AK83" s="3320"/>
      <c r="AL83" s="3266"/>
      <c r="AM83" s="3266"/>
      <c r="AN83" s="3266"/>
      <c r="AO83" s="3266"/>
      <c r="BB83" s="3266"/>
    </row>
    <row r="84" spans="1:54" ht="15" customHeight="1">
      <c r="A84" s="3270"/>
      <c r="B84" s="3951" t="s">
        <v>161</v>
      </c>
      <c r="C84" s="3297">
        <v>230.80423299999998</v>
      </c>
      <c r="D84" s="3296">
        <v>13.71</v>
      </c>
      <c r="E84" s="3296">
        <v>65.852999999999994</v>
      </c>
      <c r="F84" s="3296">
        <v>0</v>
      </c>
      <c r="G84" s="3296">
        <v>14.771533</v>
      </c>
      <c r="H84" s="3296">
        <v>136.46969999999999</v>
      </c>
      <c r="I84" s="3962">
        <v>93.40693456000001</v>
      </c>
      <c r="J84" s="3963">
        <v>83.964836000000005</v>
      </c>
      <c r="K84" s="3963">
        <v>0</v>
      </c>
      <c r="L84" s="3963">
        <v>0</v>
      </c>
      <c r="M84" s="3963">
        <v>9.4420985599999998</v>
      </c>
      <c r="N84" s="3285">
        <v>236.30414610506602</v>
      </c>
      <c r="O84" s="3296">
        <v>18.729296999999999</v>
      </c>
      <c r="P84" s="3296">
        <v>47.187798999999998</v>
      </c>
      <c r="Q84" s="3296">
        <v>48.887913605065997</v>
      </c>
      <c r="R84" s="4057">
        <v>121.49913650000001</v>
      </c>
      <c r="S84" s="3811"/>
      <c r="T84" s="3810"/>
      <c r="U84" s="3814"/>
      <c r="V84" s="3814"/>
      <c r="W84" s="3814"/>
      <c r="X84" s="3814"/>
      <c r="Y84" s="3814"/>
      <c r="Z84" s="3814"/>
      <c r="AA84" s="3814"/>
      <c r="AB84" s="3813"/>
      <c r="AC84" s="3813"/>
      <c r="AD84" s="3813"/>
      <c r="AE84" s="3813"/>
      <c r="AF84" s="3292"/>
      <c r="AG84" s="3266"/>
      <c r="AH84" s="3266"/>
      <c r="AI84" s="3266"/>
      <c r="AJ84" s="3266"/>
      <c r="AK84" s="3320"/>
      <c r="AL84" s="3266"/>
      <c r="AM84" s="3266"/>
      <c r="AN84" s="3266"/>
      <c r="AO84" s="3266"/>
      <c r="BB84" s="3266"/>
    </row>
    <row r="85" spans="1:54" ht="15" customHeight="1">
      <c r="A85" s="3270"/>
      <c r="B85" s="4369" t="s">
        <v>162</v>
      </c>
      <c r="C85" s="4364">
        <v>198.08929599999999</v>
      </c>
      <c r="D85" s="4365">
        <v>11.67754</v>
      </c>
      <c r="E85" s="4365">
        <v>55.771999999999998</v>
      </c>
      <c r="F85" s="4365">
        <v>0</v>
      </c>
      <c r="G85" s="4365">
        <v>14.877162999999999</v>
      </c>
      <c r="H85" s="4365">
        <v>115.762593</v>
      </c>
      <c r="I85" s="4366">
        <v>42.014794999999999</v>
      </c>
      <c r="J85" s="4367">
        <v>42.014794999999999</v>
      </c>
      <c r="K85" s="4367">
        <v>0</v>
      </c>
      <c r="L85" s="4367">
        <v>0</v>
      </c>
      <c r="M85" s="4367">
        <v>0</v>
      </c>
      <c r="N85" s="4368">
        <v>225.93496395632599</v>
      </c>
      <c r="O85" s="4365">
        <v>15.933980330000001</v>
      </c>
      <c r="P85" s="4365">
        <v>43.302160999999998</v>
      </c>
      <c r="Q85" s="4365">
        <v>43.663255616325998</v>
      </c>
      <c r="R85" s="4370">
        <v>123.03556701000001</v>
      </c>
      <c r="S85" s="3811"/>
      <c r="T85" s="3810"/>
      <c r="U85" s="3814"/>
      <c r="V85" s="3814"/>
      <c r="W85" s="3814"/>
      <c r="X85" s="3814"/>
      <c r="Y85" s="3814"/>
      <c r="Z85" s="3814"/>
      <c r="AA85" s="3814"/>
      <c r="AB85" s="3813"/>
      <c r="AC85" s="3813"/>
      <c r="AD85" s="3813"/>
      <c r="AE85" s="3813"/>
      <c r="AF85" s="3292"/>
      <c r="AG85" s="3266"/>
      <c r="AH85" s="3266"/>
      <c r="AI85" s="3266"/>
      <c r="AJ85" s="3266"/>
      <c r="AK85" s="3320"/>
      <c r="AL85" s="3266"/>
      <c r="AM85" s="3266"/>
      <c r="AN85" s="3266"/>
      <c r="AO85" s="3266"/>
      <c r="BB85" s="3266"/>
    </row>
    <row r="86" spans="1:54" ht="75" customHeight="1">
      <c r="A86" s="3270"/>
      <c r="B86" s="4812" t="s">
        <v>1853</v>
      </c>
      <c r="C86" s="4812"/>
      <c r="D86" s="4812"/>
      <c r="E86" s="4812"/>
      <c r="F86" s="4812"/>
      <c r="G86" s="4812"/>
      <c r="H86" s="4812"/>
      <c r="I86" s="4812"/>
      <c r="J86" s="4812"/>
      <c r="K86" s="4812"/>
      <c r="L86" s="4812"/>
      <c r="M86" s="4812"/>
      <c r="N86" s="4812"/>
      <c r="O86" s="4812"/>
      <c r="P86" s="4812"/>
      <c r="Q86" s="4812"/>
      <c r="R86" s="4812"/>
      <c r="S86" s="3433"/>
      <c r="T86" s="3815"/>
      <c r="U86" s="3812"/>
      <c r="V86" s="3816"/>
      <c r="W86" s="3810"/>
      <c r="X86" s="3810"/>
      <c r="Y86" s="3810"/>
      <c r="Z86" s="3810"/>
      <c r="AA86" s="3810"/>
      <c r="AB86" s="3810"/>
      <c r="AC86" s="3810"/>
      <c r="AD86" s="3810"/>
      <c r="AE86" s="3810"/>
      <c r="AF86" s="3292"/>
      <c r="AG86" s="3266"/>
      <c r="AH86" s="3322"/>
      <c r="AI86" s="3266"/>
      <c r="AJ86" s="3266"/>
      <c r="AK86" s="3320"/>
      <c r="AL86" s="3266"/>
      <c r="AM86" s="3266"/>
      <c r="AN86" s="3266"/>
      <c r="AO86" s="3266"/>
    </row>
    <row r="87" spans="1:54" ht="33.75" customHeight="1">
      <c r="A87" s="3270"/>
      <c r="B87" s="4805" t="s">
        <v>1854</v>
      </c>
      <c r="C87" s="4805"/>
      <c r="D87" s="4805"/>
      <c r="E87" s="4805"/>
      <c r="F87" s="4805"/>
      <c r="G87" s="4805"/>
      <c r="H87" s="4805"/>
      <c r="I87" s="4805"/>
      <c r="J87" s="4805"/>
      <c r="K87" s="4805"/>
      <c r="L87" s="4805"/>
      <c r="M87" s="4805"/>
      <c r="N87" s="4805"/>
      <c r="O87" s="4805"/>
      <c r="P87" s="4805"/>
      <c r="Q87" s="4805"/>
      <c r="R87" s="4805"/>
      <c r="S87" s="3433"/>
      <c r="T87" s="3810"/>
      <c r="U87" s="3810"/>
      <c r="V87" s="3816"/>
      <c r="W87" s="3810"/>
      <c r="X87" s="3810"/>
      <c r="Y87" s="3810"/>
      <c r="Z87" s="3810"/>
      <c r="AA87" s="3810"/>
      <c r="AB87" s="3810"/>
      <c r="AC87" s="3810"/>
      <c r="AD87" s="3810"/>
      <c r="AE87" s="3810"/>
      <c r="AF87" s="3292"/>
      <c r="AG87" s="3266"/>
      <c r="AH87" s="3322"/>
      <c r="AI87" s="3266"/>
      <c r="AJ87" s="3266"/>
      <c r="AK87" s="3320"/>
      <c r="AL87" s="3266"/>
      <c r="AM87" s="3266"/>
      <c r="AN87" s="3266"/>
      <c r="AO87" s="3266"/>
    </row>
    <row r="88" spans="1:54">
      <c r="A88" s="3270"/>
      <c r="B88" s="4806"/>
      <c r="C88" s="4806"/>
      <c r="D88" s="4806"/>
      <c r="E88" s="4806"/>
      <c r="F88" s="4806"/>
      <c r="G88" s="4806"/>
      <c r="H88" s="4806"/>
      <c r="I88" s="4806"/>
      <c r="J88" s="4806"/>
      <c r="K88" s="4806"/>
      <c r="L88" s="4806"/>
      <c r="M88" s="4806"/>
      <c r="N88" s="4806"/>
      <c r="O88" s="4806"/>
      <c r="P88" s="4806"/>
      <c r="Q88" s="4806"/>
      <c r="R88" s="4806"/>
      <c r="S88" s="3817"/>
      <c r="T88" s="3270"/>
      <c r="U88" s="3270"/>
      <c r="V88" s="3270"/>
      <c r="W88" s="3270"/>
      <c r="X88" s="3270"/>
      <c r="Y88" s="3270"/>
      <c r="Z88" s="3270"/>
      <c r="AA88" s="3270"/>
      <c r="AB88" s="3270"/>
      <c r="AC88" s="3270"/>
      <c r="AD88" s="3270"/>
      <c r="AE88" s="3270"/>
    </row>
    <row r="89" spans="1:54">
      <c r="A89" s="3270"/>
      <c r="B89" s="4065"/>
      <c r="C89" s="4065"/>
      <c r="D89" s="4065"/>
      <c r="E89" s="4065"/>
      <c r="F89" s="4065"/>
      <c r="G89" s="4065"/>
      <c r="H89" s="4065"/>
      <c r="I89" s="4065"/>
      <c r="J89" s="4065"/>
      <c r="K89" s="4065"/>
      <c r="L89" s="4065"/>
      <c r="M89" s="4065"/>
      <c r="N89" s="4065"/>
      <c r="O89" s="4065"/>
      <c r="P89" s="4065"/>
      <c r="Q89" s="4065"/>
      <c r="R89" s="4065"/>
      <c r="S89" s="3817"/>
      <c r="T89" s="3270"/>
      <c r="U89" s="3270"/>
      <c r="V89" s="3270"/>
      <c r="W89" s="3270"/>
      <c r="X89" s="3270"/>
      <c r="Y89" s="3270"/>
      <c r="Z89" s="3270"/>
      <c r="AA89" s="3270"/>
      <c r="AB89" s="3270"/>
      <c r="AC89" s="3270"/>
      <c r="AD89" s="3270"/>
      <c r="AE89" s="3270"/>
    </row>
    <row r="90" spans="1:54" ht="15.75">
      <c r="B90" s="3267"/>
      <c r="D90" s="3272"/>
      <c r="Q90" s="3272"/>
      <c r="R90" s="3272"/>
      <c r="T90" s="3267"/>
      <c r="U90" s="3267"/>
      <c r="V90" s="3267"/>
      <c r="W90" s="3267"/>
      <c r="X90" s="3267"/>
      <c r="Y90" s="3267"/>
      <c r="Z90" s="3267"/>
      <c r="AA90" s="3267"/>
      <c r="AB90" s="3267"/>
      <c r="AC90" s="3282"/>
      <c r="AD90" s="3267"/>
    </row>
    <row r="91" spans="1:54">
      <c r="C91" s="3266"/>
      <c r="D91" s="3266"/>
      <c r="E91" s="3266"/>
      <c r="F91" s="3266"/>
      <c r="G91" s="3266"/>
      <c r="H91" s="3266"/>
      <c r="I91" s="3266"/>
      <c r="J91" s="3266"/>
      <c r="T91" s="3272"/>
      <c r="U91" s="3272"/>
      <c r="V91" s="3272"/>
      <c r="W91" s="3272"/>
      <c r="X91" s="3272"/>
      <c r="Y91" s="3272"/>
      <c r="Z91" s="3272"/>
      <c r="AA91" s="3272"/>
      <c r="AB91" s="3272"/>
      <c r="AC91" s="3301"/>
      <c r="AD91" s="3272"/>
    </row>
    <row r="92" spans="1:54" ht="15.75">
      <c r="C92" s="3287"/>
      <c r="D92" s="3266"/>
      <c r="E92" s="3266"/>
      <c r="F92" s="3266"/>
      <c r="G92" s="3266"/>
      <c r="H92" s="3266"/>
      <c r="I92" s="3266"/>
      <c r="J92" s="3266"/>
      <c r="L92" s="3272"/>
      <c r="M92" s="3272"/>
      <c r="P92" s="3268" t="s">
        <v>143</v>
      </c>
      <c r="R92" s="3268" t="s">
        <v>143</v>
      </c>
      <c r="T92" s="3272"/>
      <c r="U92" s="3272"/>
      <c r="V92" s="3272"/>
      <c r="W92" s="3272"/>
      <c r="X92" s="3272"/>
      <c r="Y92" s="3272"/>
      <c r="Z92" s="3272"/>
      <c r="AA92" s="3272"/>
      <c r="AB92" s="3272"/>
      <c r="AC92" s="3301"/>
      <c r="AD92" s="3272"/>
    </row>
    <row r="93" spans="1:54" ht="15.75">
      <c r="C93" s="3266"/>
      <c r="D93" s="3287"/>
      <c r="E93" s="3287"/>
      <c r="F93" s="3287"/>
      <c r="G93" s="3287"/>
      <c r="H93" s="3287"/>
      <c r="I93" s="3287"/>
      <c r="J93" s="3266"/>
      <c r="T93" s="3272"/>
      <c r="U93" s="3272"/>
      <c r="V93" s="3272"/>
      <c r="W93" s="3272"/>
      <c r="X93" s="3272"/>
      <c r="Y93" s="3272"/>
      <c r="Z93" s="3272"/>
      <c r="AA93" s="3272"/>
      <c r="AB93" s="3272"/>
      <c r="AC93" s="3301"/>
      <c r="AD93" s="3272"/>
    </row>
    <row r="94" spans="1:54">
      <c r="C94" s="3266"/>
      <c r="D94" s="3283"/>
      <c r="E94" s="3283"/>
      <c r="F94" s="3283"/>
      <c r="G94" s="3283"/>
      <c r="H94" s="3283"/>
      <c r="I94" s="3283"/>
      <c r="J94" s="3266"/>
      <c r="T94" s="3272"/>
      <c r="U94" s="3272"/>
      <c r="V94" s="3272"/>
      <c r="W94" s="3272"/>
      <c r="X94" s="3272"/>
      <c r="Y94" s="3272"/>
      <c r="Z94" s="3272"/>
      <c r="AA94" s="3272"/>
      <c r="AB94" s="3272"/>
      <c r="AC94" s="3301"/>
      <c r="AD94" s="3272"/>
    </row>
    <row r="95" spans="1:54">
      <c r="C95" s="3266"/>
      <c r="D95" s="3283"/>
      <c r="E95" s="3283"/>
      <c r="F95" s="3283"/>
      <c r="G95" s="3283"/>
      <c r="H95" s="3283"/>
      <c r="I95" s="3283"/>
      <c r="J95" s="3266"/>
      <c r="T95" s="3272"/>
      <c r="U95" s="3272"/>
      <c r="V95" s="3272"/>
      <c r="W95" s="3272"/>
      <c r="X95" s="3272"/>
      <c r="Y95" s="3272"/>
      <c r="Z95" s="3272"/>
      <c r="AA95" s="3272"/>
      <c r="AB95" s="3272"/>
      <c r="AC95" s="3301"/>
      <c r="AD95" s="3272"/>
    </row>
    <row r="96" spans="1:54">
      <c r="C96" s="3266"/>
      <c r="D96" s="3283"/>
      <c r="E96" s="3283"/>
      <c r="F96" s="3283"/>
      <c r="G96" s="3283"/>
      <c r="H96" s="3283"/>
      <c r="I96" s="3283"/>
      <c r="J96" s="3266"/>
      <c r="T96" s="3272"/>
      <c r="U96" s="3272"/>
      <c r="V96" s="3272"/>
      <c r="W96" s="3272"/>
      <c r="X96" s="3272"/>
      <c r="Y96" s="3272"/>
      <c r="Z96" s="3272"/>
      <c r="AA96" s="3272"/>
      <c r="AB96" s="3272"/>
      <c r="AC96" s="3301"/>
      <c r="AD96" s="3272"/>
    </row>
    <row r="97" spans="3:37">
      <c r="C97" s="3266"/>
      <c r="D97" s="3283"/>
      <c r="E97" s="3283"/>
      <c r="F97" s="3283"/>
      <c r="G97" s="3283"/>
      <c r="H97" s="3283"/>
      <c r="I97" s="3283"/>
      <c r="J97" s="3266"/>
      <c r="T97" s="3272"/>
      <c r="U97" s="3272"/>
      <c r="V97" s="3272"/>
      <c r="W97" s="3272"/>
      <c r="X97" s="3272"/>
      <c r="Y97" s="3272"/>
      <c r="Z97" s="3272"/>
      <c r="AA97" s="3272"/>
      <c r="AB97" s="3272"/>
      <c r="AC97" s="3301"/>
      <c r="AD97" s="3272"/>
    </row>
    <row r="98" spans="3:37">
      <c r="C98" s="3266"/>
      <c r="D98" s="3283"/>
      <c r="E98" s="3283"/>
      <c r="F98" s="3283"/>
      <c r="G98" s="3283"/>
      <c r="H98" s="3283"/>
      <c r="I98" s="3283"/>
      <c r="J98" s="3266"/>
      <c r="T98" s="3272"/>
      <c r="U98" s="3272"/>
      <c r="V98" s="3272"/>
      <c r="W98" s="3272"/>
      <c r="X98" s="3272"/>
      <c r="Y98" s="3272"/>
      <c r="Z98" s="3272"/>
      <c r="AA98" s="3272"/>
      <c r="AB98" s="3272"/>
      <c r="AC98" s="3301"/>
      <c r="AD98" s="3272"/>
    </row>
    <row r="99" spans="3:37">
      <c r="C99" s="3266"/>
      <c r="D99" s="3283"/>
      <c r="E99" s="3283"/>
      <c r="F99" s="3283"/>
      <c r="G99" s="3283"/>
      <c r="H99" s="3283"/>
      <c r="I99" s="3283"/>
      <c r="J99" s="3266"/>
      <c r="T99" s="3272"/>
      <c r="U99" s="3272"/>
      <c r="V99" s="3272"/>
      <c r="W99" s="3272"/>
      <c r="X99" s="3272"/>
      <c r="Y99" s="3272"/>
      <c r="Z99" s="3272"/>
      <c r="AA99" s="3272"/>
      <c r="AB99" s="3272"/>
      <c r="AC99" s="3301"/>
      <c r="AD99" s="3272"/>
    </row>
    <row r="100" spans="3:37">
      <c r="C100" s="3266"/>
      <c r="D100" s="3283"/>
      <c r="E100" s="3283"/>
      <c r="F100" s="3283"/>
      <c r="G100" s="3283"/>
      <c r="H100" s="3283"/>
      <c r="I100" s="3266"/>
      <c r="J100" s="3266"/>
      <c r="T100" s="3272"/>
      <c r="U100" s="3272"/>
      <c r="V100" s="3272"/>
      <c r="W100" s="3272"/>
      <c r="X100" s="3272"/>
      <c r="Y100" s="3272"/>
      <c r="Z100" s="3272"/>
      <c r="AA100" s="3272"/>
      <c r="AB100" s="3272"/>
      <c r="AC100" s="3301"/>
      <c r="AD100" s="3272"/>
    </row>
    <row r="101" spans="3:37">
      <c r="C101" s="3266"/>
      <c r="D101" s="3283"/>
      <c r="E101" s="3283"/>
      <c r="F101" s="3283"/>
      <c r="G101" s="3283"/>
      <c r="H101" s="3283"/>
      <c r="I101" s="3266"/>
      <c r="J101" s="3266"/>
      <c r="P101" s="3268" t="s">
        <v>143</v>
      </c>
      <c r="T101" s="3272"/>
      <c r="U101" s="3272"/>
      <c r="V101" s="3272"/>
      <c r="W101" s="3272"/>
      <c r="X101" s="3272"/>
      <c r="Y101" s="3272"/>
      <c r="Z101" s="3272"/>
      <c r="AA101" s="3272"/>
      <c r="AB101" s="3272"/>
      <c r="AC101" s="3301"/>
      <c r="AD101" s="3272"/>
    </row>
    <row r="102" spans="3:37">
      <c r="C102" s="3266"/>
      <c r="D102" s="3283"/>
      <c r="E102" s="3283"/>
      <c r="F102" s="3283"/>
      <c r="G102" s="3283"/>
      <c r="H102" s="3283"/>
      <c r="I102" s="3283"/>
      <c r="J102" s="3266"/>
      <c r="P102" s="3268" t="s">
        <v>143</v>
      </c>
      <c r="T102" s="3272"/>
      <c r="U102" s="3272"/>
      <c r="V102" s="3272"/>
      <c r="W102" s="3272"/>
      <c r="X102" s="3272"/>
      <c r="Y102" s="3272"/>
      <c r="Z102" s="3272"/>
      <c r="AA102" s="3272"/>
      <c r="AB102" s="3272"/>
      <c r="AC102" s="3301"/>
    </row>
    <row r="103" spans="3:37">
      <c r="C103" s="3266"/>
      <c r="D103" s="3283"/>
      <c r="E103" s="3283"/>
      <c r="F103" s="3283"/>
      <c r="G103" s="3283"/>
      <c r="H103" s="3283"/>
      <c r="I103" s="3266"/>
      <c r="J103" s="3266"/>
    </row>
    <row r="104" spans="3:37">
      <c r="C104" s="3266"/>
      <c r="D104" s="3283"/>
      <c r="E104" s="3283"/>
      <c r="F104" s="3283"/>
      <c r="G104" s="3283"/>
      <c r="H104" s="3283"/>
      <c r="I104" s="3266"/>
      <c r="J104" s="3266"/>
    </row>
    <row r="105" spans="3:37">
      <c r="C105" s="3266"/>
      <c r="D105" s="3283"/>
      <c r="E105" s="3283"/>
      <c r="F105" s="3283"/>
      <c r="G105" s="3283"/>
      <c r="H105" s="3283"/>
      <c r="I105" s="3266"/>
      <c r="J105" s="3266"/>
    </row>
    <row r="106" spans="3:37" ht="15.75">
      <c r="C106" s="3287"/>
      <c r="D106" s="3281"/>
      <c r="E106" s="3281"/>
      <c r="F106" s="3281"/>
      <c r="G106" s="3281"/>
      <c r="H106" s="3281"/>
      <c r="I106" s="3266"/>
      <c r="J106" s="3266"/>
    </row>
    <row r="107" spans="3:37" s="3302" customFormat="1" ht="15.75">
      <c r="C107" s="4808"/>
      <c r="D107" s="3315"/>
      <c r="E107" s="3316"/>
      <c r="F107" s="3316"/>
      <c r="G107" s="3316"/>
      <c r="H107" s="3316"/>
      <c r="I107" s="3315"/>
      <c r="J107" s="3310"/>
      <c r="AF107" s="3303"/>
      <c r="AK107" s="3323"/>
    </row>
    <row r="108" spans="3:37" ht="15.75">
      <c r="C108" s="4808"/>
      <c r="D108" s="3281"/>
      <c r="E108" s="3281"/>
      <c r="F108" s="3281"/>
      <c r="G108" s="3281"/>
      <c r="H108" s="3281"/>
      <c r="I108" s="3281"/>
      <c r="J108" s="3287"/>
      <c r="K108" s="3267"/>
    </row>
    <row r="109" spans="3:37" ht="15.75">
      <c r="C109" s="3287"/>
      <c r="D109" s="3281"/>
      <c r="E109" s="3281"/>
      <c r="F109" s="3281"/>
      <c r="G109" s="3281"/>
      <c r="H109" s="3281"/>
      <c r="I109" s="3281"/>
      <c r="J109" s="3266"/>
    </row>
    <row r="110" spans="3:37" ht="15.75">
      <c r="C110" s="3287"/>
      <c r="D110" s="3283"/>
      <c r="E110" s="3266"/>
      <c r="F110" s="3266"/>
      <c r="G110" s="3266"/>
      <c r="H110" s="3266"/>
      <c r="I110" s="3266"/>
      <c r="J110" s="3266"/>
    </row>
    <row r="111" spans="3:37" ht="15.75">
      <c r="C111" s="3267"/>
      <c r="D111" s="3272"/>
      <c r="L111" s="3266"/>
      <c r="M111" s="3266"/>
      <c r="N111" s="3266"/>
      <c r="O111" s="3266"/>
      <c r="P111" s="3266"/>
      <c r="Q111" s="3266"/>
    </row>
    <row r="112" spans="3:37">
      <c r="C112" s="4803"/>
      <c r="D112" s="4803"/>
      <c r="E112" s="4803"/>
      <c r="F112" s="4803"/>
      <c r="G112" s="4803"/>
      <c r="H112" s="3304"/>
      <c r="L112" s="3266"/>
      <c r="M112" s="3266"/>
      <c r="N112" s="3266"/>
      <c r="O112" s="3314"/>
      <c r="P112" s="3314"/>
      <c r="Q112" s="3266"/>
      <c r="R112" s="3266"/>
    </row>
    <row r="113" spans="2:18" ht="15.75">
      <c r="C113" s="3304"/>
      <c r="D113" s="3305"/>
      <c r="E113" s="3305"/>
      <c r="F113" s="3305"/>
      <c r="G113" s="3305"/>
      <c r="H113" s="3305"/>
      <c r="I113" s="3305"/>
      <c r="L113" s="3266"/>
      <c r="M113" s="3266"/>
      <c r="N113" s="3266"/>
      <c r="O113" s="3283"/>
      <c r="P113" s="3283"/>
      <c r="Q113" s="3284"/>
      <c r="R113" s="3284"/>
    </row>
    <row r="114" spans="2:18" ht="15.75">
      <c r="C114" s="3267"/>
      <c r="D114" s="3272"/>
      <c r="E114" s="3272"/>
      <c r="F114" s="3272"/>
      <c r="G114" s="3272"/>
      <c r="H114" s="3272"/>
      <c r="I114" s="3306"/>
      <c r="L114" s="3266"/>
      <c r="M114" s="3266"/>
      <c r="N114" s="3266"/>
      <c r="O114" s="3283"/>
      <c r="P114" s="3283"/>
      <c r="Q114" s="3284"/>
      <c r="R114" s="3284"/>
    </row>
    <row r="115" spans="2:18" ht="15.75">
      <c r="C115" s="3287"/>
      <c r="D115" s="3283"/>
      <c r="E115" s="3283"/>
      <c r="F115" s="3283"/>
      <c r="G115" s="3283"/>
      <c r="H115" s="3283"/>
      <c r="I115" s="3306"/>
      <c r="L115" s="3266"/>
      <c r="M115" s="3266"/>
      <c r="N115" s="3266"/>
      <c r="O115" s="3266"/>
      <c r="P115" s="3266"/>
      <c r="Q115" s="3266"/>
    </row>
    <row r="116" spans="2:18">
      <c r="C116" s="3266"/>
      <c r="D116" s="3266"/>
      <c r="E116" s="3266"/>
      <c r="F116" s="3266"/>
      <c r="G116" s="3266"/>
      <c r="H116" s="3266"/>
      <c r="L116" s="3266"/>
      <c r="M116" s="3266"/>
      <c r="N116" s="3266"/>
      <c r="O116" s="3266"/>
      <c r="P116" s="3266"/>
      <c r="Q116" s="3266"/>
    </row>
    <row r="117" spans="2:18" ht="15.75">
      <c r="C117" s="3317"/>
      <c r="D117" s="3307"/>
      <c r="E117" s="3307"/>
      <c r="F117" s="3307"/>
      <c r="G117" s="3307"/>
      <c r="H117" s="3307"/>
      <c r="I117" s="3308"/>
      <c r="L117" s="3266"/>
      <c r="M117" s="3266"/>
      <c r="N117" s="3266"/>
      <c r="O117" s="3266"/>
      <c r="P117" s="3266"/>
      <c r="Q117" s="3283"/>
      <c r="R117" s="3283"/>
    </row>
    <row r="118" spans="2:18" ht="15.75">
      <c r="C118" s="3266"/>
      <c r="D118" s="3287"/>
      <c r="E118" s="3287"/>
      <c r="F118" s="3287"/>
      <c r="G118" s="3266"/>
      <c r="H118" s="3266"/>
      <c r="L118" s="3266"/>
      <c r="M118" s="3266"/>
      <c r="N118" s="3266"/>
      <c r="O118" s="3266"/>
      <c r="P118" s="3266"/>
      <c r="Q118" s="3283"/>
      <c r="R118" s="3283"/>
    </row>
    <row r="119" spans="2:18">
      <c r="B119" s="3309"/>
      <c r="C119" s="3283"/>
      <c r="D119" s="3283"/>
      <c r="E119" s="3283"/>
      <c r="F119" s="3283"/>
      <c r="G119" s="3283"/>
      <c r="H119" s="3283"/>
      <c r="L119" s="3266"/>
      <c r="M119" s="3266"/>
      <c r="N119" s="3266"/>
      <c r="O119" s="3266"/>
      <c r="P119" s="3266"/>
      <c r="Q119" s="3283"/>
      <c r="R119" s="3283"/>
    </row>
    <row r="120" spans="2:18">
      <c r="B120" s="3309"/>
      <c r="C120" s="3283"/>
      <c r="D120" s="3283"/>
      <c r="E120" s="3283"/>
      <c r="F120" s="3283"/>
      <c r="G120" s="3283"/>
      <c r="H120" s="3283"/>
      <c r="L120" s="3292"/>
      <c r="M120" s="3292"/>
      <c r="N120" s="3266"/>
      <c r="O120" s="3266"/>
      <c r="P120" s="3266"/>
      <c r="Q120" s="3283"/>
      <c r="R120" s="3283"/>
    </row>
    <row r="121" spans="2:18">
      <c r="C121" s="3283"/>
      <c r="D121" s="3283"/>
      <c r="E121" s="3266"/>
      <c r="F121" s="3266"/>
      <c r="G121" s="3266"/>
      <c r="H121" s="3266"/>
      <c r="L121" s="3292"/>
      <c r="M121" s="3292"/>
      <c r="N121" s="3266"/>
      <c r="O121" s="3266"/>
      <c r="P121" s="3266"/>
      <c r="Q121" s="3283"/>
      <c r="R121" s="3283"/>
    </row>
    <row r="122" spans="2:18">
      <c r="C122" s="3283"/>
      <c r="D122" s="3283"/>
      <c r="E122" s="3266"/>
      <c r="F122" s="3266"/>
      <c r="G122" s="3283"/>
      <c r="H122" s="3283"/>
      <c r="L122" s="3266"/>
      <c r="M122" s="3266"/>
      <c r="N122" s="3266"/>
      <c r="O122" s="3266"/>
      <c r="P122" s="3266"/>
      <c r="Q122" s="3283"/>
      <c r="R122" s="3283"/>
    </row>
    <row r="123" spans="2:18">
      <c r="C123" s="3310"/>
      <c r="D123" s="3310"/>
      <c r="E123" s="3310"/>
      <c r="F123" s="3310"/>
      <c r="G123" s="3310"/>
      <c r="H123" s="3310"/>
      <c r="I123" s="3302"/>
      <c r="L123" s="3266"/>
      <c r="M123" s="3266"/>
      <c r="N123" s="3266"/>
      <c r="O123" s="3266"/>
      <c r="P123" s="3266"/>
      <c r="Q123" s="3266"/>
    </row>
    <row r="124" spans="2:18">
      <c r="C124" s="3310"/>
      <c r="D124" s="3310"/>
      <c r="E124" s="3310"/>
      <c r="F124" s="3310"/>
      <c r="G124" s="3310"/>
      <c r="H124" s="3310"/>
      <c r="I124" s="3302"/>
      <c r="J124" s="3302"/>
      <c r="K124" s="3302"/>
    </row>
    <row r="125" spans="2:18">
      <c r="C125" s="3283"/>
      <c r="D125" s="3283"/>
      <c r="E125" s="3283"/>
      <c r="F125" s="3283"/>
      <c r="G125" s="3283"/>
      <c r="H125" s="3283"/>
    </row>
    <row r="126" spans="2:18">
      <c r="C126" s="3283"/>
      <c r="D126" s="3283"/>
      <c r="E126" s="3266"/>
      <c r="F126" s="3266"/>
      <c r="G126" s="3283"/>
      <c r="H126" s="3283"/>
    </row>
    <row r="127" spans="2:18">
      <c r="C127" s="3272"/>
      <c r="D127" s="3272"/>
      <c r="G127" s="3272"/>
      <c r="H127" s="3272"/>
    </row>
    <row r="128" spans="2:18">
      <c r="C128" s="3272"/>
      <c r="D128" s="3272"/>
      <c r="G128" s="3272"/>
      <c r="H128" s="3272"/>
    </row>
    <row r="129" spans="3:16">
      <c r="C129" s="3272"/>
      <c r="D129" s="3272"/>
      <c r="G129" s="3272"/>
      <c r="H129" s="3272"/>
    </row>
    <row r="130" spans="3:16">
      <c r="C130" s="3272"/>
      <c r="D130" s="3272"/>
      <c r="G130" s="3272"/>
      <c r="H130" s="3272"/>
    </row>
    <row r="131" spans="3:16">
      <c r="C131" s="3272"/>
      <c r="D131" s="3272"/>
      <c r="G131" s="3272"/>
      <c r="H131" s="3272"/>
    </row>
    <row r="132" spans="3:16">
      <c r="C132" s="4804"/>
      <c r="D132" s="4803"/>
      <c r="E132" s="4803"/>
      <c r="F132" s="4803"/>
      <c r="G132" s="4803"/>
      <c r="H132" s="4803"/>
      <c r="J132" s="4803"/>
      <c r="K132" s="4803"/>
      <c r="L132" s="4803"/>
      <c r="M132" s="4803"/>
      <c r="N132" s="4803"/>
    </row>
    <row r="133" spans="3:16">
      <c r="C133" s="4804"/>
    </row>
    <row r="134" spans="3:16" ht="15.75">
      <c r="D134" s="3272"/>
      <c r="E134" s="3272"/>
      <c r="F134" s="3272"/>
      <c r="G134" s="3272"/>
      <c r="H134" s="3272"/>
      <c r="I134" s="3272"/>
      <c r="O134" s="3311"/>
    </row>
    <row r="135" spans="3:16" ht="15.75">
      <c r="D135" s="3272"/>
      <c r="E135" s="3272"/>
      <c r="F135" s="3272"/>
      <c r="G135" s="3272"/>
      <c r="H135" s="3272"/>
      <c r="I135" s="3272"/>
      <c r="O135" s="3312"/>
    </row>
    <row r="136" spans="3:16" ht="15.75">
      <c r="D136" s="3272"/>
      <c r="E136" s="3272"/>
      <c r="F136" s="3272"/>
      <c r="G136" s="3272"/>
      <c r="H136" s="3272"/>
      <c r="I136" s="3272"/>
      <c r="O136" s="3312"/>
      <c r="P136" s="3300"/>
    </row>
    <row r="137" spans="3:16">
      <c r="D137" s="3272"/>
      <c r="E137" s="3272"/>
      <c r="F137" s="3272"/>
      <c r="G137" s="3272"/>
      <c r="H137" s="3272"/>
    </row>
    <row r="138" spans="3:16">
      <c r="D138" s="3272"/>
      <c r="E138" s="3272"/>
      <c r="F138" s="3272"/>
      <c r="G138" s="3272"/>
      <c r="H138" s="3272"/>
    </row>
    <row r="139" spans="3:16" ht="15.75">
      <c r="D139" s="3313"/>
      <c r="E139" s="3272"/>
      <c r="F139" s="3272"/>
      <c r="G139" s="3272"/>
      <c r="H139" s="3272"/>
    </row>
    <row r="157" spans="3:8">
      <c r="C157" s="4803"/>
      <c r="D157" s="4803"/>
      <c r="E157" s="4803"/>
      <c r="F157" s="4803"/>
      <c r="G157" s="4803"/>
      <c r="H157" s="3304"/>
    </row>
    <row r="161" spans="2:2" ht="15.75">
      <c r="B161" s="3267"/>
    </row>
  </sheetData>
  <mergeCells count="16">
    <mergeCell ref="AX3:BA3"/>
    <mergeCell ref="C3:H3"/>
    <mergeCell ref="I3:M3"/>
    <mergeCell ref="N3:R3"/>
    <mergeCell ref="B86:R86"/>
    <mergeCell ref="B87:R87"/>
    <mergeCell ref="B88:R88"/>
    <mergeCell ref="AP3:AS3"/>
    <mergeCell ref="AT3:AW3"/>
    <mergeCell ref="C107:C108"/>
    <mergeCell ref="C112:G112"/>
    <mergeCell ref="C132:C133"/>
    <mergeCell ref="D132:H132"/>
    <mergeCell ref="J132:N132"/>
    <mergeCell ref="C157:D157"/>
    <mergeCell ref="E157:G157"/>
  </mergeCells>
  <pageMargins left="0.7" right="0.7" top="0.75" bottom="0.75" header="0.3" footer="0.3"/>
  <pageSetup scale="75" orientation="landscape" r:id="rId1"/>
  <ignoredErrors>
    <ignoredError sqref="I5 I18 I31 I44 N5 N18 N31 I57 N57 C5 C18 C31 C44 C57" formula="1"/>
  </ignoredErrors>
</worksheet>
</file>

<file path=xl/worksheets/sheet59.xml><?xml version="1.0" encoding="utf-8"?>
<worksheet xmlns="http://schemas.openxmlformats.org/spreadsheetml/2006/main" xmlns:r="http://schemas.openxmlformats.org/officeDocument/2006/relationships">
  <dimension ref="E2"/>
  <sheetViews>
    <sheetView zoomScale="90" zoomScaleNormal="90" workbookViewId="0">
      <selection activeCell="M10" sqref="M10"/>
    </sheetView>
  </sheetViews>
  <sheetFormatPr defaultRowHeight="12.75"/>
  <cols>
    <col min="1" max="16384" width="9.140625" style="4072"/>
  </cols>
  <sheetData>
    <row r="2" spans="5:5" ht="18">
      <c r="E2" s="3818" t="s">
        <v>1994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9" enableFormatConditionsCalculation="0">
    <tabColor indexed="44"/>
  </sheetPr>
  <dimension ref="A1:M66"/>
  <sheetViews>
    <sheetView workbookViewId="0">
      <pane xSplit="1" ySplit="2" topLeftCell="C3" activePane="bottomRight" state="frozen"/>
      <selection pane="topRight" activeCell="B1" sqref="B1"/>
      <selection pane="bottomLeft" activeCell="A3" sqref="A3"/>
      <selection pane="bottomRight" activeCell="J1" sqref="J1"/>
    </sheetView>
  </sheetViews>
  <sheetFormatPr defaultRowHeight="12.75"/>
  <cols>
    <col min="1" max="1" width="38.85546875" customWidth="1"/>
    <col min="2" max="2" width="8.42578125" customWidth="1"/>
    <col min="3" max="4" width="9.7109375" customWidth="1"/>
    <col min="5" max="7" width="9.28515625" bestFit="1" customWidth="1"/>
    <col min="8" max="8" width="9.7109375" style="700" bestFit="1" customWidth="1"/>
    <col min="9" max="11" width="9.140625" style="700"/>
    <col min="13" max="13" width="56.42578125" customWidth="1"/>
  </cols>
  <sheetData>
    <row r="1" spans="1:13">
      <c r="A1" s="35" t="s">
        <v>804</v>
      </c>
    </row>
    <row r="2" spans="1:13">
      <c r="B2" t="s">
        <v>240</v>
      </c>
      <c r="C2" t="s">
        <v>241</v>
      </c>
      <c r="D2" t="s">
        <v>195</v>
      </c>
      <c r="E2" s="784" t="s">
        <v>452</v>
      </c>
      <c r="F2" s="785" t="s">
        <v>609</v>
      </c>
      <c r="G2" s="785" t="s">
        <v>877</v>
      </c>
      <c r="H2" s="786" t="s">
        <v>1164</v>
      </c>
      <c r="I2" s="786" t="s">
        <v>998</v>
      </c>
      <c r="J2" s="786" t="s">
        <v>805</v>
      </c>
      <c r="K2" s="786" t="s">
        <v>806</v>
      </c>
      <c r="L2" s="787" t="s">
        <v>807</v>
      </c>
    </row>
    <row r="3" spans="1:13" s="788" customFormat="1">
      <c r="A3" s="788" t="s">
        <v>808</v>
      </c>
      <c r="E3" s="789">
        <v>315.31994853046302</v>
      </c>
      <c r="F3" s="789">
        <v>373.25998544458236</v>
      </c>
      <c r="G3" s="789">
        <v>383.25839980662323</v>
      </c>
      <c r="H3" s="789">
        <v>419.76913334373484</v>
      </c>
      <c r="I3" s="789"/>
      <c r="J3" s="789"/>
      <c r="K3" s="789"/>
    </row>
    <row r="4" spans="1:13" s="788" customFormat="1">
      <c r="A4" s="788" t="s">
        <v>809</v>
      </c>
      <c r="F4" s="789">
        <f>((F3-E3)/E3)*100</f>
        <v>18.374998849310593</v>
      </c>
      <c r="G4" s="789">
        <f>((G3-F3)/F3)*100</f>
        <v>2.6786729764595498</v>
      </c>
      <c r="H4" s="789">
        <f>((H3-G3)/G3)*100</f>
        <v>9.526401392776636</v>
      </c>
      <c r="I4" s="790"/>
      <c r="J4" s="790"/>
      <c r="K4" s="790"/>
    </row>
    <row r="5" spans="1:13">
      <c r="F5" s="117"/>
      <c r="G5" s="117"/>
      <c r="H5" s="791"/>
      <c r="I5" s="792"/>
      <c r="J5" s="792"/>
      <c r="K5" s="792"/>
    </row>
    <row r="6" spans="1:13" s="700" customFormat="1">
      <c r="A6" s="700" t="s">
        <v>810</v>
      </c>
      <c r="F6" s="791"/>
      <c r="G6" s="791"/>
      <c r="H6" s="791"/>
      <c r="I6" s="792">
        <f>I31+I37</f>
        <v>486.62404505594071</v>
      </c>
      <c r="J6" s="792">
        <f>J31+J37</f>
        <v>535.71467015157248</v>
      </c>
      <c r="K6" s="792">
        <f>K31+K37</f>
        <v>600.24917841974013</v>
      </c>
    </row>
    <row r="7" spans="1:13" s="700" customFormat="1">
      <c r="A7" s="700" t="s">
        <v>811</v>
      </c>
      <c r="F7" s="791"/>
      <c r="G7" s="791"/>
      <c r="H7" s="791"/>
      <c r="I7" s="795">
        <f>((I6-H3)/H3)*100</f>
        <v>15.926590690378523</v>
      </c>
      <c r="J7" s="795">
        <f>((J6-I6)/I6)*100</f>
        <v>10.087998238966689</v>
      </c>
      <c r="K7" s="795">
        <f>((K6-J6)/J6)*100</f>
        <v>12.04643289867507</v>
      </c>
    </row>
    <row r="8" spans="1:13" s="700" customFormat="1">
      <c r="A8" s="175"/>
      <c r="B8" s="175"/>
      <c r="C8" s="175"/>
      <c r="D8" s="175"/>
      <c r="E8" s="175"/>
      <c r="F8" s="885"/>
      <c r="G8" s="885"/>
      <c r="H8" s="885"/>
      <c r="I8" s="886"/>
      <c r="J8" s="886"/>
      <c r="K8" s="886"/>
      <c r="L8" s="175"/>
    </row>
    <row r="9" spans="1:13" s="700" customFormat="1">
      <c r="A9" s="175" t="s">
        <v>812</v>
      </c>
      <c r="B9" s="175"/>
      <c r="C9" s="175"/>
      <c r="D9" s="175"/>
      <c r="E9" s="885">
        <f>E3*E40</f>
        <v>14821.614180674414</v>
      </c>
      <c r="F9" s="885">
        <f>F3*F40</f>
        <v>18275.182147352196</v>
      </c>
      <c r="G9" s="885">
        <f>G3*G40</f>
        <v>17905.065922165824</v>
      </c>
      <c r="H9" s="885">
        <f>H3*H40</f>
        <v>19102.433951073341</v>
      </c>
      <c r="I9" s="886">
        <f>I23+I35</f>
        <v>21208.827730100096</v>
      </c>
      <c r="J9" s="886">
        <f>J23+J35</f>
        <v>24006.827961376264</v>
      </c>
      <c r="K9" s="886">
        <f>K23+K35</f>
        <v>27370.12787190712</v>
      </c>
      <c r="L9" s="886">
        <f>L23+L35</f>
        <v>30640.168534566597</v>
      </c>
      <c r="M9" s="807" t="s">
        <v>441</v>
      </c>
    </row>
    <row r="10" spans="1:13" s="700" customFormat="1">
      <c r="A10" s="175" t="s">
        <v>811</v>
      </c>
      <c r="B10" s="175"/>
      <c r="C10" s="175"/>
      <c r="D10" s="175"/>
      <c r="E10" s="175"/>
      <c r="F10" s="885"/>
      <c r="G10" s="886"/>
      <c r="H10" s="886">
        <f>((H9-G9)/G9)*100</f>
        <v>6.6873142724664199</v>
      </c>
      <c r="I10" s="886">
        <f>((I9-H9)/H9)*100</f>
        <v>11.026834509266292</v>
      </c>
      <c r="J10" s="886">
        <f>((J9-I9)/I9)*100</f>
        <v>13.192620859969439</v>
      </c>
      <c r="K10" s="886">
        <f>((K9-J9)/J9)*100</f>
        <v>14.009763871936556</v>
      </c>
      <c r="L10" s="886">
        <f>((L9-K9)/K9)*100</f>
        <v>11.947480398934742</v>
      </c>
    </row>
    <row r="11" spans="1:13" ht="21" customHeight="1">
      <c r="A11" s="132" t="s">
        <v>439</v>
      </c>
      <c r="F11" s="117"/>
      <c r="G11" s="117"/>
      <c r="H11" s="791"/>
      <c r="I11" s="873">
        <v>2005</v>
      </c>
      <c r="J11" s="873">
        <v>2006</v>
      </c>
      <c r="K11" s="873">
        <v>2007</v>
      </c>
      <c r="L11" s="873">
        <v>2008</v>
      </c>
    </row>
    <row r="12" spans="1:13" hidden="1">
      <c r="A12" s="793" t="s">
        <v>813</v>
      </c>
      <c r="B12" s="793"/>
      <c r="C12" s="793"/>
      <c r="D12" s="793"/>
      <c r="E12" s="793">
        <v>315.31994853046302</v>
      </c>
      <c r="F12" s="794">
        <v>373.25998544458236</v>
      </c>
      <c r="G12" s="794">
        <v>383.25839980662323</v>
      </c>
      <c r="H12" s="795">
        <v>364.46048513661106</v>
      </c>
      <c r="I12" s="795">
        <v>413.05674558460947</v>
      </c>
      <c r="J12" s="795">
        <f>I12+((20/100)*I12)</f>
        <v>495.66809470153134</v>
      </c>
      <c r="K12" s="795"/>
    </row>
    <row r="13" spans="1:13" hidden="1">
      <c r="A13" s="793" t="s">
        <v>809</v>
      </c>
      <c r="B13" s="793"/>
      <c r="C13" s="793"/>
      <c r="D13" s="793"/>
      <c r="E13" s="793"/>
      <c r="F13" s="794">
        <f t="shared" ref="F13:K13" si="0">((F12-E12)/E12)*100</f>
        <v>18.374998849310593</v>
      </c>
      <c r="G13" s="794">
        <f t="shared" si="0"/>
        <v>2.6786729764595498</v>
      </c>
      <c r="H13" s="795">
        <f t="shared" si="0"/>
        <v>-4.9047626038977485</v>
      </c>
      <c r="I13" s="795">
        <f t="shared" si="0"/>
        <v>13.333752884015132</v>
      </c>
      <c r="J13" s="795">
        <f t="shared" si="0"/>
        <v>19.999999999999996</v>
      </c>
      <c r="K13" s="795">
        <f t="shared" si="0"/>
        <v>-100</v>
      </c>
    </row>
    <row r="14" spans="1:13" hidden="1"/>
    <row r="15" spans="1:13">
      <c r="A15" s="877" t="s">
        <v>696</v>
      </c>
      <c r="B15" s="175"/>
      <c r="C15" s="175"/>
      <c r="D15" s="175"/>
      <c r="E15" s="878"/>
      <c r="F15" s="878"/>
      <c r="G15" s="878"/>
      <c r="H15" s="878"/>
      <c r="I15" s="175"/>
      <c r="J15" s="175"/>
      <c r="K15" s="175"/>
      <c r="L15" s="175"/>
    </row>
    <row r="16" spans="1:13">
      <c r="A16" s="881" t="s">
        <v>699</v>
      </c>
      <c r="B16" s="881">
        <f t="shared" ref="B16:L16" si="1">B27</f>
        <v>2519.2600000000002</v>
      </c>
      <c r="C16" s="881">
        <f t="shared" si="1"/>
        <v>3106.55</v>
      </c>
      <c r="D16" s="881">
        <f t="shared" si="1"/>
        <v>3551.92</v>
      </c>
      <c r="E16" s="882">
        <f t="shared" si="1"/>
        <v>3663.88</v>
      </c>
      <c r="F16" s="882">
        <f t="shared" si="1"/>
        <v>3330.15</v>
      </c>
      <c r="G16" s="882">
        <f t="shared" si="1"/>
        <v>4362.83</v>
      </c>
      <c r="H16" s="882">
        <f t="shared" si="1"/>
        <v>3578.26</v>
      </c>
      <c r="I16" s="882">
        <f t="shared" si="1"/>
        <v>3844.9530694731629</v>
      </c>
      <c r="J16" s="882">
        <f t="shared" si="1"/>
        <v>4421.6960298941376</v>
      </c>
      <c r="K16" s="882">
        <f t="shared" si="1"/>
        <v>5306.0352358729651</v>
      </c>
      <c r="L16" s="882">
        <f t="shared" si="1"/>
        <v>5701.5019777496645</v>
      </c>
      <c r="M16" s="757" t="s">
        <v>707</v>
      </c>
    </row>
    <row r="17" spans="1:13">
      <c r="A17" s="881" t="s">
        <v>700</v>
      </c>
      <c r="B17" s="881">
        <f t="shared" ref="B17:L17" si="2">B29</f>
        <v>0</v>
      </c>
      <c r="C17" s="881">
        <f t="shared" si="2"/>
        <v>23.312004318728512</v>
      </c>
      <c r="D17" s="881">
        <f t="shared" si="2"/>
        <v>14.336482593230429</v>
      </c>
      <c r="E17" s="882">
        <f t="shared" si="2"/>
        <v>3.1520980202256821</v>
      </c>
      <c r="F17" s="882">
        <f t="shared" si="2"/>
        <v>-9.1086498466106978</v>
      </c>
      <c r="G17" s="882">
        <f t="shared" si="2"/>
        <v>31.010014563908527</v>
      </c>
      <c r="H17" s="882">
        <f t="shared" si="2"/>
        <v>-17.983052284870134</v>
      </c>
      <c r="I17" s="883">
        <f t="shared" si="2"/>
        <v>7.4531495607687193</v>
      </c>
      <c r="J17" s="883">
        <f t="shared" si="2"/>
        <v>15</v>
      </c>
      <c r="K17" s="883">
        <f t="shared" si="2"/>
        <v>20</v>
      </c>
      <c r="L17" s="883">
        <f t="shared" si="2"/>
        <v>7.4531495607687193</v>
      </c>
      <c r="M17" s="757"/>
    </row>
    <row r="18" spans="1:13">
      <c r="A18" s="881" t="s">
        <v>701</v>
      </c>
      <c r="B18" s="175"/>
      <c r="C18" s="175"/>
      <c r="D18" s="175"/>
      <c r="E18" s="175"/>
      <c r="F18" s="175"/>
      <c r="G18" s="175"/>
      <c r="H18" s="175"/>
      <c r="I18" s="882">
        <f>I27</f>
        <v>3844.9530694731629</v>
      </c>
      <c r="J18" s="882">
        <f>I18+(I18*I19%)</f>
        <v>4133.3245496836498</v>
      </c>
      <c r="K18" s="882">
        <f>J18+(J18*J19%)</f>
        <v>4443.3238909099236</v>
      </c>
      <c r="L18" s="882">
        <f>K18+(K18*K19%)</f>
        <v>4776.5731827281679</v>
      </c>
      <c r="M18" s="757"/>
    </row>
    <row r="19" spans="1:13">
      <c r="A19" s="881" t="s">
        <v>702</v>
      </c>
      <c r="B19" s="175"/>
      <c r="C19" s="175"/>
      <c r="D19" s="175"/>
      <c r="E19" s="175"/>
      <c r="F19" s="175"/>
      <c r="G19" s="175"/>
      <c r="H19" s="175"/>
      <c r="I19" s="881">
        <v>7.5</v>
      </c>
      <c r="J19" s="881">
        <v>7.5</v>
      </c>
      <c r="K19" s="881">
        <v>7.5</v>
      </c>
      <c r="L19" s="881">
        <v>7.5</v>
      </c>
      <c r="M19" s="757" t="s">
        <v>698</v>
      </c>
    </row>
    <row r="20" spans="1:13" ht="38.25">
      <c r="A20" s="881" t="s">
        <v>703</v>
      </c>
      <c r="B20" s="881"/>
      <c r="C20" s="881"/>
      <c r="D20" s="881"/>
      <c r="E20" s="881"/>
      <c r="F20" s="881"/>
      <c r="G20" s="881"/>
      <c r="H20" s="881"/>
      <c r="I20" s="881"/>
      <c r="J20" s="882">
        <f>J16-J18</f>
        <v>288.37148021048779</v>
      </c>
      <c r="K20" s="882">
        <f>K16-K18</f>
        <v>862.71134496304148</v>
      </c>
      <c r="L20" s="882">
        <f>L16-L18</f>
        <v>924.92879502149663</v>
      </c>
      <c r="M20" s="884" t="s">
        <v>708</v>
      </c>
    </row>
    <row r="21" spans="1:13">
      <c r="A21" s="877" t="s">
        <v>697</v>
      </c>
      <c r="B21" s="881"/>
      <c r="C21" s="881"/>
      <c r="D21" s="881"/>
      <c r="E21" s="881"/>
      <c r="F21" s="881"/>
      <c r="G21" s="881"/>
      <c r="H21" s="881"/>
      <c r="I21" s="881"/>
      <c r="J21" s="882"/>
      <c r="K21" s="882"/>
      <c r="L21" s="882"/>
      <c r="M21" s="757"/>
    </row>
    <row r="22" spans="1:13" ht="25.5">
      <c r="A22" s="881" t="s">
        <v>704</v>
      </c>
      <c r="B22" s="881"/>
      <c r="C22" s="881"/>
      <c r="D22" s="881"/>
      <c r="E22" s="881"/>
      <c r="F22" s="881"/>
      <c r="G22" s="881"/>
      <c r="H22" s="881"/>
      <c r="I22" s="881"/>
      <c r="J22" s="882">
        <f>J20*12.5%</f>
        <v>36.046435026310974</v>
      </c>
      <c r="K22" s="882">
        <f>K20*12.5%</f>
        <v>107.83891812038019</v>
      </c>
      <c r="L22" s="882">
        <f>L20*12.5%</f>
        <v>115.61609937768708</v>
      </c>
      <c r="M22" s="884" t="s">
        <v>709</v>
      </c>
    </row>
    <row r="23" spans="1:13" ht="38.25">
      <c r="A23" s="175" t="s">
        <v>705</v>
      </c>
      <c r="B23" s="175"/>
      <c r="C23" s="175"/>
      <c r="D23" s="175"/>
      <c r="E23" s="175"/>
      <c r="F23" s="175"/>
      <c r="G23" s="175"/>
      <c r="H23" s="175"/>
      <c r="I23" s="878">
        <f>I27</f>
        <v>3844.9530694731629</v>
      </c>
      <c r="J23" s="878">
        <f>J16-J22</f>
        <v>4385.6495948678266</v>
      </c>
      <c r="K23" s="878">
        <f>K16-K22</f>
        <v>5198.1963177525849</v>
      </c>
      <c r="L23" s="878">
        <f>L16-L22</f>
        <v>5585.885878371977</v>
      </c>
      <c r="M23" s="884" t="s">
        <v>710</v>
      </c>
    </row>
    <row r="24" spans="1:13">
      <c r="A24" s="879" t="s">
        <v>706</v>
      </c>
      <c r="B24" s="879"/>
      <c r="C24" s="879"/>
      <c r="D24" s="879"/>
      <c r="E24" s="879"/>
      <c r="F24" s="879"/>
      <c r="G24" s="879"/>
      <c r="H24" s="879"/>
      <c r="I24" s="879"/>
      <c r="J24" s="880">
        <f>((J23/I23)-1)*100</f>
        <v>14.0625</v>
      </c>
      <c r="K24" s="880">
        <f>((K23/J23)-1)*100</f>
        <v>18.527397260273972</v>
      </c>
      <c r="L24" s="880">
        <v>7.5</v>
      </c>
    </row>
    <row r="25" spans="1:13">
      <c r="A25" s="877"/>
      <c r="B25" s="175"/>
      <c r="C25" s="175"/>
      <c r="D25" s="175"/>
      <c r="E25" s="175"/>
      <c r="F25" s="175"/>
      <c r="G25" s="175"/>
      <c r="H25" s="175"/>
      <c r="I25" s="175"/>
      <c r="J25" s="175"/>
      <c r="K25" s="175"/>
      <c r="L25" s="175"/>
    </row>
    <row r="26" spans="1:13" s="700" customFormat="1">
      <c r="A26" s="132" t="s">
        <v>440</v>
      </c>
      <c r="I26" s="873">
        <v>2005</v>
      </c>
      <c r="J26" s="873">
        <v>2006</v>
      </c>
      <c r="K26" s="873">
        <v>2007</v>
      </c>
      <c r="L26" s="873">
        <v>2008</v>
      </c>
    </row>
    <row r="27" spans="1:13">
      <c r="A27" s="700" t="s">
        <v>814</v>
      </c>
      <c r="B27" s="802">
        <v>2519.2600000000002</v>
      </c>
      <c r="C27" s="700">
        <v>3106.55</v>
      </c>
      <c r="D27" s="700">
        <v>3551.92</v>
      </c>
      <c r="E27" s="797">
        <v>3663.88</v>
      </c>
      <c r="F27" s="797">
        <v>3330.15</v>
      </c>
      <c r="G27" s="797">
        <v>4362.83</v>
      </c>
      <c r="H27" s="796">
        <v>3578.26</v>
      </c>
      <c r="I27" s="797">
        <f>H27+(I29/100*H27)</f>
        <v>3844.9530694731629</v>
      </c>
      <c r="J27" s="797">
        <f>I27+(J29/100*I27)</f>
        <v>4421.6960298941376</v>
      </c>
      <c r="K27" s="797">
        <f>J27+(K29/100*J27)</f>
        <v>5306.0352358729651</v>
      </c>
      <c r="L27" s="797">
        <f>K27+(L29/100*K27)</f>
        <v>5701.5019777496645</v>
      </c>
    </row>
    <row r="28" spans="1:13">
      <c r="B28" s="62"/>
      <c r="E28" s="737"/>
      <c r="F28" s="737"/>
      <c r="G28" s="737"/>
      <c r="H28" s="605"/>
      <c r="I28" s="873">
        <v>2005</v>
      </c>
      <c r="J28" s="873">
        <v>2006</v>
      </c>
      <c r="K28" s="873">
        <v>2007</v>
      </c>
      <c r="L28" s="873">
        <v>2008</v>
      </c>
    </row>
    <row r="29" spans="1:13" s="793" customFormat="1">
      <c r="A29" s="793" t="s">
        <v>815</v>
      </c>
      <c r="C29" s="794">
        <f t="shared" ref="C29:H29" si="3">((C27-B27)/B27)*100</f>
        <v>23.312004318728512</v>
      </c>
      <c r="D29" s="794">
        <f t="shared" si="3"/>
        <v>14.336482593230429</v>
      </c>
      <c r="E29" s="794">
        <f t="shared" si="3"/>
        <v>3.1520980202256821</v>
      </c>
      <c r="F29" s="794">
        <f t="shared" si="3"/>
        <v>-9.1086498466106978</v>
      </c>
      <c r="G29" s="794">
        <f t="shared" si="3"/>
        <v>31.010014563908527</v>
      </c>
      <c r="H29" s="795">
        <f t="shared" si="3"/>
        <v>-17.983052284870134</v>
      </c>
      <c r="I29" s="795">
        <f>AVERAGE(C29:H29)</f>
        <v>7.4531495607687193</v>
      </c>
      <c r="J29" s="795">
        <v>15</v>
      </c>
      <c r="K29" s="795">
        <v>20</v>
      </c>
      <c r="L29" s="794">
        <f>I29</f>
        <v>7.4531495607687193</v>
      </c>
    </row>
    <row r="30" spans="1:13" s="793" customFormat="1">
      <c r="A30" s="798" t="s">
        <v>632</v>
      </c>
      <c r="C30" s="794"/>
      <c r="D30" s="794"/>
      <c r="E30" s="799">
        <f t="shared" ref="E30:L30" si="4">(E27/E9)*100</f>
        <v>24.719844649425937</v>
      </c>
      <c r="F30" s="799">
        <f t="shared" si="4"/>
        <v>18.222253398894246</v>
      </c>
      <c r="G30" s="799">
        <f t="shared" si="4"/>
        <v>24.366455945850355</v>
      </c>
      <c r="H30" s="799">
        <f t="shared" si="4"/>
        <v>18.731958498927003</v>
      </c>
      <c r="I30" s="799">
        <f t="shared" si="4"/>
        <v>18.129022114769267</v>
      </c>
      <c r="J30" s="799">
        <f t="shared" si="4"/>
        <v>18.418493426153791</v>
      </c>
      <c r="K30" s="799">
        <f t="shared" si="4"/>
        <v>19.386227425408247</v>
      </c>
      <c r="L30" s="799">
        <f t="shared" si="4"/>
        <v>18.607932822946243</v>
      </c>
      <c r="M30" s="799">
        <f>GEOMEAN(E30:H30)</f>
        <v>21.293931028482042</v>
      </c>
    </row>
    <row r="31" spans="1:13" s="62" customFormat="1">
      <c r="A31" s="62" t="s">
        <v>816</v>
      </c>
      <c r="E31" s="800">
        <f t="shared" ref="E31:K31" si="5">E27/E40</f>
        <v>77.94660142538028</v>
      </c>
      <c r="F31" s="800">
        <f t="shared" si="5"/>
        <v>68.016380384387574</v>
      </c>
      <c r="G31" s="800">
        <f t="shared" si="5"/>
        <v>93.386489147651858</v>
      </c>
      <c r="H31" s="801">
        <f t="shared" si="5"/>
        <v>78.630979849253976</v>
      </c>
      <c r="I31" s="800">
        <f t="shared" si="5"/>
        <v>88.220180743976243</v>
      </c>
      <c r="J31" s="801">
        <f t="shared" si="5"/>
        <v>98.522638812257966</v>
      </c>
      <c r="K31" s="801">
        <f t="shared" si="5"/>
        <v>115.90898683795055</v>
      </c>
      <c r="L31" s="801"/>
    </row>
    <row r="32" spans="1:13" s="62" customFormat="1">
      <c r="A32" s="62" t="s">
        <v>816</v>
      </c>
      <c r="H32" s="802"/>
      <c r="I32" s="801">
        <f>I31+(I29/100*I31)</f>
        <v>94.795362757605275</v>
      </c>
      <c r="J32" s="802"/>
      <c r="K32" s="802"/>
    </row>
    <row r="33" spans="1:12" s="62" customFormat="1">
      <c r="A33" s="803" t="s">
        <v>817</v>
      </c>
      <c r="H33" s="802"/>
      <c r="I33" s="801"/>
      <c r="J33" s="802"/>
      <c r="K33" s="802"/>
    </row>
    <row r="34" spans="1:12" s="62" customFormat="1">
      <c r="A34" s="803" t="s">
        <v>818</v>
      </c>
      <c r="H34" s="802"/>
      <c r="I34" s="802"/>
      <c r="J34" s="802"/>
      <c r="K34" s="802"/>
    </row>
    <row r="35" spans="1:12" s="62" customFormat="1">
      <c r="A35" s="62" t="s">
        <v>819</v>
      </c>
      <c r="E35" s="62" t="s">
        <v>820</v>
      </c>
      <c r="F35" s="62" t="s">
        <v>820</v>
      </c>
      <c r="G35" s="62" t="s">
        <v>820</v>
      </c>
      <c r="H35" s="801">
        <f>H37*H40</f>
        <v>15366.260761616755</v>
      </c>
      <c r="I35" s="801">
        <f>(H35+(I36/100*H35))</f>
        <v>17363.874660626934</v>
      </c>
      <c r="J35" s="801">
        <f>(I35+(J36/100*I35))</f>
        <v>19621.178366508437</v>
      </c>
      <c r="K35" s="801">
        <f>(J35+(K36/100*J35))</f>
        <v>22171.931554154533</v>
      </c>
      <c r="L35" s="801">
        <f>(K35+(L36/100*K35))</f>
        <v>25054.28265619462</v>
      </c>
    </row>
    <row r="36" spans="1:12" s="793" customFormat="1">
      <c r="A36" s="793" t="s">
        <v>815</v>
      </c>
      <c r="F36" s="794"/>
      <c r="G36" s="794"/>
      <c r="H36" s="795"/>
      <c r="I36" s="795">
        <v>13</v>
      </c>
      <c r="J36" s="795">
        <v>13</v>
      </c>
      <c r="K36" s="795">
        <v>13</v>
      </c>
      <c r="L36" s="793">
        <v>13</v>
      </c>
    </row>
    <row r="37" spans="1:12" s="62" customFormat="1">
      <c r="A37" s="62" t="s">
        <v>821</v>
      </c>
      <c r="H37" s="801">
        <v>337.6680678053213</v>
      </c>
      <c r="I37" s="801">
        <f>I35/I40</f>
        <v>398.40386431196447</v>
      </c>
      <c r="J37" s="801">
        <f>J35/J40</f>
        <v>437.1920313393145</v>
      </c>
      <c r="K37" s="801">
        <f>K35/K40</f>
        <v>484.34019158178961</v>
      </c>
    </row>
    <row r="40" spans="1:12">
      <c r="A40" t="s">
        <v>822</v>
      </c>
      <c r="D40" s="117">
        <v>44.688000000000002</v>
      </c>
      <c r="E40" s="117">
        <v>47.005000000000003</v>
      </c>
      <c r="F40" s="117">
        <v>48.960999999999999</v>
      </c>
      <c r="G40" s="117">
        <v>46.718000000000004</v>
      </c>
      <c r="H40" s="791">
        <v>45.506999999999998</v>
      </c>
      <c r="I40" s="791">
        <v>43.583599999999997</v>
      </c>
      <c r="J40" s="791">
        <v>44.88</v>
      </c>
      <c r="K40" s="791">
        <v>45.7776</v>
      </c>
    </row>
    <row r="41" spans="1:12">
      <c r="A41" t="s">
        <v>823</v>
      </c>
      <c r="E41" s="117"/>
      <c r="F41" s="117"/>
      <c r="G41" s="117"/>
      <c r="H41" s="791">
        <f>H27+H35</f>
        <v>18944.520761616754</v>
      </c>
      <c r="I41" s="791">
        <f>I27+I35</f>
        <v>21208.827730100096</v>
      </c>
      <c r="J41" s="791">
        <f>J27+J35</f>
        <v>24042.874396402574</v>
      </c>
      <c r="K41" s="791">
        <f>K27+K35</f>
        <v>27477.966790027498</v>
      </c>
    </row>
    <row r="42" spans="1:12" s="804" customFormat="1">
      <c r="E42" s="805"/>
      <c r="F42" s="805"/>
      <c r="G42" s="805"/>
      <c r="H42" s="805"/>
      <c r="I42" s="805">
        <f>((I41/H41)-1)*100</f>
        <v>11.95230534979288</v>
      </c>
      <c r="J42" s="805">
        <f>((J41/I41)-1)*100</f>
        <v>13.362580442295391</v>
      </c>
      <c r="K42" s="805">
        <f>((K41/J41)-1)*100</f>
        <v>14.28736155664858</v>
      </c>
    </row>
    <row r="43" spans="1:12">
      <c r="E43" s="117"/>
      <c r="F43" s="117"/>
      <c r="G43" s="117"/>
      <c r="H43" s="791"/>
      <c r="I43" s="791"/>
      <c r="J43" s="791"/>
      <c r="K43" s="791"/>
    </row>
    <row r="45" spans="1:12" s="804" customFormat="1" ht="15" customHeight="1">
      <c r="A45" s="804" t="s">
        <v>824</v>
      </c>
      <c r="F45" s="805"/>
      <c r="G45" s="805"/>
      <c r="H45" s="805"/>
      <c r="I45" s="806">
        <f>I53+I57</f>
        <v>417.00311139334104</v>
      </c>
      <c r="J45" s="806">
        <f>J53+J57</f>
        <v>457.60208089275363</v>
      </c>
      <c r="K45" s="806">
        <f>K53+K57</f>
        <v>511.68954014031902</v>
      </c>
    </row>
    <row r="46" spans="1:12" s="804" customFormat="1">
      <c r="A46" s="804" t="s">
        <v>825</v>
      </c>
      <c r="F46" s="805"/>
      <c r="G46" s="805"/>
      <c r="H46" s="805"/>
      <c r="I46" s="806">
        <f>((I45-H3)/H3)*100</f>
        <v>-0.65893886202652019</v>
      </c>
      <c r="J46" s="806">
        <f>((J45-I45)/I45)*100</f>
        <v>9.7358912655971359</v>
      </c>
      <c r="K46" s="806">
        <f>((K45-J45)/J45)*100</f>
        <v>11.819758149273287</v>
      </c>
    </row>
    <row r="47" spans="1:12" s="804" customFormat="1">
      <c r="F47" s="805"/>
      <c r="G47" s="805"/>
      <c r="H47" s="805"/>
      <c r="I47" s="806"/>
      <c r="J47" s="806"/>
      <c r="K47" s="806"/>
    </row>
    <row r="48" spans="1:12" s="804" customFormat="1">
      <c r="A48" s="804" t="s">
        <v>826</v>
      </c>
      <c r="F48" s="805"/>
      <c r="G48" s="805"/>
      <c r="H48" s="805">
        <f>H3*H40</f>
        <v>19102.433951073341</v>
      </c>
      <c r="I48" s="806">
        <f>I51+I55</f>
        <v>18174.496805722818</v>
      </c>
      <c r="J48" s="806">
        <f>J51+J55</f>
        <v>20537.181390466787</v>
      </c>
      <c r="K48" s="806">
        <f>K51+K55</f>
        <v>23423.919092727469</v>
      </c>
    </row>
    <row r="49" spans="1:11" s="804" customFormat="1">
      <c r="A49" s="804" t="s">
        <v>825</v>
      </c>
      <c r="F49" s="805"/>
      <c r="G49" s="805"/>
      <c r="H49" s="805"/>
      <c r="I49" s="806">
        <f>((I48-H48)/H48)*100</f>
        <v>-4.8576906363201067</v>
      </c>
      <c r="J49" s="806">
        <f>((J48-I48)/I48)*100</f>
        <v>13.000000000000014</v>
      </c>
      <c r="K49" s="806">
        <f>((K48-J48)/J48)*100</f>
        <v>14.056153312258735</v>
      </c>
    </row>
    <row r="50" spans="1:11" s="700" customFormat="1"/>
    <row r="51" spans="1:11" s="700" customFormat="1">
      <c r="A51" s="700" t="s">
        <v>814</v>
      </c>
      <c r="E51" s="797">
        <v>3663.88</v>
      </c>
      <c r="F51" s="797">
        <v>3330.15</v>
      </c>
      <c r="G51" s="797">
        <v>4362.83</v>
      </c>
      <c r="H51" s="797">
        <v>3490.01</v>
      </c>
      <c r="I51" s="797">
        <f>H51+(I52/100*H51)</f>
        <v>3839.0110000000004</v>
      </c>
      <c r="J51" s="797">
        <f>I51+(J52/100*I51)</f>
        <v>4338.0824300000004</v>
      </c>
      <c r="K51" s="797">
        <f>J51+(K52/100*J51)</f>
        <v>5118.9372674000006</v>
      </c>
    </row>
    <row r="52" spans="1:11" s="700" customFormat="1">
      <c r="A52" s="700" t="s">
        <v>815</v>
      </c>
      <c r="F52" s="791">
        <f>((F51-E51)/E51)*100</f>
        <v>-9.1086498466106978</v>
      </c>
      <c r="G52" s="791">
        <f>((G51-F51)/F51)*100</f>
        <v>31.010014563908527</v>
      </c>
      <c r="H52" s="791">
        <f>((H51-G51)/G51)*100</f>
        <v>-20.005821909173626</v>
      </c>
      <c r="I52" s="791">
        <v>10</v>
      </c>
      <c r="J52" s="791">
        <v>13</v>
      </c>
      <c r="K52" s="791">
        <v>18</v>
      </c>
    </row>
    <row r="53" spans="1:11" s="700" customFormat="1">
      <c r="A53" s="807" t="s">
        <v>816</v>
      </c>
      <c r="B53" s="807"/>
      <c r="C53" s="807"/>
      <c r="D53" s="807"/>
      <c r="E53" s="792"/>
      <c r="F53" s="792"/>
      <c r="G53" s="792"/>
      <c r="H53" s="792"/>
      <c r="I53" s="792">
        <f>I51/I40</f>
        <v>88.083843464055306</v>
      </c>
      <c r="J53" s="792">
        <f>J51/J40</f>
        <v>96.659590686274512</v>
      </c>
      <c r="K53" s="792">
        <f>K51/K40</f>
        <v>111.82187942137641</v>
      </c>
    </row>
    <row r="54" spans="1:11" s="700" customFormat="1"/>
    <row r="55" spans="1:11" s="700" customFormat="1">
      <c r="A55" s="700" t="s">
        <v>819</v>
      </c>
      <c r="E55" s="700" t="s">
        <v>820</v>
      </c>
      <c r="F55" s="700" t="s">
        <v>820</v>
      </c>
      <c r="G55" s="700" t="s">
        <v>820</v>
      </c>
      <c r="H55" s="797">
        <v>12686.270624533467</v>
      </c>
      <c r="I55" s="797">
        <f>H55+(I56/100*H55)</f>
        <v>14335.485805722818</v>
      </c>
      <c r="J55" s="797">
        <f>I55+(J56/100*I55)</f>
        <v>16199.098960466785</v>
      </c>
      <c r="K55" s="797">
        <f>J55+(K56/100*J55)</f>
        <v>18304.981825327468</v>
      </c>
    </row>
    <row r="56" spans="1:11" s="700" customFormat="1">
      <c r="A56" s="700" t="s">
        <v>815</v>
      </c>
      <c r="F56" s="791"/>
      <c r="G56" s="791"/>
      <c r="H56" s="791"/>
      <c r="I56" s="791">
        <v>13</v>
      </c>
      <c r="J56" s="791">
        <v>13</v>
      </c>
      <c r="K56" s="791">
        <v>13</v>
      </c>
    </row>
    <row r="57" spans="1:11" s="700" customFormat="1">
      <c r="A57" s="807" t="s">
        <v>821</v>
      </c>
      <c r="B57" s="807"/>
      <c r="C57" s="807"/>
      <c r="D57" s="807"/>
      <c r="E57" s="807"/>
      <c r="F57" s="807"/>
      <c r="G57" s="807"/>
      <c r="H57" s="807"/>
      <c r="I57" s="792">
        <f>I55/I40</f>
        <v>328.91926792928575</v>
      </c>
      <c r="J57" s="792">
        <f>J55/J40</f>
        <v>360.94249020647914</v>
      </c>
      <c r="K57" s="792">
        <f>K55/K40</f>
        <v>399.8676607189426</v>
      </c>
    </row>
    <row r="62" spans="1:11">
      <c r="A62" t="s">
        <v>827</v>
      </c>
    </row>
    <row r="63" spans="1:11">
      <c r="A63" t="s">
        <v>828</v>
      </c>
    </row>
    <row r="64" spans="1:11">
      <c r="A64" t="s">
        <v>829</v>
      </c>
    </row>
    <row r="65" spans="1:1">
      <c r="A65" t="s">
        <v>830</v>
      </c>
    </row>
    <row r="66" spans="1:1">
      <c r="A66" t="s">
        <v>199</v>
      </c>
    </row>
  </sheetData>
  <phoneticPr fontId="44" type="noConversion"/>
  <pageMargins left="0.75" right="0.75" top="1" bottom="1" header="0.5" footer="0.5"/>
  <pageSetup orientation="portrait" horizontalDpi="1200" verticalDpi="1200" r:id="rId1"/>
  <headerFooter alignWithMargins="0"/>
</worksheet>
</file>

<file path=xl/worksheets/sheet60.xml><?xml version="1.0" encoding="utf-8"?>
<worksheet xmlns="http://schemas.openxmlformats.org/spreadsheetml/2006/main" xmlns:r="http://schemas.openxmlformats.org/officeDocument/2006/relationships">
  <dimension ref="A1:L77"/>
  <sheetViews>
    <sheetView zoomScale="80" zoomScaleNormal="80" workbookViewId="0">
      <pane xSplit="2" ySplit="4" topLeftCell="C5" activePane="bottomRight" state="frozen"/>
      <selection pane="topRight" activeCell="C1" sqref="C1"/>
      <selection pane="bottomLeft" activeCell="A5" sqref="A5"/>
      <selection pane="bottomRight" activeCell="N68" sqref="N68"/>
    </sheetView>
  </sheetViews>
  <sheetFormatPr defaultRowHeight="12.75"/>
  <cols>
    <col min="1" max="1" width="9.140625" style="3653"/>
    <col min="2" max="2" width="15.5703125" style="3653" customWidth="1"/>
    <col min="3" max="9" width="14.5703125" style="3653" customWidth="1"/>
    <col min="10" max="257" width="9.140625" style="3653"/>
    <col min="258" max="258" width="13.85546875" style="3653" customWidth="1"/>
    <col min="259" max="265" width="13" style="3653" customWidth="1"/>
    <col min="266" max="513" width="9.140625" style="3653"/>
    <col min="514" max="514" width="13.85546875" style="3653" customWidth="1"/>
    <col min="515" max="521" width="13" style="3653" customWidth="1"/>
    <col min="522" max="769" width="9.140625" style="3653"/>
    <col min="770" max="770" width="13.85546875" style="3653" customWidth="1"/>
    <col min="771" max="777" width="13" style="3653" customWidth="1"/>
    <col min="778" max="1025" width="9.140625" style="3653"/>
    <col min="1026" max="1026" width="13.85546875" style="3653" customWidth="1"/>
    <col min="1027" max="1033" width="13" style="3653" customWidth="1"/>
    <col min="1034" max="1281" width="9.140625" style="3653"/>
    <col min="1282" max="1282" width="13.85546875" style="3653" customWidth="1"/>
    <col min="1283" max="1289" width="13" style="3653" customWidth="1"/>
    <col min="1290" max="1537" width="9.140625" style="3653"/>
    <col min="1538" max="1538" width="13.85546875" style="3653" customWidth="1"/>
    <col min="1539" max="1545" width="13" style="3653" customWidth="1"/>
    <col min="1546" max="1793" width="9.140625" style="3653"/>
    <col min="1794" max="1794" width="13.85546875" style="3653" customWidth="1"/>
    <col min="1795" max="1801" width="13" style="3653" customWidth="1"/>
    <col min="1802" max="2049" width="9.140625" style="3653"/>
    <col min="2050" max="2050" width="13.85546875" style="3653" customWidth="1"/>
    <col min="2051" max="2057" width="13" style="3653" customWidth="1"/>
    <col min="2058" max="2305" width="9.140625" style="3653"/>
    <col min="2306" max="2306" width="13.85546875" style="3653" customWidth="1"/>
    <col min="2307" max="2313" width="13" style="3653" customWidth="1"/>
    <col min="2314" max="2561" width="9.140625" style="3653"/>
    <col min="2562" max="2562" width="13.85546875" style="3653" customWidth="1"/>
    <col min="2563" max="2569" width="13" style="3653" customWidth="1"/>
    <col min="2570" max="2817" width="9.140625" style="3653"/>
    <col min="2818" max="2818" width="13.85546875" style="3653" customWidth="1"/>
    <col min="2819" max="2825" width="13" style="3653" customWidth="1"/>
    <col min="2826" max="3073" width="9.140625" style="3653"/>
    <col min="3074" max="3074" width="13.85546875" style="3653" customWidth="1"/>
    <col min="3075" max="3081" width="13" style="3653" customWidth="1"/>
    <col min="3082" max="3329" width="9.140625" style="3653"/>
    <col min="3330" max="3330" width="13.85546875" style="3653" customWidth="1"/>
    <col min="3331" max="3337" width="13" style="3653" customWidth="1"/>
    <col min="3338" max="3585" width="9.140625" style="3653"/>
    <col min="3586" max="3586" width="13.85546875" style="3653" customWidth="1"/>
    <col min="3587" max="3593" width="13" style="3653" customWidth="1"/>
    <col min="3594" max="3841" width="9.140625" style="3653"/>
    <col min="3842" max="3842" width="13.85546875" style="3653" customWidth="1"/>
    <col min="3843" max="3849" width="13" style="3653" customWidth="1"/>
    <col min="3850" max="4097" width="9.140625" style="3653"/>
    <col min="4098" max="4098" width="13.85546875" style="3653" customWidth="1"/>
    <col min="4099" max="4105" width="13" style="3653" customWidth="1"/>
    <col min="4106" max="4353" width="9.140625" style="3653"/>
    <col min="4354" max="4354" width="13.85546875" style="3653" customWidth="1"/>
    <col min="4355" max="4361" width="13" style="3653" customWidth="1"/>
    <col min="4362" max="4609" width="9.140625" style="3653"/>
    <col min="4610" max="4610" width="13.85546875" style="3653" customWidth="1"/>
    <col min="4611" max="4617" width="13" style="3653" customWidth="1"/>
    <col min="4618" max="4865" width="9.140625" style="3653"/>
    <col min="4866" max="4866" width="13.85546875" style="3653" customWidth="1"/>
    <col min="4867" max="4873" width="13" style="3653" customWidth="1"/>
    <col min="4874" max="5121" width="9.140625" style="3653"/>
    <col min="5122" max="5122" width="13.85546875" style="3653" customWidth="1"/>
    <col min="5123" max="5129" width="13" style="3653" customWidth="1"/>
    <col min="5130" max="5377" width="9.140625" style="3653"/>
    <col min="5378" max="5378" width="13.85546875" style="3653" customWidth="1"/>
    <col min="5379" max="5385" width="13" style="3653" customWidth="1"/>
    <col min="5386" max="5633" width="9.140625" style="3653"/>
    <col min="5634" max="5634" width="13.85546875" style="3653" customWidth="1"/>
    <col min="5635" max="5641" width="13" style="3653" customWidth="1"/>
    <col min="5642" max="5889" width="9.140625" style="3653"/>
    <col min="5890" max="5890" width="13.85546875" style="3653" customWidth="1"/>
    <col min="5891" max="5897" width="13" style="3653" customWidth="1"/>
    <col min="5898" max="6145" width="9.140625" style="3653"/>
    <col min="6146" max="6146" width="13.85546875" style="3653" customWidth="1"/>
    <col min="6147" max="6153" width="13" style="3653" customWidth="1"/>
    <col min="6154" max="6401" width="9.140625" style="3653"/>
    <col min="6402" max="6402" width="13.85546875" style="3653" customWidth="1"/>
    <col min="6403" max="6409" width="13" style="3653" customWidth="1"/>
    <col min="6410" max="6657" width="9.140625" style="3653"/>
    <col min="6658" max="6658" width="13.85546875" style="3653" customWidth="1"/>
    <col min="6659" max="6665" width="13" style="3653" customWidth="1"/>
    <col min="6666" max="6913" width="9.140625" style="3653"/>
    <col min="6914" max="6914" width="13.85546875" style="3653" customWidth="1"/>
    <col min="6915" max="6921" width="13" style="3653" customWidth="1"/>
    <col min="6922" max="7169" width="9.140625" style="3653"/>
    <col min="7170" max="7170" width="13.85546875" style="3653" customWidth="1"/>
    <col min="7171" max="7177" width="13" style="3653" customWidth="1"/>
    <col min="7178" max="7425" width="9.140625" style="3653"/>
    <col min="7426" max="7426" width="13.85546875" style="3653" customWidth="1"/>
    <col min="7427" max="7433" width="13" style="3653" customWidth="1"/>
    <col min="7434" max="7681" width="9.140625" style="3653"/>
    <col min="7682" max="7682" width="13.85546875" style="3653" customWidth="1"/>
    <col min="7683" max="7689" width="13" style="3653" customWidth="1"/>
    <col min="7690" max="7937" width="9.140625" style="3653"/>
    <col min="7938" max="7938" width="13.85546875" style="3653" customWidth="1"/>
    <col min="7939" max="7945" width="13" style="3653" customWidth="1"/>
    <col min="7946" max="8193" width="9.140625" style="3653"/>
    <col min="8194" max="8194" width="13.85546875" style="3653" customWidth="1"/>
    <col min="8195" max="8201" width="13" style="3653" customWidth="1"/>
    <col min="8202" max="8449" width="9.140625" style="3653"/>
    <col min="8450" max="8450" width="13.85546875" style="3653" customWidth="1"/>
    <col min="8451" max="8457" width="13" style="3653" customWidth="1"/>
    <col min="8458" max="8705" width="9.140625" style="3653"/>
    <col min="8706" max="8706" width="13.85546875" style="3653" customWidth="1"/>
    <col min="8707" max="8713" width="13" style="3653" customWidth="1"/>
    <col min="8714" max="8961" width="9.140625" style="3653"/>
    <col min="8962" max="8962" width="13.85546875" style="3653" customWidth="1"/>
    <col min="8963" max="8969" width="13" style="3653" customWidth="1"/>
    <col min="8970" max="9217" width="9.140625" style="3653"/>
    <col min="9218" max="9218" width="13.85546875" style="3653" customWidth="1"/>
    <col min="9219" max="9225" width="13" style="3653" customWidth="1"/>
    <col min="9226" max="9473" width="9.140625" style="3653"/>
    <col min="9474" max="9474" width="13.85546875" style="3653" customWidth="1"/>
    <col min="9475" max="9481" width="13" style="3653" customWidth="1"/>
    <col min="9482" max="9729" width="9.140625" style="3653"/>
    <col min="9730" max="9730" width="13.85546875" style="3653" customWidth="1"/>
    <col min="9731" max="9737" width="13" style="3653" customWidth="1"/>
    <col min="9738" max="9985" width="9.140625" style="3653"/>
    <col min="9986" max="9986" width="13.85546875" style="3653" customWidth="1"/>
    <col min="9987" max="9993" width="13" style="3653" customWidth="1"/>
    <col min="9994" max="10241" width="9.140625" style="3653"/>
    <col min="10242" max="10242" width="13.85546875" style="3653" customWidth="1"/>
    <col min="10243" max="10249" width="13" style="3653" customWidth="1"/>
    <col min="10250" max="10497" width="9.140625" style="3653"/>
    <col min="10498" max="10498" width="13.85546875" style="3653" customWidth="1"/>
    <col min="10499" max="10505" width="13" style="3653" customWidth="1"/>
    <col min="10506" max="10753" width="9.140625" style="3653"/>
    <col min="10754" max="10754" width="13.85546875" style="3653" customWidth="1"/>
    <col min="10755" max="10761" width="13" style="3653" customWidth="1"/>
    <col min="10762" max="11009" width="9.140625" style="3653"/>
    <col min="11010" max="11010" width="13.85546875" style="3653" customWidth="1"/>
    <col min="11011" max="11017" width="13" style="3653" customWidth="1"/>
    <col min="11018" max="11265" width="9.140625" style="3653"/>
    <col min="11266" max="11266" width="13.85546875" style="3653" customWidth="1"/>
    <col min="11267" max="11273" width="13" style="3653" customWidth="1"/>
    <col min="11274" max="11521" width="9.140625" style="3653"/>
    <col min="11522" max="11522" width="13.85546875" style="3653" customWidth="1"/>
    <col min="11523" max="11529" width="13" style="3653" customWidth="1"/>
    <col min="11530" max="11777" width="9.140625" style="3653"/>
    <col min="11778" max="11778" width="13.85546875" style="3653" customWidth="1"/>
    <col min="11779" max="11785" width="13" style="3653" customWidth="1"/>
    <col min="11786" max="12033" width="9.140625" style="3653"/>
    <col min="12034" max="12034" width="13.85546875" style="3653" customWidth="1"/>
    <col min="12035" max="12041" width="13" style="3653" customWidth="1"/>
    <col min="12042" max="12289" width="9.140625" style="3653"/>
    <col min="12290" max="12290" width="13.85546875" style="3653" customWidth="1"/>
    <col min="12291" max="12297" width="13" style="3653" customWidth="1"/>
    <col min="12298" max="12545" width="9.140625" style="3653"/>
    <col min="12546" max="12546" width="13.85546875" style="3653" customWidth="1"/>
    <col min="12547" max="12553" width="13" style="3653" customWidth="1"/>
    <col min="12554" max="12801" width="9.140625" style="3653"/>
    <col min="12802" max="12802" width="13.85546875" style="3653" customWidth="1"/>
    <col min="12803" max="12809" width="13" style="3653" customWidth="1"/>
    <col min="12810" max="13057" width="9.140625" style="3653"/>
    <col min="13058" max="13058" width="13.85546875" style="3653" customWidth="1"/>
    <col min="13059" max="13065" width="13" style="3653" customWidth="1"/>
    <col min="13066" max="13313" width="9.140625" style="3653"/>
    <col min="13314" max="13314" width="13.85546875" style="3653" customWidth="1"/>
    <col min="13315" max="13321" width="13" style="3653" customWidth="1"/>
    <col min="13322" max="13569" width="9.140625" style="3653"/>
    <col min="13570" max="13570" width="13.85546875" style="3653" customWidth="1"/>
    <col min="13571" max="13577" width="13" style="3653" customWidth="1"/>
    <col min="13578" max="13825" width="9.140625" style="3653"/>
    <col min="13826" max="13826" width="13.85546875" style="3653" customWidth="1"/>
    <col min="13827" max="13833" width="13" style="3653" customWidth="1"/>
    <col min="13834" max="14081" width="9.140625" style="3653"/>
    <col min="14082" max="14082" width="13.85546875" style="3653" customWidth="1"/>
    <col min="14083" max="14089" width="13" style="3653" customWidth="1"/>
    <col min="14090" max="14337" width="9.140625" style="3653"/>
    <col min="14338" max="14338" width="13.85546875" style="3653" customWidth="1"/>
    <col min="14339" max="14345" width="13" style="3653" customWidth="1"/>
    <col min="14346" max="14593" width="9.140625" style="3653"/>
    <col min="14594" max="14594" width="13.85546875" style="3653" customWidth="1"/>
    <col min="14595" max="14601" width="13" style="3653" customWidth="1"/>
    <col min="14602" max="14849" width="9.140625" style="3653"/>
    <col min="14850" max="14850" width="13.85546875" style="3653" customWidth="1"/>
    <col min="14851" max="14857" width="13" style="3653" customWidth="1"/>
    <col min="14858" max="15105" width="9.140625" style="3653"/>
    <col min="15106" max="15106" width="13.85546875" style="3653" customWidth="1"/>
    <col min="15107" max="15113" width="13" style="3653" customWidth="1"/>
    <col min="15114" max="15361" width="9.140625" style="3653"/>
    <col min="15362" max="15362" width="13.85546875" style="3653" customWidth="1"/>
    <col min="15363" max="15369" width="13" style="3653" customWidth="1"/>
    <col min="15370" max="15617" width="9.140625" style="3653"/>
    <col min="15618" max="15618" width="13.85546875" style="3653" customWidth="1"/>
    <col min="15619" max="15625" width="13" style="3653" customWidth="1"/>
    <col min="15626" max="15873" width="9.140625" style="3653"/>
    <col min="15874" max="15874" width="13.85546875" style="3653" customWidth="1"/>
    <col min="15875" max="15881" width="13" style="3653" customWidth="1"/>
    <col min="15882" max="16129" width="9.140625" style="3653"/>
    <col min="16130" max="16130" width="13.85546875" style="3653" customWidth="1"/>
    <col min="16131" max="16137" width="13" style="3653" customWidth="1"/>
    <col min="16138" max="16384" width="9.140625" style="3653"/>
  </cols>
  <sheetData>
    <row r="1" spans="1:11" ht="18">
      <c r="A1" s="3651"/>
      <c r="B1" s="3651"/>
      <c r="C1" s="3651"/>
      <c r="D1" s="3808" t="s">
        <v>1993</v>
      </c>
      <c r="E1" s="3651"/>
      <c r="F1" s="3651"/>
      <c r="G1" s="3651"/>
      <c r="H1" s="3651"/>
      <c r="I1" s="3651"/>
      <c r="J1" s="3651"/>
    </row>
    <row r="2" spans="1:11" ht="17.25" customHeight="1">
      <c r="A2" s="3651"/>
      <c r="B2" s="3651"/>
      <c r="C2" s="3651"/>
      <c r="D2" s="3808"/>
      <c r="E2" s="3651"/>
      <c r="F2" s="3651"/>
      <c r="G2" s="3651"/>
      <c r="H2" s="3651"/>
      <c r="I2" s="3651"/>
      <c r="J2" s="3651"/>
    </row>
    <row r="3" spans="1:11" ht="15">
      <c r="A3" s="3651"/>
      <c r="B3" s="3807" t="s">
        <v>1906</v>
      </c>
      <c r="C3" s="3652"/>
      <c r="D3" s="3652"/>
      <c r="E3" s="3652"/>
      <c r="F3" s="3651"/>
      <c r="G3" s="3651"/>
      <c r="H3" s="3651"/>
      <c r="I3" s="3651"/>
      <c r="J3" s="3651"/>
    </row>
    <row r="4" spans="1:11" ht="82.5" customHeight="1">
      <c r="A4" s="3651"/>
      <c r="B4" s="3654" t="s">
        <v>1907</v>
      </c>
      <c r="C4" s="3655" t="s">
        <v>1908</v>
      </c>
      <c r="D4" s="3655" t="s">
        <v>1909</v>
      </c>
      <c r="E4" s="3655" t="s">
        <v>1910</v>
      </c>
      <c r="F4" s="3655" t="s">
        <v>1911</v>
      </c>
      <c r="G4" s="3655" t="s">
        <v>1912</v>
      </c>
      <c r="H4" s="3655" t="s">
        <v>1913</v>
      </c>
      <c r="I4" s="3656" t="s">
        <v>1914</v>
      </c>
      <c r="J4" s="3657"/>
      <c r="K4" s="3658"/>
    </row>
    <row r="5" spans="1:11" ht="15.75" hidden="1">
      <c r="A5" s="3651"/>
      <c r="B5" s="3659">
        <v>2011</v>
      </c>
      <c r="C5" s="3660">
        <v>10.5527290039385</v>
      </c>
      <c r="D5" s="3660">
        <v>3.0770700000000002E-2</v>
      </c>
      <c r="E5" s="3660">
        <v>0.23432154999999999</v>
      </c>
      <c r="F5" s="3660"/>
      <c r="G5" s="3660">
        <v>9.1069956246535355</v>
      </c>
      <c r="H5" s="3660">
        <v>1.3504419952067592</v>
      </c>
      <c r="I5" s="3661">
        <v>531.10751661142945</v>
      </c>
      <c r="J5" s="3651"/>
    </row>
    <row r="6" spans="1:11" ht="15" hidden="1">
      <c r="A6" s="3651"/>
      <c r="B6" s="3662" t="s">
        <v>161</v>
      </c>
      <c r="C6" s="3663">
        <v>0.47752060000000002</v>
      </c>
      <c r="D6" s="3663">
        <v>5.7749999999999998E-3</v>
      </c>
      <c r="E6" s="3663">
        <v>2.41E-2</v>
      </c>
      <c r="F6" s="3663"/>
      <c r="G6" s="3663">
        <v>0.93051924832551647</v>
      </c>
      <c r="H6" s="3663">
        <v>0.27474818759222436</v>
      </c>
      <c r="I6" s="3664">
        <v>24.757201257086994</v>
      </c>
      <c r="J6" s="3651"/>
    </row>
    <row r="7" spans="1:11" ht="15" hidden="1">
      <c r="A7" s="3651"/>
      <c r="B7" s="3662" t="s">
        <v>162</v>
      </c>
      <c r="C7" s="3663">
        <v>0.53625168999999995</v>
      </c>
      <c r="D7" s="3663">
        <v>2.1299999999999999E-2</v>
      </c>
      <c r="E7" s="3663">
        <v>2.4750000000000001E-2</v>
      </c>
      <c r="F7" s="3663"/>
      <c r="G7" s="3663">
        <v>0.52210996446220159</v>
      </c>
      <c r="H7" s="3663">
        <v>0.16137378693734863</v>
      </c>
      <c r="I7" s="3664">
        <v>28.144464695695522</v>
      </c>
      <c r="J7" s="3651"/>
    </row>
    <row r="8" spans="1:11" ht="15" hidden="1">
      <c r="A8" s="3651"/>
      <c r="B8" s="3662" t="s">
        <v>163</v>
      </c>
      <c r="C8" s="3663">
        <v>0.78802034999999993</v>
      </c>
      <c r="D8" s="3663">
        <v>0</v>
      </c>
      <c r="E8" s="3663">
        <v>2.8434999999999998E-2</v>
      </c>
      <c r="F8" s="3663"/>
      <c r="G8" s="3663">
        <v>6.3287248208972274E-2</v>
      </c>
      <c r="H8" s="3663">
        <v>0</v>
      </c>
      <c r="I8" s="3664">
        <v>37.306787862390721</v>
      </c>
      <c r="J8" s="3651"/>
    </row>
    <row r="9" spans="1:11" ht="15" hidden="1">
      <c r="A9" s="3651"/>
      <c r="B9" s="3662" t="s">
        <v>164</v>
      </c>
      <c r="C9" s="3663">
        <v>0.44660549999999999</v>
      </c>
      <c r="D9" s="3663">
        <v>2.5000000000000001E-3</v>
      </c>
      <c r="E9" s="3663">
        <v>3.93598E-2</v>
      </c>
      <c r="F9" s="3663"/>
      <c r="G9" s="3663">
        <v>0.49361774837843436</v>
      </c>
      <c r="H9" s="3663">
        <v>0</v>
      </c>
      <c r="I9" s="3664">
        <v>23.011966887534133</v>
      </c>
      <c r="J9" s="3651"/>
    </row>
    <row r="10" spans="1:11" ht="15" hidden="1">
      <c r="A10" s="3651"/>
      <c r="B10" s="3662" t="s">
        <v>165</v>
      </c>
      <c r="C10" s="3663">
        <v>0.7614723000000001</v>
      </c>
      <c r="D10" s="3663">
        <v>9.6500000000000004E-4</v>
      </c>
      <c r="E10" s="3663">
        <v>1.5951569999999998E-2</v>
      </c>
      <c r="F10" s="3663"/>
      <c r="G10" s="3663">
        <v>0.49708349724028389</v>
      </c>
      <c r="H10" s="3663">
        <v>0</v>
      </c>
      <c r="I10" s="3664">
        <v>35.789296356241671</v>
      </c>
      <c r="J10" s="3651"/>
    </row>
    <row r="11" spans="1:11" ht="15" hidden="1">
      <c r="A11" s="3651"/>
      <c r="B11" s="3662" t="s">
        <v>166</v>
      </c>
      <c r="C11" s="3663">
        <v>0.58803004000000003</v>
      </c>
      <c r="D11" s="3663">
        <v>0</v>
      </c>
      <c r="E11" s="3663">
        <v>9.6369200000000002E-3</v>
      </c>
      <c r="F11" s="3663"/>
      <c r="G11" s="3663">
        <v>1.8844416471310426</v>
      </c>
      <c r="H11" s="3663">
        <v>0.16712506738142732</v>
      </c>
      <c r="I11" s="3664">
        <v>29.04766960362987</v>
      </c>
      <c r="J11" s="3651"/>
    </row>
    <row r="12" spans="1:11" ht="15" hidden="1">
      <c r="A12" s="3651"/>
      <c r="B12" s="3662" t="s">
        <v>167</v>
      </c>
      <c r="C12" s="3663">
        <v>0.78722786999999983</v>
      </c>
      <c r="D12" s="3663">
        <v>0</v>
      </c>
      <c r="E12" s="3663">
        <v>6.0000000000000001E-3</v>
      </c>
      <c r="F12" s="3663"/>
      <c r="G12" s="3663">
        <v>0.35294319891911585</v>
      </c>
      <c r="H12" s="3663">
        <v>0</v>
      </c>
      <c r="I12" s="3664">
        <v>35.698186801774924</v>
      </c>
      <c r="J12" s="3651"/>
    </row>
    <row r="13" spans="1:11" ht="15" hidden="1">
      <c r="A13" s="3651"/>
      <c r="B13" s="3662" t="s">
        <v>168</v>
      </c>
      <c r="C13" s="3663">
        <v>0.64083866</v>
      </c>
      <c r="D13" s="3663">
        <v>0</v>
      </c>
      <c r="E13" s="3663">
        <v>2.16E-3</v>
      </c>
      <c r="F13" s="3663"/>
      <c r="G13" s="3663">
        <v>0.85187193352971291</v>
      </c>
      <c r="H13" s="3663">
        <v>0.11316554162727753</v>
      </c>
      <c r="I13" s="3664">
        <v>30.121547684854843</v>
      </c>
      <c r="J13" s="3651"/>
    </row>
    <row r="14" spans="1:11" ht="15" hidden="1">
      <c r="A14" s="3651"/>
      <c r="B14" s="3662" t="s">
        <v>169</v>
      </c>
      <c r="C14" s="3663">
        <v>0.99639733000000008</v>
      </c>
      <c r="D14" s="3663">
        <v>6.5699999999999998E-5</v>
      </c>
      <c r="E14" s="3663">
        <v>5.2634E-2</v>
      </c>
      <c r="F14" s="3663"/>
      <c r="G14" s="3663">
        <v>0.78341920512703633</v>
      </c>
      <c r="H14" s="3663">
        <v>0</v>
      </c>
      <c r="I14" s="3664">
        <v>51.702262460515442</v>
      </c>
      <c r="J14" s="3651"/>
    </row>
    <row r="15" spans="1:11" ht="15" hidden="1">
      <c r="A15" s="3651"/>
      <c r="B15" s="3662" t="s">
        <v>170</v>
      </c>
      <c r="C15" s="3663">
        <v>1.4558151367967533</v>
      </c>
      <c r="D15" s="3663">
        <v>1.65E-4</v>
      </c>
      <c r="E15" s="3663">
        <v>1.5494260000000001E-2</v>
      </c>
      <c r="F15" s="3663"/>
      <c r="G15" s="3663">
        <v>0.93963965863453824</v>
      </c>
      <c r="H15" s="3663">
        <v>0.32079990100557498</v>
      </c>
      <c r="I15" s="3664">
        <v>74.028242117264796</v>
      </c>
      <c r="J15" s="3651"/>
    </row>
    <row r="16" spans="1:11" ht="15" hidden="1">
      <c r="A16" s="3651"/>
      <c r="B16" s="3662" t="s">
        <v>171</v>
      </c>
      <c r="C16" s="3663">
        <v>1.9847209085060458</v>
      </c>
      <c r="D16" s="3663">
        <v>0</v>
      </c>
      <c r="E16" s="3663">
        <v>1.38E-2</v>
      </c>
      <c r="F16" s="3663"/>
      <c r="G16" s="3663">
        <v>0.41748989065846837</v>
      </c>
      <c r="H16" s="3663">
        <v>4.2649153864077666E-2</v>
      </c>
      <c r="I16" s="3664">
        <v>102.32105468662201</v>
      </c>
      <c r="J16" s="3651"/>
    </row>
    <row r="17" spans="1:10" ht="15" hidden="1">
      <c r="A17" s="3651"/>
      <c r="B17" s="3662" t="s">
        <v>148</v>
      </c>
      <c r="C17" s="3663">
        <v>1.0898286186356994</v>
      </c>
      <c r="D17" s="3663">
        <v>0</v>
      </c>
      <c r="E17" s="3663">
        <v>2E-3</v>
      </c>
      <c r="F17" s="3663"/>
      <c r="G17" s="3663">
        <v>1.3705723840382136</v>
      </c>
      <c r="H17" s="3663">
        <v>0.27058035679882864</v>
      </c>
      <c r="I17" s="3664">
        <v>59.178836197818491</v>
      </c>
      <c r="J17" s="3651"/>
    </row>
    <row r="18" spans="1:10" ht="15.75">
      <c r="A18" s="3651"/>
      <c r="B18" s="3659">
        <v>2012</v>
      </c>
      <c r="C18" s="3660">
        <v>8.2500364846484668</v>
      </c>
      <c r="D18" s="3660">
        <v>3.8850423161013746E-2</v>
      </c>
      <c r="E18" s="3660">
        <v>0.1203360470042589</v>
      </c>
      <c r="F18" s="3660"/>
      <c r="G18" s="3660">
        <v>11.494930806420889</v>
      </c>
      <c r="H18" s="3660">
        <v>1.4191056610511024</v>
      </c>
      <c r="I18" s="3661">
        <v>464.92538850324217</v>
      </c>
      <c r="J18" s="3651"/>
    </row>
    <row r="19" spans="1:10" ht="15" hidden="1">
      <c r="A19" s="3651"/>
      <c r="B19" s="3662" t="s">
        <v>161</v>
      </c>
      <c r="C19" s="3663">
        <v>0.94563966936080712</v>
      </c>
      <c r="D19" s="3663">
        <v>3.5000000000000001E-3</v>
      </c>
      <c r="E19" s="3663">
        <v>1.7357999999999998E-2</v>
      </c>
      <c r="F19" s="3663"/>
      <c r="G19" s="3663">
        <v>0.44416453535309247</v>
      </c>
      <c r="H19" s="3663">
        <v>0.13340434929460365</v>
      </c>
      <c r="I19" s="3664">
        <v>50.720874994593345</v>
      </c>
      <c r="J19" s="3651"/>
    </row>
    <row r="20" spans="1:10" ht="15" hidden="1">
      <c r="A20" s="3651"/>
      <c r="B20" s="3662" t="s">
        <v>162</v>
      </c>
      <c r="C20" s="3663">
        <v>0.69196050091693106</v>
      </c>
      <c r="D20" s="3663">
        <v>0</v>
      </c>
      <c r="E20" s="3663">
        <v>1.0578499999999999E-2</v>
      </c>
      <c r="F20" s="3663"/>
      <c r="G20" s="3663">
        <v>1.0179237830136987</v>
      </c>
      <c r="H20" s="3663">
        <v>0</v>
      </c>
      <c r="I20" s="3664">
        <v>35.725226229358441</v>
      </c>
      <c r="J20" s="3651"/>
    </row>
    <row r="21" spans="1:10" ht="15" hidden="1">
      <c r="A21" s="3651"/>
      <c r="B21" s="3662" t="s">
        <v>163</v>
      </c>
      <c r="C21" s="3663">
        <v>0.67162233672575167</v>
      </c>
      <c r="D21" s="3663">
        <v>4.9649999999999998E-3</v>
      </c>
      <c r="E21" s="3663">
        <v>1.3473299999999999E-3</v>
      </c>
      <c r="F21" s="3663"/>
      <c r="G21" s="3663">
        <v>1.1622321584938704</v>
      </c>
      <c r="H21" s="3663">
        <v>0</v>
      </c>
      <c r="I21" s="3664">
        <v>35.444983777262003</v>
      </c>
      <c r="J21" s="3651"/>
    </row>
    <row r="22" spans="1:10" ht="15" hidden="1">
      <c r="A22" s="3651"/>
      <c r="B22" s="3662" t="s">
        <v>164</v>
      </c>
      <c r="C22" s="3663">
        <v>0.54314163929077464</v>
      </c>
      <c r="D22" s="3663">
        <v>0</v>
      </c>
      <c r="E22" s="3663">
        <v>7.3879999999999996E-3</v>
      </c>
      <c r="F22" s="3663"/>
      <c r="G22" s="3663">
        <v>1.0696456610415921</v>
      </c>
      <c r="H22" s="3663">
        <v>0</v>
      </c>
      <c r="I22" s="3664">
        <v>29.709724246549307</v>
      </c>
      <c r="J22" s="3651"/>
    </row>
    <row r="23" spans="1:10" ht="15" hidden="1">
      <c r="A23" s="3651"/>
      <c r="B23" s="3662" t="s">
        <v>165</v>
      </c>
      <c r="C23" s="3663">
        <v>0.68465888261262242</v>
      </c>
      <c r="D23" s="3663">
        <v>2.065E-3</v>
      </c>
      <c r="E23" s="3663">
        <v>1.014E-2</v>
      </c>
      <c r="F23" s="3663"/>
      <c r="G23" s="3663">
        <v>0.82158079300788744</v>
      </c>
      <c r="H23" s="3663">
        <v>0</v>
      </c>
      <c r="I23" s="3664">
        <v>39.003212131704686</v>
      </c>
      <c r="J23" s="3651"/>
    </row>
    <row r="24" spans="1:10" ht="15" hidden="1">
      <c r="A24" s="3651"/>
      <c r="B24" s="3662" t="s">
        <v>166</v>
      </c>
      <c r="C24" s="3663">
        <v>0.56506538525432815</v>
      </c>
      <c r="D24" s="3663">
        <v>0</v>
      </c>
      <c r="E24" s="3663">
        <v>3.0985778332742798E-3</v>
      </c>
      <c r="F24" s="3663"/>
      <c r="G24" s="3663">
        <v>0.37639732198765774</v>
      </c>
      <c r="H24" s="3663">
        <v>0.59338260877526261</v>
      </c>
      <c r="I24" s="3664">
        <v>32.847872253984143</v>
      </c>
      <c r="J24" s="3651"/>
    </row>
    <row r="25" spans="1:10" ht="15" hidden="1">
      <c r="A25" s="3651"/>
      <c r="B25" s="3662" t="s">
        <v>167</v>
      </c>
      <c r="C25" s="3663">
        <v>0.73572125710624658</v>
      </c>
      <c r="D25" s="3663">
        <v>2.0705726999235693E-3</v>
      </c>
      <c r="E25" s="3663">
        <v>2.8683955650811079E-2</v>
      </c>
      <c r="F25" s="3663"/>
      <c r="G25" s="3663">
        <v>1.5733660547277992</v>
      </c>
      <c r="H25" s="3663">
        <v>0</v>
      </c>
      <c r="I25" s="3664">
        <v>44.372672169042232</v>
      </c>
      <c r="J25" s="3651"/>
    </row>
    <row r="26" spans="1:10" ht="15" hidden="1">
      <c r="A26" s="3651"/>
      <c r="B26" s="3662" t="s">
        <v>168</v>
      </c>
      <c r="C26" s="3663">
        <v>0.65560425650827947</v>
      </c>
      <c r="D26" s="3663">
        <v>1.5965E-2</v>
      </c>
      <c r="E26" s="3663">
        <v>1.5313256115910728E-2</v>
      </c>
      <c r="F26" s="3663"/>
      <c r="G26" s="3663">
        <v>2.0444012156958054</v>
      </c>
      <c r="H26" s="3663">
        <v>0</v>
      </c>
      <c r="I26" s="3664">
        <v>41.084194971093865</v>
      </c>
      <c r="J26" s="3651"/>
    </row>
    <row r="27" spans="1:10" ht="15" hidden="1">
      <c r="A27" s="3651"/>
      <c r="B27" s="3662" t="s">
        <v>169</v>
      </c>
      <c r="C27" s="3663">
        <v>0.81158741761015285</v>
      </c>
      <c r="D27" s="3663">
        <v>0</v>
      </c>
      <c r="E27" s="3663">
        <v>5.2761583708749952E-3</v>
      </c>
      <c r="F27" s="3663"/>
      <c r="G27" s="3663">
        <v>0.92384158014048545</v>
      </c>
      <c r="H27" s="3663">
        <v>0.45660155869459323</v>
      </c>
      <c r="I27" s="3664">
        <v>46.068402100956909</v>
      </c>
      <c r="J27" s="3651"/>
    </row>
    <row r="28" spans="1:10" ht="15" hidden="1">
      <c r="A28" s="3651"/>
      <c r="B28" s="3662" t="s">
        <v>170</v>
      </c>
      <c r="C28" s="3663">
        <v>0.70566026474351229</v>
      </c>
      <c r="D28" s="3663">
        <v>1.2183610285674446E-4</v>
      </c>
      <c r="E28" s="3663">
        <v>4.6947889408569705E-3</v>
      </c>
      <c r="F28" s="3663"/>
      <c r="G28" s="3663">
        <v>1.1359314407359775</v>
      </c>
      <c r="H28" s="3663">
        <v>7.1437576549359033E-2</v>
      </c>
      <c r="I28" s="3664">
        <v>38.957647494941554</v>
      </c>
      <c r="J28" s="3651"/>
    </row>
    <row r="29" spans="1:10" ht="15" hidden="1">
      <c r="A29" s="3651"/>
      <c r="B29" s="3662" t="s">
        <v>171</v>
      </c>
      <c r="C29" s="3663">
        <v>0.78504203626843871</v>
      </c>
      <c r="D29" s="3663">
        <v>5.2860201998181436E-3</v>
      </c>
      <c r="E29" s="3663">
        <v>4.4753804951073459E-3</v>
      </c>
      <c r="F29" s="3663"/>
      <c r="G29" s="3663">
        <v>0.51726085382731823</v>
      </c>
      <c r="H29" s="3663">
        <v>2.9998299820173293E-2</v>
      </c>
      <c r="I29" s="3664">
        <v>44.32550059929968</v>
      </c>
      <c r="J29" s="3651"/>
    </row>
    <row r="30" spans="1:10" ht="15" hidden="1">
      <c r="A30" s="3651"/>
      <c r="B30" s="3662" t="s">
        <v>148</v>
      </c>
      <c r="C30" s="3663">
        <v>0.4543328382506221</v>
      </c>
      <c r="D30" s="3663">
        <v>4.8769941584152808E-3</v>
      </c>
      <c r="E30" s="3663">
        <v>1.1982099597423509E-2</v>
      </c>
      <c r="F30" s="3663"/>
      <c r="G30" s="3663">
        <v>0.4081854083957045</v>
      </c>
      <c r="H30" s="3663">
        <v>0.13428126791711031</v>
      </c>
      <c r="I30" s="3664">
        <v>26.665077534455953</v>
      </c>
      <c r="J30" s="3651"/>
    </row>
    <row r="31" spans="1:10" ht="15.75">
      <c r="A31" s="3651"/>
      <c r="B31" s="3659">
        <v>2013</v>
      </c>
      <c r="C31" s="3660">
        <v>6.1502816861299969</v>
      </c>
      <c r="D31" s="3660">
        <v>1.9245434265678103E-2</v>
      </c>
      <c r="E31" s="3660">
        <v>8.7991392003193378E-2</v>
      </c>
      <c r="F31" s="3660">
        <v>0.24211816747117271</v>
      </c>
      <c r="G31" s="3660">
        <v>4.1624556584979464</v>
      </c>
      <c r="H31" s="3660">
        <v>1.9984233177493653</v>
      </c>
      <c r="I31" s="3661">
        <v>384.95788243224484</v>
      </c>
      <c r="J31" s="3651"/>
    </row>
    <row r="32" spans="1:10" ht="15">
      <c r="A32" s="3651"/>
      <c r="B32" s="3662" t="s">
        <v>161</v>
      </c>
      <c r="C32" s="3663">
        <v>0.64345332109159481</v>
      </c>
      <c r="D32" s="3663">
        <v>0</v>
      </c>
      <c r="E32" s="3663">
        <v>1.9396475792503056E-2</v>
      </c>
      <c r="F32" s="3663"/>
      <c r="G32" s="3663">
        <v>0.59237589238539423</v>
      </c>
      <c r="H32" s="3663">
        <v>0.30948771978788719</v>
      </c>
      <c r="I32" s="3664">
        <v>37.249572395285753</v>
      </c>
      <c r="J32" s="3651"/>
    </row>
    <row r="33" spans="1:12" ht="15">
      <c r="A33" s="3651"/>
      <c r="B33" s="3662" t="s">
        <v>162</v>
      </c>
      <c r="C33" s="3663">
        <v>0.48382982121574164</v>
      </c>
      <c r="D33" s="3663">
        <v>4.9649999999999998E-3</v>
      </c>
      <c r="E33" s="3663">
        <v>4.1441675217024441E-3</v>
      </c>
      <c r="F33" s="3663"/>
      <c r="G33" s="3663">
        <v>0.55690216653675206</v>
      </c>
      <c r="H33" s="3663">
        <v>9.81000782297244E-2</v>
      </c>
      <c r="I33" s="3664">
        <v>27.36914762249512</v>
      </c>
      <c r="J33" s="3651"/>
    </row>
    <row r="34" spans="1:12" ht="15">
      <c r="A34" s="3651"/>
      <c r="B34" s="3662" t="s">
        <v>163</v>
      </c>
      <c r="C34" s="3663">
        <v>0.79961576008896207</v>
      </c>
      <c r="D34" s="3663">
        <v>1.65E-4</v>
      </c>
      <c r="E34" s="3663">
        <v>2.1984164709467503E-2</v>
      </c>
      <c r="F34" s="3663"/>
      <c r="G34" s="3663">
        <v>1.7712185709625294</v>
      </c>
      <c r="H34" s="3663">
        <v>8.7251261816039455E-2</v>
      </c>
      <c r="I34" s="3664">
        <v>46.911394933876103</v>
      </c>
      <c r="J34" s="3651"/>
    </row>
    <row r="35" spans="1:12" ht="15">
      <c r="A35" s="3651"/>
      <c r="B35" s="3662" t="s">
        <v>164</v>
      </c>
      <c r="C35" s="3663">
        <v>0.45644003151859996</v>
      </c>
      <c r="D35" s="3663">
        <v>3.375E-3</v>
      </c>
      <c r="E35" s="3663">
        <v>3.4155474020709513E-3</v>
      </c>
      <c r="F35" s="3663"/>
      <c r="G35" s="3663">
        <v>0.12778157215730121</v>
      </c>
      <c r="H35" s="3663">
        <v>3.5138290244304426E-2</v>
      </c>
      <c r="I35" s="3664">
        <v>25.504970691042203</v>
      </c>
      <c r="J35" s="3651"/>
    </row>
    <row r="36" spans="1:12" ht="15">
      <c r="A36" s="3651"/>
      <c r="B36" s="3662" t="s">
        <v>165</v>
      </c>
      <c r="C36" s="3663">
        <v>0.36182051057970305</v>
      </c>
      <c r="D36" s="3663">
        <v>1.9454449702078084E-4</v>
      </c>
      <c r="E36" s="3663">
        <v>3.4129478657331791E-3</v>
      </c>
      <c r="F36" s="3663"/>
      <c r="G36" s="3663">
        <v>0.11607915156192043</v>
      </c>
      <c r="H36" s="3663">
        <v>0.15443746667575359</v>
      </c>
      <c r="I36" s="3664">
        <v>20.442974422195345</v>
      </c>
      <c r="J36" s="3665"/>
    </row>
    <row r="37" spans="1:12" ht="15">
      <c r="A37" s="3651"/>
      <c r="B37" s="3662" t="s">
        <v>166</v>
      </c>
      <c r="C37" s="3663">
        <v>0.42085226241957513</v>
      </c>
      <c r="D37" s="3663">
        <v>1.1325419972172085E-3</v>
      </c>
      <c r="E37" s="3663">
        <v>8.1262914516892042E-3</v>
      </c>
      <c r="F37" s="3663"/>
      <c r="G37" s="3663">
        <v>9.8821043745819653E-2</v>
      </c>
      <c r="H37" s="3663">
        <v>9.1199410900184893E-2</v>
      </c>
      <c r="I37" s="3664">
        <v>25.379401976698901</v>
      </c>
      <c r="J37" s="3651"/>
      <c r="K37" s="3666"/>
      <c r="L37" s="3666"/>
    </row>
    <row r="38" spans="1:12" ht="15">
      <c r="A38" s="3651"/>
      <c r="B38" s="3662" t="s">
        <v>167</v>
      </c>
      <c r="C38" s="3663">
        <v>1.2943043069355891</v>
      </c>
      <c r="D38" s="3663">
        <v>6.4818786353534235E-4</v>
      </c>
      <c r="E38" s="3663">
        <v>2.7247497012341092E-3</v>
      </c>
      <c r="F38" s="3663">
        <v>2.0000000000000001E-4</v>
      </c>
      <c r="G38" s="3663">
        <v>0.4558229114969955</v>
      </c>
      <c r="H38" s="3663">
        <v>8.602771718720062E-2</v>
      </c>
      <c r="I38" s="3664">
        <v>78.165242261819813</v>
      </c>
      <c r="J38" s="3651"/>
    </row>
    <row r="39" spans="1:12" ht="15">
      <c r="A39" s="3651"/>
      <c r="B39" s="3662" t="s">
        <v>168</v>
      </c>
      <c r="C39" s="3663">
        <v>0.61164362989481846</v>
      </c>
      <c r="D39" s="3663">
        <v>1.435980737860216E-3</v>
      </c>
      <c r="E39" s="3663">
        <v>7.4149999999999997E-4</v>
      </c>
      <c r="F39" s="3663">
        <v>4.444575074610318E-3</v>
      </c>
      <c r="G39" s="3663">
        <v>0.10229844469859628</v>
      </c>
      <c r="H39" s="3663">
        <v>2.0590518761309455E-2</v>
      </c>
      <c r="I39" s="3664">
        <v>39.101474660516267</v>
      </c>
      <c r="J39" s="3651"/>
      <c r="K39" s="3666"/>
    </row>
    <row r="40" spans="1:12" ht="15">
      <c r="A40" s="3651"/>
      <c r="B40" s="3662" t="s">
        <v>169</v>
      </c>
      <c r="C40" s="3663">
        <v>0.44536403428167137</v>
      </c>
      <c r="D40" s="3663">
        <v>2.6929969235737722E-3</v>
      </c>
      <c r="E40" s="3663">
        <v>6.1086260096978508E-3</v>
      </c>
      <c r="F40" s="3663">
        <v>5.7922186611823592E-2</v>
      </c>
      <c r="G40" s="3663">
        <v>3.4438601427918811E-2</v>
      </c>
      <c r="H40" s="3667">
        <v>0.56306497978434711</v>
      </c>
      <c r="I40" s="3664">
        <v>32.757676443534301</v>
      </c>
      <c r="J40" s="3651"/>
    </row>
    <row r="41" spans="1:12" ht="15">
      <c r="A41" s="3651"/>
      <c r="B41" s="3662" t="s">
        <v>170</v>
      </c>
      <c r="C41" s="3663">
        <v>0.19999286637476291</v>
      </c>
      <c r="D41" s="3663">
        <v>2.6536554387100069E-4</v>
      </c>
      <c r="E41" s="3663">
        <v>1.4414901942879264E-3</v>
      </c>
      <c r="F41" s="3663">
        <v>3.1963370463564678E-2</v>
      </c>
      <c r="G41" s="3663">
        <v>0.15379492394948627</v>
      </c>
      <c r="H41" s="3667">
        <v>0.28348039580542694</v>
      </c>
      <c r="I41" s="3664">
        <v>14.785646781457499</v>
      </c>
      <c r="J41" s="3651"/>
    </row>
    <row r="42" spans="1:12" ht="15">
      <c r="A42" s="3651"/>
      <c r="B42" s="3662" t="s">
        <v>171</v>
      </c>
      <c r="C42" s="3663">
        <v>0.25481406446393096</v>
      </c>
      <c r="D42" s="3663">
        <v>3.3742369755098336E-3</v>
      </c>
      <c r="E42" s="3663">
        <v>2.8557854792660279E-3</v>
      </c>
      <c r="F42" s="3663">
        <v>3.6447429631275258E-2</v>
      </c>
      <c r="G42" s="3663">
        <v>6.4889144341369678E-2</v>
      </c>
      <c r="H42" s="3667">
        <v>9.6105544149187663E-2</v>
      </c>
      <c r="I42" s="3664">
        <v>18.548182671099362</v>
      </c>
      <c r="J42" s="3651"/>
    </row>
    <row r="43" spans="1:12" ht="15">
      <c r="A43" s="3651"/>
      <c r="B43" s="3662" t="s">
        <v>148</v>
      </c>
      <c r="C43" s="3663">
        <v>0.17815107726504709</v>
      </c>
      <c r="D43" s="3663">
        <v>9.9657972708994819E-4</v>
      </c>
      <c r="E43" s="3663">
        <v>1.3639645875541121E-2</v>
      </c>
      <c r="F43" s="3663">
        <v>0.11114060568989886</v>
      </c>
      <c r="G43" s="3663">
        <v>8.8033235233862181E-2</v>
      </c>
      <c r="H43" s="3667">
        <v>0.17353993440799981</v>
      </c>
      <c r="I43" s="3664">
        <v>18.742197572224224</v>
      </c>
      <c r="J43" s="3651"/>
    </row>
    <row r="44" spans="1:12" ht="15.75">
      <c r="A44" s="3651"/>
      <c r="B44" s="3659">
        <v>2014</v>
      </c>
      <c r="C44" s="3660">
        <v>4.4980813807705422</v>
      </c>
      <c r="D44" s="3660">
        <v>7.5504395183138753E-3</v>
      </c>
      <c r="E44" s="3660">
        <v>8.6506925611141192E-2</v>
      </c>
      <c r="F44" s="3660">
        <v>4.2387561410489081</v>
      </c>
      <c r="G44" s="3660">
        <v>12.942672211790534</v>
      </c>
      <c r="H44" s="3668">
        <v>1.8561677985987983</v>
      </c>
      <c r="I44" s="3661">
        <v>521.70579003943567</v>
      </c>
      <c r="J44" s="3651"/>
    </row>
    <row r="45" spans="1:12" ht="15">
      <c r="A45" s="3651"/>
      <c r="B45" s="3662" t="s">
        <v>161</v>
      </c>
      <c r="C45" s="3663">
        <v>0.26721499891165668</v>
      </c>
      <c r="D45" s="3663">
        <v>0</v>
      </c>
      <c r="E45" s="3663">
        <v>1.1038341400863457E-2</v>
      </c>
      <c r="F45" s="3663">
        <v>4.6778313216057736E-2</v>
      </c>
      <c r="G45" s="3663">
        <v>9.5340000000000008E-3</v>
      </c>
      <c r="H45" s="3667">
        <v>2.4398823339580721E-2</v>
      </c>
      <c r="I45" s="3664">
        <v>20.127479222437163</v>
      </c>
      <c r="J45" s="3651"/>
    </row>
    <row r="46" spans="1:12" ht="15">
      <c r="A46" s="3651"/>
      <c r="B46" s="3662" t="s">
        <v>162</v>
      </c>
      <c r="C46" s="3663">
        <v>0.29706523633919107</v>
      </c>
      <c r="D46" s="3663">
        <v>0</v>
      </c>
      <c r="E46" s="3663">
        <v>4.7972872522247575E-3</v>
      </c>
      <c r="F46" s="3663">
        <v>7.1448721953609406E-2</v>
      </c>
      <c r="G46" s="3663">
        <v>5.5679431355473444E-2</v>
      </c>
      <c r="H46" s="3667">
        <v>0.114173</v>
      </c>
      <c r="I46" s="3664">
        <v>23.059424754554144</v>
      </c>
      <c r="J46" s="3651"/>
      <c r="K46" s="3666"/>
    </row>
    <row r="47" spans="1:12" ht="15">
      <c r="A47" s="3651"/>
      <c r="B47" s="3662" t="s">
        <v>163</v>
      </c>
      <c r="C47" s="3663">
        <v>0.33308650244075128</v>
      </c>
      <c r="D47" s="3663">
        <v>3.7171567906928567E-4</v>
      </c>
      <c r="E47" s="3663">
        <v>2.1863335365653784E-3</v>
      </c>
      <c r="F47" s="3663">
        <v>6.6196209794473396E-2</v>
      </c>
      <c r="G47" s="3663">
        <v>3.4617148727014296E-2</v>
      </c>
      <c r="H47" s="3667">
        <v>5.0837E-2</v>
      </c>
      <c r="I47" s="3664">
        <v>24.294229395889186</v>
      </c>
      <c r="J47" s="3651"/>
    </row>
    <row r="48" spans="1:12" ht="15">
      <c r="A48" s="3651"/>
      <c r="B48" s="3662" t="s">
        <v>164</v>
      </c>
      <c r="C48" s="3663">
        <v>0.25967727916795069</v>
      </c>
      <c r="D48" s="3663">
        <v>0</v>
      </c>
      <c r="E48" s="3663">
        <v>8.3464999999999998E-3</v>
      </c>
      <c r="F48" s="3663">
        <v>0.40477981357423332</v>
      </c>
      <c r="G48" s="3663">
        <v>0.23759061512464444</v>
      </c>
      <c r="H48" s="3667">
        <v>0.14971599999999999</v>
      </c>
      <c r="I48" s="3664">
        <v>39.510765728846039</v>
      </c>
      <c r="J48" s="3651"/>
    </row>
    <row r="49" spans="1:10" ht="15">
      <c r="A49" s="3651"/>
      <c r="B49" s="3662" t="s">
        <v>165</v>
      </c>
      <c r="C49" s="3663">
        <v>0.28045628294241631</v>
      </c>
      <c r="D49" s="3663">
        <v>2.458647483699039E-4</v>
      </c>
      <c r="E49" s="3663">
        <v>1.2291090489840653E-2</v>
      </c>
      <c r="F49" s="3663">
        <v>0.14237708951690414</v>
      </c>
      <c r="G49" s="3663">
        <v>0</v>
      </c>
      <c r="H49" s="3667">
        <v>1.6999E-2</v>
      </c>
      <c r="I49" s="3664">
        <v>25.536914083061113</v>
      </c>
      <c r="J49" s="3651"/>
    </row>
    <row r="50" spans="1:10" ht="15">
      <c r="A50" s="3651"/>
      <c r="B50" s="3662" t="s">
        <v>166</v>
      </c>
      <c r="C50" s="3663">
        <v>0.28149271456383396</v>
      </c>
      <c r="D50" s="3663">
        <v>2.8862388316769528E-4</v>
      </c>
      <c r="E50" s="3663">
        <v>9.466218657239912E-3</v>
      </c>
      <c r="F50" s="3663">
        <v>0.37422736368323151</v>
      </c>
      <c r="G50" s="3663">
        <v>0</v>
      </c>
      <c r="H50" s="3667">
        <v>4.5756999999999999E-2</v>
      </c>
      <c r="I50" s="3664">
        <v>38.606469951883028</v>
      </c>
      <c r="J50" s="3651"/>
    </row>
    <row r="51" spans="1:10" ht="15">
      <c r="A51" s="3651"/>
      <c r="B51" s="3662" t="s">
        <v>167</v>
      </c>
      <c r="C51" s="3663">
        <v>0.43532856140112225</v>
      </c>
      <c r="D51" s="3663">
        <v>3.6073361038777349E-4</v>
      </c>
      <c r="E51" s="3663">
        <v>7.2923155979953041E-3</v>
      </c>
      <c r="F51" s="3663">
        <v>0.60840564937344954</v>
      </c>
      <c r="G51" s="3663">
        <v>4.7820624582050142</v>
      </c>
      <c r="H51" s="3667">
        <v>0.29397803726805644</v>
      </c>
      <c r="I51" s="3664">
        <v>66.171144899093093</v>
      </c>
      <c r="J51" s="3651"/>
    </row>
    <row r="52" spans="1:10" ht="15">
      <c r="A52" s="3651"/>
      <c r="B52" s="3662" t="s">
        <v>168</v>
      </c>
      <c r="C52" s="3663">
        <v>0.29082194246492349</v>
      </c>
      <c r="D52" s="3663">
        <v>4.5142270211515458E-3</v>
      </c>
      <c r="E52" s="3663">
        <v>1.45795E-2</v>
      </c>
      <c r="F52" s="3663">
        <v>0.48260013466576396</v>
      </c>
      <c r="G52" s="3663">
        <v>0.29634100347529357</v>
      </c>
      <c r="H52" s="3667">
        <v>0.104628</v>
      </c>
      <c r="I52" s="3664">
        <v>47.092197817099454</v>
      </c>
      <c r="J52" s="3651"/>
    </row>
    <row r="53" spans="1:10" ht="15">
      <c r="A53" s="3651"/>
      <c r="B53" s="3662" t="s">
        <v>169</v>
      </c>
      <c r="C53" s="3663">
        <v>0.47917600450530862</v>
      </c>
      <c r="D53" s="3663">
        <v>3.3799983871881311E-4</v>
      </c>
      <c r="E53" s="3663">
        <v>1.6172089550639519E-3</v>
      </c>
      <c r="F53" s="3663">
        <v>0.34979166211530394</v>
      </c>
      <c r="G53" s="3663">
        <v>0.49446264439610516</v>
      </c>
      <c r="H53" s="3667">
        <v>0.97575693799116114</v>
      </c>
      <c r="I53" s="3664">
        <v>50.103834097909754</v>
      </c>
      <c r="J53" s="3651"/>
    </row>
    <row r="54" spans="1:10" ht="15">
      <c r="A54" s="3651"/>
      <c r="B54" s="3662" t="s">
        <v>170</v>
      </c>
      <c r="C54" s="3663">
        <v>0.45935459962374509</v>
      </c>
      <c r="D54" s="3663">
        <v>0</v>
      </c>
      <c r="E54" s="3663">
        <v>5.7423581780614696E-3</v>
      </c>
      <c r="F54" s="3663">
        <v>0.37963397286465211</v>
      </c>
      <c r="G54" s="3663">
        <v>2.1659176434584171</v>
      </c>
      <c r="H54" s="3667">
        <v>4.3824000000000002E-2</v>
      </c>
      <c r="I54" s="3664">
        <v>51.295025036427326</v>
      </c>
      <c r="J54" s="3651"/>
    </row>
    <row r="55" spans="1:10" ht="15">
      <c r="A55" s="3651"/>
      <c r="B55" s="3662" t="s">
        <v>171</v>
      </c>
      <c r="C55" s="3663">
        <v>0.48454184473176004</v>
      </c>
      <c r="D55" s="3663">
        <v>1.4030228998241291E-3</v>
      </c>
      <c r="E55" s="3663">
        <v>6.6594755435702329E-3</v>
      </c>
      <c r="F55" s="3663">
        <v>0.58178269440098795</v>
      </c>
      <c r="G55" s="3663">
        <v>0.35612233164753582</v>
      </c>
      <c r="H55" s="3667">
        <v>3.61E-2</v>
      </c>
      <c r="I55" s="3664">
        <v>53.928017522967245</v>
      </c>
      <c r="J55" s="3651"/>
    </row>
    <row r="56" spans="1:10" ht="15">
      <c r="A56" s="3651"/>
      <c r="B56" s="3662" t="s">
        <v>148</v>
      </c>
      <c r="C56" s="3663">
        <v>0.62986541367788262</v>
      </c>
      <c r="D56" s="3663">
        <v>2.8251837624728548E-5</v>
      </c>
      <c r="E56" s="3663">
        <v>2.4902959997160712E-3</v>
      </c>
      <c r="F56" s="3663">
        <v>0.73073451589024141</v>
      </c>
      <c r="G56" s="3663">
        <v>4.5103449354010374</v>
      </c>
      <c r="H56" s="3667">
        <v>0</v>
      </c>
      <c r="I56" s="3664">
        <v>81.980287529268182</v>
      </c>
      <c r="J56" s="3651"/>
    </row>
    <row r="57" spans="1:10" ht="15.75">
      <c r="A57" s="3651"/>
      <c r="B57" s="3659">
        <v>2015</v>
      </c>
      <c r="C57" s="3663"/>
      <c r="D57" s="3663"/>
      <c r="E57" s="3663"/>
      <c r="F57" s="3663"/>
      <c r="G57" s="3663"/>
      <c r="H57" s="3663"/>
      <c r="I57" s="3664"/>
      <c r="J57" s="3651"/>
    </row>
    <row r="58" spans="1:10" ht="15">
      <c r="A58" s="3651"/>
      <c r="B58" s="3662" t="s">
        <v>214</v>
      </c>
      <c r="C58" s="3663">
        <v>0.4130490380096285</v>
      </c>
      <c r="D58" s="3663">
        <v>1.879765445203042E-5</v>
      </c>
      <c r="E58" s="3663">
        <v>6.5064778222587326E-3</v>
      </c>
      <c r="F58" s="3663">
        <v>0.68013222962767306</v>
      </c>
      <c r="G58" s="3663">
        <v>0.83958659553078974</v>
      </c>
      <c r="H58" s="3663">
        <v>2.4764000000000001E-2</v>
      </c>
      <c r="I58" s="3664">
        <v>61.158297050313848</v>
      </c>
      <c r="J58" s="3651"/>
    </row>
    <row r="59" spans="1:10" ht="15">
      <c r="A59" s="3651"/>
      <c r="B59" s="3662" t="s">
        <v>162</v>
      </c>
      <c r="C59" s="3663">
        <v>0.35552319590511366</v>
      </c>
      <c r="D59" s="3663">
        <v>4.3435563306073565E-4</v>
      </c>
      <c r="E59" s="3663">
        <v>6.2940607496884829E-3</v>
      </c>
      <c r="F59" s="3663">
        <v>0.45465285763699703</v>
      </c>
      <c r="G59" s="3663">
        <v>1.1798610798049838</v>
      </c>
      <c r="H59" s="3663">
        <v>7.3020000000000003E-3</v>
      </c>
      <c r="I59" s="3664">
        <v>45.69047743277487</v>
      </c>
      <c r="J59" s="3651"/>
    </row>
    <row r="60" spans="1:10" ht="15">
      <c r="A60" s="3651"/>
      <c r="B60" s="3662" t="s">
        <v>163</v>
      </c>
      <c r="C60" s="3663">
        <v>0.85607636107367702</v>
      </c>
      <c r="D60" s="3663">
        <v>1.2749404282400473E-4</v>
      </c>
      <c r="E60" s="3663">
        <v>2.7071476136635549E-3</v>
      </c>
      <c r="F60" s="3663">
        <v>0.31714754605794254</v>
      </c>
      <c r="G60" s="3663">
        <v>1.3364535369656041</v>
      </c>
      <c r="H60" s="3663">
        <v>4.6519999999999999E-3</v>
      </c>
      <c r="I60" s="3664">
        <v>70.310228575143555</v>
      </c>
      <c r="J60" s="3651"/>
    </row>
    <row r="61" spans="1:10" ht="15">
      <c r="A61" s="3651"/>
      <c r="B61" s="3662" t="s">
        <v>164</v>
      </c>
      <c r="C61" s="3663">
        <v>0.50519845573493993</v>
      </c>
      <c r="D61" s="3663">
        <v>1.2451796003523706E-4</v>
      </c>
      <c r="E61" s="3663">
        <v>1.3545918885273331E-3</v>
      </c>
      <c r="F61" s="3663">
        <v>0.54835322653025309</v>
      </c>
      <c r="G61" s="3663">
        <v>1.2447260576666253</v>
      </c>
      <c r="H61" s="3663">
        <v>5.5811110378783883E-2</v>
      </c>
      <c r="I61" s="3664">
        <v>59.737928077240518</v>
      </c>
      <c r="J61" s="3651"/>
    </row>
    <row r="62" spans="1:10" ht="15">
      <c r="A62" s="3651"/>
      <c r="B62" s="3662" t="s">
        <v>165</v>
      </c>
      <c r="C62" s="3663">
        <v>0.46723342005789736</v>
      </c>
      <c r="D62" s="3663">
        <v>6.0791551058391167E-5</v>
      </c>
      <c r="E62" s="3663">
        <v>1.4797853503715824E-2</v>
      </c>
      <c r="F62" s="3663">
        <v>0.71883852284894301</v>
      </c>
      <c r="G62" s="3663">
        <v>0.91362828024799858</v>
      </c>
      <c r="H62" s="3663">
        <v>0</v>
      </c>
      <c r="I62" s="3664">
        <v>68.053120086541995</v>
      </c>
      <c r="J62" s="3651"/>
    </row>
    <row r="63" spans="1:10" ht="15">
      <c r="A63" s="3651"/>
      <c r="B63" s="3662" t="s">
        <v>166</v>
      </c>
      <c r="C63" s="3663">
        <v>0.57075436866309082</v>
      </c>
      <c r="D63" s="3663">
        <v>1.4649999999999999E-3</v>
      </c>
      <c r="E63" s="3663">
        <v>3.5477541249424459E-3</v>
      </c>
      <c r="F63" s="3663">
        <v>0.55409103325954301</v>
      </c>
      <c r="G63" s="3663">
        <v>0.14693034896393672</v>
      </c>
      <c r="H63" s="3663">
        <v>0.94445066251707388</v>
      </c>
      <c r="I63" s="3664">
        <v>65.268503995728182</v>
      </c>
      <c r="J63" s="3651"/>
    </row>
    <row r="64" spans="1:10" ht="15">
      <c r="A64" s="3651"/>
      <c r="B64" s="3662" t="s">
        <v>167</v>
      </c>
      <c r="C64" s="3663">
        <v>0.37751438496477746</v>
      </c>
      <c r="D64" s="3663">
        <v>0</v>
      </c>
      <c r="E64" s="3663">
        <v>1.2208273310711934E-2</v>
      </c>
      <c r="F64" s="3663">
        <v>0.40657886878249</v>
      </c>
      <c r="G64" s="3663">
        <v>0.46620109689989297</v>
      </c>
      <c r="H64" s="3663">
        <v>7.0000000000000001E-3</v>
      </c>
      <c r="I64" s="3664">
        <v>44.544272029034921</v>
      </c>
      <c r="J64" s="3651"/>
    </row>
    <row r="65" spans="1:10" ht="15">
      <c r="A65" s="3651"/>
      <c r="B65" s="3662" t="s">
        <v>168</v>
      </c>
      <c r="C65" s="3663">
        <v>0.64413550881024695</v>
      </c>
      <c r="D65" s="3663">
        <v>1E-3</v>
      </c>
      <c r="E65" s="3663">
        <v>1.3560692198924655E-2</v>
      </c>
      <c r="F65" s="3663">
        <v>0.87856853203474283</v>
      </c>
      <c r="G65" s="3663">
        <v>0.26051758146611531</v>
      </c>
      <c r="H65" s="3663">
        <v>4.7951000000000001E-2</v>
      </c>
      <c r="I65" s="3664">
        <v>85.00965524971997</v>
      </c>
      <c r="J65" s="3651"/>
    </row>
    <row r="66" spans="1:10" ht="15">
      <c r="A66" s="3651"/>
      <c r="B66" s="3662" t="s">
        <v>169</v>
      </c>
      <c r="C66" s="3663">
        <v>0.70597873647882969</v>
      </c>
      <c r="D66" s="3663">
        <v>0</v>
      </c>
      <c r="E66" s="3663">
        <v>7.244800268118092E-3</v>
      </c>
      <c r="F66" s="3663">
        <v>0.57588424589425014</v>
      </c>
      <c r="G66" s="3663">
        <v>0.38172117933796335</v>
      </c>
      <c r="H66" s="3663">
        <v>2.4800534346884565E-2</v>
      </c>
      <c r="I66" s="3664">
        <v>74.584589219184167</v>
      </c>
      <c r="J66" s="3651"/>
    </row>
    <row r="67" spans="1:10" ht="15">
      <c r="A67" s="3651"/>
      <c r="B67" s="3662" t="s">
        <v>170</v>
      </c>
      <c r="C67" s="3663">
        <v>0.60704535721073061</v>
      </c>
      <c r="D67" s="3663">
        <v>8.439597295431064E-4</v>
      </c>
      <c r="E67" s="3663">
        <v>1.291022172325835E-2</v>
      </c>
      <c r="F67" s="3663">
        <v>0.83363944969461334</v>
      </c>
      <c r="G67" s="3663">
        <v>0.52703633524395033</v>
      </c>
      <c r="H67" s="3663">
        <v>4.2425528262220617E-2</v>
      </c>
      <c r="I67" s="3664">
        <v>80.182134505230565</v>
      </c>
      <c r="J67" s="3651"/>
    </row>
    <row r="68" spans="1:10" ht="15">
      <c r="A68" s="3651"/>
      <c r="B68" s="4268" t="s">
        <v>171</v>
      </c>
      <c r="C68" s="4270">
        <v>0.43957526510497807</v>
      </c>
      <c r="D68" s="3663">
        <v>4.5084875128115215E-4</v>
      </c>
      <c r="E68" s="3663">
        <v>1.3622881901271698E-3</v>
      </c>
      <c r="F68" s="3663">
        <v>1.0614768859711958</v>
      </c>
      <c r="G68" s="3663">
        <v>0.38316667763426238</v>
      </c>
      <c r="H68" s="3663">
        <v>6.7717892645815736E-2</v>
      </c>
      <c r="I68" s="3664">
        <v>79.731687226383286</v>
      </c>
      <c r="J68" s="3651"/>
    </row>
    <row r="69" spans="1:10" ht="15">
      <c r="A69" s="3651"/>
      <c r="B69" s="4268" t="s">
        <v>148</v>
      </c>
      <c r="C69" s="4270">
        <v>0.61512419888722247</v>
      </c>
      <c r="D69" s="3663">
        <v>0</v>
      </c>
      <c r="E69" s="3663">
        <v>9.2102459295710752E-3</v>
      </c>
      <c r="F69" s="3663">
        <v>1.6965332326709084</v>
      </c>
      <c r="G69" s="3663">
        <v>1.8089896158580969</v>
      </c>
      <c r="H69" s="3663">
        <v>0.15970087644580214</v>
      </c>
      <c r="I69" s="3664">
        <v>125.49258836192985</v>
      </c>
      <c r="J69" s="3651"/>
    </row>
    <row r="70" spans="1:10" ht="15">
      <c r="A70" s="3651"/>
      <c r="B70" s="4268">
        <v>2016</v>
      </c>
      <c r="C70" s="4270"/>
      <c r="D70" s="3663"/>
      <c r="E70" s="3663"/>
      <c r="F70" s="3663"/>
      <c r="G70" s="3663"/>
      <c r="H70" s="3663"/>
      <c r="I70" s="3664"/>
      <c r="J70" s="3651"/>
    </row>
    <row r="71" spans="1:10" ht="15">
      <c r="A71" s="3651"/>
      <c r="B71" s="4268" t="s">
        <v>161</v>
      </c>
      <c r="C71" s="4270">
        <v>0.72418570614531597</v>
      </c>
      <c r="D71" s="3663">
        <v>1.078779326629253E-2</v>
      </c>
      <c r="E71" s="3663">
        <v>1.4234968025567901E-2</v>
      </c>
      <c r="F71" s="3663">
        <v>1.3001212677867946</v>
      </c>
      <c r="G71" s="3663">
        <v>1.1940882255059939</v>
      </c>
      <c r="H71" s="3663">
        <v>5.6880719038652099E-2</v>
      </c>
      <c r="I71" s="3664">
        <v>113.49206352100165</v>
      </c>
      <c r="J71" s="3651"/>
    </row>
    <row r="72" spans="1:10" ht="15">
      <c r="A72" s="3651"/>
      <c r="B72" s="4371" t="s">
        <v>162</v>
      </c>
      <c r="C72" s="4269">
        <v>0.51219597823071328</v>
      </c>
      <c r="D72" s="4269">
        <v>7.6391855706750143E-4</v>
      </c>
      <c r="E72" s="4269">
        <v>2.0727944123662644E-2</v>
      </c>
      <c r="F72" s="4269">
        <v>1.8528432244441742</v>
      </c>
      <c r="G72" s="4269">
        <v>1.6639869076319613</v>
      </c>
      <c r="H72" s="4269">
        <v>0.11650177575145076</v>
      </c>
      <c r="I72" s="4372">
        <v>128.48875576215718</v>
      </c>
      <c r="J72" s="3651"/>
    </row>
    <row r="73" spans="1:10" ht="43.5" customHeight="1">
      <c r="A73" s="3651"/>
      <c r="B73" s="4813" t="s">
        <v>2047</v>
      </c>
      <c r="C73" s="4813"/>
      <c r="D73" s="4813"/>
      <c r="E73" s="4813"/>
      <c r="F73" s="4813"/>
      <c r="G73" s="4813"/>
      <c r="H73" s="4813"/>
      <c r="I73" s="4813"/>
      <c r="J73" s="3663"/>
    </row>
    <row r="74" spans="1:10" ht="15">
      <c r="A74" s="3651"/>
      <c r="B74" s="3663"/>
      <c r="C74" s="3663"/>
      <c r="D74" s="3663"/>
      <c r="E74" s="3663"/>
      <c r="F74" s="3663"/>
      <c r="G74" s="3663"/>
      <c r="H74" s="3663"/>
      <c r="I74" s="3663"/>
      <c r="J74" s="3651"/>
    </row>
    <row r="75" spans="1:10">
      <c r="B75" s="3651"/>
      <c r="C75" s="3651"/>
      <c r="D75" s="3651"/>
      <c r="E75" s="3651"/>
      <c r="F75" s="3651"/>
      <c r="G75" s="3651"/>
      <c r="H75" s="3651"/>
      <c r="I75" s="3651"/>
      <c r="J75" s="3651"/>
    </row>
    <row r="76" spans="1:10">
      <c r="A76" s="3651"/>
      <c r="B76" s="3651"/>
      <c r="C76" s="3651"/>
      <c r="D76" s="3651"/>
      <c r="E76" s="3651"/>
      <c r="F76" s="3651"/>
      <c r="G76" s="3651"/>
      <c r="H76" s="3651"/>
      <c r="I76" s="3651"/>
      <c r="J76" s="3651"/>
    </row>
    <row r="77" spans="1:10">
      <c r="A77" s="3651"/>
      <c r="B77" s="3651"/>
      <c r="C77" s="3651"/>
      <c r="D77" s="3651"/>
      <c r="E77" s="3651"/>
      <c r="F77" s="3651"/>
      <c r="G77" s="3651"/>
      <c r="H77" s="3651"/>
      <c r="I77" s="3651"/>
      <c r="J77" s="3651"/>
    </row>
  </sheetData>
  <mergeCells count="1">
    <mergeCell ref="B73:I73"/>
  </mergeCells>
  <pageMargins left="0.7"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dimension ref="A1:T49"/>
  <sheetViews>
    <sheetView zoomScale="80" zoomScaleNormal="80" workbookViewId="0">
      <pane xSplit="2" ySplit="4" topLeftCell="C17" activePane="bottomRight" state="frozen"/>
      <selection activeCell="O44" sqref="O44:AA44"/>
      <selection pane="topRight" activeCell="O44" sqref="O44:AA44"/>
      <selection pane="bottomLeft" activeCell="O44" sqref="O44:AA44"/>
      <selection pane="bottomRight" activeCell="L6" sqref="L6"/>
    </sheetView>
  </sheetViews>
  <sheetFormatPr defaultRowHeight="15"/>
  <cols>
    <col min="1" max="1" width="9.140625" style="3670"/>
    <col min="2" max="2" width="16.140625" style="3670" customWidth="1"/>
    <col min="3" max="11" width="11.140625" style="3670" customWidth="1"/>
    <col min="12" max="232" width="9.140625" style="3670"/>
    <col min="233" max="233" width="11" style="3670" customWidth="1"/>
    <col min="234" max="258" width="0" style="3670" hidden="1" customWidth="1"/>
    <col min="259" max="267" width="11.140625" style="3670" customWidth="1"/>
    <col min="268" max="488" width="9.140625" style="3670"/>
    <col min="489" max="489" width="11" style="3670" customWidth="1"/>
    <col min="490" max="514" width="0" style="3670" hidden="1" customWidth="1"/>
    <col min="515" max="523" width="11.140625" style="3670" customWidth="1"/>
    <col min="524" max="744" width="9.140625" style="3670"/>
    <col min="745" max="745" width="11" style="3670" customWidth="1"/>
    <col min="746" max="770" width="0" style="3670" hidden="1" customWidth="1"/>
    <col min="771" max="779" width="11.140625" style="3670" customWidth="1"/>
    <col min="780" max="1000" width="9.140625" style="3670"/>
    <col min="1001" max="1001" width="11" style="3670" customWidth="1"/>
    <col min="1002" max="1026" width="0" style="3670" hidden="1" customWidth="1"/>
    <col min="1027" max="1035" width="11.140625" style="3670" customWidth="1"/>
    <col min="1036" max="1256" width="9.140625" style="3670"/>
    <col min="1257" max="1257" width="11" style="3670" customWidth="1"/>
    <col min="1258" max="1282" width="0" style="3670" hidden="1" customWidth="1"/>
    <col min="1283" max="1291" width="11.140625" style="3670" customWidth="1"/>
    <col min="1292" max="1512" width="9.140625" style="3670"/>
    <col min="1513" max="1513" width="11" style="3670" customWidth="1"/>
    <col min="1514" max="1538" width="0" style="3670" hidden="1" customWidth="1"/>
    <col min="1539" max="1547" width="11.140625" style="3670" customWidth="1"/>
    <col min="1548" max="1768" width="9.140625" style="3670"/>
    <col min="1769" max="1769" width="11" style="3670" customWidth="1"/>
    <col min="1770" max="1794" width="0" style="3670" hidden="1" customWidth="1"/>
    <col min="1795" max="1803" width="11.140625" style="3670" customWidth="1"/>
    <col min="1804" max="2024" width="9.140625" style="3670"/>
    <col min="2025" max="2025" width="11" style="3670" customWidth="1"/>
    <col min="2026" max="2050" width="0" style="3670" hidden="1" customWidth="1"/>
    <col min="2051" max="2059" width="11.140625" style="3670" customWidth="1"/>
    <col min="2060" max="2280" width="9.140625" style="3670"/>
    <col min="2281" max="2281" width="11" style="3670" customWidth="1"/>
    <col min="2282" max="2306" width="0" style="3670" hidden="1" customWidth="1"/>
    <col min="2307" max="2315" width="11.140625" style="3670" customWidth="1"/>
    <col min="2316" max="2536" width="9.140625" style="3670"/>
    <col min="2537" max="2537" width="11" style="3670" customWidth="1"/>
    <col min="2538" max="2562" width="0" style="3670" hidden="1" customWidth="1"/>
    <col min="2563" max="2571" width="11.140625" style="3670" customWidth="1"/>
    <col min="2572" max="2792" width="9.140625" style="3670"/>
    <col min="2793" max="2793" width="11" style="3670" customWidth="1"/>
    <col min="2794" max="2818" width="0" style="3670" hidden="1" customWidth="1"/>
    <col min="2819" max="2827" width="11.140625" style="3670" customWidth="1"/>
    <col min="2828" max="3048" width="9.140625" style="3670"/>
    <col min="3049" max="3049" width="11" style="3670" customWidth="1"/>
    <col min="3050" max="3074" width="0" style="3670" hidden="1" customWidth="1"/>
    <col min="3075" max="3083" width="11.140625" style="3670" customWidth="1"/>
    <col min="3084" max="3304" width="9.140625" style="3670"/>
    <col min="3305" max="3305" width="11" style="3670" customWidth="1"/>
    <col min="3306" max="3330" width="0" style="3670" hidden="1" customWidth="1"/>
    <col min="3331" max="3339" width="11.140625" style="3670" customWidth="1"/>
    <col min="3340" max="3560" width="9.140625" style="3670"/>
    <col min="3561" max="3561" width="11" style="3670" customWidth="1"/>
    <col min="3562" max="3586" width="0" style="3670" hidden="1" customWidth="1"/>
    <col min="3587" max="3595" width="11.140625" style="3670" customWidth="1"/>
    <col min="3596" max="3816" width="9.140625" style="3670"/>
    <col min="3817" max="3817" width="11" style="3670" customWidth="1"/>
    <col min="3818" max="3842" width="0" style="3670" hidden="1" customWidth="1"/>
    <col min="3843" max="3851" width="11.140625" style="3670" customWidth="1"/>
    <col min="3852" max="4072" width="9.140625" style="3670"/>
    <col min="4073" max="4073" width="11" style="3670" customWidth="1"/>
    <col min="4074" max="4098" width="0" style="3670" hidden="1" customWidth="1"/>
    <col min="4099" max="4107" width="11.140625" style="3670" customWidth="1"/>
    <col min="4108" max="4328" width="9.140625" style="3670"/>
    <col min="4329" max="4329" width="11" style="3670" customWidth="1"/>
    <col min="4330" max="4354" width="0" style="3670" hidden="1" customWidth="1"/>
    <col min="4355" max="4363" width="11.140625" style="3670" customWidth="1"/>
    <col min="4364" max="4584" width="9.140625" style="3670"/>
    <col min="4585" max="4585" width="11" style="3670" customWidth="1"/>
    <col min="4586" max="4610" width="0" style="3670" hidden="1" customWidth="1"/>
    <col min="4611" max="4619" width="11.140625" style="3670" customWidth="1"/>
    <col min="4620" max="4840" width="9.140625" style="3670"/>
    <col min="4841" max="4841" width="11" style="3670" customWidth="1"/>
    <col min="4842" max="4866" width="0" style="3670" hidden="1" customWidth="1"/>
    <col min="4867" max="4875" width="11.140625" style="3670" customWidth="1"/>
    <col min="4876" max="5096" width="9.140625" style="3670"/>
    <col min="5097" max="5097" width="11" style="3670" customWidth="1"/>
    <col min="5098" max="5122" width="0" style="3670" hidden="1" customWidth="1"/>
    <col min="5123" max="5131" width="11.140625" style="3670" customWidth="1"/>
    <col min="5132" max="5352" width="9.140625" style="3670"/>
    <col min="5353" max="5353" width="11" style="3670" customWidth="1"/>
    <col min="5354" max="5378" width="0" style="3670" hidden="1" customWidth="1"/>
    <col min="5379" max="5387" width="11.140625" style="3670" customWidth="1"/>
    <col min="5388" max="5608" width="9.140625" style="3670"/>
    <col min="5609" max="5609" width="11" style="3670" customWidth="1"/>
    <col min="5610" max="5634" width="0" style="3670" hidden="1" customWidth="1"/>
    <col min="5635" max="5643" width="11.140625" style="3670" customWidth="1"/>
    <col min="5644" max="5864" width="9.140625" style="3670"/>
    <col min="5865" max="5865" width="11" style="3670" customWidth="1"/>
    <col min="5866" max="5890" width="0" style="3670" hidden="1" customWidth="1"/>
    <col min="5891" max="5899" width="11.140625" style="3670" customWidth="1"/>
    <col min="5900" max="6120" width="9.140625" style="3670"/>
    <col min="6121" max="6121" width="11" style="3670" customWidth="1"/>
    <col min="6122" max="6146" width="0" style="3670" hidden="1" customWidth="1"/>
    <col min="6147" max="6155" width="11.140625" style="3670" customWidth="1"/>
    <col min="6156" max="6376" width="9.140625" style="3670"/>
    <col min="6377" max="6377" width="11" style="3670" customWidth="1"/>
    <col min="6378" max="6402" width="0" style="3670" hidden="1" customWidth="1"/>
    <col min="6403" max="6411" width="11.140625" style="3670" customWidth="1"/>
    <col min="6412" max="6632" width="9.140625" style="3670"/>
    <col min="6633" max="6633" width="11" style="3670" customWidth="1"/>
    <col min="6634" max="6658" width="0" style="3670" hidden="1" customWidth="1"/>
    <col min="6659" max="6667" width="11.140625" style="3670" customWidth="1"/>
    <col min="6668" max="6888" width="9.140625" style="3670"/>
    <col min="6889" max="6889" width="11" style="3670" customWidth="1"/>
    <col min="6890" max="6914" width="0" style="3670" hidden="1" customWidth="1"/>
    <col min="6915" max="6923" width="11.140625" style="3670" customWidth="1"/>
    <col min="6924" max="7144" width="9.140625" style="3670"/>
    <col min="7145" max="7145" width="11" style="3670" customWidth="1"/>
    <col min="7146" max="7170" width="0" style="3670" hidden="1" customWidth="1"/>
    <col min="7171" max="7179" width="11.140625" style="3670" customWidth="1"/>
    <col min="7180" max="7400" width="9.140625" style="3670"/>
    <col min="7401" max="7401" width="11" style="3670" customWidth="1"/>
    <col min="7402" max="7426" width="0" style="3670" hidden="1" customWidth="1"/>
    <col min="7427" max="7435" width="11.140625" style="3670" customWidth="1"/>
    <col min="7436" max="7656" width="9.140625" style="3670"/>
    <col min="7657" max="7657" width="11" style="3670" customWidth="1"/>
    <col min="7658" max="7682" width="0" style="3670" hidden="1" customWidth="1"/>
    <col min="7683" max="7691" width="11.140625" style="3670" customWidth="1"/>
    <col min="7692" max="7912" width="9.140625" style="3670"/>
    <col min="7913" max="7913" width="11" style="3670" customWidth="1"/>
    <col min="7914" max="7938" width="0" style="3670" hidden="1" customWidth="1"/>
    <col min="7939" max="7947" width="11.140625" style="3670" customWidth="1"/>
    <col min="7948" max="8168" width="9.140625" style="3670"/>
    <col min="8169" max="8169" width="11" style="3670" customWidth="1"/>
    <col min="8170" max="8194" width="0" style="3670" hidden="1" customWidth="1"/>
    <col min="8195" max="8203" width="11.140625" style="3670" customWidth="1"/>
    <col min="8204" max="8424" width="9.140625" style="3670"/>
    <col min="8425" max="8425" width="11" style="3670" customWidth="1"/>
    <col min="8426" max="8450" width="0" style="3670" hidden="1" customWidth="1"/>
    <col min="8451" max="8459" width="11.140625" style="3670" customWidth="1"/>
    <col min="8460" max="8680" width="9.140625" style="3670"/>
    <col min="8681" max="8681" width="11" style="3670" customWidth="1"/>
    <col min="8682" max="8706" width="0" style="3670" hidden="1" customWidth="1"/>
    <col min="8707" max="8715" width="11.140625" style="3670" customWidth="1"/>
    <col min="8716" max="8936" width="9.140625" style="3670"/>
    <col min="8937" max="8937" width="11" style="3670" customWidth="1"/>
    <col min="8938" max="8962" width="0" style="3670" hidden="1" customWidth="1"/>
    <col min="8963" max="8971" width="11.140625" style="3670" customWidth="1"/>
    <col min="8972" max="9192" width="9.140625" style="3670"/>
    <col min="9193" max="9193" width="11" style="3670" customWidth="1"/>
    <col min="9194" max="9218" width="0" style="3670" hidden="1" customWidth="1"/>
    <col min="9219" max="9227" width="11.140625" style="3670" customWidth="1"/>
    <col min="9228" max="9448" width="9.140625" style="3670"/>
    <col min="9449" max="9449" width="11" style="3670" customWidth="1"/>
    <col min="9450" max="9474" width="0" style="3670" hidden="1" customWidth="1"/>
    <col min="9475" max="9483" width="11.140625" style="3670" customWidth="1"/>
    <col min="9484" max="9704" width="9.140625" style="3670"/>
    <col min="9705" max="9705" width="11" style="3670" customWidth="1"/>
    <col min="9706" max="9730" width="0" style="3670" hidden="1" customWidth="1"/>
    <col min="9731" max="9739" width="11.140625" style="3670" customWidth="1"/>
    <col min="9740" max="9960" width="9.140625" style="3670"/>
    <col min="9961" max="9961" width="11" style="3670" customWidth="1"/>
    <col min="9962" max="9986" width="0" style="3670" hidden="1" customWidth="1"/>
    <col min="9987" max="9995" width="11.140625" style="3670" customWidth="1"/>
    <col min="9996" max="10216" width="9.140625" style="3670"/>
    <col min="10217" max="10217" width="11" style="3670" customWidth="1"/>
    <col min="10218" max="10242" width="0" style="3670" hidden="1" customWidth="1"/>
    <col min="10243" max="10251" width="11.140625" style="3670" customWidth="1"/>
    <col min="10252" max="10472" width="9.140625" style="3670"/>
    <col min="10473" max="10473" width="11" style="3670" customWidth="1"/>
    <col min="10474" max="10498" width="0" style="3670" hidden="1" customWidth="1"/>
    <col min="10499" max="10507" width="11.140625" style="3670" customWidth="1"/>
    <col min="10508" max="10728" width="9.140625" style="3670"/>
    <col min="10729" max="10729" width="11" style="3670" customWidth="1"/>
    <col min="10730" max="10754" width="0" style="3670" hidden="1" customWidth="1"/>
    <col min="10755" max="10763" width="11.140625" style="3670" customWidth="1"/>
    <col min="10764" max="10984" width="9.140625" style="3670"/>
    <col min="10985" max="10985" width="11" style="3670" customWidth="1"/>
    <col min="10986" max="11010" width="0" style="3670" hidden="1" customWidth="1"/>
    <col min="11011" max="11019" width="11.140625" style="3670" customWidth="1"/>
    <col min="11020" max="11240" width="9.140625" style="3670"/>
    <col min="11241" max="11241" width="11" style="3670" customWidth="1"/>
    <col min="11242" max="11266" width="0" style="3670" hidden="1" customWidth="1"/>
    <col min="11267" max="11275" width="11.140625" style="3670" customWidth="1"/>
    <col min="11276" max="11496" width="9.140625" style="3670"/>
    <col min="11497" max="11497" width="11" style="3670" customWidth="1"/>
    <col min="11498" max="11522" width="0" style="3670" hidden="1" customWidth="1"/>
    <col min="11523" max="11531" width="11.140625" style="3670" customWidth="1"/>
    <col min="11532" max="11752" width="9.140625" style="3670"/>
    <col min="11753" max="11753" width="11" style="3670" customWidth="1"/>
    <col min="11754" max="11778" width="0" style="3670" hidden="1" customWidth="1"/>
    <col min="11779" max="11787" width="11.140625" style="3670" customWidth="1"/>
    <col min="11788" max="12008" width="9.140625" style="3670"/>
    <col min="12009" max="12009" width="11" style="3670" customWidth="1"/>
    <col min="12010" max="12034" width="0" style="3670" hidden="1" customWidth="1"/>
    <col min="12035" max="12043" width="11.140625" style="3670" customWidth="1"/>
    <col min="12044" max="12264" width="9.140625" style="3670"/>
    <col min="12265" max="12265" width="11" style="3670" customWidth="1"/>
    <col min="12266" max="12290" width="0" style="3670" hidden="1" customWidth="1"/>
    <col min="12291" max="12299" width="11.140625" style="3670" customWidth="1"/>
    <col min="12300" max="12520" width="9.140625" style="3670"/>
    <col min="12521" max="12521" width="11" style="3670" customWidth="1"/>
    <col min="12522" max="12546" width="0" style="3670" hidden="1" customWidth="1"/>
    <col min="12547" max="12555" width="11.140625" style="3670" customWidth="1"/>
    <col min="12556" max="12776" width="9.140625" style="3670"/>
    <col min="12777" max="12777" width="11" style="3670" customWidth="1"/>
    <col min="12778" max="12802" width="0" style="3670" hidden="1" customWidth="1"/>
    <col min="12803" max="12811" width="11.140625" style="3670" customWidth="1"/>
    <col min="12812" max="13032" width="9.140625" style="3670"/>
    <col min="13033" max="13033" width="11" style="3670" customWidth="1"/>
    <col min="13034" max="13058" width="0" style="3670" hidden="1" customWidth="1"/>
    <col min="13059" max="13067" width="11.140625" style="3670" customWidth="1"/>
    <col min="13068" max="13288" width="9.140625" style="3670"/>
    <col min="13289" max="13289" width="11" style="3670" customWidth="1"/>
    <col min="13290" max="13314" width="0" style="3670" hidden="1" customWidth="1"/>
    <col min="13315" max="13323" width="11.140625" style="3670" customWidth="1"/>
    <col min="13324" max="13544" width="9.140625" style="3670"/>
    <col min="13545" max="13545" width="11" style="3670" customWidth="1"/>
    <col min="13546" max="13570" width="0" style="3670" hidden="1" customWidth="1"/>
    <col min="13571" max="13579" width="11.140625" style="3670" customWidth="1"/>
    <col min="13580" max="13800" width="9.140625" style="3670"/>
    <col min="13801" max="13801" width="11" style="3670" customWidth="1"/>
    <col min="13802" max="13826" width="0" style="3670" hidden="1" customWidth="1"/>
    <col min="13827" max="13835" width="11.140625" style="3670" customWidth="1"/>
    <col min="13836" max="14056" width="9.140625" style="3670"/>
    <col min="14057" max="14057" width="11" style="3670" customWidth="1"/>
    <col min="14058" max="14082" width="0" style="3670" hidden="1" customWidth="1"/>
    <col min="14083" max="14091" width="11.140625" style="3670" customWidth="1"/>
    <col min="14092" max="14312" width="9.140625" style="3670"/>
    <col min="14313" max="14313" width="11" style="3670" customWidth="1"/>
    <col min="14314" max="14338" width="0" style="3670" hidden="1" customWidth="1"/>
    <col min="14339" max="14347" width="11.140625" style="3670" customWidth="1"/>
    <col min="14348" max="14568" width="9.140625" style="3670"/>
    <col min="14569" max="14569" width="11" style="3670" customWidth="1"/>
    <col min="14570" max="14594" width="0" style="3670" hidden="1" customWidth="1"/>
    <col min="14595" max="14603" width="11.140625" style="3670" customWidth="1"/>
    <col min="14604" max="14824" width="9.140625" style="3670"/>
    <col min="14825" max="14825" width="11" style="3670" customWidth="1"/>
    <col min="14826" max="14850" width="0" style="3670" hidden="1" customWidth="1"/>
    <col min="14851" max="14859" width="11.140625" style="3670" customWidth="1"/>
    <col min="14860" max="15080" width="9.140625" style="3670"/>
    <col min="15081" max="15081" width="11" style="3670" customWidth="1"/>
    <col min="15082" max="15106" width="0" style="3670" hidden="1" customWidth="1"/>
    <col min="15107" max="15115" width="11.140625" style="3670" customWidth="1"/>
    <col min="15116" max="15336" width="9.140625" style="3670"/>
    <col min="15337" max="15337" width="11" style="3670" customWidth="1"/>
    <col min="15338" max="15362" width="0" style="3670" hidden="1" customWidth="1"/>
    <col min="15363" max="15371" width="11.140625" style="3670" customWidth="1"/>
    <col min="15372" max="15592" width="9.140625" style="3670"/>
    <col min="15593" max="15593" width="11" style="3670" customWidth="1"/>
    <col min="15594" max="15618" width="0" style="3670" hidden="1" customWidth="1"/>
    <col min="15619" max="15627" width="11.140625" style="3670" customWidth="1"/>
    <col min="15628" max="15848" width="9.140625" style="3670"/>
    <col min="15849" max="15849" width="11" style="3670" customWidth="1"/>
    <col min="15850" max="15874" width="0" style="3670" hidden="1" customWidth="1"/>
    <col min="15875" max="15883" width="11.140625" style="3670" customWidth="1"/>
    <col min="15884" max="16104" width="9.140625" style="3670"/>
    <col min="16105" max="16105" width="11" style="3670" customWidth="1"/>
    <col min="16106" max="16130" width="0" style="3670" hidden="1" customWidth="1"/>
    <col min="16131" max="16139" width="11.140625" style="3670" customWidth="1"/>
    <col min="16140" max="16384" width="9.140625" style="3670"/>
  </cols>
  <sheetData>
    <row r="1" spans="1:20" ht="18">
      <c r="A1" s="3669"/>
      <c r="B1" s="3964" t="s">
        <v>2039</v>
      </c>
      <c r="C1" s="3820"/>
      <c r="D1" s="3820"/>
      <c r="E1" s="3820"/>
      <c r="F1" s="3820"/>
      <c r="G1" s="3820"/>
      <c r="H1" s="3820"/>
      <c r="I1" s="3820"/>
      <c r="J1" s="3669"/>
      <c r="K1" s="3669"/>
      <c r="L1" s="3669"/>
      <c r="M1" s="3669"/>
      <c r="N1" s="3669"/>
      <c r="O1" s="3669"/>
      <c r="P1" s="3669"/>
      <c r="Q1" s="3669"/>
      <c r="R1" s="3669"/>
      <c r="S1" s="3669"/>
      <c r="T1" s="3669"/>
    </row>
    <row r="2" spans="1:20" ht="15.75">
      <c r="A2" s="3669"/>
      <c r="B2" s="3820"/>
      <c r="C2" s="3820"/>
      <c r="D2" s="3820"/>
      <c r="E2" s="3820"/>
      <c r="F2" s="3820"/>
      <c r="G2" s="3820"/>
      <c r="H2" s="3820"/>
      <c r="I2" s="3820"/>
      <c r="J2" s="3669"/>
      <c r="K2" s="3669"/>
      <c r="L2" s="3669"/>
      <c r="M2" s="3669"/>
      <c r="N2" s="3669"/>
      <c r="O2" s="3669"/>
      <c r="P2" s="3669"/>
      <c r="Q2" s="3669"/>
      <c r="R2" s="3669"/>
      <c r="S2" s="3669"/>
      <c r="T2" s="3669"/>
    </row>
    <row r="3" spans="1:20" ht="15.75">
      <c r="A3" s="3669"/>
      <c r="B3" s="3671" t="s">
        <v>1915</v>
      </c>
      <c r="C3" s="3672"/>
      <c r="D3" s="3672"/>
      <c r="E3" s="3673"/>
      <c r="F3" s="3673"/>
      <c r="G3" s="3673"/>
      <c r="H3" s="3673"/>
      <c r="I3" s="3673"/>
      <c r="J3" s="3669"/>
      <c r="K3" s="3669"/>
      <c r="L3" s="3669"/>
      <c r="M3" s="3669"/>
      <c r="N3" s="3669"/>
      <c r="O3" s="3669"/>
      <c r="P3" s="3669"/>
      <c r="Q3" s="3669"/>
      <c r="R3" s="3669"/>
      <c r="S3" s="3669"/>
      <c r="T3" s="3669"/>
    </row>
    <row r="4" spans="1:20" ht="29.25" customHeight="1">
      <c r="A4" s="3669"/>
      <c r="B4" s="4042" t="s">
        <v>140</v>
      </c>
      <c r="C4" s="3674">
        <v>2007</v>
      </c>
      <c r="D4" s="3674">
        <v>2008</v>
      </c>
      <c r="E4" s="3674">
        <v>2009</v>
      </c>
      <c r="F4" s="3674">
        <v>2010</v>
      </c>
      <c r="G4" s="3674">
        <v>2011</v>
      </c>
      <c r="H4" s="3674">
        <v>2012</v>
      </c>
      <c r="I4" s="3674">
        <v>2013</v>
      </c>
      <c r="J4" s="3674">
        <v>2014</v>
      </c>
      <c r="K4" s="4259">
        <v>2015</v>
      </c>
      <c r="L4" s="4381">
        <v>2016</v>
      </c>
      <c r="M4" s="3669"/>
      <c r="N4" s="3669"/>
      <c r="O4" s="3669"/>
      <c r="P4" s="3669"/>
      <c r="Q4" s="3669"/>
      <c r="R4" s="3669"/>
      <c r="S4" s="3669"/>
      <c r="T4" s="3669"/>
    </row>
    <row r="5" spans="1:20" ht="18" customHeight="1">
      <c r="A5" s="3669"/>
      <c r="B5" s="3675" t="s">
        <v>161</v>
      </c>
      <c r="C5" s="3676">
        <v>44.332500000000003</v>
      </c>
      <c r="D5" s="3677">
        <v>39.374000000000002</v>
      </c>
      <c r="E5" s="3677">
        <v>48.834000000000003</v>
      </c>
      <c r="F5" s="3677">
        <v>45.959800000000001</v>
      </c>
      <c r="G5" s="3677">
        <v>45.394500000000001</v>
      </c>
      <c r="H5" s="3677">
        <v>51.345999999999997</v>
      </c>
      <c r="I5" s="3677">
        <v>54.313199999999995</v>
      </c>
      <c r="J5" s="3677">
        <v>62.076000000000001</v>
      </c>
      <c r="K5" s="4260">
        <v>62.135355555555549</v>
      </c>
      <c r="L5" s="4380">
        <v>67.293366666666671</v>
      </c>
      <c r="N5" s="3669"/>
      <c r="O5" s="3669"/>
      <c r="P5" s="3669"/>
      <c r="Q5" s="3669"/>
      <c r="R5" s="3669"/>
      <c r="S5" s="3669"/>
      <c r="T5" s="3669"/>
    </row>
    <row r="6" spans="1:20" ht="18" customHeight="1">
      <c r="A6" s="3669"/>
      <c r="B6" s="3678" t="s">
        <v>162</v>
      </c>
      <c r="C6" s="3676">
        <v>44.158299999999997</v>
      </c>
      <c r="D6" s="3677">
        <v>39.732599999999998</v>
      </c>
      <c r="E6" s="3677">
        <v>49.261099999999999</v>
      </c>
      <c r="F6" s="3677">
        <v>46.3279</v>
      </c>
      <c r="G6" s="3677">
        <v>45.436799999999998</v>
      </c>
      <c r="H6" s="3677">
        <v>49.164000000000001</v>
      </c>
      <c r="I6" s="3677">
        <v>53.745061111111127</v>
      </c>
      <c r="J6" s="3677">
        <v>62.253999999999998</v>
      </c>
      <c r="K6" s="4260">
        <v>62.027923529411765</v>
      </c>
      <c r="L6" s="4379">
        <v>68.243078947368417</v>
      </c>
      <c r="M6" s="3669"/>
      <c r="N6" s="3669"/>
      <c r="O6" s="3669"/>
      <c r="P6" s="3669"/>
      <c r="Q6" s="3669"/>
      <c r="R6" s="3669"/>
      <c r="S6" s="3669"/>
      <c r="T6" s="3669"/>
    </row>
    <row r="7" spans="1:20" ht="18" customHeight="1">
      <c r="A7" s="3669"/>
      <c r="B7" s="3678" t="s">
        <v>163</v>
      </c>
      <c r="C7" s="3676">
        <v>44.026000000000003</v>
      </c>
      <c r="D7" s="3677">
        <v>40.356099999999998</v>
      </c>
      <c r="E7" s="3677">
        <v>51.228700000000003</v>
      </c>
      <c r="F7" s="3677">
        <v>45.496499999999997</v>
      </c>
      <c r="G7" s="3677">
        <v>44.9895</v>
      </c>
      <c r="H7" s="3677">
        <v>50.323</v>
      </c>
      <c r="I7" s="3677">
        <v>54.387844444444454</v>
      </c>
      <c r="J7" s="3677">
        <v>61.014000000000003</v>
      </c>
      <c r="K7" s="4260">
        <v>62.449838095238093</v>
      </c>
      <c r="L7" s="3662"/>
      <c r="M7" s="3669"/>
      <c r="N7" s="3669"/>
      <c r="O7" s="3669"/>
      <c r="P7" s="3669"/>
      <c r="Q7" s="3669"/>
      <c r="R7" s="3669"/>
      <c r="S7" s="3669"/>
      <c r="T7" s="3669"/>
    </row>
    <row r="8" spans="1:20" ht="18" customHeight="1">
      <c r="A8" s="3669"/>
      <c r="B8" s="3678" t="s">
        <v>164</v>
      </c>
      <c r="C8" s="3676">
        <v>42.148200000000003</v>
      </c>
      <c r="D8" s="3677">
        <v>40.021999999999998</v>
      </c>
      <c r="E8" s="3677">
        <v>50.061900000000001</v>
      </c>
      <c r="F8" s="3677">
        <v>44.499499999999998</v>
      </c>
      <c r="G8" s="3677">
        <v>44.368099999999998</v>
      </c>
      <c r="H8" s="3677">
        <v>51.802999999999997</v>
      </c>
      <c r="I8" s="3677">
        <v>54.375705555555562</v>
      </c>
      <c r="J8" s="3677">
        <v>60.356999999999999</v>
      </c>
      <c r="K8" s="4260">
        <v>62.753161111111112</v>
      </c>
      <c r="L8" s="3662"/>
      <c r="M8" s="3669"/>
      <c r="N8" s="3669"/>
      <c r="O8" s="3669"/>
      <c r="P8" s="3669"/>
      <c r="Q8" s="3669"/>
      <c r="R8" s="3669"/>
      <c r="S8" s="3669"/>
      <c r="T8" s="3669"/>
    </row>
    <row r="9" spans="1:20" ht="18" customHeight="1">
      <c r="A9" s="3669"/>
      <c r="B9" s="3678" t="s">
        <v>165</v>
      </c>
      <c r="C9" s="3676">
        <v>40.781399999999998</v>
      </c>
      <c r="D9" s="3677">
        <v>42.125</v>
      </c>
      <c r="E9" s="3677">
        <v>48.533999999999999</v>
      </c>
      <c r="F9" s="3677">
        <v>45.811500000000002</v>
      </c>
      <c r="G9" s="3677">
        <v>44.904800000000002</v>
      </c>
      <c r="H9" s="3677">
        <v>54.473999999999997</v>
      </c>
      <c r="I9" s="3677">
        <v>55.033349999999999</v>
      </c>
      <c r="J9" s="3677">
        <v>59.305</v>
      </c>
      <c r="K9" s="4260">
        <v>63.810188888888902</v>
      </c>
      <c r="L9" s="3662"/>
      <c r="M9" s="3669"/>
      <c r="N9" s="3669"/>
      <c r="O9" s="3669"/>
      <c r="P9" s="3669"/>
      <c r="Q9" s="3669"/>
      <c r="R9" s="3669"/>
      <c r="S9" s="3669"/>
      <c r="T9" s="3669"/>
    </row>
    <row r="10" spans="1:20" ht="18" customHeight="1">
      <c r="A10" s="3669"/>
      <c r="B10" s="3678" t="s">
        <v>166</v>
      </c>
      <c r="C10" s="3676">
        <v>40.773600000000002</v>
      </c>
      <c r="D10" s="3677">
        <v>42.82</v>
      </c>
      <c r="E10" s="3677">
        <v>47.7714</v>
      </c>
      <c r="F10" s="3677">
        <v>46.564500000000002</v>
      </c>
      <c r="G10" s="3677">
        <v>44.851799999999997</v>
      </c>
      <c r="H10" s="3677">
        <v>56.030000000000008</v>
      </c>
      <c r="I10" s="3677">
        <v>58.328573684210525</v>
      </c>
      <c r="J10" s="3677">
        <v>59.730700000000006</v>
      </c>
      <c r="K10" s="4260">
        <v>63.86073636363637</v>
      </c>
      <c r="L10" s="3662"/>
      <c r="M10" s="3669"/>
      <c r="N10" s="3669"/>
      <c r="O10" s="3669"/>
      <c r="P10" s="3669"/>
      <c r="Q10" s="3669"/>
      <c r="R10" s="3669"/>
      <c r="S10" s="3669"/>
      <c r="T10" s="3669"/>
    </row>
    <row r="11" spans="1:20" ht="18" customHeight="1">
      <c r="A11" s="3669"/>
      <c r="B11" s="3678" t="s">
        <v>167</v>
      </c>
      <c r="C11" s="3676">
        <v>40.413899999999998</v>
      </c>
      <c r="D11" s="3677">
        <v>42.838000000000001</v>
      </c>
      <c r="E11" s="3677">
        <v>48.478299999999997</v>
      </c>
      <c r="F11" s="3677">
        <v>46.836399999999998</v>
      </c>
      <c r="G11" s="3677">
        <v>44.415930000000003</v>
      </c>
      <c r="H11" s="3677">
        <v>55.494999999999997</v>
      </c>
      <c r="I11" s="3677">
        <v>59.779426315789486</v>
      </c>
      <c r="J11" s="3677">
        <v>60.058999999999997</v>
      </c>
      <c r="K11" s="4260">
        <v>63.645827272727267</v>
      </c>
      <c r="L11" s="3662"/>
      <c r="M11" s="3669"/>
      <c r="N11" s="3669"/>
      <c r="O11" s="3669"/>
      <c r="P11" s="3669"/>
      <c r="Q11" s="3669"/>
      <c r="R11" s="3669"/>
      <c r="S11" s="3669"/>
      <c r="T11" s="3669"/>
    </row>
    <row r="12" spans="1:20" ht="18" customHeight="1">
      <c r="A12" s="3669"/>
      <c r="B12" s="3675" t="s">
        <v>168</v>
      </c>
      <c r="C12" s="3676">
        <v>40.820999999999998</v>
      </c>
      <c r="D12" s="3677">
        <v>42.936999999999998</v>
      </c>
      <c r="E12" s="3677">
        <v>48.335000000000001</v>
      </c>
      <c r="F12" s="3677">
        <v>46.567100000000003</v>
      </c>
      <c r="G12" s="3677">
        <v>45.278529999999996</v>
      </c>
      <c r="H12" s="3677">
        <v>55.56</v>
      </c>
      <c r="I12" s="3677">
        <v>63.208844999999997</v>
      </c>
      <c r="J12" s="3677">
        <v>60.895172222222236</v>
      </c>
      <c r="K12" s="4260">
        <v>65.072330000000008</v>
      </c>
      <c r="L12" s="3662"/>
      <c r="M12" s="3669"/>
      <c r="N12" s="3669"/>
      <c r="O12" s="3669"/>
      <c r="P12" s="3669"/>
      <c r="Q12" s="3669"/>
      <c r="R12" s="3669"/>
      <c r="S12" s="3669"/>
      <c r="T12" s="3669"/>
    </row>
    <row r="13" spans="1:20" ht="18" customHeight="1">
      <c r="A13" s="3669"/>
      <c r="B13" s="3675" t="s">
        <v>169</v>
      </c>
      <c r="C13" s="3676">
        <v>40.340000000000003</v>
      </c>
      <c r="D13" s="3677">
        <v>45.564</v>
      </c>
      <c r="E13" s="3677">
        <v>48.438899999999997</v>
      </c>
      <c r="F13" s="3677">
        <v>46.058999999999997</v>
      </c>
      <c r="G13" s="3677">
        <v>47.638009999999994</v>
      </c>
      <c r="H13" s="3677">
        <v>54.606000000000002</v>
      </c>
      <c r="I13" s="3677">
        <v>63.641157894736843</v>
      </c>
      <c r="J13" s="3677">
        <v>60.883561904761912</v>
      </c>
      <c r="K13" s="4260">
        <v>66.190089473684225</v>
      </c>
      <c r="L13" s="3662"/>
      <c r="M13" s="3669"/>
      <c r="N13" s="3669"/>
      <c r="O13" s="3669"/>
      <c r="P13" s="3669"/>
      <c r="Q13" s="3669"/>
      <c r="R13" s="3669"/>
      <c r="S13" s="3669"/>
      <c r="T13" s="3669"/>
    </row>
    <row r="14" spans="1:20" ht="18" customHeight="1">
      <c r="A14" s="3669"/>
      <c r="B14" s="3675" t="s">
        <v>170</v>
      </c>
      <c r="C14" s="3676">
        <v>39.511000000000003</v>
      </c>
      <c r="D14" s="3677">
        <v>48.655500000000004</v>
      </c>
      <c r="E14" s="3677">
        <v>46.7211</v>
      </c>
      <c r="F14" s="3677">
        <v>44.411900000000003</v>
      </c>
      <c r="G14" s="3677">
        <v>49.256900000000002</v>
      </c>
      <c r="H14" s="3677">
        <v>53.024000000000001</v>
      </c>
      <c r="I14" s="3677">
        <v>61.631155</v>
      </c>
      <c r="J14" s="3677">
        <v>61.348025</v>
      </c>
      <c r="K14" s="4260">
        <v>65.07547894736841</v>
      </c>
      <c r="L14" s="3662"/>
      <c r="M14" s="3669"/>
      <c r="N14" s="3669"/>
      <c r="O14" s="3669"/>
      <c r="P14" s="3669"/>
      <c r="Q14" s="3669"/>
      <c r="R14" s="3669"/>
      <c r="S14" s="3669"/>
      <c r="T14" s="3669"/>
    </row>
    <row r="15" spans="1:20" ht="18" customHeight="1">
      <c r="A15" s="3669"/>
      <c r="B15" s="3675" t="s">
        <v>171</v>
      </c>
      <c r="C15" s="3676">
        <v>39.436</v>
      </c>
      <c r="D15" s="3677">
        <v>49.003300000000003</v>
      </c>
      <c r="E15" s="3677">
        <v>46.569000000000003</v>
      </c>
      <c r="F15" s="3677">
        <v>45.016500000000001</v>
      </c>
      <c r="G15" s="3677">
        <v>50.843319999999999</v>
      </c>
      <c r="H15" s="3677">
        <v>54.776000000000003</v>
      </c>
      <c r="I15" s="3677">
        <v>62.708574999999989</v>
      </c>
      <c r="J15" s="3677">
        <v>61.677287499999991</v>
      </c>
      <c r="K15" s="4260">
        <v>66.050418750000006</v>
      </c>
      <c r="L15" s="3662"/>
      <c r="M15" s="3669"/>
      <c r="N15" s="3669"/>
      <c r="O15" s="3669"/>
      <c r="P15" s="3669"/>
      <c r="Q15" s="3669"/>
      <c r="R15" s="3669"/>
      <c r="S15" s="3669"/>
      <c r="T15" s="3669"/>
    </row>
    <row r="16" spans="1:20" ht="18" customHeight="1">
      <c r="A16" s="3669"/>
      <c r="B16" s="3675" t="s">
        <v>148</v>
      </c>
      <c r="C16" s="3676">
        <v>39.44</v>
      </c>
      <c r="D16" s="3677">
        <v>48.634500000000003</v>
      </c>
      <c r="E16" s="3677">
        <v>46.63</v>
      </c>
      <c r="F16" s="3677">
        <v>45.159100000000002</v>
      </c>
      <c r="G16" s="3677">
        <v>52.667789999999997</v>
      </c>
      <c r="H16" s="3677">
        <v>54.648000000000003</v>
      </c>
      <c r="I16" s="3677">
        <v>61.948031578947372</v>
      </c>
      <c r="J16" s="3677">
        <v>62.710923809523806</v>
      </c>
      <c r="K16" s="4260">
        <v>66.595514285714287</v>
      </c>
      <c r="L16" s="3662"/>
      <c r="M16" s="3669"/>
      <c r="N16" s="3669"/>
      <c r="O16" s="3669"/>
      <c r="P16" s="3669"/>
      <c r="Q16" s="3669"/>
      <c r="R16" s="3669"/>
      <c r="S16" s="3669"/>
      <c r="T16" s="3669"/>
    </row>
    <row r="17" spans="1:20" ht="15.75">
      <c r="A17" s="3669"/>
      <c r="B17" s="3675"/>
      <c r="C17" s="3679"/>
      <c r="D17" s="3680"/>
      <c r="E17" s="3680"/>
      <c r="F17" s="3680"/>
      <c r="G17" s="3680"/>
      <c r="H17" s="3680"/>
      <c r="I17" s="3680"/>
      <c r="J17" s="3680"/>
      <c r="K17" s="4260"/>
      <c r="L17" s="3662"/>
      <c r="M17" s="3669"/>
      <c r="N17" s="3669"/>
      <c r="O17" s="3669"/>
      <c r="P17" s="3669"/>
      <c r="Q17" s="3669"/>
      <c r="R17" s="3669"/>
      <c r="S17" s="3669"/>
      <c r="T17" s="3669"/>
    </row>
    <row r="18" spans="1:20" ht="31.5">
      <c r="A18" s="3669"/>
      <c r="B18" s="3681" t="s">
        <v>1916</v>
      </c>
      <c r="C18" s="3683">
        <v>41.348491666666675</v>
      </c>
      <c r="D18" s="3683">
        <v>43.505166666666675</v>
      </c>
      <c r="E18" s="3683">
        <v>48.40528333333333</v>
      </c>
      <c r="F18" s="3682">
        <v>45.725808333333326</v>
      </c>
      <c r="G18" s="3683">
        <v>46.670498333333335</v>
      </c>
      <c r="H18" s="3682">
        <v>53.437416666666671</v>
      </c>
      <c r="I18" s="3682">
        <v>58.591743798732949</v>
      </c>
      <c r="J18" s="3682">
        <v>61.02588920304234</v>
      </c>
      <c r="K18" s="3683">
        <v>64.138905189444671</v>
      </c>
      <c r="L18" s="4264"/>
      <c r="M18" s="3669"/>
      <c r="N18" s="3669"/>
      <c r="O18" s="3669"/>
      <c r="P18" s="3669"/>
      <c r="Q18" s="3669"/>
      <c r="R18" s="3669"/>
      <c r="S18" s="3669"/>
      <c r="T18" s="3669"/>
    </row>
    <row r="19" spans="1:20" ht="15" customHeight="1">
      <c r="A19" s="3669"/>
      <c r="B19" s="3675"/>
      <c r="C19" s="3684"/>
      <c r="D19" s="3685"/>
      <c r="E19" s="3686"/>
      <c r="F19" s="3687"/>
      <c r="G19" s="3688"/>
      <c r="H19" s="3684"/>
      <c r="I19" s="3684"/>
      <c r="J19" s="3684"/>
      <c r="K19" s="4261"/>
      <c r="L19" s="3662"/>
      <c r="M19" s="3669"/>
      <c r="N19" s="3669"/>
      <c r="O19" s="3669"/>
      <c r="P19" s="3669"/>
      <c r="Q19" s="3669"/>
      <c r="R19" s="3669"/>
      <c r="S19" s="3669"/>
      <c r="T19" s="3669"/>
    </row>
    <row r="20" spans="1:20" ht="15" customHeight="1">
      <c r="A20" s="3669"/>
      <c r="B20" s="4814" t="s">
        <v>1917</v>
      </c>
      <c r="C20" s="3689" t="s">
        <v>805</v>
      </c>
      <c r="D20" s="3689" t="s">
        <v>806</v>
      </c>
      <c r="E20" s="3690" t="s">
        <v>807</v>
      </c>
      <c r="F20" s="3689" t="s">
        <v>1390</v>
      </c>
      <c r="G20" s="3691" t="s">
        <v>1889</v>
      </c>
      <c r="H20" s="3689" t="s">
        <v>1890</v>
      </c>
      <c r="I20" s="3689" t="s">
        <v>1891</v>
      </c>
      <c r="J20" s="3689" t="s">
        <v>1892</v>
      </c>
      <c r="K20" s="4262" t="s">
        <v>1802</v>
      </c>
      <c r="L20" s="4263"/>
      <c r="M20" s="3669"/>
      <c r="N20" s="3669"/>
      <c r="O20" s="3669"/>
      <c r="P20" s="3669"/>
      <c r="Q20" s="3669"/>
      <c r="R20" s="3669"/>
      <c r="S20" s="3669"/>
      <c r="T20" s="3669"/>
    </row>
    <row r="21" spans="1:20" ht="33.75" customHeight="1">
      <c r="A21" s="3669"/>
      <c r="B21" s="4815"/>
      <c r="C21" s="3682">
        <v>44.190366666666677</v>
      </c>
      <c r="D21" s="3682">
        <v>40.365966666666672</v>
      </c>
      <c r="E21" s="3682">
        <v>47.776949999999999</v>
      </c>
      <c r="F21" s="3682">
        <v>46.652666666666669</v>
      </c>
      <c r="G21" s="3683">
        <v>45.332958333333345</v>
      </c>
      <c r="H21" s="3682">
        <v>50.270039999999995</v>
      </c>
      <c r="I21" s="3682">
        <v>54.857727899610147</v>
      </c>
      <c r="J21" s="3682">
        <v>61.471157565789468</v>
      </c>
      <c r="K21" s="3683">
        <v>62.050931165029148</v>
      </c>
      <c r="L21" s="4263"/>
      <c r="M21" s="3669"/>
      <c r="N21" s="3669"/>
      <c r="O21" s="3669"/>
      <c r="P21" s="3669"/>
      <c r="Q21" s="3669"/>
      <c r="R21" s="3669"/>
      <c r="S21" s="3669"/>
      <c r="T21" s="3669"/>
    </row>
    <row r="22" spans="1:20">
      <c r="A22" s="3669"/>
      <c r="B22" s="3672" t="s">
        <v>1918</v>
      </c>
      <c r="C22" s="3692"/>
      <c r="D22" s="3693"/>
      <c r="E22" s="3694"/>
      <c r="F22" s="3695"/>
      <c r="G22" s="3695"/>
      <c r="H22" s="3695"/>
      <c r="I22" s="3695"/>
      <c r="J22" s="3669"/>
      <c r="K22" s="3669"/>
      <c r="L22" s="3669"/>
      <c r="M22" s="3669"/>
      <c r="N22" s="3669"/>
      <c r="O22" s="3669"/>
      <c r="P22" s="3669"/>
      <c r="Q22" s="3669"/>
      <c r="R22" s="3669"/>
      <c r="S22" s="3669"/>
      <c r="T22" s="3669"/>
    </row>
    <row r="23" spans="1:20">
      <c r="A23" s="3669"/>
      <c r="B23" s="3669"/>
      <c r="C23" s="3669"/>
      <c r="D23" s="3669"/>
      <c r="E23" s="3669"/>
      <c r="F23" s="3669"/>
      <c r="G23" s="3669"/>
      <c r="H23" s="3669"/>
      <c r="I23" s="3669"/>
      <c r="J23" s="3669"/>
      <c r="K23" s="3669"/>
      <c r="L23" s="3669"/>
      <c r="M23" s="3669"/>
      <c r="N23" s="3669"/>
      <c r="O23" s="3669"/>
      <c r="P23" s="3669"/>
      <c r="Q23" s="3669"/>
      <c r="R23" s="3669"/>
      <c r="S23" s="3669"/>
      <c r="T23" s="3669"/>
    </row>
    <row r="24" spans="1:20">
      <c r="A24" s="3669"/>
      <c r="B24" s="3669"/>
      <c r="C24" s="3669"/>
      <c r="F24" s="3669"/>
      <c r="G24" s="3669"/>
      <c r="H24" s="3669"/>
      <c r="I24" s="3669"/>
      <c r="J24" s="3669"/>
      <c r="K24" s="3669"/>
      <c r="L24" s="3669"/>
      <c r="M24" s="3669"/>
      <c r="N24" s="3669"/>
      <c r="O24" s="3669"/>
      <c r="P24" s="3669"/>
      <c r="Q24" s="3669"/>
      <c r="R24" s="3669"/>
      <c r="S24" s="3669"/>
      <c r="T24" s="3669"/>
    </row>
    <row r="25" spans="1:20">
      <c r="A25" s="3669"/>
      <c r="B25" s="3669"/>
      <c r="C25" s="3669"/>
      <c r="D25" s="3669"/>
      <c r="E25" s="3669"/>
      <c r="F25" s="3669"/>
      <c r="G25" s="3669"/>
      <c r="H25" s="3669"/>
      <c r="I25" s="3669"/>
      <c r="J25" s="3669"/>
      <c r="K25" s="3669"/>
      <c r="L25" s="3669"/>
      <c r="M25" s="3669"/>
      <c r="N25" s="3669"/>
      <c r="O25" s="3669"/>
      <c r="P25" s="3669"/>
      <c r="Q25" s="3669"/>
      <c r="R25" s="3669"/>
      <c r="S25" s="3669"/>
      <c r="T25" s="3669"/>
    </row>
    <row r="26" spans="1:20">
      <c r="A26" s="3669"/>
      <c r="B26" s="3669"/>
      <c r="C26" s="3669"/>
      <c r="D26" s="3669"/>
      <c r="E26" s="3669"/>
      <c r="F26" s="3669"/>
      <c r="G26" s="3669"/>
      <c r="H26" s="3669"/>
      <c r="I26" s="3669"/>
      <c r="J26" s="3669"/>
      <c r="K26" s="3669"/>
      <c r="L26" s="3669"/>
      <c r="M26" s="3669"/>
      <c r="N26" s="3669"/>
      <c r="O26" s="3669"/>
      <c r="P26" s="3669"/>
      <c r="Q26" s="3669"/>
      <c r="R26" s="3669"/>
      <c r="S26" s="3669"/>
      <c r="T26" s="3669"/>
    </row>
    <row r="27" spans="1:20">
      <c r="A27" s="3669"/>
      <c r="B27" s="3669"/>
      <c r="C27" s="3669"/>
      <c r="D27" s="3669"/>
      <c r="E27" s="3669"/>
      <c r="F27" s="3669"/>
      <c r="G27" s="3669"/>
      <c r="H27" s="3669"/>
      <c r="I27" s="3669"/>
      <c r="J27" s="3669"/>
      <c r="K27" s="3669"/>
      <c r="L27" s="3669"/>
      <c r="M27" s="3669"/>
      <c r="N27" s="3669"/>
      <c r="O27" s="3669"/>
      <c r="P27" s="3669"/>
      <c r="Q27" s="3669"/>
      <c r="R27" s="3669"/>
      <c r="S27" s="3669"/>
      <c r="T27" s="3669"/>
    </row>
    <row r="28" spans="1:20">
      <c r="A28" s="3669"/>
      <c r="B28" s="3669"/>
      <c r="C28" s="3669"/>
      <c r="D28" s="3669"/>
      <c r="E28" s="3669"/>
      <c r="F28" s="3669"/>
      <c r="G28" s="3669"/>
      <c r="H28" s="3669"/>
      <c r="I28" s="3669"/>
      <c r="J28" s="3669"/>
      <c r="K28" s="3669"/>
      <c r="L28" s="3669"/>
      <c r="M28" s="3669"/>
      <c r="N28" s="3669"/>
      <c r="O28" s="3669"/>
      <c r="P28" s="3669"/>
      <c r="Q28" s="3669"/>
      <c r="R28" s="3669"/>
      <c r="S28" s="3669"/>
      <c r="T28" s="3669"/>
    </row>
    <row r="29" spans="1:20">
      <c r="A29" s="3669"/>
      <c r="B29" s="3669"/>
      <c r="C29" s="3669"/>
      <c r="D29" s="3669"/>
      <c r="E29" s="3669"/>
      <c r="F29" s="3669"/>
      <c r="G29" s="3669"/>
      <c r="H29" s="3669"/>
      <c r="I29" s="3669"/>
      <c r="J29" s="3669"/>
      <c r="K29" s="3669"/>
      <c r="L29" s="3669"/>
      <c r="M29" s="3669"/>
      <c r="N29" s="3669"/>
      <c r="O29" s="3669"/>
      <c r="P29" s="3669"/>
      <c r="Q29" s="3669"/>
      <c r="R29" s="3669"/>
      <c r="S29" s="3669"/>
      <c r="T29" s="3669"/>
    </row>
    <row r="30" spans="1:20">
      <c r="A30" s="3669"/>
      <c r="B30" s="3669"/>
      <c r="C30" s="3669"/>
      <c r="D30" s="3669"/>
      <c r="E30" s="3669"/>
      <c r="F30" s="3669"/>
      <c r="G30" s="3669"/>
      <c r="H30" s="3669"/>
      <c r="I30" s="3669"/>
      <c r="J30" s="3669"/>
      <c r="K30" s="3669"/>
      <c r="L30" s="3669"/>
      <c r="M30" s="3669"/>
      <c r="N30" s="3669"/>
      <c r="O30" s="3669"/>
      <c r="P30" s="3669"/>
      <c r="Q30" s="3669"/>
      <c r="R30" s="3669"/>
      <c r="S30" s="3669"/>
      <c r="T30" s="3669"/>
    </row>
    <row r="31" spans="1:20">
      <c r="A31" s="3669"/>
      <c r="B31" s="3669"/>
      <c r="C31" s="3669"/>
      <c r="D31" s="3669"/>
      <c r="E31" s="3669"/>
      <c r="F31" s="3669"/>
      <c r="G31" s="3669"/>
      <c r="H31" s="3669"/>
      <c r="I31" s="3669"/>
      <c r="J31" s="3669"/>
      <c r="K31" s="3669"/>
      <c r="L31" s="3669"/>
      <c r="M31" s="3669"/>
      <c r="N31" s="3669"/>
      <c r="O31" s="3669"/>
      <c r="P31" s="3669"/>
      <c r="Q31" s="3669"/>
      <c r="R31" s="3669"/>
      <c r="S31" s="3669"/>
      <c r="T31" s="3669"/>
    </row>
    <row r="32" spans="1:20">
      <c r="A32" s="3669"/>
      <c r="B32" s="3669"/>
      <c r="C32" s="3669"/>
      <c r="D32" s="3669"/>
      <c r="E32" s="3669"/>
      <c r="F32" s="3669"/>
      <c r="G32" s="3669"/>
      <c r="H32" s="3669"/>
      <c r="I32" s="3669"/>
      <c r="J32" s="3669"/>
      <c r="K32" s="3669"/>
      <c r="L32" s="3669"/>
      <c r="M32" s="3669"/>
      <c r="N32" s="3669"/>
      <c r="O32" s="3669"/>
      <c r="P32" s="3669"/>
      <c r="Q32" s="3669"/>
      <c r="R32" s="3669"/>
      <c r="S32" s="3669"/>
      <c r="T32" s="3669"/>
    </row>
    <row r="33" spans="1:20">
      <c r="A33" s="3669"/>
      <c r="B33" s="3669"/>
      <c r="C33" s="3669"/>
      <c r="D33" s="3669"/>
      <c r="E33" s="3669"/>
      <c r="F33" s="3669"/>
      <c r="G33" s="3669"/>
      <c r="H33" s="3669"/>
      <c r="I33" s="3669"/>
      <c r="J33" s="3669"/>
      <c r="K33" s="3669"/>
      <c r="L33" s="3669"/>
      <c r="M33" s="3669"/>
      <c r="N33" s="3669"/>
      <c r="O33" s="3669"/>
      <c r="P33" s="3669"/>
      <c r="Q33" s="3669"/>
      <c r="R33" s="3669"/>
      <c r="S33" s="3669"/>
      <c r="T33" s="3669"/>
    </row>
    <row r="34" spans="1:20">
      <c r="A34" s="3669"/>
      <c r="B34" s="3669"/>
      <c r="C34" s="3669"/>
      <c r="D34" s="3669"/>
      <c r="E34" s="3669"/>
      <c r="F34" s="3669"/>
      <c r="G34" s="3669"/>
      <c r="H34" s="3669"/>
      <c r="I34" s="3669"/>
      <c r="J34" s="3669"/>
      <c r="K34" s="3669"/>
      <c r="L34" s="3669"/>
      <c r="M34" s="3669"/>
      <c r="N34" s="3669"/>
      <c r="O34" s="3669"/>
      <c r="P34" s="3669"/>
      <c r="Q34" s="3669"/>
      <c r="R34" s="3669"/>
      <c r="S34" s="3669"/>
      <c r="T34" s="3669"/>
    </row>
    <row r="35" spans="1:20">
      <c r="A35" s="3669"/>
      <c r="B35" s="3669"/>
      <c r="C35" s="3669"/>
      <c r="D35" s="3669"/>
      <c r="E35" s="3669"/>
      <c r="F35" s="3669"/>
      <c r="G35" s="3669"/>
      <c r="H35" s="3669"/>
      <c r="I35" s="3669"/>
      <c r="J35" s="3669"/>
      <c r="K35" s="3669"/>
      <c r="L35" s="3669"/>
      <c r="M35" s="3669"/>
      <c r="N35" s="3669"/>
      <c r="O35" s="3669"/>
      <c r="P35" s="3669"/>
      <c r="Q35" s="3669"/>
      <c r="R35" s="3669"/>
      <c r="S35" s="3669"/>
      <c r="T35" s="3669"/>
    </row>
    <row r="36" spans="1:20">
      <c r="A36" s="3669"/>
      <c r="B36" s="3669"/>
      <c r="C36" s="3669"/>
      <c r="D36" s="3669"/>
      <c r="E36" s="3669"/>
      <c r="F36" s="3669"/>
      <c r="G36" s="3669"/>
      <c r="H36" s="3669"/>
      <c r="I36" s="3669"/>
      <c r="J36" s="3669"/>
      <c r="K36" s="3669"/>
      <c r="L36" s="3669"/>
      <c r="M36" s="3669"/>
      <c r="N36" s="3669"/>
      <c r="O36" s="3669"/>
      <c r="P36" s="3669"/>
      <c r="Q36" s="3669"/>
      <c r="R36" s="3669"/>
      <c r="S36" s="3669"/>
      <c r="T36" s="3669"/>
    </row>
    <row r="37" spans="1:20">
      <c r="A37" s="3669"/>
      <c r="B37" s="3669"/>
      <c r="C37" s="3669"/>
      <c r="D37" s="3669"/>
      <c r="E37" s="3669"/>
      <c r="F37" s="3669"/>
      <c r="G37" s="3669"/>
      <c r="H37" s="3669"/>
      <c r="I37" s="3669"/>
      <c r="J37" s="3669"/>
      <c r="K37" s="3669"/>
      <c r="L37" s="3669"/>
      <c r="M37" s="3669"/>
      <c r="N37" s="3669"/>
      <c r="O37" s="3669"/>
      <c r="P37" s="3669"/>
      <c r="Q37" s="3669"/>
      <c r="R37" s="3669"/>
      <c r="S37" s="3669"/>
      <c r="T37" s="3669"/>
    </row>
    <row r="38" spans="1:20">
      <c r="A38" s="3669"/>
      <c r="B38" s="3669"/>
      <c r="C38" s="3669"/>
      <c r="D38" s="3669"/>
      <c r="E38" s="3669"/>
      <c r="F38" s="3669"/>
      <c r="G38" s="3669"/>
      <c r="H38" s="3669"/>
      <c r="I38" s="3669"/>
      <c r="J38" s="3669"/>
      <c r="K38" s="3669"/>
      <c r="L38" s="3669"/>
      <c r="M38" s="3669"/>
      <c r="N38" s="3669"/>
      <c r="O38" s="3669"/>
      <c r="P38" s="3669"/>
      <c r="Q38" s="3669"/>
      <c r="R38" s="3669"/>
      <c r="S38" s="3669"/>
      <c r="T38" s="3669"/>
    </row>
    <row r="39" spans="1:20">
      <c r="A39" s="3669"/>
      <c r="B39" s="3669"/>
      <c r="C39" s="3669"/>
      <c r="D39" s="3669"/>
      <c r="E39" s="3669"/>
      <c r="F39" s="3669"/>
      <c r="G39" s="3669"/>
      <c r="H39" s="3669"/>
      <c r="I39" s="3669"/>
      <c r="J39" s="3669"/>
      <c r="K39" s="3669"/>
      <c r="L39" s="3669"/>
      <c r="M39" s="3669"/>
      <c r="N39" s="3669"/>
      <c r="O39" s="3669"/>
      <c r="P39" s="3669"/>
      <c r="Q39" s="3669"/>
      <c r="R39" s="3669"/>
      <c r="S39" s="3669"/>
      <c r="T39" s="3669"/>
    </row>
    <row r="40" spans="1:20">
      <c r="A40" s="3669"/>
      <c r="B40" s="3669"/>
      <c r="C40" s="3669"/>
      <c r="D40" s="3669"/>
      <c r="E40" s="3669"/>
      <c r="F40" s="3669"/>
      <c r="G40" s="3669"/>
      <c r="H40" s="3669"/>
      <c r="I40" s="3669"/>
      <c r="J40" s="3669"/>
      <c r="K40" s="3669"/>
      <c r="L40" s="3669"/>
      <c r="M40" s="3669"/>
      <c r="N40" s="3669"/>
      <c r="O40" s="3669"/>
      <c r="P40" s="3669"/>
      <c r="Q40" s="3669"/>
      <c r="R40" s="3669"/>
      <c r="S40" s="3669"/>
      <c r="T40" s="3669"/>
    </row>
    <row r="41" spans="1:20">
      <c r="A41" s="3669"/>
      <c r="B41" s="3669"/>
      <c r="C41" s="3669"/>
      <c r="D41" s="3669"/>
      <c r="E41" s="3669"/>
      <c r="F41" s="3669"/>
      <c r="G41" s="3669"/>
      <c r="H41" s="3669"/>
      <c r="I41" s="3669"/>
      <c r="J41" s="3669"/>
      <c r="K41" s="3669"/>
      <c r="L41" s="3669"/>
      <c r="M41" s="3669"/>
      <c r="N41" s="3669"/>
      <c r="O41" s="3669"/>
      <c r="P41" s="3669"/>
      <c r="Q41" s="3669"/>
      <c r="R41" s="3669"/>
      <c r="S41" s="3669"/>
      <c r="T41" s="3669"/>
    </row>
    <row r="42" spans="1:20">
      <c r="A42" s="3669"/>
      <c r="B42" s="3669"/>
      <c r="C42" s="3669"/>
      <c r="D42" s="3669"/>
      <c r="E42" s="3669"/>
      <c r="F42" s="3669"/>
      <c r="G42" s="3669"/>
      <c r="H42" s="3669"/>
      <c r="I42" s="3669"/>
      <c r="J42" s="3669"/>
      <c r="K42" s="3669"/>
      <c r="L42" s="3669"/>
      <c r="M42" s="3669"/>
      <c r="N42" s="3669"/>
      <c r="O42" s="3669"/>
      <c r="P42" s="3669"/>
      <c r="Q42" s="3669"/>
      <c r="R42" s="3669"/>
      <c r="S42" s="3669"/>
      <c r="T42" s="3669"/>
    </row>
    <row r="43" spans="1:20">
      <c r="A43" s="3669"/>
      <c r="B43" s="3669"/>
      <c r="C43" s="3669"/>
      <c r="D43" s="3669"/>
      <c r="E43" s="3669"/>
      <c r="F43" s="3669"/>
      <c r="G43" s="3669"/>
      <c r="H43" s="3669"/>
      <c r="I43" s="3669"/>
      <c r="J43" s="3669"/>
      <c r="K43" s="3669"/>
      <c r="L43" s="3669"/>
      <c r="M43" s="3669"/>
      <c r="N43" s="3669"/>
      <c r="O43" s="3669"/>
      <c r="P43" s="3669"/>
      <c r="Q43" s="3669"/>
      <c r="R43" s="3669"/>
      <c r="S43" s="3669"/>
      <c r="T43" s="3669"/>
    </row>
    <row r="44" spans="1:20">
      <c r="A44" s="3669"/>
      <c r="B44" s="3669"/>
      <c r="C44" s="3669"/>
      <c r="D44" s="3669"/>
      <c r="E44" s="3669"/>
      <c r="F44" s="3669"/>
      <c r="G44" s="3669"/>
      <c r="H44" s="3669"/>
      <c r="I44" s="3669"/>
      <c r="J44" s="3669"/>
      <c r="K44" s="3669"/>
      <c r="L44" s="3669"/>
      <c r="M44" s="3669"/>
      <c r="N44" s="3669"/>
      <c r="O44" s="3669"/>
      <c r="P44" s="3669"/>
      <c r="Q44" s="3669"/>
      <c r="R44" s="3669"/>
      <c r="S44" s="3669"/>
      <c r="T44" s="3669"/>
    </row>
    <row r="45" spans="1:20">
      <c r="A45" s="3669"/>
      <c r="B45" s="3669"/>
      <c r="C45" s="3669"/>
      <c r="D45" s="3669"/>
      <c r="E45" s="3669"/>
      <c r="F45" s="3669"/>
      <c r="G45" s="3669"/>
      <c r="H45" s="3669"/>
      <c r="I45" s="3669"/>
      <c r="J45" s="3669"/>
      <c r="K45" s="3669"/>
      <c r="L45" s="3669"/>
      <c r="M45" s="3669"/>
      <c r="N45" s="3669"/>
      <c r="O45" s="3669"/>
      <c r="P45" s="3669"/>
      <c r="Q45" s="3669"/>
      <c r="R45" s="3669"/>
      <c r="S45" s="3669"/>
      <c r="T45" s="3669"/>
    </row>
    <row r="46" spans="1:20">
      <c r="A46" s="3669"/>
      <c r="B46" s="3669"/>
      <c r="C46" s="3669"/>
      <c r="D46" s="3669"/>
      <c r="E46" s="3669"/>
      <c r="F46" s="3669"/>
      <c r="G46" s="3669"/>
      <c r="H46" s="3669"/>
      <c r="I46" s="3669"/>
      <c r="J46" s="3669"/>
      <c r="K46" s="3669"/>
      <c r="L46" s="3669"/>
      <c r="M46" s="3669"/>
      <c r="N46" s="3669"/>
      <c r="O46" s="3669"/>
      <c r="P46" s="3669"/>
      <c r="Q46" s="3669"/>
      <c r="R46" s="3669"/>
      <c r="S46" s="3669"/>
      <c r="T46" s="3669"/>
    </row>
    <row r="47" spans="1:20">
      <c r="A47" s="3669"/>
      <c r="B47" s="3669"/>
      <c r="C47" s="3669"/>
      <c r="D47" s="3669"/>
      <c r="E47" s="3669"/>
      <c r="F47" s="3669"/>
      <c r="G47" s="3669"/>
      <c r="H47" s="3669"/>
      <c r="I47" s="3669"/>
      <c r="J47" s="3669"/>
      <c r="K47" s="3669"/>
      <c r="L47" s="3669"/>
      <c r="M47" s="3669"/>
      <c r="N47" s="3669"/>
      <c r="O47" s="3669"/>
      <c r="P47" s="3669"/>
      <c r="Q47" s="3669"/>
      <c r="R47" s="3669"/>
      <c r="S47" s="3669"/>
      <c r="T47" s="3669"/>
    </row>
    <row r="48" spans="1:20">
      <c r="A48" s="3669"/>
      <c r="B48" s="3669"/>
      <c r="C48" s="3669"/>
      <c r="D48" s="3669"/>
      <c r="E48" s="3669"/>
      <c r="F48" s="3669"/>
      <c r="G48" s="3669"/>
      <c r="H48" s="3669"/>
      <c r="I48" s="3669"/>
      <c r="J48" s="3669"/>
      <c r="K48" s="3669"/>
      <c r="L48" s="3669"/>
      <c r="M48" s="3669"/>
      <c r="N48" s="3669"/>
      <c r="O48" s="3669"/>
      <c r="P48" s="3669"/>
      <c r="Q48" s="3669"/>
      <c r="R48" s="3669"/>
      <c r="S48" s="3669"/>
      <c r="T48" s="3669"/>
    </row>
    <row r="49" spans="1:20">
      <c r="A49" s="3669"/>
      <c r="B49" s="3669"/>
      <c r="C49" s="3669"/>
      <c r="D49" s="3669"/>
      <c r="E49" s="3669"/>
      <c r="F49" s="3669"/>
      <c r="G49" s="3669"/>
      <c r="H49" s="3669"/>
      <c r="I49" s="3669"/>
      <c r="J49" s="3669"/>
      <c r="K49" s="3669"/>
      <c r="L49" s="3669"/>
      <c r="M49" s="3669"/>
      <c r="N49" s="3669"/>
      <c r="O49" s="3669"/>
      <c r="P49" s="3669"/>
      <c r="Q49" s="3669"/>
      <c r="R49" s="3669"/>
      <c r="S49" s="3669"/>
      <c r="T49" s="3669"/>
    </row>
  </sheetData>
  <mergeCells count="1">
    <mergeCell ref="B20:B21"/>
  </mergeCells>
  <pageMargins left="0.7" right="0.7" top="0.75" bottom="0.75" header="0.3" footer="0.3"/>
  <pageSetup paperSize="9" scale="85" orientation="portrait" horizontalDpi="300" verticalDpi="300" r:id="rId1"/>
</worksheet>
</file>

<file path=xl/worksheets/sheet62.xml><?xml version="1.0" encoding="utf-8"?>
<worksheet xmlns="http://schemas.openxmlformats.org/spreadsheetml/2006/main" xmlns:r="http://schemas.openxmlformats.org/officeDocument/2006/relationships">
  <dimension ref="C2"/>
  <sheetViews>
    <sheetView topLeftCell="A16" zoomScaleSheetLayoutView="100" workbookViewId="0">
      <selection activeCell="L16" sqref="L16"/>
    </sheetView>
  </sheetViews>
  <sheetFormatPr defaultRowHeight="12.75"/>
  <cols>
    <col min="1" max="16384" width="9.140625" style="4064"/>
  </cols>
  <sheetData>
    <row r="2" spans="3:3" ht="18">
      <c r="C2" s="3808" t="s">
        <v>1995</v>
      </c>
    </row>
  </sheetData>
  <pageMargins left="0.7" right="0.7" top="0.75" bottom="0.75" header="0.3" footer="0.3"/>
  <pageSetup scale="84" orientation="portrait" r:id="rId1"/>
  <colBreaks count="1" manualBreakCount="1">
    <brk id="12" max="27" man="1"/>
  </colBreaks>
  <drawing r:id="rId2"/>
</worksheet>
</file>

<file path=xl/worksheets/sheet63.xml><?xml version="1.0" encoding="utf-8"?>
<worksheet xmlns="http://schemas.openxmlformats.org/spreadsheetml/2006/main" xmlns:r="http://schemas.openxmlformats.org/officeDocument/2006/relationships">
  <sheetPr codeName="Sheet3"/>
  <dimension ref="A1:CZ60"/>
  <sheetViews>
    <sheetView zoomScale="80" zoomScaleNormal="80" workbookViewId="0">
      <pane xSplit="3" ySplit="8" topLeftCell="I9" activePane="bottomRight" state="frozen"/>
      <selection pane="topRight" activeCell="D1" sqref="D1"/>
      <selection pane="bottomLeft" activeCell="A9" sqref="A9"/>
      <selection pane="bottomRight" activeCell="AA16" sqref="AA16"/>
    </sheetView>
  </sheetViews>
  <sheetFormatPr defaultColWidth="11" defaultRowHeight="12.75"/>
  <cols>
    <col min="1" max="2" width="11" style="2"/>
    <col min="3" max="3" width="13" style="2" customWidth="1"/>
    <col min="4" max="5" width="11" style="2" customWidth="1"/>
    <col min="6" max="16384" width="11" style="2"/>
  </cols>
  <sheetData>
    <row r="1" spans="1:24" s="60" customFormat="1" ht="15" customHeight="1">
      <c r="A1" s="1930"/>
      <c r="B1" s="1930"/>
      <c r="C1" s="1930"/>
      <c r="D1" s="1930"/>
      <c r="E1" s="1930"/>
      <c r="F1" s="1930"/>
      <c r="G1" s="1930"/>
      <c r="H1" s="1930"/>
      <c r="I1" s="1930"/>
      <c r="J1" s="1930"/>
      <c r="K1" s="1930"/>
      <c r="L1" s="1930"/>
      <c r="M1" s="1930"/>
      <c r="N1" s="1930"/>
      <c r="O1" s="1930"/>
      <c r="P1" s="1930"/>
      <c r="Q1" s="1930"/>
      <c r="R1" s="1930"/>
      <c r="S1" s="1930"/>
      <c r="T1" s="1930"/>
      <c r="U1" s="1930"/>
      <c r="V1" s="1930"/>
      <c r="W1" s="1930"/>
    </row>
    <row r="2" spans="1:24" s="60" customFormat="1" ht="41.25" customHeight="1">
      <c r="A2" s="1930"/>
      <c r="B2" s="4830" t="s">
        <v>1996</v>
      </c>
      <c r="C2" s="4830"/>
      <c r="D2" s="3062"/>
      <c r="E2" s="3062"/>
      <c r="F2" s="3062"/>
      <c r="G2" s="3062"/>
      <c r="H2" s="3062"/>
      <c r="I2" s="3062"/>
      <c r="J2" s="3852"/>
      <c r="K2" s="3062"/>
      <c r="L2" s="3062"/>
      <c r="M2" s="3062"/>
      <c r="N2" s="3062"/>
      <c r="O2" s="3062"/>
      <c r="P2" s="3062"/>
      <c r="Q2" s="3062"/>
      <c r="R2" s="3062"/>
      <c r="S2" s="3062"/>
      <c r="T2" s="3062"/>
      <c r="U2" s="3062"/>
      <c r="V2" s="1930"/>
      <c r="W2" s="1930"/>
    </row>
    <row r="3" spans="1:24" s="60" customFormat="1" ht="13.5" customHeight="1">
      <c r="A3" s="1930"/>
      <c r="B3" s="1930"/>
      <c r="C3" s="3062"/>
      <c r="D3" s="3852"/>
      <c r="E3" s="3852"/>
      <c r="F3" s="3852"/>
      <c r="G3" s="3852"/>
      <c r="H3" s="3852"/>
      <c r="I3" s="3852"/>
      <c r="J3" s="3852"/>
      <c r="K3" s="3852"/>
      <c r="L3" s="3852"/>
      <c r="M3" s="3852"/>
      <c r="N3" s="3852"/>
      <c r="O3" s="3852"/>
      <c r="P3" s="3852"/>
      <c r="Q3" s="3852"/>
      <c r="R3" s="3852"/>
      <c r="S3" s="3852"/>
      <c r="T3" s="3852"/>
      <c r="U3" s="3852"/>
      <c r="V3" s="1930"/>
      <c r="W3" s="1930"/>
    </row>
    <row r="4" spans="1:24" s="60" customFormat="1" ht="18.75" customHeight="1">
      <c r="A4" s="1930"/>
      <c r="B4" s="3853" t="s">
        <v>1784</v>
      </c>
      <c r="C4" s="3853"/>
      <c r="D4" s="3977"/>
      <c r="E4" s="3977"/>
      <c r="F4" s="3977"/>
      <c r="G4" s="3977"/>
      <c r="H4" s="3977"/>
      <c r="I4" s="3977"/>
      <c r="J4" s="3977"/>
      <c r="K4" s="3977"/>
      <c r="L4" s="3977"/>
      <c r="M4" s="1930"/>
      <c r="N4" s="2976"/>
      <c r="O4" s="1930"/>
      <c r="P4" s="2976"/>
      <c r="Q4" s="1930"/>
      <c r="R4" s="1930"/>
      <c r="S4" s="1930"/>
      <c r="T4" s="1930"/>
      <c r="U4" s="1930"/>
      <c r="V4" s="1930"/>
      <c r="W4" s="1930"/>
    </row>
    <row r="5" spans="1:24" s="60" customFormat="1" ht="25.5" customHeight="1">
      <c r="A5" s="1930"/>
      <c r="B5" s="2977" t="s">
        <v>143</v>
      </c>
      <c r="C5" s="2978"/>
      <c r="D5" s="4844" t="s">
        <v>140</v>
      </c>
      <c r="E5" s="4844"/>
      <c r="F5" s="4844"/>
      <c r="G5" s="4844"/>
      <c r="H5" s="4844"/>
      <c r="I5" s="4844"/>
      <c r="J5" s="4844"/>
      <c r="K5" s="4844"/>
      <c r="L5" s="4844"/>
      <c r="M5" s="4844"/>
      <c r="N5" s="4844"/>
      <c r="O5" s="4844"/>
      <c r="P5" s="4844"/>
      <c r="Q5" s="4844"/>
      <c r="R5" s="4844"/>
      <c r="S5" s="4844"/>
      <c r="T5" s="4844"/>
      <c r="U5" s="4844"/>
      <c r="V5" s="4844"/>
      <c r="W5" s="4844"/>
      <c r="X5" s="4395"/>
    </row>
    <row r="6" spans="1:24" s="60" customFormat="1" ht="25.5" customHeight="1">
      <c r="A6" s="1930"/>
      <c r="B6" s="2979"/>
      <c r="C6" s="4832" t="s">
        <v>1530</v>
      </c>
      <c r="D6" s="4838">
        <v>2011</v>
      </c>
      <c r="E6" s="4839"/>
      <c r="F6" s="4840"/>
      <c r="G6" s="4841"/>
      <c r="H6" s="4835">
        <v>2012</v>
      </c>
      <c r="I6" s="4836"/>
      <c r="J6" s="4836"/>
      <c r="K6" s="4837"/>
      <c r="L6" s="4834">
        <v>2013</v>
      </c>
      <c r="M6" s="4834"/>
      <c r="N6" s="4834"/>
      <c r="O6" s="4834"/>
      <c r="P6" s="4834">
        <v>2014</v>
      </c>
      <c r="Q6" s="4834"/>
      <c r="R6" s="4834"/>
      <c r="S6" s="4834"/>
      <c r="T6" s="4842">
        <v>2015</v>
      </c>
      <c r="U6" s="4842"/>
      <c r="V6" s="4842"/>
      <c r="W6" s="4842"/>
      <c r="X6" s="4393">
        <v>2016</v>
      </c>
    </row>
    <row r="7" spans="1:24" s="60" customFormat="1" ht="48" customHeight="1">
      <c r="A7" s="1930"/>
      <c r="B7" s="2980" t="s">
        <v>146</v>
      </c>
      <c r="C7" s="4833"/>
      <c r="D7" s="2982" t="s">
        <v>751</v>
      </c>
      <c r="E7" s="2982" t="s">
        <v>752</v>
      </c>
      <c r="F7" s="2982" t="s">
        <v>753</v>
      </c>
      <c r="G7" s="2981" t="s">
        <v>754</v>
      </c>
      <c r="H7" s="2982" t="s">
        <v>751</v>
      </c>
      <c r="I7" s="2982" t="s">
        <v>752</v>
      </c>
      <c r="J7" s="2982" t="s">
        <v>753</v>
      </c>
      <c r="K7" s="2981" t="s">
        <v>754</v>
      </c>
      <c r="L7" s="2983" t="s">
        <v>751</v>
      </c>
      <c r="M7" s="2983" t="s">
        <v>752</v>
      </c>
      <c r="N7" s="2983" t="s">
        <v>753</v>
      </c>
      <c r="O7" s="2983" t="s">
        <v>754</v>
      </c>
      <c r="P7" s="2983" t="s">
        <v>751</v>
      </c>
      <c r="Q7" s="2983" t="s">
        <v>752</v>
      </c>
      <c r="R7" s="2983" t="s">
        <v>753</v>
      </c>
      <c r="S7" s="2983" t="s">
        <v>754</v>
      </c>
      <c r="T7" s="3978" t="s">
        <v>751</v>
      </c>
      <c r="U7" s="3978" t="s">
        <v>752</v>
      </c>
      <c r="V7" s="3978" t="s">
        <v>753</v>
      </c>
      <c r="W7" s="4073" t="s">
        <v>754</v>
      </c>
      <c r="X7" s="4393" t="s">
        <v>751</v>
      </c>
    </row>
    <row r="8" spans="1:24" s="60" customFormat="1" ht="29.25" customHeight="1">
      <c r="A8" s="1930"/>
      <c r="B8" s="2984"/>
      <c r="C8" s="2985"/>
      <c r="D8" s="4842" t="s">
        <v>149</v>
      </c>
      <c r="E8" s="4842"/>
      <c r="F8" s="4842"/>
      <c r="G8" s="4842"/>
      <c r="H8" s="4842"/>
      <c r="I8" s="4842"/>
      <c r="J8" s="4842"/>
      <c r="K8" s="4842"/>
      <c r="L8" s="4842"/>
      <c r="M8" s="4842"/>
      <c r="N8" s="4842"/>
      <c r="O8" s="4842"/>
      <c r="P8" s="4842"/>
      <c r="Q8" s="4842"/>
      <c r="R8" s="4842"/>
      <c r="S8" s="4842"/>
      <c r="T8" s="4842"/>
      <c r="U8" s="4842"/>
      <c r="V8" s="4843"/>
      <c r="W8" s="4076"/>
      <c r="X8" s="4396"/>
    </row>
    <row r="9" spans="1:24" ht="18" customHeight="1">
      <c r="A9" s="1537"/>
      <c r="B9" s="2984" t="s">
        <v>150</v>
      </c>
      <c r="C9" s="2986">
        <v>39.92</v>
      </c>
      <c r="D9" s="2888">
        <v>174.45</v>
      </c>
      <c r="E9" s="2889">
        <v>177.73</v>
      </c>
      <c r="F9" s="2888">
        <v>182.06</v>
      </c>
      <c r="G9" s="2889">
        <v>185.05</v>
      </c>
      <c r="H9" s="2888">
        <v>194.34</v>
      </c>
      <c r="I9" s="2888">
        <v>211</v>
      </c>
      <c r="J9" s="2888">
        <v>207.32</v>
      </c>
      <c r="K9" s="2888">
        <v>206.89</v>
      </c>
      <c r="L9" s="2888">
        <v>209.61</v>
      </c>
      <c r="M9" s="2888">
        <v>104.86</v>
      </c>
      <c r="N9" s="2888">
        <v>109.64</v>
      </c>
      <c r="O9" s="2888">
        <v>114.46</v>
      </c>
      <c r="P9" s="2888">
        <v>115.51</v>
      </c>
      <c r="Q9" s="2974">
        <v>117.68600000000001</v>
      </c>
      <c r="R9" s="2974">
        <v>120.31666666666668</v>
      </c>
      <c r="S9" s="2974">
        <v>121.26333333333334</v>
      </c>
      <c r="T9" s="2974">
        <v>121.08999999999999</v>
      </c>
      <c r="U9" s="2974">
        <v>121.12333333333333</v>
      </c>
      <c r="V9" s="4074">
        <v>122.94333333333333</v>
      </c>
      <c r="W9" s="4074">
        <v>124.60333333333334</v>
      </c>
      <c r="X9" s="4074">
        <v>124.86666666666667</v>
      </c>
    </row>
    <row r="10" spans="1:24" ht="15">
      <c r="A10" s="1537"/>
      <c r="B10" s="2984" t="s">
        <v>151</v>
      </c>
      <c r="C10" s="2986">
        <v>60.08</v>
      </c>
      <c r="D10" s="2890">
        <v>146.08000000000001</v>
      </c>
      <c r="E10" s="2891">
        <v>149.32</v>
      </c>
      <c r="F10" s="2890">
        <v>152.68</v>
      </c>
      <c r="G10" s="2891">
        <v>155.35</v>
      </c>
      <c r="H10" s="2890">
        <v>158.34</v>
      </c>
      <c r="I10" s="2888">
        <v>165.25</v>
      </c>
      <c r="J10" s="2888">
        <v>167.44</v>
      </c>
      <c r="K10" s="2888">
        <v>168.24</v>
      </c>
      <c r="L10" s="2888">
        <v>172.06</v>
      </c>
      <c r="M10" s="2888">
        <v>105.23</v>
      </c>
      <c r="N10" s="2888">
        <v>108.37</v>
      </c>
      <c r="O10" s="2888">
        <v>109.27</v>
      </c>
      <c r="P10" s="2888">
        <v>110.49</v>
      </c>
      <c r="Q10" s="2888">
        <v>111.66</v>
      </c>
      <c r="R10" s="2974">
        <v>116.33333333333333</v>
      </c>
      <c r="S10" s="2974">
        <v>117.10333333333334</v>
      </c>
      <c r="T10" s="2974">
        <v>118.52333333333333</v>
      </c>
      <c r="U10" s="2974">
        <v>119.10000000000001</v>
      </c>
      <c r="V10" s="4074">
        <v>120.89333333333333</v>
      </c>
      <c r="W10" s="4074">
        <v>121.84666666666665</v>
      </c>
      <c r="X10" s="4074">
        <v>122.21</v>
      </c>
    </row>
    <row r="11" spans="1:24" ht="17.25" customHeight="1">
      <c r="A11" s="1537"/>
      <c r="B11" s="2984" t="s">
        <v>152</v>
      </c>
      <c r="C11" s="2986">
        <v>100</v>
      </c>
      <c r="D11" s="2888">
        <v>155.07</v>
      </c>
      <c r="E11" s="2889">
        <v>158.32</v>
      </c>
      <c r="F11" s="2888">
        <v>161.97999999999999</v>
      </c>
      <c r="G11" s="2888">
        <v>164.76</v>
      </c>
      <c r="H11" s="2888">
        <v>169.74</v>
      </c>
      <c r="I11" s="2888">
        <v>179.74</v>
      </c>
      <c r="J11" s="2888">
        <v>180.07</v>
      </c>
      <c r="K11" s="2888">
        <v>180.48</v>
      </c>
      <c r="L11" s="2888">
        <v>183.95</v>
      </c>
      <c r="M11" s="2888">
        <v>105.08</v>
      </c>
      <c r="N11" s="2888">
        <v>108.87</v>
      </c>
      <c r="O11" s="2888">
        <v>111.31</v>
      </c>
      <c r="P11" s="2888">
        <v>112.47</v>
      </c>
      <c r="Q11" s="2974">
        <v>114.026</v>
      </c>
      <c r="R11" s="2974">
        <v>117.90666666666668</v>
      </c>
      <c r="S11" s="2974">
        <v>118.74666666666667</v>
      </c>
      <c r="T11" s="2974">
        <v>119.54333333333334</v>
      </c>
      <c r="U11" s="2974">
        <v>119.90333333333332</v>
      </c>
      <c r="V11" s="4075">
        <v>121.71</v>
      </c>
      <c r="W11" s="4075">
        <v>122.94</v>
      </c>
      <c r="X11" s="4075">
        <v>123.24333333333333</v>
      </c>
    </row>
    <row r="12" spans="1:24" ht="25.5" customHeight="1">
      <c r="A12" s="1537"/>
      <c r="B12" s="2984" t="s">
        <v>142</v>
      </c>
      <c r="C12" s="2987"/>
      <c r="D12" s="4844" t="s">
        <v>194</v>
      </c>
      <c r="E12" s="4844"/>
      <c r="F12" s="4844"/>
      <c r="G12" s="4844"/>
      <c r="H12" s="4844"/>
      <c r="I12" s="4844"/>
      <c r="J12" s="4844"/>
      <c r="K12" s="4844"/>
      <c r="L12" s="4844"/>
      <c r="M12" s="4844"/>
      <c r="N12" s="4844"/>
      <c r="O12" s="4844"/>
      <c r="P12" s="4844"/>
      <c r="Q12" s="4844"/>
      <c r="R12" s="4844"/>
      <c r="S12" s="4844"/>
      <c r="T12" s="4844"/>
      <c r="U12" s="4844"/>
      <c r="V12" s="4844"/>
      <c r="W12" s="4844"/>
      <c r="X12" s="4394"/>
    </row>
    <row r="13" spans="1:24" ht="15">
      <c r="A13" s="1537"/>
      <c r="B13" s="2984" t="s">
        <v>150</v>
      </c>
      <c r="C13" s="2988">
        <v>39.92</v>
      </c>
      <c r="D13" s="2821">
        <v>10.53</v>
      </c>
      <c r="E13" s="2892">
        <v>10.56</v>
      </c>
      <c r="F13" s="2821">
        <v>10.72</v>
      </c>
      <c r="G13" s="2944">
        <v>8.9600000000000009</v>
      </c>
      <c r="H13" s="2821">
        <v>11.4</v>
      </c>
      <c r="I13" s="2821">
        <v>18.72</v>
      </c>
      <c r="J13" s="2821">
        <v>13.87</v>
      </c>
      <c r="K13" s="2821">
        <v>11.8</v>
      </c>
      <c r="L13" s="2821">
        <v>7.86</v>
      </c>
      <c r="M13" s="2821">
        <v>2.81</v>
      </c>
      <c r="N13" s="2821">
        <v>9.41</v>
      </c>
      <c r="O13" s="2821">
        <v>14.46</v>
      </c>
      <c r="P13" s="2821">
        <v>13.26</v>
      </c>
      <c r="Q13" s="2975">
        <v>12.326000000000001</v>
      </c>
      <c r="R13" s="2975">
        <v>9.9533333333333331</v>
      </c>
      <c r="S13" s="2975">
        <v>5.956666666666667</v>
      </c>
      <c r="T13" s="2975">
        <v>4.8266666666666671</v>
      </c>
      <c r="U13" s="2975">
        <v>2.9233333333333333</v>
      </c>
      <c r="V13" s="2974">
        <v>2.1833333333333331</v>
      </c>
      <c r="W13" s="4074">
        <v>2.7533333333333334</v>
      </c>
      <c r="X13" s="4074">
        <v>2.9066666666666663</v>
      </c>
    </row>
    <row r="14" spans="1:24" ht="15">
      <c r="A14" s="1537"/>
      <c r="B14" s="2984" t="s">
        <v>151</v>
      </c>
      <c r="C14" s="2988">
        <v>60.08</v>
      </c>
      <c r="D14" s="2890">
        <v>9.15</v>
      </c>
      <c r="E14" s="2892">
        <v>7.12</v>
      </c>
      <c r="F14" s="2890">
        <v>8.11</v>
      </c>
      <c r="G14" s="2891">
        <v>8.17</v>
      </c>
      <c r="H14" s="2890">
        <v>8.39</v>
      </c>
      <c r="I14" s="2888">
        <v>10.67</v>
      </c>
      <c r="J14" s="2888">
        <v>9.67</v>
      </c>
      <c r="K14" s="2888">
        <v>8.3000000000000007</v>
      </c>
      <c r="L14" s="2888">
        <v>8.66</v>
      </c>
      <c r="M14" s="2888">
        <v>7.14</v>
      </c>
      <c r="N14" s="2888">
        <v>8.89</v>
      </c>
      <c r="O14" s="2821">
        <v>9.27</v>
      </c>
      <c r="P14" s="2821">
        <v>7.02</v>
      </c>
      <c r="Q14" s="2821">
        <v>6.11</v>
      </c>
      <c r="R14" s="2975">
        <v>7.3466666666666667</v>
      </c>
      <c r="S14" s="2975">
        <v>7.166666666666667</v>
      </c>
      <c r="T14" s="2975">
        <v>7.2666666666666666</v>
      </c>
      <c r="U14" s="2975">
        <v>6.66</v>
      </c>
      <c r="V14" s="2974">
        <v>3.9233333333333333</v>
      </c>
      <c r="W14" s="4074">
        <v>4.0566666666666675</v>
      </c>
      <c r="X14" s="4074">
        <v>3.1133333333333333</v>
      </c>
    </row>
    <row r="15" spans="1:24" ht="15">
      <c r="A15" s="1537"/>
      <c r="B15" s="2984" t="s">
        <v>152</v>
      </c>
      <c r="C15" s="2989">
        <v>100</v>
      </c>
      <c r="D15" s="2893">
        <v>9.64</v>
      </c>
      <c r="E15" s="2894">
        <v>8.33</v>
      </c>
      <c r="F15" s="2893">
        <v>9.02</v>
      </c>
      <c r="G15" s="2895">
        <v>8.4499999999999993</v>
      </c>
      <c r="H15" s="2893">
        <v>9.4600000000000009</v>
      </c>
      <c r="I15" s="2821">
        <v>13.53</v>
      </c>
      <c r="J15" s="2821">
        <v>11.17</v>
      </c>
      <c r="K15" s="2821">
        <v>9.5399999999999991</v>
      </c>
      <c r="L15" s="2821">
        <v>8.3699999999999992</v>
      </c>
      <c r="M15" s="2821">
        <v>5.51</v>
      </c>
      <c r="N15" s="2821">
        <v>9.1199999999999992</v>
      </c>
      <c r="O15" s="2896">
        <v>11.31</v>
      </c>
      <c r="P15" s="2896">
        <v>9.4700000000000006</v>
      </c>
      <c r="Q15" s="2896">
        <v>8.5500000000000007</v>
      </c>
      <c r="R15" s="3061">
        <v>8.3766666666666669</v>
      </c>
      <c r="S15" s="3061">
        <v>6.6766666666666667</v>
      </c>
      <c r="T15" s="3061">
        <v>6.2833333333333341</v>
      </c>
      <c r="U15" s="3061">
        <v>5.1533333333333333</v>
      </c>
      <c r="V15" s="2974">
        <v>3.2266666666666666</v>
      </c>
      <c r="W15" s="4075">
        <v>3.5333333333333337</v>
      </c>
      <c r="X15" s="4075">
        <v>3.03</v>
      </c>
    </row>
    <row r="16" spans="1:24" ht="27" customHeight="1">
      <c r="A16" s="1537"/>
      <c r="B16" s="2990" t="s">
        <v>749</v>
      </c>
      <c r="C16" s="2991">
        <v>1</v>
      </c>
      <c r="D16" s="2897">
        <v>0.64</v>
      </c>
      <c r="E16" s="2894">
        <v>0.63</v>
      </c>
      <c r="F16" s="2897">
        <v>0.62</v>
      </c>
      <c r="G16" s="2898">
        <v>0.61</v>
      </c>
      <c r="H16" s="2898">
        <v>0.59</v>
      </c>
      <c r="I16" s="2897">
        <v>0.56000000000000005</v>
      </c>
      <c r="J16" s="2897">
        <v>0.56000000000000005</v>
      </c>
      <c r="K16" s="2897">
        <v>0.55000000000000004</v>
      </c>
      <c r="L16" s="2897">
        <v>0.54</v>
      </c>
      <c r="M16" s="2897">
        <v>0.94</v>
      </c>
      <c r="N16" s="2897">
        <v>0.91</v>
      </c>
      <c r="O16" s="2897">
        <v>0.89</v>
      </c>
      <c r="P16" s="2897">
        <v>0.89</v>
      </c>
      <c r="Q16" s="2897">
        <v>0.87</v>
      </c>
      <c r="R16" s="2992">
        <v>0.84666666666666668</v>
      </c>
      <c r="S16" s="2992">
        <v>0.84</v>
      </c>
      <c r="T16" s="2992">
        <v>0.84</v>
      </c>
      <c r="U16" s="2992">
        <v>0.83</v>
      </c>
      <c r="V16" s="2992">
        <v>0.82</v>
      </c>
      <c r="W16" s="2992">
        <v>0.81</v>
      </c>
      <c r="X16" s="4397">
        <f>AVERAGE(81,81,81)/100</f>
        <v>0.81</v>
      </c>
    </row>
    <row r="17" spans="1:104" ht="30" customHeight="1">
      <c r="A17" s="1537"/>
      <c r="B17" s="4831" t="s">
        <v>2046</v>
      </c>
      <c r="C17" s="4831"/>
      <c r="D17" s="4831"/>
      <c r="E17" s="4831"/>
      <c r="F17" s="4831"/>
      <c r="G17" s="4831"/>
      <c r="H17" s="4831"/>
      <c r="I17" s="4831"/>
      <c r="J17" s="4831"/>
      <c r="K17" s="4831"/>
      <c r="L17" s="4831"/>
      <c r="M17" s="4831"/>
      <c r="N17" s="4831"/>
      <c r="O17" s="4831"/>
      <c r="P17" s="4831"/>
      <c r="Q17" s="4831"/>
      <c r="R17" s="4831"/>
      <c r="S17" s="4831"/>
      <c r="T17" s="4831"/>
      <c r="U17" s="4831"/>
      <c r="V17" s="4831"/>
      <c r="W17" s="3979"/>
      <c r="X17" s="3979"/>
      <c r="Y17" s="3979"/>
      <c r="Z17" s="3979"/>
      <c r="AA17" s="3979"/>
      <c r="AB17" s="3979"/>
      <c r="AC17" s="3979"/>
      <c r="AD17" s="3979"/>
      <c r="AE17" s="3979"/>
      <c r="AF17" s="3979"/>
      <c r="AG17" s="3979"/>
      <c r="AH17" s="3979"/>
      <c r="AI17" s="3979"/>
      <c r="AJ17" s="3979"/>
      <c r="AK17" s="3979"/>
      <c r="AL17" s="3979"/>
      <c r="AM17" s="3979"/>
      <c r="AN17" s="3979"/>
      <c r="AO17" s="3979"/>
      <c r="AP17" s="3979"/>
      <c r="AQ17" s="3979"/>
      <c r="AR17" s="3979"/>
      <c r="AS17" s="3979"/>
      <c r="AT17" s="3979"/>
      <c r="AU17" s="3979"/>
      <c r="AV17" s="3979"/>
      <c r="AW17" s="3979"/>
      <c r="AX17" s="3979"/>
      <c r="AY17" s="3979"/>
      <c r="AZ17" s="3979"/>
      <c r="BA17" s="3979"/>
      <c r="BB17" s="3979"/>
      <c r="BC17" s="3979"/>
      <c r="BD17" s="3979"/>
      <c r="BE17" s="3979"/>
      <c r="BF17" s="3979"/>
      <c r="BG17" s="3979"/>
      <c r="BH17" s="3979"/>
      <c r="BI17" s="3979"/>
      <c r="BJ17" s="3979"/>
      <c r="BK17" s="3979"/>
      <c r="BL17" s="3979"/>
      <c r="BM17" s="3979"/>
      <c r="BN17" s="3979"/>
      <c r="BO17" s="3979"/>
      <c r="BP17" s="3979"/>
      <c r="BQ17" s="3979"/>
      <c r="BR17" s="3979"/>
      <c r="BS17" s="3979"/>
      <c r="BT17" s="3979"/>
      <c r="BU17" s="3979"/>
      <c r="BV17" s="3979"/>
      <c r="BW17" s="3979"/>
      <c r="BX17" s="3979"/>
      <c r="BY17" s="3979"/>
      <c r="BZ17" s="3979"/>
      <c r="CA17" s="3979"/>
      <c r="CB17" s="3979"/>
      <c r="CC17" s="3979"/>
      <c r="CD17" s="3979"/>
      <c r="CE17" s="3979"/>
      <c r="CF17" s="3979"/>
      <c r="CG17" s="3979"/>
      <c r="CH17" s="3979"/>
      <c r="CI17" s="3979"/>
      <c r="CJ17" s="3979"/>
      <c r="CK17" s="3979"/>
      <c r="CL17" s="3979"/>
      <c r="CM17" s="3979"/>
      <c r="CN17" s="3979"/>
      <c r="CO17" s="3979"/>
      <c r="CP17" s="3979"/>
      <c r="CQ17" s="3979"/>
      <c r="CR17" s="3979"/>
      <c r="CS17" s="3979"/>
      <c r="CT17" s="3979"/>
      <c r="CU17" s="3979"/>
      <c r="CV17" s="3979"/>
      <c r="CW17" s="3979"/>
      <c r="CX17" s="3979"/>
      <c r="CY17" s="3979"/>
      <c r="CZ17" s="3979"/>
    </row>
    <row r="18" spans="1:104">
      <c r="A18" s="1537"/>
      <c r="C18" s="3851"/>
      <c r="D18" s="3851"/>
      <c r="E18" s="3851"/>
      <c r="F18" s="3851"/>
      <c r="G18" s="3851"/>
      <c r="H18" s="3851"/>
      <c r="I18" s="3851"/>
      <c r="J18" s="3851"/>
      <c r="K18" s="3851"/>
      <c r="L18" s="3851"/>
      <c r="M18" s="3851"/>
      <c r="N18" s="3851"/>
      <c r="O18" s="3851"/>
      <c r="P18" s="3851"/>
      <c r="Q18" s="3851"/>
      <c r="R18" s="3851"/>
      <c r="S18" s="3851"/>
      <c r="T18" s="3851"/>
      <c r="U18" s="3851"/>
      <c r="V18" s="3851"/>
      <c r="W18" s="1537"/>
    </row>
    <row r="19" spans="1:104">
      <c r="A19" s="1537"/>
      <c r="B19" s="1537"/>
      <c r="C19" s="1537"/>
      <c r="D19" s="1537"/>
      <c r="E19" s="1537"/>
      <c r="F19" s="1537"/>
      <c r="G19" s="1537"/>
      <c r="H19" s="1537"/>
      <c r="I19" s="1537"/>
      <c r="J19" s="1537"/>
      <c r="K19" s="1537"/>
      <c r="L19" s="1537"/>
      <c r="M19" s="1537"/>
      <c r="N19" s="1537"/>
      <c r="O19" s="1537"/>
      <c r="P19" s="1537"/>
      <c r="Q19" s="1537"/>
      <c r="R19" s="1537"/>
      <c r="S19" s="1537"/>
      <c r="T19" s="1537"/>
      <c r="U19" s="1537"/>
      <c r="V19" s="1978"/>
      <c r="W19" s="1537"/>
    </row>
    <row r="20" spans="1:104" ht="15">
      <c r="A20" s="1537"/>
      <c r="B20" s="1981"/>
      <c r="C20" s="1981"/>
      <c r="D20" s="1981"/>
      <c r="E20" s="1981"/>
      <c r="F20" s="1981"/>
      <c r="G20" s="1981"/>
      <c r="H20" s="1981"/>
      <c r="I20" s="1981"/>
      <c r="J20" s="1981"/>
      <c r="K20" s="1981"/>
      <c r="L20" s="1981"/>
      <c r="M20" s="1981"/>
      <c r="N20" s="1981"/>
      <c r="O20" s="1537"/>
      <c r="P20" s="1537"/>
      <c r="Q20" s="1537"/>
      <c r="R20" s="1537"/>
      <c r="S20" s="1537"/>
      <c r="T20" s="1537"/>
      <c r="U20" s="1537"/>
      <c r="V20" s="1537"/>
      <c r="W20" s="1537"/>
    </row>
    <row r="21" spans="1:104" ht="15">
      <c r="A21" s="1537"/>
      <c r="B21" s="1981"/>
      <c r="C21" s="1981"/>
      <c r="D21" s="1537"/>
      <c r="E21" s="1537"/>
      <c r="F21" s="1537"/>
      <c r="G21" s="1537"/>
      <c r="H21" s="1537"/>
      <c r="I21" s="1537"/>
      <c r="J21" s="1537"/>
      <c r="K21" s="1537"/>
      <c r="L21" s="1537"/>
      <c r="M21" s="1537"/>
      <c r="N21" s="1981"/>
      <c r="O21" s="1537"/>
      <c r="P21" s="1537"/>
      <c r="Q21" s="1537"/>
      <c r="R21" s="1537"/>
      <c r="S21" s="1537"/>
      <c r="T21" s="1537"/>
      <c r="U21" s="1537"/>
      <c r="V21" s="1537"/>
      <c r="W21" s="1537"/>
      <c r="X21" s="133"/>
      <c r="Y21" s="133"/>
      <c r="Z21" s="133"/>
      <c r="AA21" s="133"/>
      <c r="AB21" s="133"/>
      <c r="AC21" s="133"/>
      <c r="AD21" s="133"/>
      <c r="AE21" s="133"/>
      <c r="AF21" s="133"/>
      <c r="AG21" s="133"/>
      <c r="AH21" s="133"/>
      <c r="AI21" s="133"/>
      <c r="AJ21" s="133"/>
      <c r="AK21" s="133"/>
      <c r="AL21" s="133"/>
      <c r="AM21" s="133"/>
      <c r="AN21" s="133"/>
      <c r="AO21" s="133"/>
    </row>
    <row r="22" spans="1:104" ht="15.75">
      <c r="A22" s="1537"/>
      <c r="B22" s="1537"/>
      <c r="C22" s="1537"/>
      <c r="D22" s="1537"/>
      <c r="E22" s="1537"/>
      <c r="F22" s="1537"/>
      <c r="G22" s="1537"/>
      <c r="H22" s="1537"/>
      <c r="I22" s="1537"/>
      <c r="J22" s="1537"/>
      <c r="K22" s="1537"/>
      <c r="L22" s="1537"/>
      <c r="M22" s="1537"/>
      <c r="N22" s="1981"/>
      <c r="O22" s="2752"/>
      <c r="P22" s="2752"/>
      <c r="Q22" s="2752"/>
      <c r="R22" s="2752"/>
      <c r="S22" s="2752"/>
      <c r="T22" s="2752"/>
      <c r="U22" s="2752"/>
      <c r="V22" s="2752"/>
      <c r="W22" s="2752"/>
      <c r="X22" s="3823"/>
      <c r="Y22" s="3823"/>
      <c r="Z22" s="3823"/>
      <c r="AA22" s="3823"/>
      <c r="AB22" s="3823"/>
      <c r="AC22" s="3823"/>
      <c r="AD22" s="3823"/>
      <c r="AE22" s="3823"/>
      <c r="AF22" s="3823"/>
      <c r="AG22" s="3823"/>
      <c r="AH22" s="3823"/>
      <c r="AI22" s="3824"/>
      <c r="AJ22" s="3824"/>
      <c r="AK22" s="3824"/>
      <c r="AL22" s="3824"/>
      <c r="AM22" s="3824"/>
      <c r="AN22" s="3824"/>
      <c r="AO22" s="3824"/>
      <c r="AP22" s="115"/>
      <c r="AQ22" s="115"/>
    </row>
    <row r="23" spans="1:104" ht="15.75">
      <c r="M23" s="133"/>
      <c r="N23" s="3825"/>
      <c r="O23" s="3826"/>
      <c r="P23" s="3826"/>
      <c r="Q23" s="3826"/>
      <c r="R23" s="3825"/>
      <c r="S23" s="3825"/>
      <c r="T23" s="3825"/>
      <c r="U23" s="3825"/>
      <c r="V23" s="3825"/>
      <c r="W23" s="3825"/>
      <c r="X23" s="3825"/>
      <c r="Y23" s="3825"/>
      <c r="Z23" s="3825"/>
      <c r="AA23" s="3825"/>
      <c r="AB23" s="3825"/>
      <c r="AC23" s="3825"/>
      <c r="AD23" s="3825"/>
      <c r="AE23" s="3825"/>
      <c r="AF23" s="3825"/>
      <c r="AG23" s="3825"/>
      <c r="AH23" s="3825"/>
      <c r="AI23" s="3824"/>
      <c r="AJ23" s="3824"/>
      <c r="AK23" s="3824"/>
      <c r="AL23" s="3824"/>
      <c r="AM23" s="3824"/>
      <c r="AN23" s="3824"/>
      <c r="AO23" s="3824"/>
      <c r="AP23" s="115"/>
      <c r="AQ23" s="115"/>
    </row>
    <row r="24" spans="1:104" ht="15.75">
      <c r="M24" s="133"/>
      <c r="N24" s="4818"/>
      <c r="O24" s="4818"/>
      <c r="P24" s="4818"/>
      <c r="Q24" s="4818"/>
      <c r="R24" s="4819"/>
      <c r="S24" s="4820"/>
      <c r="T24" s="4820"/>
      <c r="U24" s="4820"/>
      <c r="V24" s="4821"/>
      <c r="W24" s="4821"/>
      <c r="X24" s="4822"/>
      <c r="Y24" s="4823"/>
      <c r="Z24" s="4823"/>
      <c r="AA24" s="4823"/>
      <c r="AB24" s="4824"/>
      <c r="AC24" s="4825"/>
      <c r="AD24" s="4826"/>
      <c r="AE24" s="4826"/>
      <c r="AF24" s="4826"/>
      <c r="AG24" s="4825"/>
      <c r="AH24" s="4825"/>
      <c r="AI24" s="4827"/>
      <c r="AJ24" s="4827"/>
      <c r="AK24" s="4825"/>
      <c r="AL24" s="4828"/>
      <c r="AM24" s="4829"/>
      <c r="AN24" s="4829"/>
      <c r="AO24" s="3827"/>
      <c r="AP24" s="115"/>
      <c r="AQ24" s="115"/>
    </row>
    <row r="25" spans="1:104" ht="15.75">
      <c r="M25" s="133"/>
      <c r="N25" s="3828"/>
      <c r="O25" s="3828"/>
      <c r="P25" s="3828"/>
      <c r="Q25" s="3828"/>
      <c r="R25" s="3828"/>
      <c r="S25" s="3828"/>
      <c r="T25" s="3828"/>
      <c r="U25" s="3828"/>
      <c r="V25" s="3829"/>
      <c r="W25" s="3829"/>
      <c r="X25" s="3829"/>
      <c r="Y25" s="3829"/>
      <c r="Z25" s="3829"/>
      <c r="AA25" s="3829"/>
      <c r="AB25" s="3829"/>
      <c r="AC25" s="3830"/>
      <c r="AD25" s="3829"/>
      <c r="AE25" s="3830"/>
      <c r="AF25" s="3830"/>
      <c r="AG25" s="3830"/>
      <c r="AH25" s="3830"/>
      <c r="AI25" s="3830"/>
      <c r="AJ25" s="3830"/>
      <c r="AK25" s="3830"/>
      <c r="AL25" s="3830"/>
      <c r="AM25" s="3830"/>
      <c r="AN25" s="3830"/>
      <c r="AO25" s="3830"/>
      <c r="AP25" s="115"/>
      <c r="AQ25" s="115"/>
    </row>
    <row r="26" spans="1:104" ht="15" customHeight="1">
      <c r="M26" s="133"/>
      <c r="N26" s="3824"/>
      <c r="O26" s="3831"/>
      <c r="P26" s="3831"/>
      <c r="Q26" s="3831"/>
      <c r="R26" s="3849"/>
      <c r="S26" s="3849"/>
      <c r="T26" s="3849"/>
      <c r="U26" s="3849"/>
      <c r="V26" s="3849"/>
      <c r="W26" s="3849"/>
      <c r="X26" s="3849"/>
      <c r="Y26" s="3849"/>
      <c r="Z26" s="3849"/>
      <c r="AA26" s="3849"/>
      <c r="AB26" s="3849"/>
      <c r="AC26" s="3849"/>
      <c r="AD26" s="3849"/>
      <c r="AE26" s="3849"/>
      <c r="AF26" s="3849"/>
      <c r="AG26" s="3849"/>
      <c r="AH26" s="3849"/>
      <c r="AI26" s="3850"/>
      <c r="AJ26" s="3850"/>
      <c r="AK26" s="3850"/>
      <c r="AL26" s="3850"/>
      <c r="AM26" s="3824"/>
      <c r="AN26" s="3824"/>
      <c r="AO26" s="3824"/>
      <c r="AP26" s="115"/>
      <c r="AQ26" s="115"/>
    </row>
    <row r="27" spans="1:104" ht="15" customHeight="1">
      <c r="M27" s="133"/>
      <c r="N27" s="3832"/>
      <c r="O27" s="3831"/>
      <c r="P27" s="3831"/>
      <c r="Q27" s="3831"/>
      <c r="R27" s="3849"/>
      <c r="S27" s="3849"/>
      <c r="T27" s="3849"/>
      <c r="U27" s="3849"/>
      <c r="V27" s="3849"/>
      <c r="W27" s="3849"/>
      <c r="X27" s="3849"/>
      <c r="Y27" s="3849"/>
      <c r="Z27" s="3849"/>
      <c r="AA27" s="3849"/>
      <c r="AB27" s="3849"/>
      <c r="AC27" s="3849"/>
      <c r="AD27" s="3849"/>
      <c r="AE27" s="3849"/>
      <c r="AF27" s="3849"/>
      <c r="AG27" s="3849"/>
      <c r="AH27" s="3849"/>
      <c r="AI27" s="3850"/>
      <c r="AJ27" s="3850"/>
      <c r="AK27" s="3850"/>
      <c r="AL27" s="3850"/>
      <c r="AM27" s="3824"/>
      <c r="AN27" s="3824"/>
      <c r="AO27" s="3824"/>
      <c r="AP27" s="115"/>
      <c r="AQ27" s="115"/>
    </row>
    <row r="28" spans="1:104" ht="15" customHeight="1">
      <c r="M28" s="133"/>
      <c r="N28" s="3824"/>
      <c r="O28" s="3831"/>
      <c r="P28" s="3831"/>
      <c r="Q28" s="3831"/>
      <c r="R28" s="3849"/>
      <c r="S28" s="3849"/>
      <c r="T28" s="3849"/>
      <c r="U28" s="3849"/>
      <c r="V28" s="3849"/>
      <c r="W28" s="3849"/>
      <c r="X28" s="3849"/>
      <c r="Y28" s="3849"/>
      <c r="Z28" s="3849"/>
      <c r="AA28" s="3849"/>
      <c r="AB28" s="3849"/>
      <c r="AC28" s="3849"/>
      <c r="AD28" s="3849"/>
      <c r="AE28" s="3849"/>
      <c r="AF28" s="3849"/>
      <c r="AG28" s="3849"/>
      <c r="AH28" s="3849"/>
      <c r="AI28" s="3850"/>
      <c r="AJ28" s="3850"/>
      <c r="AK28" s="3850"/>
      <c r="AL28" s="3850"/>
      <c r="AM28" s="3824"/>
      <c r="AN28" s="3824"/>
      <c r="AO28" s="3824"/>
      <c r="AP28" s="115"/>
      <c r="AQ28" s="115"/>
    </row>
    <row r="29" spans="1:104" ht="15">
      <c r="M29" s="133"/>
      <c r="N29" s="3833"/>
      <c r="O29" s="3834"/>
      <c r="P29" s="3834"/>
      <c r="Q29" s="3834"/>
      <c r="R29" s="3835"/>
      <c r="S29" s="3835"/>
      <c r="T29" s="3834"/>
      <c r="U29" s="3834"/>
      <c r="V29" s="3834"/>
      <c r="W29" s="3836"/>
      <c r="X29" s="3836"/>
      <c r="Y29" s="3836"/>
      <c r="Z29" s="3836"/>
      <c r="AA29" s="3836"/>
      <c r="AB29" s="3837"/>
      <c r="AC29" s="3837"/>
      <c r="AD29" s="3837"/>
      <c r="AE29" s="3837"/>
      <c r="AF29" s="3837"/>
      <c r="AG29" s="3837"/>
      <c r="AH29" s="3837"/>
      <c r="AI29" s="3838"/>
      <c r="AJ29" s="3838"/>
      <c r="AK29" s="3838"/>
      <c r="AL29" s="3838"/>
      <c r="AM29" s="3838"/>
      <c r="AN29" s="3838"/>
      <c r="AO29" s="3839"/>
      <c r="AP29" s="115"/>
      <c r="AQ29" s="115"/>
    </row>
    <row r="30" spans="1:104" ht="15">
      <c r="M30" s="133"/>
      <c r="N30" s="3833"/>
      <c r="O30" s="3834"/>
      <c r="P30" s="3834"/>
      <c r="Q30" s="3834"/>
      <c r="R30" s="3835"/>
      <c r="S30" s="3835"/>
      <c r="T30" s="3834"/>
      <c r="U30" s="3834"/>
      <c r="V30" s="3834"/>
      <c r="W30" s="3836"/>
      <c r="X30" s="3836"/>
      <c r="Y30" s="3836"/>
      <c r="Z30" s="3836"/>
      <c r="AA30" s="3836"/>
      <c r="AB30" s="3837"/>
      <c r="AC30" s="3837"/>
      <c r="AD30" s="3837"/>
      <c r="AE30" s="3837"/>
      <c r="AF30" s="3837"/>
      <c r="AG30" s="3837"/>
      <c r="AH30" s="3837"/>
      <c r="AI30" s="3838"/>
      <c r="AJ30" s="3838"/>
      <c r="AK30" s="3838"/>
      <c r="AL30" s="3838"/>
      <c r="AM30" s="3838"/>
      <c r="AN30" s="3838"/>
      <c r="AO30" s="3839"/>
      <c r="AP30" s="115"/>
      <c r="AQ30" s="115"/>
    </row>
    <row r="31" spans="1:104" ht="15">
      <c r="M31" s="133"/>
      <c r="N31" s="3833"/>
      <c r="O31" s="3834"/>
      <c r="P31" s="3834"/>
      <c r="Q31" s="3834"/>
      <c r="R31" s="3835"/>
      <c r="S31" s="3835"/>
      <c r="T31" s="3834"/>
      <c r="U31" s="3834"/>
      <c r="V31" s="3834"/>
      <c r="W31" s="3836"/>
      <c r="X31" s="3836"/>
      <c r="Y31" s="3836"/>
      <c r="Z31" s="3836"/>
      <c r="AA31" s="3836"/>
      <c r="AB31" s="3837"/>
      <c r="AC31" s="3837"/>
      <c r="AD31" s="3837"/>
      <c r="AE31" s="3837"/>
      <c r="AF31" s="3837"/>
      <c r="AG31" s="3837"/>
      <c r="AH31" s="3837"/>
      <c r="AI31" s="3838"/>
      <c r="AJ31" s="3838"/>
      <c r="AK31" s="3838"/>
      <c r="AL31" s="3838"/>
      <c r="AM31" s="3838"/>
      <c r="AN31" s="3838"/>
      <c r="AO31" s="3839"/>
      <c r="AP31" s="115"/>
      <c r="AQ31" s="115"/>
    </row>
    <row r="32" spans="1:104" ht="15.75">
      <c r="M32" s="133"/>
      <c r="N32" s="3840"/>
      <c r="O32" s="4816"/>
      <c r="P32" s="4816"/>
      <c r="Q32" s="4816"/>
      <c r="R32" s="4816"/>
      <c r="S32" s="4816"/>
      <c r="T32" s="4816"/>
      <c r="U32" s="4816"/>
      <c r="V32" s="4816"/>
      <c r="W32" s="4816"/>
      <c r="X32" s="4816"/>
      <c r="Y32" s="4816"/>
      <c r="Z32" s="4816"/>
      <c r="AA32" s="4816"/>
      <c r="AB32" s="4816"/>
      <c r="AC32" s="4816"/>
      <c r="AD32" s="4816"/>
      <c r="AE32" s="4816"/>
      <c r="AF32" s="4816"/>
      <c r="AG32" s="4816"/>
      <c r="AH32" s="4817"/>
      <c r="AI32" s="4817"/>
      <c r="AJ32" s="4817"/>
      <c r="AK32" s="4817"/>
      <c r="AL32" s="4817"/>
      <c r="AM32" s="3824"/>
      <c r="AN32" s="3824"/>
      <c r="AO32" s="3840"/>
      <c r="AP32" s="115"/>
      <c r="AQ32" s="115"/>
    </row>
    <row r="33" spans="13:43" ht="15">
      <c r="M33" s="133"/>
      <c r="N33" s="3841"/>
      <c r="O33" s="3824"/>
      <c r="P33" s="3824"/>
      <c r="Q33" s="3824"/>
      <c r="R33" s="3824"/>
      <c r="S33" s="3824"/>
      <c r="T33" s="3824"/>
      <c r="U33" s="3824"/>
      <c r="V33" s="3824"/>
      <c r="W33" s="3824"/>
      <c r="X33" s="3824"/>
      <c r="Y33" s="3834"/>
      <c r="Z33" s="3834"/>
      <c r="AA33" s="3834"/>
      <c r="AB33" s="3824"/>
      <c r="AC33" s="3824"/>
      <c r="AD33" s="3824"/>
      <c r="AE33" s="3824"/>
      <c r="AF33" s="3824"/>
      <c r="AG33" s="3824"/>
      <c r="AH33" s="3824"/>
      <c r="AI33" s="3824"/>
      <c r="AJ33" s="3824"/>
      <c r="AK33" s="3824"/>
      <c r="AL33" s="3824"/>
      <c r="AM33" s="3824"/>
      <c r="AN33" s="3824"/>
      <c r="AO33" s="3840"/>
      <c r="AP33" s="115"/>
      <c r="AQ33" s="115"/>
    </row>
    <row r="34" spans="13:43" ht="15">
      <c r="M34" s="133"/>
      <c r="N34" s="3842"/>
      <c r="O34" s="3834"/>
      <c r="P34" s="3834"/>
      <c r="Q34" s="3834"/>
      <c r="R34" s="3834"/>
      <c r="S34" s="3834"/>
      <c r="T34" s="3834"/>
      <c r="U34" s="3834"/>
      <c r="V34" s="3834"/>
      <c r="W34" s="3836"/>
      <c r="X34" s="3836"/>
      <c r="Y34" s="3836"/>
      <c r="Z34" s="3836"/>
      <c r="AA34" s="3836"/>
      <c r="AB34" s="3836"/>
      <c r="AC34" s="3836"/>
      <c r="AD34" s="3836"/>
      <c r="AE34" s="3836"/>
      <c r="AF34" s="3836"/>
      <c r="AG34" s="3836"/>
      <c r="AH34" s="3836"/>
      <c r="AI34" s="3834"/>
      <c r="AJ34" s="3834"/>
      <c r="AK34" s="3834"/>
      <c r="AL34" s="3834"/>
      <c r="AM34" s="3834"/>
      <c r="AN34" s="3834"/>
      <c r="AO34" s="3834"/>
      <c r="AP34" s="115"/>
      <c r="AQ34" s="115"/>
    </row>
    <row r="35" spans="13:43" ht="15">
      <c r="M35" s="133"/>
      <c r="N35" s="3842"/>
      <c r="O35" s="3834"/>
      <c r="P35" s="3834"/>
      <c r="Q35" s="3834"/>
      <c r="R35" s="3834"/>
      <c r="S35" s="3834"/>
      <c r="T35" s="3834"/>
      <c r="U35" s="3834"/>
      <c r="V35" s="3834"/>
      <c r="W35" s="3836"/>
      <c r="X35" s="3836"/>
      <c r="Y35" s="3836"/>
      <c r="Z35" s="3836"/>
      <c r="AA35" s="3836"/>
      <c r="AB35" s="3843"/>
      <c r="AC35" s="3843"/>
      <c r="AD35" s="3843"/>
      <c r="AE35" s="3843"/>
      <c r="AF35" s="3843"/>
      <c r="AG35" s="3843"/>
      <c r="AH35" s="3836"/>
      <c r="AI35" s="3832"/>
      <c r="AJ35" s="3832"/>
      <c r="AK35" s="3832"/>
      <c r="AL35" s="3832"/>
      <c r="AM35" s="3832"/>
      <c r="AN35" s="3832"/>
      <c r="AO35" s="3832"/>
      <c r="AP35" s="115"/>
      <c r="AQ35" s="115"/>
    </row>
    <row r="36" spans="13:43" ht="15">
      <c r="M36" s="133"/>
      <c r="N36" s="3842"/>
      <c r="O36" s="3834"/>
      <c r="P36" s="3834"/>
      <c r="Q36" s="3834"/>
      <c r="R36" s="3834"/>
      <c r="S36" s="3834"/>
      <c r="T36" s="3834"/>
      <c r="U36" s="3834"/>
      <c r="V36" s="3834"/>
      <c r="W36" s="3836"/>
      <c r="X36" s="3836"/>
      <c r="Y36" s="3836"/>
      <c r="Z36" s="3836"/>
      <c r="AA36" s="3836"/>
      <c r="AB36" s="3843"/>
      <c r="AC36" s="3843"/>
      <c r="AD36" s="3843"/>
      <c r="AE36" s="3843"/>
      <c r="AF36" s="3843"/>
      <c r="AG36" s="3843"/>
      <c r="AH36" s="3836"/>
      <c r="AI36" s="3832"/>
      <c r="AJ36" s="3832"/>
      <c r="AK36" s="3832"/>
      <c r="AL36" s="3832"/>
      <c r="AM36" s="3832"/>
      <c r="AN36" s="3832"/>
      <c r="AO36" s="3832"/>
      <c r="AP36" s="115"/>
      <c r="AQ36" s="115"/>
    </row>
    <row r="37" spans="13:43" ht="15">
      <c r="M37" s="133"/>
      <c r="N37" s="3844"/>
      <c r="O37" s="3844"/>
      <c r="P37" s="3844"/>
      <c r="Q37" s="3844"/>
      <c r="R37" s="3844"/>
      <c r="S37" s="3844"/>
      <c r="T37" s="3844"/>
      <c r="U37" s="3844"/>
      <c r="V37" s="3844"/>
      <c r="W37" s="3845"/>
      <c r="X37" s="3845"/>
      <c r="Y37" s="3845"/>
      <c r="Z37" s="3845"/>
      <c r="AA37" s="3836"/>
      <c r="AB37" s="3843"/>
      <c r="AC37" s="3843"/>
      <c r="AD37" s="3843"/>
      <c r="AE37" s="3843"/>
      <c r="AF37" s="3846"/>
      <c r="AG37" s="3843"/>
      <c r="AH37" s="3836"/>
      <c r="AI37" s="3832"/>
      <c r="AJ37" s="3832"/>
      <c r="AK37" s="3832"/>
      <c r="AL37" s="3832"/>
      <c r="AM37" s="3832"/>
      <c r="AN37" s="3832"/>
      <c r="AO37" s="3832"/>
      <c r="AP37" s="115"/>
      <c r="AQ37" s="115"/>
    </row>
    <row r="38" spans="13:43" ht="15.75">
      <c r="M38" s="133"/>
      <c r="N38" s="3847"/>
      <c r="O38" s="3847"/>
      <c r="P38" s="3847"/>
      <c r="Q38" s="3847"/>
      <c r="R38" s="3847"/>
      <c r="S38" s="3847"/>
      <c r="T38" s="3847"/>
      <c r="U38" s="3847"/>
      <c r="V38" s="3847"/>
      <c r="W38" s="3848"/>
      <c r="X38" s="3848"/>
      <c r="Y38" s="3848"/>
      <c r="Z38" s="3848"/>
      <c r="AA38" s="3848"/>
      <c r="AB38" s="3848"/>
      <c r="AC38" s="3848"/>
      <c r="AD38" s="3848"/>
      <c r="AE38" s="3848"/>
      <c r="AF38" s="3848"/>
      <c r="AG38" s="3848"/>
      <c r="AH38" s="3848"/>
      <c r="AI38" s="3848"/>
      <c r="AJ38" s="3848"/>
      <c r="AK38" s="3848"/>
      <c r="AL38" s="3848"/>
      <c r="AM38" s="3848"/>
      <c r="AN38" s="3848"/>
      <c r="AO38" s="3824"/>
      <c r="AP38" s="115"/>
      <c r="AQ38" s="115"/>
    </row>
    <row r="39" spans="13:43">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row>
    <row r="54" spans="2:13" ht="15.75">
      <c r="D54" s="2753"/>
      <c r="E54" s="2753"/>
      <c r="F54" s="2753"/>
      <c r="G54" s="2753"/>
      <c r="H54" s="2753"/>
      <c r="I54" s="2753"/>
      <c r="J54" s="2753"/>
      <c r="K54" s="2753"/>
      <c r="L54" s="2753"/>
      <c r="M54" s="2753"/>
    </row>
    <row r="55" spans="2:13" ht="15.75">
      <c r="B55" s="2753"/>
      <c r="C55" s="2753"/>
      <c r="D55" s="2753"/>
      <c r="E55" s="2753"/>
      <c r="F55" s="2753"/>
      <c r="G55" s="2753"/>
      <c r="H55" s="2753"/>
      <c r="I55" s="2753"/>
      <c r="J55" s="2753"/>
      <c r="K55" s="2753"/>
      <c r="L55" s="2753"/>
      <c r="M55" s="2753"/>
    </row>
    <row r="56" spans="2:13" ht="15.75">
      <c r="B56" s="2753"/>
      <c r="C56" s="2753"/>
      <c r="D56" s="2753"/>
      <c r="E56" s="2753"/>
      <c r="F56" s="2753"/>
      <c r="G56" s="2753"/>
      <c r="H56" s="2753"/>
      <c r="I56" s="2753"/>
      <c r="J56" s="2753"/>
      <c r="K56" s="2753"/>
      <c r="L56" s="2753"/>
      <c r="M56" s="2753"/>
    </row>
    <row r="57" spans="2:13" ht="15.75">
      <c r="B57" s="2753"/>
      <c r="C57" s="2753"/>
      <c r="D57" s="2753"/>
      <c r="E57" s="2753"/>
      <c r="F57" s="2753"/>
      <c r="G57" s="2753"/>
      <c r="H57" s="2753"/>
      <c r="I57" s="2753"/>
      <c r="J57" s="2753"/>
      <c r="K57" s="2753"/>
      <c r="L57" s="2753"/>
      <c r="M57" s="2753"/>
    </row>
    <row r="58" spans="2:13" ht="15.75">
      <c r="B58" s="2753"/>
      <c r="C58" s="2753"/>
      <c r="D58" s="2753"/>
      <c r="E58" s="2753"/>
      <c r="F58" s="2753"/>
      <c r="G58" s="2753"/>
      <c r="H58" s="2753"/>
      <c r="I58" s="2753"/>
      <c r="J58" s="2753"/>
      <c r="K58" s="2753"/>
      <c r="L58" s="2753"/>
      <c r="M58" s="2753"/>
    </row>
    <row r="59" spans="2:13" ht="15.75">
      <c r="B59" s="2753"/>
      <c r="C59" s="2753"/>
      <c r="D59" s="2753"/>
      <c r="E59" s="2753"/>
      <c r="F59" s="2753"/>
      <c r="G59" s="2753"/>
      <c r="H59" s="2753"/>
      <c r="I59" s="2753"/>
      <c r="J59" s="2753"/>
      <c r="K59" s="2753"/>
      <c r="L59" s="2753"/>
      <c r="M59" s="2753"/>
    </row>
    <row r="60" spans="2:13" ht="15.75">
      <c r="B60" s="2753"/>
      <c r="C60" s="2753"/>
    </row>
  </sheetData>
  <mergeCells count="19">
    <mergeCell ref="B2:C2"/>
    <mergeCell ref="B17:V17"/>
    <mergeCell ref="C6:C7"/>
    <mergeCell ref="L6:O6"/>
    <mergeCell ref="H6:K6"/>
    <mergeCell ref="D6:G6"/>
    <mergeCell ref="P6:S6"/>
    <mergeCell ref="D8:V8"/>
    <mergeCell ref="D12:W12"/>
    <mergeCell ref="D5:W5"/>
    <mergeCell ref="T6:W6"/>
    <mergeCell ref="O32:AL32"/>
    <mergeCell ref="N24:Q24"/>
    <mergeCell ref="R24:U24"/>
    <mergeCell ref="V24:X24"/>
    <mergeCell ref="Y24:AB24"/>
    <mergeCell ref="AC24:AF24"/>
    <mergeCell ref="AG24:AJ24"/>
    <mergeCell ref="AK24:AN24"/>
  </mergeCells>
  <phoneticPr fontId="0" type="noConversion"/>
  <pageMargins left="1.38" right="0.75" top="1.38" bottom="1" header="0.5" footer="0.5"/>
  <pageSetup paperSize="9" scale="75"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dimension ref="A1:Y32"/>
  <sheetViews>
    <sheetView zoomScale="90" zoomScaleNormal="90" workbookViewId="0">
      <pane xSplit="3" ySplit="6" topLeftCell="H7" activePane="bottomRight" state="frozen"/>
      <selection pane="topRight" activeCell="D1" sqref="D1"/>
      <selection pane="bottomLeft" activeCell="A7" sqref="A7"/>
      <selection pane="bottomRight" activeCell="D15" sqref="D15:I15"/>
    </sheetView>
  </sheetViews>
  <sheetFormatPr defaultRowHeight="15"/>
  <cols>
    <col min="1" max="1" width="9.140625" style="3435"/>
    <col min="2" max="2" width="10.42578125" style="3435" bestFit="1" customWidth="1"/>
    <col min="3" max="3" width="14.5703125" style="3435" customWidth="1"/>
    <col min="4" max="14" width="9.7109375" style="3435" customWidth="1"/>
    <col min="15" max="16384" width="9.140625" style="3435"/>
  </cols>
  <sheetData>
    <row r="1" spans="1:25">
      <c r="A1" s="3451"/>
      <c r="B1" s="3451"/>
      <c r="C1" s="3451"/>
      <c r="D1" s="3451"/>
      <c r="E1" s="3451"/>
      <c r="F1" s="3451"/>
      <c r="G1" s="3451"/>
      <c r="H1" s="3451"/>
      <c r="I1" s="3451"/>
      <c r="J1" s="3451"/>
      <c r="K1" s="3451"/>
      <c r="L1" s="3451"/>
      <c r="M1" s="3451"/>
      <c r="N1" s="3451"/>
      <c r="O1" s="3451"/>
      <c r="P1" s="3451"/>
      <c r="Q1" s="3451"/>
      <c r="R1" s="3451"/>
      <c r="S1" s="3451"/>
      <c r="T1" s="3451"/>
      <c r="U1" s="3451"/>
      <c r="V1" s="3451"/>
    </row>
    <row r="2" spans="1:25" ht="18">
      <c r="A2" s="3451"/>
      <c r="B2" s="3965" t="s">
        <v>2040</v>
      </c>
      <c r="C2" s="3965"/>
      <c r="D2" s="3965"/>
      <c r="E2" s="3965"/>
      <c r="F2" s="3965"/>
      <c r="G2" s="3965"/>
      <c r="H2" s="3965"/>
      <c r="I2" s="3965"/>
      <c r="J2" s="3965"/>
      <c r="K2" s="3965"/>
      <c r="L2" s="3965"/>
      <c r="M2" s="3965"/>
      <c r="N2" s="3965"/>
      <c r="O2" s="3965"/>
      <c r="P2" s="3965"/>
      <c r="Q2" s="3965"/>
      <c r="R2" s="3965"/>
      <c r="S2" s="3965"/>
      <c r="T2" s="3965"/>
      <c r="U2" s="3451"/>
      <c r="V2" s="3451"/>
    </row>
    <row r="3" spans="1:25" ht="15.75">
      <c r="A3" s="3451"/>
      <c r="B3" s="4860" t="s">
        <v>1882</v>
      </c>
      <c r="C3" s="4859"/>
      <c r="D3" s="3451"/>
      <c r="E3" s="3451"/>
      <c r="F3" s="3451"/>
      <c r="G3" s="3451"/>
      <c r="H3" s="3451"/>
      <c r="I3" s="3451"/>
      <c r="J3" s="3451"/>
      <c r="K3" s="3451"/>
      <c r="L3" s="3451"/>
      <c r="M3" s="3451"/>
      <c r="N3" s="3451"/>
      <c r="O3" s="3451"/>
      <c r="P3" s="3451"/>
      <c r="Q3" s="3451"/>
      <c r="R3" s="3451"/>
      <c r="S3" s="3451"/>
      <c r="T3" s="3451"/>
      <c r="U3" s="3451"/>
      <c r="V3" s="3451"/>
    </row>
    <row r="4" spans="1:25" ht="15.75">
      <c r="A4" s="3451"/>
      <c r="B4" s="3452" t="s">
        <v>143</v>
      </c>
      <c r="C4" s="3453"/>
      <c r="D4" s="4851" t="s">
        <v>149</v>
      </c>
      <c r="E4" s="4852"/>
      <c r="F4" s="4852"/>
      <c r="G4" s="4852"/>
      <c r="H4" s="4852"/>
      <c r="I4" s="4852"/>
      <c r="J4" s="4852"/>
      <c r="K4" s="4852"/>
      <c r="L4" s="4852"/>
      <c r="M4" s="4852"/>
      <c r="N4" s="4853"/>
      <c r="O4" s="4851" t="s">
        <v>2042</v>
      </c>
      <c r="P4" s="4852"/>
      <c r="Q4" s="4852"/>
      <c r="R4" s="4852"/>
      <c r="S4" s="4852"/>
      <c r="T4" s="4852"/>
      <c r="U4" s="4852"/>
      <c r="V4" s="4852"/>
      <c r="W4" s="4852"/>
      <c r="X4" s="4852"/>
      <c r="Y4" s="4853"/>
    </row>
    <row r="5" spans="1:25" ht="15.75">
      <c r="A5" s="3451"/>
      <c r="B5" s="4854" t="s">
        <v>146</v>
      </c>
      <c r="C5" s="4861" t="s">
        <v>1530</v>
      </c>
      <c r="D5" s="4848">
        <v>2015</v>
      </c>
      <c r="E5" s="4849"/>
      <c r="F5" s="4849"/>
      <c r="G5" s="4849"/>
      <c r="H5" s="4849"/>
      <c r="I5" s="4849"/>
      <c r="J5" s="4849"/>
      <c r="K5" s="4850"/>
      <c r="L5" s="4848">
        <v>2016</v>
      </c>
      <c r="M5" s="4849"/>
      <c r="N5" s="4850"/>
      <c r="O5" s="4858">
        <v>2015</v>
      </c>
      <c r="P5" s="4858"/>
      <c r="Q5" s="4858"/>
      <c r="R5" s="4858"/>
      <c r="S5" s="4858"/>
      <c r="T5" s="4858"/>
      <c r="U5" s="4858"/>
      <c r="V5" s="4858"/>
      <c r="W5" s="4845">
        <v>2016</v>
      </c>
      <c r="X5" s="4846"/>
      <c r="Y5" s="4847"/>
    </row>
    <row r="6" spans="1:25" ht="15.75">
      <c r="A6" s="3451"/>
      <c r="B6" s="4855"/>
      <c r="C6" s="4857"/>
      <c r="D6" s="3454" t="s">
        <v>165</v>
      </c>
      <c r="E6" s="3454" t="s">
        <v>166</v>
      </c>
      <c r="F6" s="3454" t="s">
        <v>167</v>
      </c>
      <c r="G6" s="3454" t="s">
        <v>168</v>
      </c>
      <c r="H6" s="3454" t="s">
        <v>169</v>
      </c>
      <c r="I6" s="3454" t="s">
        <v>170</v>
      </c>
      <c r="J6" s="3966" t="s">
        <v>171</v>
      </c>
      <c r="K6" s="3966" t="s">
        <v>148</v>
      </c>
      <c r="L6" s="4398" t="s">
        <v>161</v>
      </c>
      <c r="M6" s="4398" t="s">
        <v>162</v>
      </c>
      <c r="N6" s="4398" t="s">
        <v>163</v>
      </c>
      <c r="O6" s="3454" t="s">
        <v>165</v>
      </c>
      <c r="P6" s="3454" t="s">
        <v>166</v>
      </c>
      <c r="Q6" s="3454" t="s">
        <v>167</v>
      </c>
      <c r="R6" s="3454" t="s">
        <v>168</v>
      </c>
      <c r="S6" s="3454" t="s">
        <v>169</v>
      </c>
      <c r="T6" s="3454" t="s">
        <v>170</v>
      </c>
      <c r="U6" s="3454" t="s">
        <v>171</v>
      </c>
      <c r="V6" s="3454" t="s">
        <v>148</v>
      </c>
      <c r="W6" s="4402" t="s">
        <v>161</v>
      </c>
      <c r="X6" s="4402" t="s">
        <v>162</v>
      </c>
      <c r="Y6" s="4402" t="s">
        <v>163</v>
      </c>
    </row>
    <row r="7" spans="1:25" ht="15.75">
      <c r="A7" s="3451"/>
      <c r="B7" s="3455" t="s">
        <v>150</v>
      </c>
      <c r="C7" s="3456">
        <v>17.149999999999999</v>
      </c>
      <c r="D7" s="3457">
        <v>122.08</v>
      </c>
      <c r="E7" s="3457">
        <v>122.21</v>
      </c>
      <c r="F7" s="3457">
        <v>123.16</v>
      </c>
      <c r="G7" s="3457">
        <v>124.2</v>
      </c>
      <c r="H7" s="3457">
        <v>124.88</v>
      </c>
      <c r="I7" s="3457">
        <v>125.71</v>
      </c>
      <c r="J7" s="3457">
        <v>125.71</v>
      </c>
      <c r="K7" s="3457">
        <v>126.36</v>
      </c>
      <c r="L7" s="4399">
        <v>126.58</v>
      </c>
      <c r="M7" s="4399">
        <v>126.38</v>
      </c>
      <c r="N7" s="4399">
        <v>126.85</v>
      </c>
      <c r="O7" s="3458">
        <v>3.18</v>
      </c>
      <c r="P7" s="3458">
        <v>1.97</v>
      </c>
      <c r="Q7" s="3458">
        <v>1.81</v>
      </c>
      <c r="R7" s="3458">
        <v>1.81</v>
      </c>
      <c r="S7" s="3458">
        <v>3.07</v>
      </c>
      <c r="T7" s="3458">
        <v>3.62</v>
      </c>
      <c r="U7" s="3458">
        <v>3.19</v>
      </c>
      <c r="V7" s="3469">
        <v>3.51</v>
      </c>
      <c r="W7" s="3469">
        <v>3.92</v>
      </c>
      <c r="X7" s="3469">
        <v>3.48</v>
      </c>
      <c r="Y7" s="3469">
        <v>4.0999999999999996</v>
      </c>
    </row>
    <row r="8" spans="1:25" ht="15.75">
      <c r="A8" s="3451"/>
      <c r="B8" s="3459" t="s">
        <v>151</v>
      </c>
      <c r="C8" s="3456">
        <v>30.24</v>
      </c>
      <c r="D8" s="3460">
        <v>118.94</v>
      </c>
      <c r="E8" s="3460">
        <v>118.99</v>
      </c>
      <c r="F8" s="3460">
        <v>121.11</v>
      </c>
      <c r="G8" s="3460">
        <v>121.62</v>
      </c>
      <c r="H8" s="3460">
        <v>122.43</v>
      </c>
      <c r="I8" s="3460">
        <v>123.21</v>
      </c>
      <c r="J8" s="3967">
        <v>123.26</v>
      </c>
      <c r="K8" s="3967">
        <v>123.14</v>
      </c>
      <c r="L8" s="3967">
        <v>123.15</v>
      </c>
      <c r="M8" s="3967">
        <v>123.76</v>
      </c>
      <c r="N8" s="3967">
        <v>123.77</v>
      </c>
      <c r="O8" s="3461">
        <v>5.0199999999999996</v>
      </c>
      <c r="P8" s="3461">
        <v>4.8600000000000003</v>
      </c>
      <c r="Q8" s="3461">
        <v>5.12</v>
      </c>
      <c r="R8" s="3461">
        <v>5.12</v>
      </c>
      <c r="S8" s="3461">
        <v>5.0199999999999996</v>
      </c>
      <c r="T8" s="3461">
        <v>5.38</v>
      </c>
      <c r="U8" s="3461">
        <v>5.42</v>
      </c>
      <c r="V8" s="3470">
        <v>4.72</v>
      </c>
      <c r="W8" s="3470">
        <v>4.51</v>
      </c>
      <c r="X8" s="3470">
        <v>4.37</v>
      </c>
      <c r="Y8" s="3470">
        <v>4.32</v>
      </c>
    </row>
    <row r="9" spans="1:25" ht="15.75">
      <c r="A9" s="3451"/>
      <c r="B9" s="3462" t="s">
        <v>152</v>
      </c>
      <c r="C9" s="3456">
        <v>47.39</v>
      </c>
      <c r="D9" s="3463">
        <v>120.06</v>
      </c>
      <c r="E9" s="3463">
        <v>120.15</v>
      </c>
      <c r="F9" s="3463">
        <v>121.84</v>
      </c>
      <c r="G9" s="3463">
        <v>122.54</v>
      </c>
      <c r="H9" s="3463">
        <v>123.31</v>
      </c>
      <c r="I9" s="3463">
        <v>124.1</v>
      </c>
      <c r="J9" s="3968">
        <v>124.14</v>
      </c>
      <c r="K9" s="3968">
        <v>124.29</v>
      </c>
      <c r="L9" s="4400">
        <v>124.41</v>
      </c>
      <c r="M9" s="4400">
        <v>124.73</v>
      </c>
      <c r="N9" s="4400">
        <v>124.9</v>
      </c>
      <c r="O9" s="3464">
        <v>4.3499999999999996</v>
      </c>
      <c r="P9" s="3464">
        <v>3.8</v>
      </c>
      <c r="Q9" s="3464">
        <v>3.9</v>
      </c>
      <c r="R9" s="3464">
        <v>3.9</v>
      </c>
      <c r="S9" s="3464">
        <v>4.3099999999999996</v>
      </c>
      <c r="T9" s="3464">
        <v>4.74</v>
      </c>
      <c r="U9" s="3464">
        <v>4.5999999999999996</v>
      </c>
      <c r="V9" s="3472">
        <v>4.28</v>
      </c>
      <c r="W9" s="3472">
        <v>4.29</v>
      </c>
      <c r="X9" s="3472">
        <v>4.04</v>
      </c>
      <c r="Y9" s="3472">
        <v>4.24</v>
      </c>
    </row>
    <row r="10" spans="1:25">
      <c r="A10" s="3451"/>
      <c r="B10" s="3473" t="s">
        <v>1883</v>
      </c>
      <c r="C10" s="3473"/>
      <c r="D10" s="3473"/>
      <c r="E10" s="3473"/>
      <c r="F10" s="3473"/>
      <c r="G10" s="3473"/>
      <c r="H10" s="3473"/>
      <c r="I10" s="3473"/>
      <c r="J10" s="3969"/>
      <c r="K10" s="3969"/>
      <c r="L10" s="3473"/>
      <c r="M10" s="3473"/>
      <c r="N10" s="3473"/>
      <c r="O10" s="3473"/>
      <c r="P10" s="3473"/>
      <c r="Q10" s="3473"/>
      <c r="R10" s="3473"/>
      <c r="S10" s="3473"/>
      <c r="T10" s="3473"/>
      <c r="U10" s="3451"/>
      <c r="V10" s="3451"/>
    </row>
    <row r="11" spans="1:25">
      <c r="A11" s="3451"/>
      <c r="B11" s="3466"/>
      <c r="C11" s="3466"/>
      <c r="D11" s="3451"/>
      <c r="E11" s="3451"/>
      <c r="F11" s="3451"/>
      <c r="G11" s="3451"/>
      <c r="H11" s="3451"/>
      <c r="I11" s="3451"/>
      <c r="J11" s="4265"/>
      <c r="K11" s="3451"/>
      <c r="L11" s="3451"/>
      <c r="M11" s="3451"/>
      <c r="N11" s="3451"/>
      <c r="O11" s="3451"/>
      <c r="P11" s="3451"/>
      <c r="Q11" s="3451"/>
      <c r="R11" s="3451"/>
      <c r="S11" s="3451"/>
      <c r="T11" s="3451"/>
      <c r="U11" s="3451"/>
      <c r="V11" s="3451"/>
    </row>
    <row r="12" spans="1:25" ht="18">
      <c r="A12" s="3451"/>
      <c r="B12" s="3965" t="s">
        <v>2041</v>
      </c>
      <c r="C12" s="3965"/>
      <c r="D12" s="3965"/>
      <c r="E12" s="3965"/>
      <c r="F12" s="3965"/>
      <c r="G12" s="3965"/>
      <c r="H12" s="3965"/>
      <c r="I12" s="3965"/>
      <c r="J12" s="3965"/>
      <c r="K12" s="3965"/>
      <c r="L12" s="3965"/>
      <c r="M12" s="3965"/>
      <c r="N12" s="3965"/>
      <c r="O12" s="3965"/>
      <c r="P12" s="3965"/>
      <c r="Q12" s="3965"/>
      <c r="R12" s="3965"/>
      <c r="S12" s="3965"/>
      <c r="T12" s="3965"/>
      <c r="U12" s="3451"/>
      <c r="V12" s="3451"/>
    </row>
    <row r="13" spans="1:25" ht="15.75">
      <c r="A13" s="3451"/>
      <c r="B13" s="4859" t="s">
        <v>1884</v>
      </c>
      <c r="C13" s="4859"/>
      <c r="D13" s="3451"/>
      <c r="E13" s="3451"/>
      <c r="F13" s="3451"/>
      <c r="G13" s="3451"/>
      <c r="H13" s="3451"/>
      <c r="I13" s="3451"/>
      <c r="J13" s="3451"/>
      <c r="K13" s="3451"/>
      <c r="L13" s="3451"/>
      <c r="M13" s="3451"/>
      <c r="N13" s="3451"/>
      <c r="O13" s="3451"/>
      <c r="P13" s="3451"/>
      <c r="Q13" s="3451"/>
      <c r="R13" s="3451"/>
      <c r="S13" s="3451"/>
      <c r="T13" s="3451"/>
      <c r="U13" s="3451"/>
      <c r="V13" s="3451"/>
    </row>
    <row r="14" spans="1:25" ht="15.75">
      <c r="A14" s="3451"/>
      <c r="B14" s="3467" t="s">
        <v>143</v>
      </c>
      <c r="C14" s="3453"/>
      <c r="D14" s="4851" t="s">
        <v>149</v>
      </c>
      <c r="E14" s="4852"/>
      <c r="F14" s="4852"/>
      <c r="G14" s="4852"/>
      <c r="H14" s="4852"/>
      <c r="I14" s="4852"/>
      <c r="J14" s="3854"/>
      <c r="K14" s="3854"/>
      <c r="L14" s="4373"/>
      <c r="M14" s="4373"/>
      <c r="N14" s="4373"/>
      <c r="O14" s="4851" t="s">
        <v>2043</v>
      </c>
      <c r="P14" s="4852"/>
      <c r="Q14" s="4852"/>
      <c r="R14" s="4852"/>
      <c r="S14" s="4852"/>
      <c r="T14" s="4852"/>
      <c r="U14" s="4852"/>
      <c r="V14" s="4852"/>
      <c r="W14" s="4852"/>
      <c r="X14" s="4852"/>
      <c r="Y14" s="4853"/>
    </row>
    <row r="15" spans="1:25" ht="15.75">
      <c r="A15" s="3451"/>
      <c r="B15" s="4854" t="s">
        <v>146</v>
      </c>
      <c r="C15" s="4856" t="s">
        <v>1530</v>
      </c>
      <c r="D15" s="4848">
        <v>2015</v>
      </c>
      <c r="E15" s="4849"/>
      <c r="F15" s="4849"/>
      <c r="G15" s="4849"/>
      <c r="H15" s="4849"/>
      <c r="I15" s="4849"/>
      <c r="J15" s="3973"/>
      <c r="K15" s="3973"/>
      <c r="L15" s="4848">
        <v>2016</v>
      </c>
      <c r="M15" s="4849"/>
      <c r="N15" s="4850"/>
      <c r="O15" s="4858">
        <v>2015</v>
      </c>
      <c r="P15" s="4858"/>
      <c r="Q15" s="4858"/>
      <c r="R15" s="4858"/>
      <c r="S15" s="4858"/>
      <c r="T15" s="4858"/>
      <c r="U15" s="4858"/>
      <c r="V15" s="4858"/>
      <c r="W15" s="4845">
        <v>2016</v>
      </c>
      <c r="X15" s="4846"/>
      <c r="Y15" s="4847"/>
    </row>
    <row r="16" spans="1:25" ht="15.75">
      <c r="A16" s="3451"/>
      <c r="B16" s="4855"/>
      <c r="C16" s="4857"/>
      <c r="D16" s="3468" t="s">
        <v>165</v>
      </c>
      <c r="E16" s="3468" t="s">
        <v>166</v>
      </c>
      <c r="F16" s="3468" t="s">
        <v>167</v>
      </c>
      <c r="G16" s="3468" t="s">
        <v>168</v>
      </c>
      <c r="H16" s="3468" t="s">
        <v>169</v>
      </c>
      <c r="I16" s="3971" t="s">
        <v>170</v>
      </c>
      <c r="J16" s="3976" t="s">
        <v>171</v>
      </c>
      <c r="K16" s="3976" t="s">
        <v>148</v>
      </c>
      <c r="L16" s="3976" t="s">
        <v>161</v>
      </c>
      <c r="M16" s="3976" t="s">
        <v>162</v>
      </c>
      <c r="N16" s="3976" t="s">
        <v>163</v>
      </c>
      <c r="O16" s="3454" t="s">
        <v>165</v>
      </c>
      <c r="P16" s="3454" t="s">
        <v>166</v>
      </c>
      <c r="Q16" s="3454" t="s">
        <v>167</v>
      </c>
      <c r="R16" s="3454" t="s">
        <v>168</v>
      </c>
      <c r="S16" s="3454" t="s">
        <v>169</v>
      </c>
      <c r="T16" s="3454" t="s">
        <v>170</v>
      </c>
      <c r="U16" s="3454" t="s">
        <v>171</v>
      </c>
      <c r="V16" s="3454" t="s">
        <v>148</v>
      </c>
      <c r="W16" s="4402" t="s">
        <v>161</v>
      </c>
      <c r="X16" s="4402" t="s">
        <v>162</v>
      </c>
      <c r="Y16" s="4402" t="s">
        <v>163</v>
      </c>
    </row>
    <row r="17" spans="1:25" ht="15.75">
      <c r="A17" s="3451"/>
      <c r="B17" s="3459" t="s">
        <v>150</v>
      </c>
      <c r="C17" s="3456">
        <v>22.77</v>
      </c>
      <c r="D17" s="3469">
        <v>120.35</v>
      </c>
      <c r="E17" s="3469">
        <v>120.92</v>
      </c>
      <c r="F17" s="3469">
        <v>121.66</v>
      </c>
      <c r="G17" s="3469">
        <v>122.46</v>
      </c>
      <c r="H17" s="3469">
        <v>123.23</v>
      </c>
      <c r="I17" s="3471">
        <v>123.85</v>
      </c>
      <c r="J17" s="3974">
        <v>124.13</v>
      </c>
      <c r="K17" s="3974">
        <v>123.91</v>
      </c>
      <c r="L17" s="3974">
        <v>123.74</v>
      </c>
      <c r="M17" s="3974">
        <v>123.19</v>
      </c>
      <c r="N17" s="3974">
        <v>122.84</v>
      </c>
      <c r="O17" s="3469">
        <v>2.74</v>
      </c>
      <c r="P17" s="3469">
        <v>2.2799999999999998</v>
      </c>
      <c r="Q17" s="3469">
        <v>2.12</v>
      </c>
      <c r="R17" s="3469">
        <v>2.12</v>
      </c>
      <c r="S17" s="3469">
        <v>1.86</v>
      </c>
      <c r="T17" s="3469">
        <v>2.33</v>
      </c>
      <c r="U17" s="3469">
        <v>2.2599999999999998</v>
      </c>
      <c r="V17" s="3469">
        <v>2.1800000000000002</v>
      </c>
      <c r="W17" s="3469">
        <v>2.46</v>
      </c>
      <c r="X17" s="3469">
        <v>2.08</v>
      </c>
      <c r="Y17" s="3469">
        <v>1.71</v>
      </c>
    </row>
    <row r="18" spans="1:25" ht="15.75">
      <c r="A18" s="3451"/>
      <c r="B18" s="3459" t="s">
        <v>151</v>
      </c>
      <c r="C18" s="3456">
        <v>29.84</v>
      </c>
      <c r="D18" s="3470">
        <v>119.14</v>
      </c>
      <c r="E18" s="3470">
        <v>119.9</v>
      </c>
      <c r="F18" s="3470">
        <v>120.27</v>
      </c>
      <c r="G18" s="3470">
        <v>119.99</v>
      </c>
      <c r="H18" s="3470">
        <v>119.94</v>
      </c>
      <c r="I18" s="3471">
        <v>120.29</v>
      </c>
      <c r="J18" s="3974">
        <v>120.44</v>
      </c>
      <c r="K18" s="3974">
        <v>120.74</v>
      </c>
      <c r="L18" s="3974">
        <v>120.65</v>
      </c>
      <c r="M18" s="3974">
        <v>120.81</v>
      </c>
      <c r="N18" s="3974">
        <v>121.11</v>
      </c>
      <c r="O18" s="3470">
        <v>8.0299999999999994</v>
      </c>
      <c r="P18" s="3470">
        <v>8.3000000000000007</v>
      </c>
      <c r="Q18" s="3470">
        <v>3.8</v>
      </c>
      <c r="R18" s="3470">
        <v>3.8</v>
      </c>
      <c r="S18" s="3470">
        <v>2.31</v>
      </c>
      <c r="T18" s="3470">
        <v>2.67</v>
      </c>
      <c r="U18" s="3470">
        <v>3.04</v>
      </c>
      <c r="V18" s="3470">
        <v>3.09</v>
      </c>
      <c r="W18" s="3470">
        <v>1.81</v>
      </c>
      <c r="X18" s="3470">
        <v>1.87</v>
      </c>
      <c r="Y18" s="3470">
        <v>1.79</v>
      </c>
    </row>
    <row r="19" spans="1:25" ht="15.75">
      <c r="A19" s="3451"/>
      <c r="B19" s="3462" t="s">
        <v>152</v>
      </c>
      <c r="C19" s="3456">
        <v>52.61</v>
      </c>
      <c r="D19" s="3472">
        <v>119.66</v>
      </c>
      <c r="E19" s="3472">
        <v>120.34</v>
      </c>
      <c r="F19" s="3472">
        <v>120.87</v>
      </c>
      <c r="G19" s="3472">
        <v>121.04</v>
      </c>
      <c r="H19" s="3472">
        <v>121.34</v>
      </c>
      <c r="I19" s="3972">
        <v>121.8</v>
      </c>
      <c r="J19" s="3975">
        <v>122.09</v>
      </c>
      <c r="K19" s="3975">
        <v>122.09</v>
      </c>
      <c r="L19" s="4401">
        <v>121.96</v>
      </c>
      <c r="M19" s="4401">
        <v>121.82</v>
      </c>
      <c r="N19" s="4401">
        <v>121.84</v>
      </c>
      <c r="O19" s="3472">
        <v>5.71</v>
      </c>
      <c r="P19" s="3472">
        <v>5.65</v>
      </c>
      <c r="Q19" s="3472">
        <v>3.07</v>
      </c>
      <c r="R19" s="3472">
        <v>3.07</v>
      </c>
      <c r="S19" s="3472">
        <v>2.11</v>
      </c>
      <c r="T19" s="3472">
        <v>2.5099999999999998</v>
      </c>
      <c r="U19" s="3472">
        <v>2.69</v>
      </c>
      <c r="V19" s="3472">
        <v>2.68</v>
      </c>
      <c r="W19" s="3472">
        <v>2.08</v>
      </c>
      <c r="X19" s="3472">
        <v>1.96</v>
      </c>
      <c r="Y19" s="3472">
        <v>1.76</v>
      </c>
    </row>
    <row r="20" spans="1:25">
      <c r="A20" s="3451"/>
      <c r="B20" s="3465" t="s">
        <v>1885</v>
      </c>
      <c r="C20" s="3465"/>
      <c r="D20" s="3465"/>
      <c r="E20" s="3465"/>
      <c r="F20" s="3465"/>
      <c r="G20" s="3465"/>
      <c r="H20" s="3465"/>
      <c r="I20" s="3465"/>
      <c r="J20" s="3970"/>
      <c r="K20" s="3970"/>
      <c r="L20" s="3465"/>
      <c r="M20" s="3465"/>
      <c r="N20" s="3465"/>
      <c r="O20" s="3465"/>
      <c r="P20" s="3465"/>
      <c r="Q20" s="3465"/>
      <c r="R20" s="3465"/>
      <c r="S20" s="3465"/>
      <c r="T20" s="3821"/>
      <c r="U20" s="3451"/>
      <c r="V20" s="3451"/>
    </row>
    <row r="21" spans="1:25">
      <c r="A21" s="3451"/>
      <c r="B21" s="3451"/>
      <c r="C21" s="3451"/>
      <c r="D21" s="3451"/>
      <c r="E21" s="3451"/>
      <c r="F21" s="3451"/>
      <c r="G21" s="3451"/>
      <c r="H21" s="3451"/>
      <c r="I21" s="3451"/>
      <c r="J21" s="3451"/>
      <c r="K21" s="3451"/>
      <c r="L21" s="3451"/>
      <c r="M21" s="3451"/>
      <c r="N21" s="3451"/>
      <c r="O21" s="3451"/>
      <c r="P21" s="3451"/>
      <c r="Q21" s="3451"/>
      <c r="R21" s="3451"/>
      <c r="S21" s="3451"/>
      <c r="T21" s="3451"/>
      <c r="U21" s="3451"/>
      <c r="V21" s="3451"/>
    </row>
    <row r="22" spans="1:25">
      <c r="A22" s="3451"/>
      <c r="B22" s="3451"/>
      <c r="C22" s="3451"/>
      <c r="D22" s="3451"/>
      <c r="E22" s="3451"/>
      <c r="F22" s="3451"/>
      <c r="G22" s="3451"/>
      <c r="H22" s="3451"/>
      <c r="I22" s="3451"/>
      <c r="J22" s="3451"/>
      <c r="K22" s="3451"/>
      <c r="L22" s="3451"/>
      <c r="M22" s="3451"/>
      <c r="N22" s="3451"/>
      <c r="O22" s="3451"/>
      <c r="P22" s="3451"/>
      <c r="Q22" s="3451"/>
      <c r="R22" s="3451"/>
      <c r="S22" s="3451"/>
      <c r="T22" s="3451"/>
      <c r="U22" s="3451"/>
      <c r="V22" s="3451"/>
    </row>
    <row r="23" spans="1:25">
      <c r="A23" s="3451"/>
      <c r="B23" s="3451"/>
      <c r="C23" s="3451"/>
      <c r="D23" s="3451"/>
      <c r="E23" s="3451"/>
      <c r="F23" s="3451"/>
      <c r="G23" s="3451"/>
      <c r="H23" s="3451"/>
      <c r="I23" s="3451"/>
      <c r="J23" s="3451"/>
      <c r="K23" s="3451"/>
      <c r="L23" s="3451"/>
      <c r="M23" s="3451"/>
      <c r="N23" s="3451"/>
      <c r="O23" s="3451"/>
      <c r="P23" s="3451"/>
      <c r="Q23" s="3451"/>
      <c r="R23" s="3451"/>
      <c r="S23" s="3451"/>
      <c r="T23" s="3451"/>
      <c r="U23" s="3451"/>
      <c r="V23" s="3451"/>
    </row>
    <row r="24" spans="1:25">
      <c r="B24" s="3822"/>
      <c r="C24" s="3822"/>
      <c r="D24" s="3822"/>
      <c r="E24" s="3822"/>
      <c r="F24" s="3822"/>
      <c r="G24" s="3822"/>
      <c r="H24" s="3822"/>
      <c r="I24" s="3822"/>
      <c r="J24" s="3822"/>
      <c r="K24" s="3822"/>
      <c r="L24" s="3822"/>
      <c r="M24" s="3822"/>
      <c r="N24" s="3822"/>
    </row>
    <row r="25" spans="1:25">
      <c r="B25" s="3822"/>
      <c r="C25" s="3822"/>
      <c r="D25" s="3822"/>
      <c r="E25" s="3822"/>
      <c r="F25" s="3822"/>
      <c r="G25" s="3822"/>
      <c r="H25" s="3822"/>
      <c r="I25" s="3822"/>
      <c r="J25" s="3822"/>
      <c r="K25" s="3822"/>
      <c r="L25" s="3822"/>
      <c r="M25" s="3822"/>
      <c r="N25" s="3822"/>
    </row>
    <row r="26" spans="1:25">
      <c r="B26" s="3822"/>
      <c r="C26" s="3822"/>
      <c r="D26" s="3822"/>
      <c r="E26" s="3822"/>
      <c r="F26" s="3822"/>
      <c r="G26" s="3822"/>
      <c r="H26" s="3822"/>
      <c r="I26" s="3822"/>
      <c r="J26" s="3822"/>
      <c r="K26" s="3822"/>
      <c r="L26" s="3822"/>
      <c r="M26" s="3822"/>
      <c r="N26" s="3822"/>
    </row>
    <row r="27" spans="1:25">
      <c r="B27" s="3822"/>
      <c r="C27" s="3822"/>
      <c r="D27" s="3822"/>
      <c r="E27" s="3822"/>
      <c r="F27" s="3822"/>
      <c r="G27" s="3822"/>
      <c r="H27" s="3822"/>
      <c r="I27" s="3822"/>
      <c r="J27" s="3822"/>
      <c r="K27" s="3822"/>
      <c r="L27" s="3822"/>
      <c r="M27" s="3822"/>
      <c r="N27" s="3822"/>
    </row>
    <row r="28" spans="1:25">
      <c r="B28" s="3822"/>
      <c r="C28" s="3822"/>
      <c r="D28" s="3822"/>
      <c r="E28" s="3822"/>
      <c r="F28" s="3822"/>
      <c r="G28" s="3822"/>
      <c r="H28" s="3822"/>
      <c r="I28" s="3822"/>
      <c r="J28" s="3822"/>
      <c r="K28" s="3822"/>
      <c r="L28" s="3822"/>
      <c r="M28" s="3822"/>
      <c r="N28" s="3822"/>
    </row>
    <row r="29" spans="1:25">
      <c r="B29" s="3822"/>
      <c r="C29" s="3822"/>
      <c r="D29" s="3822"/>
      <c r="E29" s="3822"/>
      <c r="F29" s="3822"/>
      <c r="G29" s="3822"/>
      <c r="H29" s="3822"/>
      <c r="I29" s="3822"/>
      <c r="J29" s="3822"/>
      <c r="K29" s="3822"/>
      <c r="L29" s="3822"/>
      <c r="M29" s="3822"/>
      <c r="N29" s="3822"/>
    </row>
    <row r="30" spans="1:25">
      <c r="B30" s="3822"/>
      <c r="C30" s="3822"/>
      <c r="D30" s="3822"/>
      <c r="E30" s="3822"/>
      <c r="F30" s="3822"/>
      <c r="G30" s="3822"/>
      <c r="H30" s="3822"/>
      <c r="I30" s="3822"/>
      <c r="J30" s="3822"/>
      <c r="K30" s="3822"/>
      <c r="L30" s="3822"/>
      <c r="M30" s="3822"/>
      <c r="N30" s="3822"/>
    </row>
    <row r="31" spans="1:25">
      <c r="B31" s="3822"/>
      <c r="C31" s="3822"/>
      <c r="D31" s="3822"/>
      <c r="E31" s="3822"/>
      <c r="F31" s="3822"/>
      <c r="G31" s="3822"/>
      <c r="H31" s="3822"/>
      <c r="I31" s="3822"/>
      <c r="J31" s="3822"/>
      <c r="K31" s="3822"/>
      <c r="L31" s="3822"/>
      <c r="M31" s="3822"/>
      <c r="N31" s="3822"/>
    </row>
    <row r="32" spans="1:25">
      <c r="B32" s="3822"/>
      <c r="C32" s="3822"/>
      <c r="D32" s="3822"/>
      <c r="E32" s="3822"/>
      <c r="F32" s="3822"/>
      <c r="G32" s="3822"/>
      <c r="H32" s="3822"/>
      <c r="I32" s="3822"/>
      <c r="J32" s="3822"/>
      <c r="K32" s="3822"/>
      <c r="L32" s="3822"/>
      <c r="M32" s="3822"/>
      <c r="N32" s="3822"/>
    </row>
  </sheetData>
  <mergeCells count="18">
    <mergeCell ref="B13:C13"/>
    <mergeCell ref="O5:V5"/>
    <mergeCell ref="B3:C3"/>
    <mergeCell ref="D5:K5"/>
    <mergeCell ref="B5:B6"/>
    <mergeCell ref="C5:C6"/>
    <mergeCell ref="B15:B16"/>
    <mergeCell ref="C15:C16"/>
    <mergeCell ref="D15:I15"/>
    <mergeCell ref="D14:I14"/>
    <mergeCell ref="O15:V15"/>
    <mergeCell ref="W5:Y5"/>
    <mergeCell ref="L5:N5"/>
    <mergeCell ref="D4:N4"/>
    <mergeCell ref="L15:N15"/>
    <mergeCell ref="O4:Y4"/>
    <mergeCell ref="W15:Y15"/>
    <mergeCell ref="O14:Y14"/>
  </mergeCells>
  <pageMargins left="0.7" right="0.7" top="0.75" bottom="0.75" header="0.3" footer="0.3"/>
  <pageSetup orientation="portrait" horizontalDpi="300" verticalDpi="300" r:id="rId1"/>
</worksheet>
</file>

<file path=xl/worksheets/sheet65.xml><?xml version="1.0" encoding="utf-8"?>
<worksheet xmlns="http://schemas.openxmlformats.org/spreadsheetml/2006/main" xmlns:r="http://schemas.openxmlformats.org/officeDocument/2006/relationships">
  <dimension ref="B1:AF32"/>
  <sheetViews>
    <sheetView zoomScale="85" zoomScaleNormal="85" workbookViewId="0">
      <pane xSplit="3" ySplit="4" topLeftCell="Q23" activePane="bottomRight" state="frozen"/>
      <selection pane="topRight" activeCell="D1" sqref="D1"/>
      <selection pane="bottomLeft" activeCell="A5" sqref="A5"/>
      <selection pane="bottomRight" activeCell="AH30" sqref="AH30"/>
    </sheetView>
  </sheetViews>
  <sheetFormatPr defaultRowHeight="15"/>
  <cols>
    <col min="1" max="1" width="9.140625" style="3855"/>
    <col min="2" max="2" width="43.42578125" style="3855" customWidth="1"/>
    <col min="3" max="3" width="9" style="3855" customWidth="1"/>
    <col min="4" max="6" width="9.140625" style="3855" customWidth="1"/>
    <col min="7" max="10" width="9.140625" style="3855" hidden="1" customWidth="1"/>
    <col min="11" max="13" width="9.140625" style="3855" customWidth="1"/>
    <col min="14" max="16" width="9.140625" style="3855" hidden="1" customWidth="1"/>
    <col min="17" max="19" width="9.140625" style="3855" customWidth="1"/>
    <col min="20" max="22" width="0" style="3855" hidden="1" customWidth="1"/>
    <col min="23" max="28" width="9.140625" style="3855"/>
    <col min="29" max="29" width="0.140625" style="3855" hidden="1" customWidth="1"/>
    <col min="30" max="16384" width="9.140625" style="3855"/>
  </cols>
  <sheetData>
    <row r="1" spans="2:32" ht="18">
      <c r="B1" s="4873" t="s">
        <v>2044</v>
      </c>
      <c r="C1" s="4873"/>
      <c r="D1" s="4873"/>
      <c r="E1" s="4873"/>
      <c r="F1" s="4873"/>
      <c r="G1" s="4873"/>
      <c r="H1" s="4873"/>
      <c r="I1" s="4873"/>
      <c r="J1" s="4873"/>
      <c r="K1" s="4873"/>
      <c r="L1" s="4873"/>
      <c r="M1" s="4873"/>
      <c r="N1" s="4873"/>
      <c r="O1" s="4873"/>
      <c r="P1" s="4873"/>
      <c r="Q1" s="4873"/>
      <c r="R1" s="4873"/>
      <c r="S1" s="4873"/>
      <c r="T1" s="4873"/>
      <c r="U1" s="4873"/>
      <c r="V1" s="4873"/>
    </row>
    <row r="2" spans="2:32" ht="15.75">
      <c r="B2" s="3856"/>
      <c r="C2" s="3856"/>
      <c r="D2" s="3856"/>
      <c r="E2" s="3856"/>
      <c r="F2" s="3856"/>
      <c r="G2" s="3856"/>
      <c r="H2" s="3856"/>
      <c r="I2" s="3856"/>
      <c r="J2" s="3856"/>
      <c r="K2" s="3856"/>
      <c r="L2" s="3856"/>
      <c r="M2" s="3856"/>
      <c r="N2" s="3856"/>
      <c r="O2" s="3856"/>
      <c r="P2" s="3856"/>
      <c r="Q2" s="3856"/>
      <c r="R2" s="3856"/>
      <c r="S2" s="3856"/>
    </row>
    <row r="3" spans="2:32" ht="32.25" customHeight="1">
      <c r="B3" s="4874" t="s">
        <v>1997</v>
      </c>
      <c r="C3" s="4876" t="s">
        <v>1998</v>
      </c>
      <c r="D3" s="4864" t="s">
        <v>1999</v>
      </c>
      <c r="E3" s="4865"/>
      <c r="F3" s="4865"/>
      <c r="G3" s="4865"/>
      <c r="H3" s="4865"/>
      <c r="I3" s="4865"/>
      <c r="J3" s="4865"/>
      <c r="K3" s="4865"/>
      <c r="L3" s="4865"/>
      <c r="M3" s="4866"/>
      <c r="N3" s="4862" t="s">
        <v>2000</v>
      </c>
      <c r="O3" s="4863"/>
      <c r="P3" s="4863"/>
      <c r="Q3" s="4863"/>
      <c r="R3" s="4863"/>
      <c r="S3" s="4871"/>
      <c r="T3" s="4864" t="s">
        <v>2001</v>
      </c>
      <c r="U3" s="4865"/>
      <c r="V3" s="4865"/>
      <c r="W3" s="4865"/>
      <c r="X3" s="4865"/>
      <c r="Y3" s="4866"/>
      <c r="Z3" s="4862" t="s">
        <v>2000</v>
      </c>
      <c r="AA3" s="4863"/>
      <c r="AB3" s="4863"/>
      <c r="AC3" s="4863"/>
      <c r="AD3" s="4864" t="s">
        <v>2001</v>
      </c>
      <c r="AE3" s="4865"/>
      <c r="AF3" s="4866"/>
    </row>
    <row r="4" spans="2:32" ht="15.75">
      <c r="B4" s="4875"/>
      <c r="C4" s="4877"/>
      <c r="D4" s="3857">
        <v>41821</v>
      </c>
      <c r="E4" s="3857">
        <v>41852</v>
      </c>
      <c r="F4" s="3857">
        <v>41883</v>
      </c>
      <c r="G4" s="3857">
        <v>42064</v>
      </c>
      <c r="H4" s="3857">
        <v>42095</v>
      </c>
      <c r="I4" s="3857">
        <v>42125</v>
      </c>
      <c r="J4" s="3857">
        <v>42156</v>
      </c>
      <c r="K4" s="3857">
        <v>42186</v>
      </c>
      <c r="L4" s="3857">
        <v>42217</v>
      </c>
      <c r="M4" s="3857">
        <v>42248</v>
      </c>
      <c r="N4" s="3857">
        <v>42095</v>
      </c>
      <c r="O4" s="3857">
        <v>42125</v>
      </c>
      <c r="P4" s="3857">
        <v>42156</v>
      </c>
      <c r="Q4" s="3857">
        <v>42186</v>
      </c>
      <c r="R4" s="3857">
        <v>42217</v>
      </c>
      <c r="S4" s="3857">
        <v>42248</v>
      </c>
      <c r="T4" s="3858">
        <v>42095</v>
      </c>
      <c r="U4" s="3858">
        <v>42125</v>
      </c>
      <c r="V4" s="3858">
        <v>42156</v>
      </c>
      <c r="W4" s="3858">
        <v>42186</v>
      </c>
      <c r="X4" s="3858">
        <v>42217</v>
      </c>
      <c r="Y4" s="3858">
        <v>42248</v>
      </c>
      <c r="Z4" s="3858">
        <v>42292</v>
      </c>
      <c r="AA4" s="3858">
        <v>42323</v>
      </c>
      <c r="AB4" s="3858">
        <v>42353</v>
      </c>
      <c r="AC4" s="3858"/>
      <c r="AD4" s="3858">
        <v>42292</v>
      </c>
      <c r="AE4" s="3858">
        <v>42323</v>
      </c>
      <c r="AF4" s="3858">
        <v>42353</v>
      </c>
    </row>
    <row r="5" spans="2:32" ht="15.75">
      <c r="B5" s="3859" t="s">
        <v>2002</v>
      </c>
      <c r="C5" s="3860">
        <v>100</v>
      </c>
      <c r="D5" s="3861">
        <v>112.18</v>
      </c>
      <c r="E5" s="3861">
        <v>111.85</v>
      </c>
      <c r="F5" s="3861">
        <v>111.9</v>
      </c>
      <c r="G5" s="3861">
        <v>110.92</v>
      </c>
      <c r="H5" s="3861">
        <v>109.81</v>
      </c>
      <c r="I5" s="3861">
        <v>109.55</v>
      </c>
      <c r="J5" s="3861">
        <v>109.47</v>
      </c>
      <c r="K5" s="3861">
        <v>114.87</v>
      </c>
      <c r="L5" s="3861">
        <v>114.81</v>
      </c>
      <c r="M5" s="3861">
        <v>114.75</v>
      </c>
      <c r="N5" s="3861">
        <v>-1</v>
      </c>
      <c r="O5" s="3861">
        <v>-0.23</v>
      </c>
      <c r="P5" s="3861">
        <v>-7.0000000000000007E-2</v>
      </c>
      <c r="Q5" s="3861">
        <v>4.91</v>
      </c>
      <c r="R5" s="3861">
        <v>-0.05</v>
      </c>
      <c r="S5" s="3861">
        <v>-0.05</v>
      </c>
      <c r="T5" s="3861">
        <v>-1.36</v>
      </c>
      <c r="U5" s="3861">
        <v>-1.75</v>
      </c>
      <c r="V5" s="3861">
        <v>-1.71</v>
      </c>
      <c r="W5" s="3861">
        <v>2.4</v>
      </c>
      <c r="X5" s="3861">
        <v>2.65</v>
      </c>
      <c r="Y5" s="3861">
        <v>2.5499999999999998</v>
      </c>
      <c r="Z5" s="4408">
        <v>-0.83</v>
      </c>
      <c r="AA5" s="4414">
        <v>-1.85</v>
      </c>
      <c r="AB5" s="4409">
        <v>0.94</v>
      </c>
      <c r="AD5" s="4410">
        <v>1.41</v>
      </c>
      <c r="AE5" s="4414">
        <v>-0.34</v>
      </c>
      <c r="AF5" s="4411">
        <v>0.55000000000000004</v>
      </c>
    </row>
    <row r="6" spans="2:32" ht="15.75">
      <c r="B6" s="3862" t="s">
        <v>2003</v>
      </c>
      <c r="C6" s="3863">
        <v>0.72</v>
      </c>
      <c r="D6" s="3864">
        <v>112.38</v>
      </c>
      <c r="E6" s="3864">
        <v>112.38</v>
      </c>
      <c r="F6" s="3864">
        <v>112.38</v>
      </c>
      <c r="G6" s="3864">
        <v>112.38</v>
      </c>
      <c r="H6" s="3864">
        <v>112.38</v>
      </c>
      <c r="I6" s="3864">
        <v>112.38</v>
      </c>
      <c r="J6" s="3864">
        <v>112.38</v>
      </c>
      <c r="K6" s="3864">
        <v>131.53</v>
      </c>
      <c r="L6" s="3864">
        <v>131.53</v>
      </c>
      <c r="M6" s="3864">
        <v>131.53</v>
      </c>
      <c r="N6" s="3864">
        <v>0</v>
      </c>
      <c r="O6" s="3864">
        <v>0</v>
      </c>
      <c r="P6" s="3864">
        <v>0</v>
      </c>
      <c r="Q6" s="3864">
        <v>17.04</v>
      </c>
      <c r="R6" s="3864">
        <v>0</v>
      </c>
      <c r="S6" s="3864">
        <v>0</v>
      </c>
      <c r="T6" s="3864">
        <v>0</v>
      </c>
      <c r="U6" s="3864">
        <v>0</v>
      </c>
      <c r="V6" s="3864">
        <v>0</v>
      </c>
      <c r="W6" s="3864">
        <v>17.04</v>
      </c>
      <c r="X6" s="3864">
        <v>17.04</v>
      </c>
      <c r="Y6" s="3864">
        <v>17.04</v>
      </c>
      <c r="Z6" s="4410">
        <v>0</v>
      </c>
      <c r="AA6" s="4415">
        <v>0</v>
      </c>
      <c r="AB6" s="4411">
        <v>0</v>
      </c>
      <c r="AD6" s="4410">
        <v>17.04</v>
      </c>
      <c r="AE6" s="4415">
        <v>17.04</v>
      </c>
      <c r="AF6" s="4411">
        <v>17.04</v>
      </c>
    </row>
    <row r="7" spans="2:32" ht="15.75">
      <c r="B7" s="3862" t="s">
        <v>2004</v>
      </c>
      <c r="C7" s="3863">
        <v>5.81</v>
      </c>
      <c r="D7" s="3864">
        <v>114.88</v>
      </c>
      <c r="E7" s="3864">
        <v>114.65</v>
      </c>
      <c r="F7" s="3864">
        <v>115.05</v>
      </c>
      <c r="G7" s="3864">
        <v>116.64</v>
      </c>
      <c r="H7" s="3864">
        <v>116.95</v>
      </c>
      <c r="I7" s="3864">
        <v>117.33</v>
      </c>
      <c r="J7" s="3864">
        <v>117.61</v>
      </c>
      <c r="K7" s="3864">
        <v>119.1</v>
      </c>
      <c r="L7" s="3864">
        <v>119.45</v>
      </c>
      <c r="M7" s="3864">
        <v>119.67</v>
      </c>
      <c r="N7" s="3864">
        <v>0.27</v>
      </c>
      <c r="O7" s="3864">
        <v>0.32</v>
      </c>
      <c r="P7" s="3864">
        <v>0.24</v>
      </c>
      <c r="Q7" s="3864">
        <v>1.27</v>
      </c>
      <c r="R7" s="3864">
        <v>0.28999999999999998</v>
      </c>
      <c r="S7" s="3864">
        <v>0.19</v>
      </c>
      <c r="T7" s="3864">
        <v>1.02</v>
      </c>
      <c r="U7" s="3864">
        <v>1.64</v>
      </c>
      <c r="V7" s="3864">
        <v>1.57</v>
      </c>
      <c r="W7" s="3864">
        <v>3.67</v>
      </c>
      <c r="X7" s="3864">
        <v>4.1900000000000004</v>
      </c>
      <c r="Y7" s="3864">
        <v>4.0199999999999996</v>
      </c>
      <c r="Z7" s="4410">
        <v>0.86</v>
      </c>
      <c r="AA7" s="4415">
        <v>0.22</v>
      </c>
      <c r="AB7" s="4411">
        <v>0.18</v>
      </c>
      <c r="AD7" s="4410">
        <v>5.18</v>
      </c>
      <c r="AE7" s="4415">
        <v>4.99</v>
      </c>
      <c r="AF7" s="4411">
        <v>5.23</v>
      </c>
    </row>
    <row r="8" spans="2:32" ht="15.75">
      <c r="B8" s="3862" t="s">
        <v>1878</v>
      </c>
      <c r="C8" s="3863">
        <v>47.66</v>
      </c>
      <c r="D8" s="3864">
        <v>112.88</v>
      </c>
      <c r="E8" s="3864">
        <v>112.16</v>
      </c>
      <c r="F8" s="3864">
        <v>112.22</v>
      </c>
      <c r="G8" s="3864">
        <v>109.75</v>
      </c>
      <c r="H8" s="3864">
        <v>107.39</v>
      </c>
      <c r="I8" s="3864">
        <v>106.83</v>
      </c>
      <c r="J8" s="3864">
        <v>106.63</v>
      </c>
      <c r="K8" s="3864">
        <v>116.43</v>
      </c>
      <c r="L8" s="3864">
        <v>116.19</v>
      </c>
      <c r="M8" s="3864">
        <v>115.96</v>
      </c>
      <c r="N8" s="3864">
        <v>-2.15</v>
      </c>
      <c r="O8" s="3864">
        <v>-0.52</v>
      </c>
      <c r="P8" s="3864">
        <v>-0.18</v>
      </c>
      <c r="Q8" s="3864">
        <v>9.2200000000000006</v>
      </c>
      <c r="R8" s="3864">
        <v>-0.21</v>
      </c>
      <c r="S8" s="3864">
        <v>-0.19</v>
      </c>
      <c r="T8" s="3864">
        <v>-4.47</v>
      </c>
      <c r="U8" s="3864">
        <v>-5.38</v>
      </c>
      <c r="V8" s="3864">
        <v>-5.28</v>
      </c>
      <c r="W8" s="3864">
        <v>3.15</v>
      </c>
      <c r="X8" s="3864">
        <v>3.59</v>
      </c>
      <c r="Y8" s="3864">
        <v>3.33</v>
      </c>
      <c r="Z8" s="4410">
        <v>-1.78</v>
      </c>
      <c r="AA8" s="4415">
        <v>-3.91</v>
      </c>
      <c r="AB8" s="4411">
        <v>1.93</v>
      </c>
      <c r="AD8" s="4410">
        <v>0.87</v>
      </c>
      <c r="AE8" s="4415">
        <v>-2.75</v>
      </c>
      <c r="AF8" s="4411">
        <v>-0.85</v>
      </c>
    </row>
    <row r="9" spans="2:32" ht="31.5">
      <c r="B9" s="3865" t="s">
        <v>2005</v>
      </c>
      <c r="C9" s="3863">
        <v>35.35</v>
      </c>
      <c r="D9" s="3864">
        <v>113.03</v>
      </c>
      <c r="E9" s="3864">
        <v>113.03</v>
      </c>
      <c r="F9" s="3864">
        <v>113.03</v>
      </c>
      <c r="G9" s="3864">
        <v>113.03</v>
      </c>
      <c r="H9" s="3864">
        <v>113.03</v>
      </c>
      <c r="I9" s="3864">
        <v>113.03</v>
      </c>
      <c r="J9" s="3864">
        <v>113.03</v>
      </c>
      <c r="K9" s="3864">
        <v>113.03</v>
      </c>
      <c r="L9" s="3864">
        <v>113.03</v>
      </c>
      <c r="M9" s="3864">
        <v>113.03</v>
      </c>
      <c r="N9" s="3864">
        <v>0</v>
      </c>
      <c r="O9" s="3864">
        <v>0</v>
      </c>
      <c r="P9" s="3864">
        <v>0</v>
      </c>
      <c r="Q9" s="3864">
        <v>0</v>
      </c>
      <c r="R9" s="3864">
        <v>0</v>
      </c>
      <c r="S9" s="3864">
        <v>0</v>
      </c>
      <c r="T9" s="3864">
        <v>1.78</v>
      </c>
      <c r="U9" s="3864">
        <v>1.78</v>
      </c>
      <c r="V9" s="3864">
        <v>1.78</v>
      </c>
      <c r="W9" s="3864">
        <v>0</v>
      </c>
      <c r="X9" s="3864">
        <v>0</v>
      </c>
      <c r="Y9" s="3864">
        <v>0</v>
      </c>
      <c r="Z9" s="4410">
        <v>0</v>
      </c>
      <c r="AA9" s="4415">
        <v>0</v>
      </c>
      <c r="AB9" s="4411">
        <v>0</v>
      </c>
      <c r="AD9" s="4410">
        <v>0</v>
      </c>
      <c r="AE9" s="4415">
        <v>0</v>
      </c>
      <c r="AF9" s="4411">
        <v>0</v>
      </c>
    </row>
    <row r="10" spans="2:32" ht="15.75" customHeight="1">
      <c r="B10" s="4869" t="s">
        <v>2006</v>
      </c>
      <c r="C10" s="4872">
        <v>0.08</v>
      </c>
      <c r="D10" s="3864">
        <v>109.39</v>
      </c>
      <c r="E10" s="3864">
        <v>109.39</v>
      </c>
      <c r="F10" s="3864">
        <v>109.39</v>
      </c>
      <c r="G10" s="4872">
        <v>109.39</v>
      </c>
      <c r="H10" s="4872">
        <v>109.39</v>
      </c>
      <c r="I10" s="4872">
        <v>109.39</v>
      </c>
      <c r="J10" s="4872">
        <v>109.39</v>
      </c>
      <c r="K10" s="3866">
        <v>109.39</v>
      </c>
      <c r="L10" s="3866">
        <v>109.39</v>
      </c>
      <c r="M10" s="3866">
        <v>109.39</v>
      </c>
      <c r="N10" s="3864">
        <v>0</v>
      </c>
      <c r="O10" s="3864">
        <v>0</v>
      </c>
      <c r="P10" s="3864">
        <v>0</v>
      </c>
      <c r="Q10" s="3864">
        <v>0</v>
      </c>
      <c r="R10" s="3864">
        <v>0</v>
      </c>
      <c r="S10" s="3864">
        <v>0</v>
      </c>
      <c r="T10" s="3864">
        <v>0</v>
      </c>
      <c r="U10" s="3864">
        <v>0</v>
      </c>
      <c r="V10" s="3864">
        <v>0</v>
      </c>
      <c r="W10" s="3864">
        <v>0</v>
      </c>
      <c r="X10" s="3864">
        <v>0</v>
      </c>
      <c r="Y10" s="3864">
        <v>0</v>
      </c>
      <c r="Z10" s="4410">
        <v>0</v>
      </c>
      <c r="AA10" s="4415">
        <v>0</v>
      </c>
      <c r="AB10" s="4411">
        <v>0</v>
      </c>
      <c r="AD10" s="4410">
        <v>0</v>
      </c>
      <c r="AE10" s="4415">
        <v>0</v>
      </c>
      <c r="AF10" s="4411">
        <v>0</v>
      </c>
    </row>
    <row r="11" spans="2:32" ht="15.75" customHeight="1">
      <c r="B11" s="4869"/>
      <c r="C11" s="4872"/>
      <c r="D11" s="3864"/>
      <c r="E11" s="3864"/>
      <c r="F11" s="3864"/>
      <c r="G11" s="4872"/>
      <c r="H11" s="4872"/>
      <c r="I11" s="4872"/>
      <c r="J11" s="4872"/>
      <c r="K11" s="3866"/>
      <c r="L11" s="3866"/>
      <c r="M11" s="3866"/>
      <c r="N11" s="3864"/>
      <c r="O11" s="3864"/>
      <c r="P11" s="3864"/>
      <c r="Q11" s="3864"/>
      <c r="R11" s="3864"/>
      <c r="S11" s="3864"/>
      <c r="T11" s="3864"/>
      <c r="U11" s="3864"/>
      <c r="V11" s="3864"/>
      <c r="W11" s="3864"/>
      <c r="X11" s="3864"/>
      <c r="Y11" s="3864"/>
      <c r="Z11" s="4406"/>
      <c r="AA11" s="4416"/>
      <c r="AB11" s="4407"/>
      <c r="AD11" s="4406"/>
      <c r="AE11" s="4416"/>
      <c r="AF11" s="4407"/>
    </row>
    <row r="12" spans="2:32" ht="15.75">
      <c r="B12" s="3862" t="s">
        <v>2007</v>
      </c>
      <c r="C12" s="3863">
        <v>5.91</v>
      </c>
      <c r="D12" s="3864">
        <v>118</v>
      </c>
      <c r="E12" s="3864">
        <v>118.44</v>
      </c>
      <c r="F12" s="3864">
        <v>118.43</v>
      </c>
      <c r="G12" s="3864">
        <v>120.43</v>
      </c>
      <c r="H12" s="3864">
        <v>120.65</v>
      </c>
      <c r="I12" s="3864">
        <v>120.65</v>
      </c>
      <c r="J12" s="3864">
        <v>120.65</v>
      </c>
      <c r="K12" s="3864">
        <v>129.91</v>
      </c>
      <c r="L12" s="3864">
        <v>130.69999999999999</v>
      </c>
      <c r="M12" s="3864">
        <v>131.32</v>
      </c>
      <c r="N12" s="3864">
        <v>0.18</v>
      </c>
      <c r="O12" s="3864">
        <v>0</v>
      </c>
      <c r="P12" s="3864">
        <v>0</v>
      </c>
      <c r="Q12" s="3864">
        <v>7.01</v>
      </c>
      <c r="R12" s="3864">
        <v>0.61</v>
      </c>
      <c r="S12" s="3864">
        <v>0.47</v>
      </c>
      <c r="T12" s="3864">
        <v>2.12</v>
      </c>
      <c r="U12" s="3864">
        <v>2.6</v>
      </c>
      <c r="V12" s="3864">
        <v>2.41</v>
      </c>
      <c r="W12" s="3864">
        <v>10.1</v>
      </c>
      <c r="X12" s="3864">
        <v>10.35</v>
      </c>
      <c r="Y12" s="3864">
        <v>10.89</v>
      </c>
      <c r="Z12" s="4410">
        <v>-0.4</v>
      </c>
      <c r="AA12" s="4415">
        <v>0.34</v>
      </c>
      <c r="AB12" s="4411">
        <v>0.23</v>
      </c>
      <c r="AD12" s="4410">
        <v>10.210000000000001</v>
      </c>
      <c r="AE12" s="4415">
        <v>10.42</v>
      </c>
      <c r="AF12" s="4411">
        <v>9.69</v>
      </c>
    </row>
    <row r="13" spans="2:32" ht="15.75">
      <c r="B13" s="3867" t="s">
        <v>2008</v>
      </c>
      <c r="C13" s="3868">
        <v>4.47</v>
      </c>
      <c r="D13" s="3869">
        <v>89.72</v>
      </c>
      <c r="E13" s="3869">
        <v>89.72</v>
      </c>
      <c r="F13" s="3869">
        <v>89.72</v>
      </c>
      <c r="G13" s="3869">
        <v>89.76</v>
      </c>
      <c r="H13" s="3869">
        <v>89.76</v>
      </c>
      <c r="I13" s="3869">
        <v>89.76</v>
      </c>
      <c r="J13" s="3869">
        <v>89.76</v>
      </c>
      <c r="K13" s="3869">
        <v>89.76</v>
      </c>
      <c r="L13" s="3869">
        <v>89.76</v>
      </c>
      <c r="M13" s="3869">
        <v>89.76</v>
      </c>
      <c r="N13" s="3869">
        <v>0</v>
      </c>
      <c r="O13" s="3869">
        <v>0</v>
      </c>
      <c r="P13" s="3869">
        <v>0</v>
      </c>
      <c r="Q13" s="3869">
        <v>0</v>
      </c>
      <c r="R13" s="3869">
        <v>0</v>
      </c>
      <c r="S13" s="3869">
        <v>0</v>
      </c>
      <c r="T13" s="3869">
        <v>0.05</v>
      </c>
      <c r="U13" s="3869">
        <v>0.05</v>
      </c>
      <c r="V13" s="3869">
        <v>0.05</v>
      </c>
      <c r="W13" s="3869">
        <v>0.05</v>
      </c>
      <c r="X13" s="3869">
        <v>0.05</v>
      </c>
      <c r="Y13" s="3869">
        <v>0.05</v>
      </c>
      <c r="Z13" s="4412">
        <v>0</v>
      </c>
      <c r="AA13" s="4417">
        <v>0</v>
      </c>
      <c r="AB13" s="4413">
        <v>0</v>
      </c>
      <c r="AD13" s="4412">
        <v>0.05</v>
      </c>
      <c r="AE13" s="4417">
        <v>0.05</v>
      </c>
      <c r="AF13" s="4413">
        <v>0.05</v>
      </c>
    </row>
    <row r="14" spans="2:32" ht="15.75" customHeight="1">
      <c r="B14" s="4878" t="s">
        <v>2009</v>
      </c>
      <c r="C14" s="4878"/>
      <c r="D14" s="4878"/>
      <c r="E14" s="4878"/>
      <c r="F14" s="4878"/>
      <c r="G14" s="4878"/>
      <c r="H14" s="4878"/>
      <c r="I14" s="4878"/>
      <c r="J14" s="4878"/>
      <c r="K14" s="4878"/>
      <c r="L14" s="4878"/>
      <c r="M14" s="4878"/>
      <c r="N14" s="3870"/>
      <c r="O14" s="3870"/>
      <c r="P14" s="3870"/>
      <c r="Q14" s="3870"/>
      <c r="R14" s="3870"/>
      <c r="S14" s="3870"/>
    </row>
    <row r="15" spans="2:32" ht="15.75">
      <c r="B15" s="3856"/>
      <c r="C15" s="3856"/>
      <c r="D15" s="3856"/>
      <c r="E15" s="3856"/>
      <c r="F15" s="3856"/>
      <c r="G15" s="3856"/>
      <c r="H15" s="3856"/>
      <c r="I15" s="3856"/>
      <c r="J15" s="3856"/>
      <c r="K15" s="3856"/>
      <c r="L15" s="3856"/>
      <c r="M15" s="3856"/>
      <c r="N15" s="3856"/>
      <c r="O15" s="3856"/>
      <c r="P15" s="3856"/>
      <c r="Q15" s="3856"/>
      <c r="R15" s="3856"/>
      <c r="S15" s="3856"/>
    </row>
    <row r="16" spans="2:32" ht="18">
      <c r="B16" s="4873" t="s">
        <v>2045</v>
      </c>
      <c r="C16" s="4873"/>
      <c r="D16" s="4873"/>
      <c r="E16" s="4873"/>
      <c r="F16" s="4873"/>
      <c r="G16" s="4873"/>
      <c r="H16" s="4873"/>
      <c r="I16" s="4873"/>
      <c r="J16" s="4873"/>
      <c r="K16" s="4873"/>
      <c r="L16" s="4873"/>
      <c r="M16" s="4873"/>
      <c r="N16" s="4873"/>
      <c r="O16" s="4873"/>
      <c r="P16" s="4873"/>
      <c r="Q16" s="4873"/>
      <c r="R16" s="4873"/>
      <c r="S16" s="4873"/>
      <c r="T16" s="4873"/>
      <c r="U16" s="4873"/>
      <c r="V16" s="4873"/>
    </row>
    <row r="17" spans="2:32" ht="15.75">
      <c r="B17" s="3871"/>
      <c r="C17" s="3871"/>
      <c r="D17" s="3871"/>
      <c r="E17" s="3871"/>
      <c r="F17" s="3871"/>
      <c r="G17" s="3871"/>
      <c r="H17" s="3871"/>
      <c r="I17" s="3871"/>
      <c r="J17" s="3871"/>
      <c r="K17" s="3871"/>
      <c r="L17" s="3871"/>
      <c r="M17" s="3871"/>
      <c r="N17" s="3871"/>
      <c r="O17" s="3871"/>
      <c r="P17" s="3871"/>
      <c r="Q17" s="3871"/>
      <c r="R17" s="3871"/>
      <c r="S17" s="3871"/>
    </row>
    <row r="18" spans="2:32" ht="32.25" customHeight="1">
      <c r="B18" s="4874" t="s">
        <v>2010</v>
      </c>
      <c r="C18" s="4876" t="s">
        <v>2011</v>
      </c>
      <c r="D18" s="4864" t="s">
        <v>1999</v>
      </c>
      <c r="E18" s="4865"/>
      <c r="F18" s="4865"/>
      <c r="G18" s="4865"/>
      <c r="H18" s="4865"/>
      <c r="I18" s="4865"/>
      <c r="J18" s="4865"/>
      <c r="K18" s="4865"/>
      <c r="L18" s="4865"/>
      <c r="M18" s="4866"/>
      <c r="N18" s="4864" t="s">
        <v>2000</v>
      </c>
      <c r="O18" s="4865"/>
      <c r="P18" s="4865"/>
      <c r="Q18" s="4865"/>
      <c r="R18" s="4865"/>
      <c r="S18" s="4866"/>
      <c r="T18" s="4862" t="s">
        <v>2001</v>
      </c>
      <c r="U18" s="4863"/>
      <c r="V18" s="4863"/>
      <c r="W18" s="4863"/>
      <c r="X18" s="4863"/>
      <c r="Y18" s="4871"/>
      <c r="Z18" s="4862" t="s">
        <v>2000</v>
      </c>
      <c r="AA18" s="4863"/>
      <c r="AB18" s="4863"/>
      <c r="AC18" s="4863"/>
      <c r="AD18" s="4864" t="s">
        <v>2001</v>
      </c>
      <c r="AE18" s="4865"/>
      <c r="AF18" s="4866"/>
    </row>
    <row r="19" spans="2:32" ht="15" customHeight="1">
      <c r="B19" s="4875"/>
      <c r="C19" s="4877"/>
      <c r="D19" s="3857">
        <v>41821</v>
      </c>
      <c r="E19" s="3857">
        <v>41852</v>
      </c>
      <c r="F19" s="3857">
        <v>41883</v>
      </c>
      <c r="G19" s="3857">
        <v>42064</v>
      </c>
      <c r="H19" s="3857">
        <v>42095</v>
      </c>
      <c r="I19" s="3857">
        <v>42125</v>
      </c>
      <c r="J19" s="3857">
        <v>42156</v>
      </c>
      <c r="K19" s="3857">
        <v>42186</v>
      </c>
      <c r="L19" s="3857">
        <v>42217</v>
      </c>
      <c r="M19" s="3857">
        <v>42248</v>
      </c>
      <c r="N19" s="3857">
        <v>42095</v>
      </c>
      <c r="O19" s="3857">
        <v>42125</v>
      </c>
      <c r="P19" s="3857">
        <v>42156</v>
      </c>
      <c r="Q19" s="3857">
        <v>42186</v>
      </c>
      <c r="R19" s="3857">
        <v>42217</v>
      </c>
      <c r="S19" s="3857">
        <v>42248</v>
      </c>
      <c r="T19" s="3858">
        <v>42095</v>
      </c>
      <c r="U19" s="3858">
        <v>42125</v>
      </c>
      <c r="V19" s="3858">
        <v>42156</v>
      </c>
      <c r="W19" s="3858">
        <v>42186</v>
      </c>
      <c r="X19" s="3858">
        <v>42217</v>
      </c>
      <c r="Y19" s="3858">
        <v>42248</v>
      </c>
      <c r="Z19" s="3858">
        <v>42292</v>
      </c>
      <c r="AA19" s="3858">
        <v>42323</v>
      </c>
      <c r="AB19" s="3858">
        <v>42353</v>
      </c>
      <c r="AC19" s="3858"/>
      <c r="AD19" s="3858">
        <v>42292</v>
      </c>
      <c r="AE19" s="3858">
        <v>42323</v>
      </c>
      <c r="AF19" s="3858">
        <v>42353</v>
      </c>
    </row>
    <row r="20" spans="2:32" ht="15.75" customHeight="1">
      <c r="B20" s="3872" t="s">
        <v>2012</v>
      </c>
      <c r="C20" s="3873">
        <v>100</v>
      </c>
      <c r="D20" s="3861">
        <v>112.18</v>
      </c>
      <c r="E20" s="3861">
        <v>111.85</v>
      </c>
      <c r="F20" s="3860">
        <v>111.9</v>
      </c>
      <c r="G20" s="3861">
        <v>110.92</v>
      </c>
      <c r="H20" s="3861">
        <v>109.81</v>
      </c>
      <c r="I20" s="3861">
        <v>109.55</v>
      </c>
      <c r="J20" s="3861">
        <v>109.47</v>
      </c>
      <c r="K20" s="3861">
        <v>109.49</v>
      </c>
      <c r="L20" s="3861">
        <v>114.81</v>
      </c>
      <c r="M20" s="3861">
        <v>114.75</v>
      </c>
      <c r="N20" s="3861">
        <v>-1</v>
      </c>
      <c r="O20" s="3861">
        <v>-0.23</v>
      </c>
      <c r="P20" s="3861">
        <v>-7.0000000000000007E-2</v>
      </c>
      <c r="Q20" s="3861">
        <v>4.91</v>
      </c>
      <c r="R20" s="3861">
        <v>-0.05</v>
      </c>
      <c r="S20" s="3861">
        <v>-0.05</v>
      </c>
      <c r="T20" s="3861">
        <v>-1.36</v>
      </c>
      <c r="U20" s="3861">
        <v>-1.75</v>
      </c>
      <c r="V20" s="3861">
        <v>-1.71</v>
      </c>
      <c r="W20" s="3861">
        <v>2.4</v>
      </c>
      <c r="X20" s="3861">
        <v>2.65</v>
      </c>
      <c r="Y20" s="3861">
        <v>2.5499999999999998</v>
      </c>
      <c r="Z20" s="4408">
        <v>-0.83</v>
      </c>
      <c r="AA20" s="4414">
        <v>-1.85</v>
      </c>
      <c r="AB20" s="4409">
        <v>0.94</v>
      </c>
      <c r="AD20" s="4410">
        <v>1.41</v>
      </c>
      <c r="AE20" s="4414">
        <v>-0.34</v>
      </c>
      <c r="AF20" s="4411">
        <v>0.55000000000000004</v>
      </c>
    </row>
    <row r="21" spans="2:32" ht="15.75">
      <c r="B21" s="3862" t="s">
        <v>2013</v>
      </c>
      <c r="C21" s="3874">
        <v>0.72</v>
      </c>
      <c r="D21" s="3864">
        <v>112.38</v>
      </c>
      <c r="E21" s="3864">
        <v>112.38</v>
      </c>
      <c r="F21" s="3863">
        <v>112.38</v>
      </c>
      <c r="G21" s="3864">
        <v>112.38</v>
      </c>
      <c r="H21" s="3864">
        <v>112.38</v>
      </c>
      <c r="I21" s="3864">
        <v>112.38</v>
      </c>
      <c r="J21" s="3864">
        <v>112.38</v>
      </c>
      <c r="K21" s="3864">
        <v>131.53</v>
      </c>
      <c r="L21" s="3864">
        <v>131.53</v>
      </c>
      <c r="M21" s="3864">
        <v>131.53</v>
      </c>
      <c r="N21" s="3863">
        <v>0</v>
      </c>
      <c r="O21" s="3863">
        <v>0</v>
      </c>
      <c r="P21" s="3863">
        <v>0</v>
      </c>
      <c r="Q21" s="3863">
        <v>17.04</v>
      </c>
      <c r="R21" s="3863">
        <v>0</v>
      </c>
      <c r="S21" s="3863">
        <v>0</v>
      </c>
      <c r="T21" s="3863">
        <v>0</v>
      </c>
      <c r="U21" s="3863">
        <v>0</v>
      </c>
      <c r="V21" s="3863">
        <v>0</v>
      </c>
      <c r="W21" s="3863">
        <v>17.04</v>
      </c>
      <c r="X21" s="3863">
        <v>17.04</v>
      </c>
      <c r="Y21" s="3863">
        <v>17.04</v>
      </c>
      <c r="Z21" s="4410">
        <v>0</v>
      </c>
      <c r="AA21" s="4415">
        <v>0</v>
      </c>
      <c r="AB21" s="4411">
        <v>0</v>
      </c>
      <c r="AD21" s="4410">
        <v>17.04</v>
      </c>
      <c r="AE21" s="4415">
        <v>17.04</v>
      </c>
      <c r="AF21" s="4411">
        <v>17.04</v>
      </c>
    </row>
    <row r="22" spans="2:32" ht="15.75" customHeight="1">
      <c r="B22" s="3862" t="s">
        <v>2014</v>
      </c>
      <c r="C22" s="3874">
        <v>5.81</v>
      </c>
      <c r="D22" s="3864">
        <v>114.88</v>
      </c>
      <c r="E22" s="3864">
        <v>114.65</v>
      </c>
      <c r="F22" s="3863">
        <v>115.05</v>
      </c>
      <c r="G22" s="3864">
        <v>116.64</v>
      </c>
      <c r="H22" s="3864">
        <v>116.95</v>
      </c>
      <c r="I22" s="3864">
        <v>117.33</v>
      </c>
      <c r="J22" s="3864">
        <v>117.61</v>
      </c>
      <c r="K22" s="3864">
        <v>119.1</v>
      </c>
      <c r="L22" s="3864">
        <v>119.45</v>
      </c>
      <c r="M22" s="3864">
        <v>119.67</v>
      </c>
      <c r="N22" s="3863">
        <v>0.27</v>
      </c>
      <c r="O22" s="3863">
        <v>0.32</v>
      </c>
      <c r="P22" s="3863">
        <v>0.24</v>
      </c>
      <c r="Q22" s="3863">
        <v>1.27</v>
      </c>
      <c r="R22" s="3863">
        <v>0.28999999999999998</v>
      </c>
      <c r="S22" s="3863">
        <v>0.19</v>
      </c>
      <c r="T22" s="3863">
        <v>1.02</v>
      </c>
      <c r="U22" s="3863">
        <v>1.64</v>
      </c>
      <c r="V22" s="3863">
        <v>1.57</v>
      </c>
      <c r="W22" s="3863">
        <v>3.67</v>
      </c>
      <c r="X22" s="3863">
        <v>4.1900000000000004</v>
      </c>
      <c r="Y22" s="3863">
        <v>4.0199999999999996</v>
      </c>
      <c r="Z22" s="4410">
        <v>0.86</v>
      </c>
      <c r="AA22" s="4415">
        <v>0.22</v>
      </c>
      <c r="AB22" s="4411">
        <v>0.18</v>
      </c>
      <c r="AD22" s="4410">
        <v>5.18</v>
      </c>
      <c r="AE22" s="4415">
        <v>4.99</v>
      </c>
      <c r="AF22" s="4411">
        <v>5.23</v>
      </c>
    </row>
    <row r="23" spans="2:32" ht="15.75" customHeight="1">
      <c r="B23" s="4869" t="s">
        <v>2015</v>
      </c>
      <c r="C23" s="4868">
        <v>3.56</v>
      </c>
      <c r="D23" s="3876"/>
      <c r="E23" s="3876"/>
      <c r="G23" s="4870">
        <v>110.35</v>
      </c>
      <c r="H23" s="4870">
        <v>110.46</v>
      </c>
      <c r="I23" s="4870">
        <v>110.38</v>
      </c>
      <c r="J23" s="4870">
        <v>110.38</v>
      </c>
      <c r="K23" s="3875"/>
      <c r="L23" s="3875"/>
      <c r="M23" s="3875"/>
      <c r="N23" s="4868">
        <v>0.1</v>
      </c>
      <c r="O23" s="4868">
        <v>-0.08</v>
      </c>
      <c r="P23" s="4868">
        <v>0</v>
      </c>
      <c r="Q23" s="3864"/>
      <c r="R23" s="3864"/>
      <c r="S23" s="3864"/>
      <c r="T23" s="4868">
        <v>-0.88</v>
      </c>
      <c r="U23" s="4868">
        <v>-0.81</v>
      </c>
      <c r="V23" s="4868">
        <v>-0.48</v>
      </c>
      <c r="W23" s="4868">
        <v>0.65</v>
      </c>
      <c r="X23" s="4868">
        <v>0.94</v>
      </c>
      <c r="Y23" s="4868">
        <v>2.19</v>
      </c>
      <c r="Z23" s="4410"/>
      <c r="AA23" s="4415"/>
      <c r="AB23" s="4411"/>
      <c r="AD23" s="4410">
        <v>0.24</v>
      </c>
      <c r="AE23" s="4415">
        <v>0.27</v>
      </c>
      <c r="AF23" s="4411">
        <v>0.13</v>
      </c>
    </row>
    <row r="24" spans="2:32" ht="15" customHeight="1">
      <c r="B24" s="4869"/>
      <c r="C24" s="4868"/>
      <c r="D24" s="3864">
        <v>110.21</v>
      </c>
      <c r="E24" s="3864">
        <v>109.73</v>
      </c>
      <c r="F24" s="3863">
        <v>108.28</v>
      </c>
      <c r="G24" s="4870"/>
      <c r="H24" s="4870"/>
      <c r="I24" s="4870"/>
      <c r="J24" s="4870"/>
      <c r="K24" s="3875">
        <v>110.93</v>
      </c>
      <c r="L24" s="3875">
        <v>110.75</v>
      </c>
      <c r="M24" s="3875">
        <v>110.65</v>
      </c>
      <c r="N24" s="4868"/>
      <c r="O24" s="4868"/>
      <c r="P24" s="4868"/>
      <c r="Q24" s="3864">
        <v>0.5</v>
      </c>
      <c r="R24" s="3864">
        <v>-0.15</v>
      </c>
      <c r="S24" s="3864">
        <v>-0.09</v>
      </c>
      <c r="T24" s="4868"/>
      <c r="U24" s="4868"/>
      <c r="V24" s="4868"/>
      <c r="W24" s="4868"/>
      <c r="X24" s="4868"/>
      <c r="Y24" s="4868"/>
      <c r="Z24" s="4410">
        <v>-0.15</v>
      </c>
      <c r="AA24" s="4415">
        <v>0.04</v>
      </c>
      <c r="AB24" s="4411">
        <v>0.04</v>
      </c>
      <c r="AD24" s="4410"/>
      <c r="AE24" s="4415"/>
      <c r="AF24" s="4411"/>
    </row>
    <row r="25" spans="2:32" ht="15.75" customHeight="1">
      <c r="B25" s="4869" t="s">
        <v>2016</v>
      </c>
      <c r="C25" s="4868">
        <v>15.36</v>
      </c>
      <c r="D25" s="3876"/>
      <c r="E25" s="3876"/>
      <c r="G25" s="4868">
        <v>115.52</v>
      </c>
      <c r="H25" s="4868">
        <v>116.41</v>
      </c>
      <c r="I25" s="4868">
        <v>116.41</v>
      </c>
      <c r="J25" s="4868">
        <v>116.17</v>
      </c>
      <c r="K25" s="3864"/>
      <c r="L25" s="3864"/>
      <c r="M25" s="3864"/>
      <c r="N25" s="4868">
        <v>0.77</v>
      </c>
      <c r="O25" s="4868">
        <v>0</v>
      </c>
      <c r="P25" s="4868">
        <v>-0.2</v>
      </c>
      <c r="Q25" s="3864"/>
      <c r="R25" s="3864"/>
      <c r="S25" s="3864"/>
      <c r="T25" s="4868">
        <v>0.89</v>
      </c>
      <c r="U25" s="4868">
        <v>0.81</v>
      </c>
      <c r="V25" s="4868">
        <v>1.25</v>
      </c>
      <c r="W25" s="4868">
        <v>0.95</v>
      </c>
      <c r="X25" s="4868">
        <v>0.71</v>
      </c>
      <c r="Y25" s="4868">
        <v>0.72</v>
      </c>
      <c r="Z25" s="4410"/>
      <c r="AA25" s="4415"/>
      <c r="AB25" s="4411"/>
      <c r="AD25" s="4410">
        <v>0.34</v>
      </c>
      <c r="AE25" s="4415">
        <v>0.34</v>
      </c>
      <c r="AF25" s="4411">
        <v>0.2</v>
      </c>
    </row>
    <row r="26" spans="2:32" ht="17.25" customHeight="1">
      <c r="B26" s="4869"/>
      <c r="C26" s="4868"/>
      <c r="D26" s="3864">
        <v>114.2</v>
      </c>
      <c r="E26" s="3864">
        <v>114.26</v>
      </c>
      <c r="F26" s="3863">
        <v>114.37</v>
      </c>
      <c r="G26" s="4868"/>
      <c r="H26" s="4868"/>
      <c r="I26" s="4868"/>
      <c r="J26" s="4868"/>
      <c r="K26" s="3864">
        <v>115.28</v>
      </c>
      <c r="L26" s="3864">
        <v>115.07</v>
      </c>
      <c r="M26" s="3864">
        <v>115.19</v>
      </c>
      <c r="N26" s="4868"/>
      <c r="O26" s="4868"/>
      <c r="P26" s="4868"/>
      <c r="Q26" s="3864">
        <v>-0.67</v>
      </c>
      <c r="R26" s="3864">
        <v>-0.18</v>
      </c>
      <c r="S26" s="3864">
        <v>0.1</v>
      </c>
      <c r="T26" s="4868"/>
      <c r="U26" s="4868"/>
      <c r="V26" s="4868"/>
      <c r="W26" s="4868"/>
      <c r="X26" s="4868"/>
      <c r="Y26" s="4868"/>
      <c r="Z26" s="4410">
        <v>-0.35</v>
      </c>
      <c r="AA26" s="4415">
        <v>0</v>
      </c>
      <c r="AB26" s="4411">
        <v>-0.14000000000000001</v>
      </c>
      <c r="AD26" s="4406"/>
      <c r="AE26" s="4416"/>
      <c r="AF26" s="4407"/>
    </row>
    <row r="27" spans="2:32" ht="15.75" customHeight="1">
      <c r="B27" s="3862" t="s">
        <v>2017</v>
      </c>
      <c r="C27" s="3874">
        <v>28.75</v>
      </c>
      <c r="D27" s="3864">
        <v>112.51</v>
      </c>
      <c r="E27" s="3864">
        <v>111.35</v>
      </c>
      <c r="F27" s="3863">
        <v>111.59</v>
      </c>
      <c r="G27" s="3875">
        <v>106.71</v>
      </c>
      <c r="H27" s="3875">
        <v>102.51</v>
      </c>
      <c r="I27" s="3875">
        <v>101.63</v>
      </c>
      <c r="J27" s="3875">
        <v>101.43</v>
      </c>
      <c r="K27" s="3875">
        <v>117.75</v>
      </c>
      <c r="L27" s="3875">
        <v>117.48</v>
      </c>
      <c r="M27" s="3875">
        <v>117.05</v>
      </c>
      <c r="N27" s="3863">
        <v>-3.94</v>
      </c>
      <c r="O27" s="3863">
        <v>-0.86</v>
      </c>
      <c r="P27" s="3863">
        <v>-0.2</v>
      </c>
      <c r="Q27" s="3863">
        <v>16.100000000000001</v>
      </c>
      <c r="R27" s="3863">
        <v>-0.23</v>
      </c>
      <c r="S27" s="3863">
        <v>-0.36</v>
      </c>
      <c r="T27" s="3863">
        <v>-7.64</v>
      </c>
      <c r="U27" s="3863">
        <v>-9.06</v>
      </c>
      <c r="V27" s="3863">
        <v>-9.15</v>
      </c>
      <c r="W27" s="3863">
        <v>4.66</v>
      </c>
      <c r="X27" s="3863">
        <v>5.5</v>
      </c>
      <c r="Y27" s="3863">
        <v>4.9000000000000004</v>
      </c>
      <c r="Z27" s="4410">
        <v>-2.74</v>
      </c>
      <c r="AA27" s="4415">
        <v>-6.41</v>
      </c>
      <c r="AB27" s="4411">
        <v>3.3</v>
      </c>
      <c r="AD27" s="4410">
        <v>1.23</v>
      </c>
      <c r="AE27" s="4415">
        <v>-4.72</v>
      </c>
      <c r="AF27" s="4411">
        <v>-1.53</v>
      </c>
    </row>
    <row r="28" spans="2:32" ht="15.75" customHeight="1">
      <c r="B28" s="4869" t="s">
        <v>2018</v>
      </c>
      <c r="C28" s="4868">
        <v>41.34</v>
      </c>
      <c r="D28" s="3864"/>
      <c r="E28" s="3864"/>
      <c r="F28" s="3863"/>
      <c r="G28" s="3875"/>
      <c r="H28" s="3875"/>
      <c r="I28" s="3875"/>
      <c r="J28" s="3875"/>
      <c r="K28" s="3875"/>
      <c r="L28" s="3875"/>
      <c r="M28" s="3875"/>
      <c r="N28" s="3863"/>
      <c r="O28" s="3863"/>
      <c r="P28" s="3863"/>
      <c r="Q28" s="3863"/>
      <c r="R28" s="3863"/>
      <c r="S28" s="3863"/>
      <c r="T28" s="3863"/>
      <c r="U28" s="3863"/>
      <c r="V28" s="3863"/>
      <c r="W28" s="3863"/>
      <c r="X28" s="3863"/>
      <c r="Y28" s="3863"/>
      <c r="Z28" s="4410"/>
      <c r="AA28" s="4415"/>
      <c r="AB28" s="4411"/>
      <c r="AD28" s="4410"/>
      <c r="AE28" s="4415"/>
      <c r="AF28" s="4411"/>
    </row>
    <row r="29" spans="2:32" ht="15" customHeight="1">
      <c r="B29" s="4869"/>
      <c r="C29" s="4868"/>
      <c r="D29" s="3876"/>
      <c r="E29" s="3876"/>
      <c r="G29" s="3875"/>
      <c r="H29" s="3875"/>
      <c r="I29" s="3875"/>
      <c r="J29" s="3875"/>
      <c r="K29" s="3875"/>
      <c r="L29" s="3875"/>
      <c r="M29" s="3875"/>
      <c r="N29" s="3863"/>
      <c r="O29" s="3864"/>
      <c r="P29" s="3864"/>
      <c r="Q29" s="3864"/>
      <c r="R29" s="3864"/>
      <c r="S29" s="3864"/>
      <c r="T29" s="3863"/>
      <c r="U29" s="3864"/>
      <c r="V29" s="3864"/>
      <c r="W29" s="3864"/>
      <c r="X29" s="3864"/>
      <c r="Y29" s="3864"/>
      <c r="Z29" s="4406"/>
      <c r="AA29" s="4416"/>
      <c r="AB29" s="4416"/>
      <c r="AC29" s="4403"/>
      <c r="AD29" s="4404"/>
      <c r="AE29" s="3876"/>
      <c r="AF29" s="4404"/>
    </row>
    <row r="30" spans="2:32" ht="36" customHeight="1">
      <c r="B30" s="4869"/>
      <c r="C30" s="4868"/>
      <c r="D30" s="3864">
        <v>113.72</v>
      </c>
      <c r="E30" s="3864">
        <v>113.78</v>
      </c>
      <c r="F30" s="3863">
        <v>113.78</v>
      </c>
      <c r="G30" s="3875">
        <v>114.05</v>
      </c>
      <c r="H30" s="3875">
        <v>114.08</v>
      </c>
      <c r="I30" s="3875">
        <v>114.08</v>
      </c>
      <c r="J30" s="3875">
        <v>114.08</v>
      </c>
      <c r="K30" s="3875">
        <v>115.29</v>
      </c>
      <c r="L30" s="3875">
        <v>115.39</v>
      </c>
      <c r="M30" s="3875">
        <v>115.47</v>
      </c>
      <c r="N30" s="3863">
        <v>0.03</v>
      </c>
      <c r="O30" s="3864">
        <v>0</v>
      </c>
      <c r="P30" s="3864">
        <v>0</v>
      </c>
      <c r="Q30" s="3864">
        <v>0.97</v>
      </c>
      <c r="R30" s="3864">
        <v>0.09</v>
      </c>
      <c r="S30" s="3864">
        <v>7.0000000000000007E-2</v>
      </c>
      <c r="T30" s="3863">
        <v>1.83</v>
      </c>
      <c r="U30" s="3864">
        <v>1.9</v>
      </c>
      <c r="V30" s="3864">
        <v>1.87</v>
      </c>
      <c r="W30" s="3864">
        <v>1.38</v>
      </c>
      <c r="X30" s="3864">
        <v>1.42</v>
      </c>
      <c r="Y30" s="3864">
        <v>1.49</v>
      </c>
      <c r="Z30" s="4410">
        <v>-0.06</v>
      </c>
      <c r="AA30" s="4415">
        <v>0.05</v>
      </c>
      <c r="AB30" s="4415">
        <v>0.03</v>
      </c>
      <c r="AC30" s="4403"/>
      <c r="AD30" s="4418">
        <v>1.4</v>
      </c>
      <c r="AE30" s="4419">
        <v>1.43</v>
      </c>
      <c r="AF30" s="4418">
        <v>1.33</v>
      </c>
    </row>
    <row r="31" spans="2:32" ht="15.75">
      <c r="B31" s="3867" t="s">
        <v>2019</v>
      </c>
      <c r="C31" s="3877">
        <v>4.47</v>
      </c>
      <c r="D31" s="3869">
        <v>89.72</v>
      </c>
      <c r="E31" s="3869">
        <v>89.72</v>
      </c>
      <c r="F31" s="3868">
        <v>89.72</v>
      </c>
      <c r="G31" s="3878">
        <v>89.72</v>
      </c>
      <c r="H31" s="3878">
        <v>89.76</v>
      </c>
      <c r="I31" s="3878">
        <v>89.76</v>
      </c>
      <c r="J31" s="3878">
        <v>89.76</v>
      </c>
      <c r="K31" s="3878">
        <v>89.76</v>
      </c>
      <c r="L31" s="3878">
        <v>89.76</v>
      </c>
      <c r="M31" s="3878">
        <v>89.76</v>
      </c>
      <c r="N31" s="3878">
        <v>0.05</v>
      </c>
      <c r="O31" s="3878">
        <v>0</v>
      </c>
      <c r="P31" s="3878">
        <v>0</v>
      </c>
      <c r="Q31" s="3878">
        <v>0</v>
      </c>
      <c r="R31" s="3878">
        <v>0</v>
      </c>
      <c r="S31" s="3878">
        <v>0</v>
      </c>
      <c r="T31" s="3878">
        <v>0.05</v>
      </c>
      <c r="U31" s="3878">
        <v>0.05</v>
      </c>
      <c r="V31" s="3878">
        <v>0.05</v>
      </c>
      <c r="W31" s="3878">
        <v>0.05</v>
      </c>
      <c r="X31" s="3878">
        <v>0.05</v>
      </c>
      <c r="Y31" s="3878">
        <v>0.05</v>
      </c>
      <c r="Z31" s="4412">
        <v>0</v>
      </c>
      <c r="AA31" s="4417">
        <v>0</v>
      </c>
      <c r="AB31" s="4417">
        <v>0</v>
      </c>
      <c r="AC31" s="4405"/>
      <c r="AD31" s="4420">
        <v>0.05</v>
      </c>
      <c r="AE31" s="4421">
        <v>0.05</v>
      </c>
      <c r="AF31" s="4420">
        <v>0.05</v>
      </c>
    </row>
    <row r="32" spans="2:32">
      <c r="B32" s="4867" t="s">
        <v>2009</v>
      </c>
      <c r="C32" s="4867"/>
      <c r="D32" s="4867"/>
      <c r="E32" s="4867"/>
      <c r="F32" s="4867"/>
      <c r="G32" s="4867"/>
      <c r="H32" s="4867"/>
      <c r="I32" s="4867"/>
      <c r="J32" s="4867"/>
      <c r="K32" s="4867"/>
      <c r="L32" s="4867"/>
      <c r="M32" s="4867"/>
      <c r="N32" s="3879"/>
      <c r="O32" s="3879"/>
      <c r="P32" s="3879"/>
      <c r="Q32" s="3879"/>
      <c r="R32" s="3879"/>
      <c r="S32" s="3879"/>
    </row>
  </sheetData>
  <mergeCells count="56">
    <mergeCell ref="D3:M3"/>
    <mergeCell ref="D18:M18"/>
    <mergeCell ref="G10:G11"/>
    <mergeCell ref="B1:V1"/>
    <mergeCell ref="B3:B4"/>
    <mergeCell ref="C3:C4"/>
    <mergeCell ref="N3:S3"/>
    <mergeCell ref="T3:Y3"/>
    <mergeCell ref="H10:H11"/>
    <mergeCell ref="I10:I11"/>
    <mergeCell ref="J10:J11"/>
    <mergeCell ref="B14:M14"/>
    <mergeCell ref="B16:V16"/>
    <mergeCell ref="B18:B19"/>
    <mergeCell ref="C18:C19"/>
    <mergeCell ref="N18:S18"/>
    <mergeCell ref="T18:Y18"/>
    <mergeCell ref="B10:B11"/>
    <mergeCell ref="C10:C11"/>
    <mergeCell ref="B23:B24"/>
    <mergeCell ref="Y23:Y24"/>
    <mergeCell ref="H23:H24"/>
    <mergeCell ref="I23:I24"/>
    <mergeCell ref="J23:J24"/>
    <mergeCell ref="N23:N24"/>
    <mergeCell ref="O23:O24"/>
    <mergeCell ref="P23:P24"/>
    <mergeCell ref="T23:T24"/>
    <mergeCell ref="U23:U24"/>
    <mergeCell ref="V23:V24"/>
    <mergeCell ref="W23:W24"/>
    <mergeCell ref="X23:X24"/>
    <mergeCell ref="X25:X26"/>
    <mergeCell ref="Y25:Y26"/>
    <mergeCell ref="H25:H26"/>
    <mergeCell ref="I25:I26"/>
    <mergeCell ref="J25:J26"/>
    <mergeCell ref="N25:N26"/>
    <mergeCell ref="O25:O26"/>
    <mergeCell ref="P25:P26"/>
    <mergeCell ref="Z3:AC3"/>
    <mergeCell ref="AD3:AF3"/>
    <mergeCell ref="Z18:AC18"/>
    <mergeCell ref="AD18:AF18"/>
    <mergeCell ref="B32:M32"/>
    <mergeCell ref="T25:T26"/>
    <mergeCell ref="U25:U26"/>
    <mergeCell ref="V25:V26"/>
    <mergeCell ref="W25:W26"/>
    <mergeCell ref="B25:B26"/>
    <mergeCell ref="C25:C26"/>
    <mergeCell ref="G25:G26"/>
    <mergeCell ref="C28:C30"/>
    <mergeCell ref="B28:B30"/>
    <mergeCell ref="C23:C24"/>
    <mergeCell ref="G23:G24"/>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dimension ref="A1:H62"/>
  <sheetViews>
    <sheetView workbookViewId="0">
      <pane xSplit="2" ySplit="5" topLeftCell="C37" activePane="bottomRight" state="frozen"/>
      <selection pane="topRight" activeCell="C1" sqref="C1"/>
      <selection pane="bottomLeft" activeCell="A6" sqref="A6"/>
      <selection pane="bottomRight" activeCell="G40" sqref="G40"/>
    </sheetView>
  </sheetViews>
  <sheetFormatPr defaultRowHeight="12.75"/>
  <cols>
    <col min="1" max="1" width="9.140625" style="2914"/>
    <col min="2" max="2" width="30.42578125" bestFit="1" customWidth="1"/>
    <col min="3" max="4" width="11.42578125" bestFit="1" customWidth="1"/>
    <col min="5" max="7" width="11.42578125" customWidth="1"/>
  </cols>
  <sheetData>
    <row r="1" spans="1:8" ht="18">
      <c r="A1" s="3116"/>
      <c r="B1" s="4879" t="s">
        <v>781</v>
      </c>
      <c r="C1" s="4879"/>
      <c r="D1" s="4879"/>
      <c r="E1" s="4879"/>
      <c r="F1" s="4879"/>
      <c r="G1" s="4879"/>
      <c r="H1" s="3066"/>
    </row>
    <row r="2" spans="1:8" ht="12.75" customHeight="1">
      <c r="A2" s="3116"/>
      <c r="B2" s="3068"/>
      <c r="C2" s="3068"/>
      <c r="D2" s="3068"/>
      <c r="E2" s="3066"/>
      <c r="F2" s="3066"/>
      <c r="G2" s="3066"/>
      <c r="H2" s="3066"/>
    </row>
    <row r="3" spans="1:8" ht="24" customHeight="1">
      <c r="A3" s="3116"/>
      <c r="B3" s="4880" t="s">
        <v>1108</v>
      </c>
      <c r="C3" s="4880"/>
      <c r="D3" s="4880"/>
      <c r="E3" s="4880"/>
      <c r="F3" s="4880"/>
      <c r="G3" s="4880"/>
      <c r="H3" s="3066"/>
    </row>
    <row r="4" spans="1:8">
      <c r="A4" s="3116"/>
      <c r="B4" s="4881" t="s">
        <v>1699</v>
      </c>
      <c r="C4" s="3069" t="s">
        <v>735</v>
      </c>
      <c r="D4" s="3069" t="s">
        <v>736</v>
      </c>
      <c r="E4" s="3069" t="s">
        <v>1720</v>
      </c>
      <c r="F4" s="3069" t="s">
        <v>1431</v>
      </c>
      <c r="G4" s="3069" t="s">
        <v>1478</v>
      </c>
      <c r="H4" s="3066"/>
    </row>
    <row r="5" spans="1:8" s="2914" customFormat="1">
      <c r="A5" s="3116"/>
      <c r="B5" s="4882"/>
      <c r="C5" s="4883" t="s">
        <v>1737</v>
      </c>
      <c r="D5" s="4884"/>
      <c r="E5" s="4884"/>
      <c r="F5" s="4884"/>
      <c r="G5" s="4885"/>
      <c r="H5" s="3089"/>
    </row>
    <row r="6" spans="1:8" ht="13.5" customHeight="1">
      <c r="A6" s="3116"/>
      <c r="B6" s="3070" t="s">
        <v>1741</v>
      </c>
      <c r="C6" s="3110">
        <v>5</v>
      </c>
      <c r="D6" s="3084">
        <v>5</v>
      </c>
      <c r="E6" s="3084">
        <v>5.5</v>
      </c>
      <c r="F6" s="3084">
        <v>5</v>
      </c>
      <c r="G6" s="3084">
        <v>6</v>
      </c>
      <c r="H6" s="3066"/>
    </row>
    <row r="7" spans="1:8" ht="18.75" customHeight="1">
      <c r="A7" s="3116"/>
      <c r="B7" s="3080" t="s">
        <v>1700</v>
      </c>
      <c r="C7" s="3071"/>
      <c r="D7" s="3086"/>
      <c r="E7" s="3086"/>
      <c r="F7" s="3086"/>
      <c r="G7" s="3086"/>
      <c r="H7" s="3066"/>
    </row>
    <row r="8" spans="1:8" ht="15.75" customHeight="1">
      <c r="A8" s="3116"/>
      <c r="B8" s="3080" t="s">
        <v>1701</v>
      </c>
      <c r="C8" s="3071"/>
      <c r="D8" s="3086"/>
      <c r="E8" s="3086"/>
      <c r="F8" s="3086"/>
      <c r="G8" s="3086"/>
      <c r="H8" s="3066"/>
    </row>
    <row r="9" spans="1:8">
      <c r="A9" s="3116"/>
      <c r="B9" s="3072" t="s">
        <v>1702</v>
      </c>
      <c r="C9" s="3086">
        <v>5</v>
      </c>
      <c r="D9" s="3112" t="s">
        <v>244</v>
      </c>
      <c r="E9" s="3086">
        <v>5.5</v>
      </c>
      <c r="F9" s="3086">
        <v>5</v>
      </c>
      <c r="G9" s="3086">
        <v>7</v>
      </c>
      <c r="H9" s="3066"/>
    </row>
    <row r="10" spans="1:8">
      <c r="A10" s="3116"/>
      <c r="B10" s="3072" t="s">
        <v>1703</v>
      </c>
      <c r="C10" s="3086">
        <v>7</v>
      </c>
      <c r="D10" s="3086">
        <v>7</v>
      </c>
      <c r="E10" s="3086">
        <v>7</v>
      </c>
      <c r="F10" s="3086">
        <v>6.5</v>
      </c>
      <c r="G10" s="3086">
        <v>7.5</v>
      </c>
      <c r="H10" s="3066"/>
    </row>
    <row r="11" spans="1:8">
      <c r="A11" s="3116"/>
      <c r="B11" s="3073" t="s">
        <v>1704</v>
      </c>
      <c r="C11" s="3086">
        <v>7.5</v>
      </c>
      <c r="D11" s="3086">
        <v>7.5</v>
      </c>
      <c r="E11" s="3086">
        <v>7.5</v>
      </c>
      <c r="F11" s="3086">
        <v>7</v>
      </c>
      <c r="G11" s="3086">
        <v>7.5</v>
      </c>
      <c r="H11" s="3066"/>
    </row>
    <row r="12" spans="1:8">
      <c r="A12" s="3116"/>
      <c r="B12" s="3073" t="s">
        <v>1721</v>
      </c>
      <c r="C12" s="3086">
        <v>8</v>
      </c>
      <c r="D12" s="3086">
        <v>8</v>
      </c>
      <c r="E12" s="3086">
        <v>8</v>
      </c>
      <c r="F12" s="3086">
        <v>8</v>
      </c>
      <c r="G12" s="3086">
        <v>8</v>
      </c>
      <c r="H12" s="3066"/>
    </row>
    <row r="13" spans="1:8" s="2914" customFormat="1">
      <c r="A13" s="3116"/>
      <c r="B13" s="3083" t="s">
        <v>1722</v>
      </c>
      <c r="C13" s="3086" t="s">
        <v>1746</v>
      </c>
      <c r="D13" s="3086" t="s">
        <v>1825</v>
      </c>
      <c r="E13" s="3086">
        <v>8</v>
      </c>
      <c r="F13" s="3086">
        <v>8</v>
      </c>
      <c r="G13" s="3086">
        <v>8.75</v>
      </c>
      <c r="H13" s="3067"/>
    </row>
    <row r="14" spans="1:8" ht="15.75" customHeight="1">
      <c r="A14" s="3116"/>
      <c r="B14" s="3082" t="s">
        <v>1705</v>
      </c>
      <c r="C14" s="3075"/>
      <c r="D14" s="3086"/>
      <c r="E14" s="3086"/>
      <c r="F14" s="3086"/>
      <c r="G14" s="3086"/>
      <c r="H14" s="3066"/>
    </row>
    <row r="15" spans="1:8">
      <c r="A15" s="3116"/>
      <c r="B15" s="3072" t="s">
        <v>1702</v>
      </c>
      <c r="C15" s="3086">
        <v>5</v>
      </c>
      <c r="D15" s="3086" t="s">
        <v>1738</v>
      </c>
      <c r="E15" s="3086">
        <v>5.5</v>
      </c>
      <c r="F15" s="3086">
        <v>5.5</v>
      </c>
      <c r="G15" s="3086" t="s">
        <v>1723</v>
      </c>
      <c r="H15" s="3066"/>
    </row>
    <row r="16" spans="1:8">
      <c r="A16" s="3116"/>
      <c r="B16" s="3072" t="s">
        <v>1703</v>
      </c>
      <c r="C16" s="3086">
        <v>6.75</v>
      </c>
      <c r="D16" s="3086">
        <v>6</v>
      </c>
      <c r="E16" s="3086">
        <v>7</v>
      </c>
      <c r="F16" s="3086">
        <v>6.5</v>
      </c>
      <c r="G16" s="3086">
        <v>7.5</v>
      </c>
      <c r="H16" s="3066"/>
    </row>
    <row r="17" spans="1:8">
      <c r="A17" s="3116"/>
      <c r="B17" s="3073" t="s">
        <v>1704</v>
      </c>
      <c r="C17" s="3086">
        <v>7.25</v>
      </c>
      <c r="D17" s="3086">
        <v>7</v>
      </c>
      <c r="E17" s="3086">
        <v>7.5</v>
      </c>
      <c r="F17" s="3086">
        <v>7</v>
      </c>
      <c r="G17" s="3086">
        <v>8</v>
      </c>
      <c r="H17" s="3066"/>
    </row>
    <row r="18" spans="1:8" s="2914" customFormat="1">
      <c r="A18" s="3116"/>
      <c r="B18" s="3073" t="s">
        <v>1721</v>
      </c>
      <c r="C18" s="3086">
        <v>7.75</v>
      </c>
      <c r="D18" s="3086">
        <v>8</v>
      </c>
      <c r="E18" s="3086">
        <v>8</v>
      </c>
      <c r="F18" s="3086">
        <v>8</v>
      </c>
      <c r="G18" s="1984">
        <v>8.5</v>
      </c>
      <c r="H18" s="3089"/>
    </row>
    <row r="19" spans="1:8">
      <c r="A19" s="3116"/>
      <c r="B19" s="3072" t="s">
        <v>1722</v>
      </c>
      <c r="C19" s="3086" t="s">
        <v>1067</v>
      </c>
      <c r="D19" s="3086" t="s">
        <v>1534</v>
      </c>
      <c r="E19" s="3086">
        <v>8</v>
      </c>
      <c r="F19" s="3086">
        <v>8</v>
      </c>
      <c r="G19" s="3086" t="s">
        <v>504</v>
      </c>
      <c r="H19" s="3066"/>
    </row>
    <row r="20" spans="1:8" ht="18.75" customHeight="1">
      <c r="A20" s="3116"/>
      <c r="B20" s="3081" t="s">
        <v>1706</v>
      </c>
      <c r="C20" s="3077"/>
      <c r="D20" s="3086"/>
      <c r="E20" s="3086"/>
      <c r="F20" s="3086"/>
      <c r="G20" s="3086"/>
      <c r="H20" s="3066"/>
    </row>
    <row r="21" spans="1:8" ht="15.75" hidden="1" customHeight="1">
      <c r="A21" s="3116"/>
      <c r="B21" s="3080" t="s">
        <v>1701</v>
      </c>
      <c r="C21" s="3071"/>
      <c r="D21" s="3076"/>
      <c r="E21" s="3076"/>
      <c r="F21" s="3076"/>
      <c r="G21" s="3085"/>
      <c r="H21" s="3066"/>
    </row>
    <row r="22" spans="1:8" hidden="1">
      <c r="A22" s="3116"/>
      <c r="B22" s="3072" t="s">
        <v>1707</v>
      </c>
      <c r="C22" s="3072"/>
      <c r="D22" s="3076"/>
      <c r="E22" s="3076"/>
      <c r="F22" s="3076"/>
      <c r="G22" s="3076"/>
      <c r="H22" s="3066"/>
    </row>
    <row r="23" spans="1:8" hidden="1">
      <c r="A23" s="3116"/>
      <c r="B23" s="3072" t="s">
        <v>1708</v>
      </c>
      <c r="C23" s="3072"/>
      <c r="D23" s="3076"/>
      <c r="E23" s="3076"/>
      <c r="F23" s="3111">
        <v>2</v>
      </c>
      <c r="G23" s="3076"/>
      <c r="H23" s="3066"/>
    </row>
    <row r="24" spans="1:8" hidden="1">
      <c r="A24" s="3116"/>
      <c r="B24" s="3072" t="s">
        <v>1709</v>
      </c>
      <c r="C24" s="3072"/>
      <c r="D24" s="3076"/>
      <c r="E24" s="3076"/>
      <c r="F24" s="3111">
        <v>4</v>
      </c>
      <c r="G24" s="3076"/>
      <c r="H24" s="3066"/>
    </row>
    <row r="25" spans="1:8" hidden="1">
      <c r="A25" s="3116"/>
      <c r="B25" s="3074" t="s">
        <v>1710</v>
      </c>
      <c r="C25" s="3074"/>
      <c r="D25" s="3076"/>
      <c r="E25" s="3076"/>
      <c r="F25" s="3111">
        <v>5</v>
      </c>
      <c r="G25" s="3076"/>
      <c r="H25" s="3066"/>
    </row>
    <row r="26" spans="1:8" hidden="1">
      <c r="A26" s="3116"/>
      <c r="B26" s="3074" t="s">
        <v>1711</v>
      </c>
      <c r="C26" s="3074"/>
      <c r="D26" s="3076"/>
      <c r="E26" s="3076"/>
      <c r="F26" s="3111">
        <v>6</v>
      </c>
      <c r="G26" s="3076"/>
      <c r="H26" s="3066"/>
    </row>
    <row r="27" spans="1:8" hidden="1">
      <c r="A27" s="3116"/>
      <c r="B27" s="3074" t="s">
        <v>1712</v>
      </c>
      <c r="C27" s="3074"/>
      <c r="D27" s="3076"/>
      <c r="E27" s="3076"/>
      <c r="F27" s="3111">
        <v>7</v>
      </c>
      <c r="G27" s="3076"/>
      <c r="H27" s="3066"/>
    </row>
    <row r="28" spans="1:8" hidden="1">
      <c r="A28" s="3116"/>
      <c r="B28" s="3074" t="s">
        <v>1713</v>
      </c>
      <c r="C28" s="3074"/>
      <c r="D28" s="3076"/>
      <c r="E28" s="3076"/>
      <c r="F28" s="3111">
        <v>8</v>
      </c>
      <c r="G28" s="3076"/>
      <c r="H28" s="3066"/>
    </row>
    <row r="29" spans="1:8" hidden="1">
      <c r="A29" s="3116"/>
      <c r="B29" s="3074" t="s">
        <v>1714</v>
      </c>
      <c r="C29" s="3074"/>
      <c r="D29" s="3076"/>
      <c r="E29" s="3076"/>
      <c r="F29" s="3111">
        <v>8.5</v>
      </c>
      <c r="G29" s="3076"/>
      <c r="H29" s="3066"/>
    </row>
    <row r="30" spans="1:8" hidden="1">
      <c r="A30" s="3116"/>
      <c r="B30" s="3074" t="s">
        <v>1715</v>
      </c>
      <c r="C30" s="3074"/>
      <c r="D30" s="3076"/>
      <c r="E30" s="3076"/>
      <c r="F30" s="3111">
        <v>8.5</v>
      </c>
      <c r="G30" s="3076"/>
      <c r="H30" s="3066"/>
    </row>
    <row r="31" spans="1:8" ht="15.75" customHeight="1">
      <c r="A31" s="3116"/>
      <c r="B31" s="3082" t="s">
        <v>1750</v>
      </c>
      <c r="C31" s="3075"/>
      <c r="D31" s="3076"/>
      <c r="E31" s="3076"/>
      <c r="F31" s="3086"/>
      <c r="G31" s="3076"/>
      <c r="H31" s="3066"/>
    </row>
    <row r="32" spans="1:8" hidden="1">
      <c r="A32" s="3116"/>
      <c r="B32" s="3072" t="s">
        <v>1707</v>
      </c>
      <c r="C32" s="3072"/>
      <c r="D32" s="3076"/>
      <c r="E32" s="3076"/>
      <c r="F32" s="3086"/>
      <c r="G32" s="3076"/>
      <c r="H32" s="3066"/>
    </row>
    <row r="33" spans="1:8">
      <c r="A33" s="3116"/>
      <c r="B33" s="3072" t="s">
        <v>1708</v>
      </c>
      <c r="C33" s="3112" t="s">
        <v>244</v>
      </c>
      <c r="D33" s="3086">
        <v>0.5</v>
      </c>
      <c r="E33" s="3112" t="s">
        <v>244</v>
      </c>
      <c r="F33" s="3112" t="s">
        <v>244</v>
      </c>
      <c r="G33" s="3086">
        <v>1</v>
      </c>
      <c r="H33" s="3066"/>
    </row>
    <row r="34" spans="1:8">
      <c r="A34" s="3116"/>
      <c r="B34" s="3072" t="s">
        <v>1709</v>
      </c>
      <c r="C34" s="3112" t="s">
        <v>244</v>
      </c>
      <c r="D34" s="3086">
        <v>4</v>
      </c>
      <c r="E34" s="3086">
        <v>5.5</v>
      </c>
      <c r="F34" s="3086">
        <v>3</v>
      </c>
      <c r="G34" s="3086">
        <v>5</v>
      </c>
      <c r="H34" s="3066"/>
    </row>
    <row r="35" spans="1:8">
      <c r="A35" s="3116"/>
      <c r="B35" s="3074" t="s">
        <v>1710</v>
      </c>
      <c r="C35" s="3112" t="s">
        <v>244</v>
      </c>
      <c r="D35" s="3086">
        <v>5</v>
      </c>
      <c r="E35" s="3086">
        <v>5.5</v>
      </c>
      <c r="F35" s="3086">
        <v>4</v>
      </c>
      <c r="G35" s="3076" t="s">
        <v>846</v>
      </c>
      <c r="H35" s="3066"/>
    </row>
    <row r="36" spans="1:8">
      <c r="A36" s="3116"/>
      <c r="B36" s="3074" t="s">
        <v>1711</v>
      </c>
      <c r="C36" s="3086">
        <v>7</v>
      </c>
      <c r="D36" s="3086">
        <v>6</v>
      </c>
      <c r="E36" s="3086">
        <v>7</v>
      </c>
      <c r="F36" s="3086">
        <v>6</v>
      </c>
      <c r="G36" s="3086">
        <v>7</v>
      </c>
      <c r="H36" s="3066"/>
    </row>
    <row r="37" spans="1:8">
      <c r="A37" s="3116"/>
      <c r="B37" s="3074" t="s">
        <v>1712</v>
      </c>
      <c r="C37" s="3086">
        <v>7.5</v>
      </c>
      <c r="D37" s="3086">
        <v>7</v>
      </c>
      <c r="E37" s="3086">
        <v>7.5</v>
      </c>
      <c r="F37" s="3086">
        <v>7</v>
      </c>
      <c r="G37" s="3086">
        <v>7.5</v>
      </c>
      <c r="H37" s="3066"/>
    </row>
    <row r="38" spans="1:8">
      <c r="A38" s="3116"/>
      <c r="B38" s="3074" t="s">
        <v>1713</v>
      </c>
      <c r="C38" s="3086" t="s">
        <v>1739</v>
      </c>
      <c r="D38" s="3076" t="s">
        <v>1739</v>
      </c>
      <c r="E38" s="3086">
        <v>8</v>
      </c>
      <c r="F38" s="3086">
        <v>8</v>
      </c>
      <c r="G38" s="3086" t="s">
        <v>1739</v>
      </c>
      <c r="H38" s="3066"/>
    </row>
    <row r="39" spans="1:8">
      <c r="A39" s="3116"/>
      <c r="B39" s="3074" t="s">
        <v>1714</v>
      </c>
      <c r="C39" s="3086">
        <v>8.5</v>
      </c>
      <c r="D39" s="3076">
        <v>8.75</v>
      </c>
      <c r="E39" s="3086">
        <v>8.5</v>
      </c>
      <c r="F39" s="3086">
        <v>8.5</v>
      </c>
      <c r="G39" s="3076">
        <v>8.5</v>
      </c>
      <c r="H39" s="3066"/>
    </row>
    <row r="40" spans="1:8">
      <c r="A40" s="3116"/>
      <c r="B40" s="3117" t="s">
        <v>1715</v>
      </c>
      <c r="C40" s="3113" t="s">
        <v>1818</v>
      </c>
      <c r="D40" s="3088" t="s">
        <v>1740</v>
      </c>
      <c r="E40" s="3093">
        <v>8.5</v>
      </c>
      <c r="F40" s="3093">
        <v>8.5</v>
      </c>
      <c r="G40" s="3088" t="s">
        <v>1818</v>
      </c>
      <c r="H40" s="3066"/>
    </row>
    <row r="41" spans="1:8">
      <c r="A41" s="2883"/>
      <c r="B41" s="3118" t="s">
        <v>1752</v>
      </c>
      <c r="C41" s="3116"/>
      <c r="D41" s="3116"/>
      <c r="E41" s="3116"/>
      <c r="F41" s="3116"/>
      <c r="G41" s="3116"/>
      <c r="H41" s="3066"/>
    </row>
    <row r="42" spans="1:8">
      <c r="A42" s="700"/>
      <c r="B42" s="700"/>
      <c r="C42" s="700"/>
      <c r="D42" s="700"/>
      <c r="E42" s="700"/>
      <c r="F42" s="700"/>
      <c r="G42" s="700"/>
      <c r="H42" s="700"/>
    </row>
    <row r="43" spans="1:8" ht="15.75" customHeight="1">
      <c r="A43" s="700"/>
      <c r="B43" s="700"/>
      <c r="C43" s="700"/>
      <c r="D43" s="700"/>
      <c r="E43" s="700"/>
      <c r="F43" s="700"/>
      <c r="G43" s="700"/>
      <c r="H43" s="700"/>
    </row>
    <row r="44" spans="1:8" ht="15.75" customHeight="1">
      <c r="A44" s="700"/>
      <c r="B44" s="700"/>
      <c r="C44" s="700"/>
      <c r="D44" s="700"/>
      <c r="E44" s="700"/>
      <c r="F44" s="700"/>
      <c r="G44" s="700"/>
      <c r="H44" s="700"/>
    </row>
    <row r="45" spans="1:8" ht="15.75" customHeight="1">
      <c r="A45" s="700"/>
      <c r="B45" s="700"/>
      <c r="C45" s="700"/>
      <c r="D45" s="700"/>
      <c r="E45" s="700"/>
      <c r="F45" s="700"/>
      <c r="G45" s="700"/>
      <c r="H45" s="700"/>
    </row>
    <row r="46" spans="1:8" ht="15.75" customHeight="1">
      <c r="A46" s="700"/>
      <c r="B46" s="700"/>
      <c r="C46" s="700"/>
      <c r="D46" s="700"/>
      <c r="E46" s="700"/>
      <c r="F46" s="700"/>
      <c r="G46" s="700"/>
      <c r="H46" s="700"/>
    </row>
    <row r="47" spans="1:8" ht="15.75" customHeight="1">
      <c r="A47" s="700"/>
      <c r="B47" s="700"/>
      <c r="C47" s="700"/>
      <c r="D47" s="700"/>
      <c r="E47" s="700"/>
      <c r="F47" s="700"/>
      <c r="G47" s="700"/>
      <c r="H47" s="700"/>
    </row>
    <row r="48" spans="1:8" ht="15.75" customHeight="1">
      <c r="A48" s="700"/>
      <c r="B48" s="700"/>
      <c r="C48" s="700"/>
      <c r="D48" s="700"/>
      <c r="E48" s="700"/>
      <c r="F48" s="700"/>
      <c r="G48" s="700"/>
      <c r="H48" s="700"/>
    </row>
    <row r="49" spans="1:8" ht="15.75" customHeight="1">
      <c r="A49" s="700"/>
      <c r="B49" s="700"/>
      <c r="C49" s="700"/>
      <c r="D49" s="700"/>
      <c r="E49" s="700"/>
      <c r="F49" s="700"/>
      <c r="G49" s="700"/>
      <c r="H49" s="700"/>
    </row>
    <row r="50" spans="1:8" ht="15.75" customHeight="1">
      <c r="A50" s="700"/>
      <c r="B50" s="700"/>
      <c r="C50" s="700"/>
      <c r="D50" s="700"/>
      <c r="E50" s="700"/>
      <c r="F50" s="700"/>
      <c r="G50" s="700"/>
      <c r="H50" s="700"/>
    </row>
    <row r="51" spans="1:8" ht="15.75" customHeight="1">
      <c r="A51" s="700"/>
      <c r="B51" s="700"/>
      <c r="C51" s="700"/>
      <c r="D51" s="700"/>
      <c r="E51" s="700"/>
      <c r="F51" s="700"/>
      <c r="G51" s="700"/>
      <c r="H51" s="700"/>
    </row>
    <row r="52" spans="1:8" ht="15.75" customHeight="1">
      <c r="A52" s="700"/>
      <c r="B52" s="700"/>
      <c r="C52" s="700"/>
      <c r="D52" s="700"/>
      <c r="E52" s="700"/>
      <c r="F52" s="700"/>
      <c r="G52" s="700"/>
      <c r="H52" s="700"/>
    </row>
    <row r="53" spans="1:8" ht="15.75" customHeight="1">
      <c r="A53" s="700"/>
      <c r="B53" s="700"/>
      <c r="C53" s="700"/>
      <c r="D53" s="700"/>
      <c r="E53" s="700"/>
      <c r="F53" s="700"/>
      <c r="G53" s="700"/>
      <c r="H53" s="700"/>
    </row>
    <row r="54" spans="1:8">
      <c r="A54" s="700"/>
      <c r="B54" s="3546"/>
      <c r="C54" s="3547"/>
      <c r="D54" s="3547"/>
      <c r="E54" s="700"/>
      <c r="F54" s="700"/>
      <c r="G54" s="700"/>
      <c r="H54" s="700"/>
    </row>
    <row r="55" spans="1:8">
      <c r="A55" s="700"/>
      <c r="B55" s="700"/>
      <c r="C55" s="700"/>
      <c r="D55" s="700"/>
      <c r="E55" s="700"/>
      <c r="F55" s="700"/>
      <c r="G55" s="700"/>
      <c r="H55" s="700"/>
    </row>
    <row r="56" spans="1:8">
      <c r="A56" s="700"/>
      <c r="B56" s="700"/>
      <c r="C56" s="700"/>
      <c r="D56" s="700"/>
      <c r="E56" s="700"/>
      <c r="F56" s="700"/>
      <c r="G56" s="700"/>
      <c r="H56" s="700"/>
    </row>
    <row r="57" spans="1:8">
      <c r="A57" s="700"/>
      <c r="B57" s="700"/>
      <c r="C57" s="700"/>
      <c r="D57" s="700"/>
      <c r="E57" s="700"/>
      <c r="F57" s="700"/>
      <c r="G57" s="700"/>
      <c r="H57" s="700"/>
    </row>
    <row r="58" spans="1:8">
      <c r="A58" s="700"/>
      <c r="B58" s="700"/>
      <c r="C58" s="700"/>
      <c r="D58" s="700"/>
      <c r="E58" s="700"/>
      <c r="F58" s="700"/>
      <c r="G58" s="700"/>
      <c r="H58" s="700"/>
    </row>
    <row r="59" spans="1:8">
      <c r="A59" s="700"/>
      <c r="B59" s="700"/>
      <c r="C59" s="700"/>
      <c r="D59" s="700"/>
      <c r="E59" s="700"/>
      <c r="F59" s="700"/>
      <c r="G59" s="700"/>
      <c r="H59" s="700"/>
    </row>
    <row r="60" spans="1:8">
      <c r="A60" s="700"/>
      <c r="B60" s="700"/>
      <c r="C60" s="700"/>
      <c r="D60" s="700"/>
      <c r="E60" s="700"/>
      <c r="F60" s="700"/>
      <c r="G60" s="700"/>
      <c r="H60" s="700"/>
    </row>
    <row r="61" spans="1:8">
      <c r="A61" s="700"/>
      <c r="B61" s="700"/>
      <c r="C61" s="700"/>
      <c r="D61" s="700"/>
      <c r="E61" s="700"/>
      <c r="F61" s="700"/>
      <c r="G61" s="700"/>
      <c r="H61" s="700"/>
    </row>
    <row r="62" spans="1:8">
      <c r="A62" s="700"/>
      <c r="B62" s="700"/>
      <c r="C62" s="700"/>
      <c r="D62" s="700"/>
      <c r="E62" s="700"/>
      <c r="F62" s="700"/>
      <c r="G62" s="700"/>
      <c r="H62" s="700"/>
    </row>
  </sheetData>
  <mergeCells count="4">
    <mergeCell ref="B1:G1"/>
    <mergeCell ref="B3:G3"/>
    <mergeCell ref="B4:B5"/>
    <mergeCell ref="C5:G5"/>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dimension ref="A1:M21"/>
  <sheetViews>
    <sheetView workbookViewId="0">
      <pane xSplit="2" ySplit="6" topLeftCell="C31" activePane="bottomRight" state="frozen"/>
      <selection pane="topRight" activeCell="C1" sqref="C1"/>
      <selection pane="bottomLeft" activeCell="A7" sqref="A7"/>
      <selection pane="bottomRight" activeCell="H4" sqref="H4:I17"/>
    </sheetView>
  </sheetViews>
  <sheetFormatPr defaultRowHeight="12.75"/>
  <cols>
    <col min="1" max="1" width="9.140625" style="2914"/>
    <col min="2" max="2" width="22.28515625" bestFit="1" customWidth="1"/>
    <col min="3" max="9" width="10.85546875" customWidth="1"/>
  </cols>
  <sheetData>
    <row r="1" spans="1:13" s="2914" customFormat="1" ht="15.75" customHeight="1">
      <c r="A1" s="3116"/>
      <c r="B1" s="4879" t="s">
        <v>1754</v>
      </c>
      <c r="C1" s="4879"/>
      <c r="D1" s="4879"/>
      <c r="E1" s="4879"/>
      <c r="F1" s="4879"/>
      <c r="G1" s="4879"/>
      <c r="H1" s="4879"/>
      <c r="I1" s="4879"/>
      <c r="J1" s="3116"/>
    </row>
    <row r="2" spans="1:13" s="2914" customFormat="1">
      <c r="A2" s="3116"/>
      <c r="B2" s="3116"/>
      <c r="C2" s="3116"/>
      <c r="D2" s="3116"/>
      <c r="E2" s="3116"/>
      <c r="F2" s="3116"/>
      <c r="G2" s="3116"/>
      <c r="H2" s="3116"/>
      <c r="I2" s="3116"/>
      <c r="J2" s="3116"/>
    </row>
    <row r="3" spans="1:13" ht="20.25" customHeight="1">
      <c r="A3" s="3116"/>
      <c r="B3" s="4891" t="s">
        <v>261</v>
      </c>
      <c r="C3" s="4892"/>
      <c r="D3" s="4892"/>
      <c r="E3" s="4892"/>
      <c r="F3" s="4892"/>
      <c r="G3" s="4892"/>
      <c r="H3" s="4892"/>
      <c r="I3" s="4893"/>
      <c r="J3" s="3116"/>
      <c r="K3" s="132"/>
      <c r="L3" s="700"/>
      <c r="M3" s="700"/>
    </row>
    <row r="4" spans="1:13" s="2914" customFormat="1">
      <c r="A4" s="3116"/>
      <c r="B4" s="3071"/>
      <c r="C4" s="4886" t="s">
        <v>187</v>
      </c>
      <c r="D4" s="4887"/>
      <c r="E4" s="4887"/>
      <c r="F4" s="4887"/>
      <c r="G4" s="4888"/>
      <c r="H4" s="4889" t="s">
        <v>1744</v>
      </c>
      <c r="I4" s="4890"/>
      <c r="J4" s="3116"/>
    </row>
    <row r="5" spans="1:13">
      <c r="A5" s="3116"/>
      <c r="B5" s="3071" t="s">
        <v>797</v>
      </c>
      <c r="C5" s="3090" t="s">
        <v>735</v>
      </c>
      <c r="D5" s="3090" t="s">
        <v>736</v>
      </c>
      <c r="E5" s="3090" t="s">
        <v>1720</v>
      </c>
      <c r="F5" s="3090" t="s">
        <v>1431</v>
      </c>
      <c r="G5" s="3090" t="s">
        <v>1478</v>
      </c>
      <c r="H5" s="3140" t="s">
        <v>1742</v>
      </c>
      <c r="I5" s="3140" t="s">
        <v>1743</v>
      </c>
      <c r="J5" s="3116"/>
    </row>
    <row r="6" spans="1:13" s="2914" customFormat="1">
      <c r="A6" s="3116"/>
      <c r="B6" s="3091"/>
      <c r="C6" s="4886" t="s">
        <v>1737</v>
      </c>
      <c r="D6" s="4887"/>
      <c r="E6" s="4887"/>
      <c r="F6" s="4887"/>
      <c r="G6" s="4888"/>
      <c r="H6" s="4889" t="s">
        <v>1737</v>
      </c>
      <c r="I6" s="4890"/>
      <c r="J6" s="3116"/>
    </row>
    <row r="7" spans="1:13" ht="22.5" customHeight="1">
      <c r="A7" s="3116"/>
      <c r="B7" s="3078" t="s">
        <v>262</v>
      </c>
      <c r="C7" s="3114">
        <v>13.75</v>
      </c>
      <c r="D7" s="3112" t="s">
        <v>244</v>
      </c>
      <c r="E7" s="3086">
        <v>14</v>
      </c>
      <c r="F7" s="3086">
        <v>14</v>
      </c>
      <c r="G7" s="3086" t="s">
        <v>1819</v>
      </c>
      <c r="H7" s="3141">
        <v>16</v>
      </c>
      <c r="I7" s="3141" t="s">
        <v>244</v>
      </c>
      <c r="J7" s="3116"/>
    </row>
    <row r="8" spans="1:13" ht="22.5" customHeight="1">
      <c r="A8" s="3116"/>
      <c r="B8" s="3078" t="s">
        <v>1716</v>
      </c>
      <c r="C8" s="3114">
        <v>13.75</v>
      </c>
      <c r="D8" s="3112" t="s">
        <v>244</v>
      </c>
      <c r="E8" s="3086">
        <v>14</v>
      </c>
      <c r="F8" s="3112" t="s">
        <v>244</v>
      </c>
      <c r="G8" s="3112" t="s">
        <v>244</v>
      </c>
      <c r="H8" s="3141" t="s">
        <v>244</v>
      </c>
      <c r="I8" s="3141" t="s">
        <v>244</v>
      </c>
      <c r="J8" s="3116"/>
    </row>
    <row r="9" spans="1:13" ht="22.5" customHeight="1">
      <c r="A9" s="3116"/>
      <c r="B9" s="3078" t="s">
        <v>263</v>
      </c>
      <c r="C9" s="3114">
        <v>13</v>
      </c>
      <c r="D9" s="3086">
        <v>13</v>
      </c>
      <c r="E9" s="3086">
        <v>13</v>
      </c>
      <c r="F9" s="3086">
        <v>13</v>
      </c>
      <c r="G9" s="3086" t="s">
        <v>1820</v>
      </c>
      <c r="H9" s="3142" t="s">
        <v>1745</v>
      </c>
      <c r="I9" s="3143">
        <v>14</v>
      </c>
      <c r="J9" s="3116"/>
    </row>
    <row r="10" spans="1:13" ht="22.5" customHeight="1">
      <c r="A10" s="3116"/>
      <c r="B10" s="3078" t="s">
        <v>1717</v>
      </c>
      <c r="C10" s="3114">
        <v>13</v>
      </c>
      <c r="D10" s="3076">
        <v>13</v>
      </c>
      <c r="E10" s="3086">
        <v>13</v>
      </c>
      <c r="F10" s="3086">
        <v>13</v>
      </c>
      <c r="G10" s="3076" t="s">
        <v>1821</v>
      </c>
      <c r="H10" s="3143">
        <v>15</v>
      </c>
      <c r="I10" s="3143">
        <v>14</v>
      </c>
      <c r="J10" s="3116"/>
    </row>
    <row r="11" spans="1:13" ht="22.5" customHeight="1">
      <c r="A11" s="3116"/>
      <c r="B11" s="3078" t="s">
        <v>264</v>
      </c>
      <c r="C11" s="3114">
        <v>12.15</v>
      </c>
      <c r="D11" s="3086">
        <v>14</v>
      </c>
      <c r="E11" s="3086" t="s">
        <v>557</v>
      </c>
      <c r="F11" s="3086">
        <v>13</v>
      </c>
      <c r="G11" s="3086" t="s">
        <v>1822</v>
      </c>
      <c r="H11" s="3143">
        <v>16</v>
      </c>
      <c r="I11" s="3143">
        <v>14</v>
      </c>
      <c r="J11" s="3116"/>
    </row>
    <row r="12" spans="1:13" ht="22.5" customHeight="1">
      <c r="A12" s="3116"/>
      <c r="B12" s="3078" t="s">
        <v>265</v>
      </c>
      <c r="C12" s="3114">
        <v>12.23</v>
      </c>
      <c r="D12" s="3112" t="s">
        <v>244</v>
      </c>
      <c r="E12" s="3112" t="s">
        <v>244</v>
      </c>
      <c r="F12" s="3086">
        <v>13</v>
      </c>
      <c r="G12" s="3086">
        <v>12</v>
      </c>
      <c r="H12" s="3141" t="s">
        <v>244</v>
      </c>
      <c r="I12" s="3141" t="s">
        <v>244</v>
      </c>
      <c r="J12" s="3116"/>
    </row>
    <row r="13" spans="1:13" ht="22.5" customHeight="1">
      <c r="A13" s="3116"/>
      <c r="B13" s="3078" t="s">
        <v>266</v>
      </c>
      <c r="C13" s="3114">
        <v>13.25</v>
      </c>
      <c r="D13" s="3076" t="s">
        <v>1015</v>
      </c>
      <c r="E13" s="3076" t="s">
        <v>557</v>
      </c>
      <c r="F13" s="3086">
        <v>13</v>
      </c>
      <c r="G13" s="3076" t="s">
        <v>1823</v>
      </c>
      <c r="H13" s="3143">
        <v>15</v>
      </c>
      <c r="I13" s="3143">
        <v>14</v>
      </c>
      <c r="J13" s="3116"/>
    </row>
    <row r="14" spans="1:13" ht="22.5" customHeight="1">
      <c r="A14" s="3116"/>
      <c r="B14" s="3078" t="s">
        <v>273</v>
      </c>
      <c r="C14" s="3114">
        <v>12.23</v>
      </c>
      <c r="D14" s="3112" t="s">
        <v>244</v>
      </c>
      <c r="E14" s="3086">
        <v>14</v>
      </c>
      <c r="F14" s="3086">
        <v>13</v>
      </c>
      <c r="G14" s="3086">
        <v>13</v>
      </c>
      <c r="H14" s="3143">
        <v>15</v>
      </c>
      <c r="I14" s="3141" t="s">
        <v>244</v>
      </c>
      <c r="J14" s="3116"/>
    </row>
    <row r="15" spans="1:13" ht="22.5" customHeight="1">
      <c r="A15" s="3116"/>
      <c r="B15" s="3075" t="s">
        <v>274</v>
      </c>
      <c r="C15" s="3114">
        <v>15</v>
      </c>
      <c r="D15" s="3086">
        <v>15</v>
      </c>
      <c r="E15" s="3086">
        <v>15</v>
      </c>
      <c r="F15" s="3086">
        <v>15</v>
      </c>
      <c r="G15" s="3086">
        <v>16</v>
      </c>
      <c r="H15" s="3143">
        <v>16</v>
      </c>
      <c r="I15" s="3143">
        <v>15</v>
      </c>
      <c r="J15" s="3116"/>
    </row>
    <row r="16" spans="1:13" ht="22.5" customHeight="1">
      <c r="A16" s="3116"/>
      <c r="B16" s="3075" t="s">
        <v>1718</v>
      </c>
      <c r="C16" s="3114">
        <v>12.15</v>
      </c>
      <c r="D16" s="3086">
        <v>14</v>
      </c>
      <c r="E16" s="3086">
        <v>13</v>
      </c>
      <c r="F16" s="3086">
        <v>13</v>
      </c>
      <c r="G16" s="3086" t="s">
        <v>1824</v>
      </c>
      <c r="H16" s="3141" t="s">
        <v>244</v>
      </c>
      <c r="I16" s="3143">
        <v>14</v>
      </c>
      <c r="J16" s="3116"/>
    </row>
    <row r="17" spans="1:10" ht="22.5" customHeight="1">
      <c r="A17" s="3116"/>
      <c r="B17" s="3079" t="s">
        <v>1719</v>
      </c>
      <c r="C17" s="3115">
        <v>13.75</v>
      </c>
      <c r="D17" s="3092">
        <v>14</v>
      </c>
      <c r="E17" s="3092">
        <v>14</v>
      </c>
      <c r="F17" s="3092">
        <v>14</v>
      </c>
      <c r="G17" s="3087" t="s">
        <v>1819</v>
      </c>
      <c r="H17" s="3144">
        <v>16</v>
      </c>
      <c r="I17" s="3144">
        <v>14</v>
      </c>
      <c r="J17" s="3116"/>
    </row>
    <row r="18" spans="1:10">
      <c r="A18" s="2883"/>
      <c r="B18" s="3118" t="s">
        <v>1753</v>
      </c>
      <c r="C18" s="3116"/>
      <c r="D18" s="3116"/>
      <c r="E18" s="3116"/>
      <c r="F18" s="3116"/>
      <c r="G18" s="3116"/>
      <c r="H18" s="3116"/>
      <c r="I18" s="3116"/>
      <c r="J18" s="3116"/>
    </row>
    <row r="19" spans="1:10">
      <c r="A19" s="3116"/>
      <c r="B19" s="3116"/>
      <c r="C19" s="3116"/>
      <c r="D19" s="3116"/>
      <c r="E19" s="3116"/>
      <c r="F19" s="3116"/>
      <c r="G19" s="3116"/>
      <c r="H19" s="3116"/>
      <c r="I19" s="3116"/>
      <c r="J19" s="3116"/>
    </row>
    <row r="20" spans="1:10">
      <c r="A20" s="3116"/>
      <c r="B20" s="3116"/>
      <c r="C20" s="3116"/>
      <c r="D20" s="3116"/>
      <c r="E20" s="3116"/>
      <c r="F20" s="3116"/>
      <c r="G20" s="3116"/>
      <c r="H20" s="3116"/>
      <c r="I20" s="3116"/>
      <c r="J20" s="3116"/>
    </row>
    <row r="21" spans="1:10">
      <c r="A21" s="3116"/>
      <c r="B21" s="3116"/>
      <c r="C21" s="3116"/>
      <c r="D21" s="3116"/>
      <c r="E21" s="3116"/>
      <c r="F21" s="3116"/>
      <c r="G21" s="3116"/>
      <c r="H21" s="3116"/>
      <c r="I21" s="3116"/>
      <c r="J21" s="3116"/>
    </row>
  </sheetData>
  <mergeCells count="6">
    <mergeCell ref="C4:G4"/>
    <mergeCell ref="C6:G6"/>
    <mergeCell ref="B1:I1"/>
    <mergeCell ref="H4:I4"/>
    <mergeCell ref="B3:I3"/>
    <mergeCell ref="H6:I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dimension ref="A1:Q2086"/>
  <sheetViews>
    <sheetView zoomScale="110" zoomScaleNormal="110" workbookViewId="0">
      <pane xSplit="2" ySplit="3" topLeftCell="C604" activePane="bottomRight" state="frozen"/>
      <selection pane="topRight" activeCell="C1" sqref="C1"/>
      <selection pane="bottomLeft" activeCell="A4" sqref="A4"/>
      <selection pane="bottomRight" activeCell="F598" sqref="F598"/>
    </sheetView>
  </sheetViews>
  <sheetFormatPr defaultRowHeight="12.75"/>
  <cols>
    <col min="1" max="1" width="8.28515625" style="2914" customWidth="1"/>
    <col min="2" max="2" width="12.140625" style="2914" customWidth="1"/>
    <col min="3" max="3" width="13.28515625" style="2914" customWidth="1"/>
    <col min="4" max="4" width="15.42578125" style="2914" customWidth="1"/>
    <col min="5" max="5" width="9" style="2914" customWidth="1"/>
    <col min="6" max="16384" width="9.140625" style="2914"/>
  </cols>
  <sheetData>
    <row r="1" spans="1:10" s="2913" customFormat="1" ht="18">
      <c r="A1" s="4897" t="s">
        <v>1748</v>
      </c>
      <c r="B1" s="4897"/>
      <c r="C1" s="4897"/>
      <c r="D1" s="4897"/>
      <c r="E1" s="4897"/>
    </row>
    <row r="2" spans="1:10" s="2913" customFormat="1">
      <c r="A2" s="2883"/>
      <c r="B2" s="2886"/>
      <c r="C2" s="2886"/>
      <c r="D2" s="2886"/>
      <c r="E2" s="2883"/>
    </row>
    <row r="3" spans="1:10" s="2913" customFormat="1" ht="24.75" customHeight="1">
      <c r="A3" s="2883"/>
      <c r="B3" s="3237" t="s">
        <v>217</v>
      </c>
      <c r="C3" s="3237" t="s">
        <v>1736</v>
      </c>
      <c r="D3" s="3237" t="s">
        <v>1735</v>
      </c>
      <c r="E3" s="2883"/>
      <c r="F3" s="176"/>
      <c r="J3" s="217"/>
    </row>
    <row r="4" spans="1:10" ht="12.75" customHeight="1">
      <c r="A4" s="3205"/>
      <c r="B4" s="3240">
        <v>2005</v>
      </c>
      <c r="C4" s="3238" t="s">
        <v>1216</v>
      </c>
      <c r="D4" s="3239" t="s">
        <v>774</v>
      </c>
      <c r="E4" s="2883"/>
      <c r="F4" s="2913"/>
    </row>
    <row r="5" spans="1:10" ht="12.75" hidden="1" customHeight="1">
      <c r="A5" s="3205"/>
      <c r="B5" s="3242" t="s">
        <v>1292</v>
      </c>
      <c r="C5" s="3238" t="s">
        <v>1216</v>
      </c>
      <c r="D5" s="3239" t="s">
        <v>675</v>
      </c>
      <c r="E5" s="2883"/>
      <c r="F5" s="2913"/>
    </row>
    <row r="6" spans="1:10" ht="12.75" hidden="1" customHeight="1">
      <c r="A6" s="3205"/>
      <c r="B6" s="3242" t="s">
        <v>1293</v>
      </c>
      <c r="C6" s="3238" t="s">
        <v>1216</v>
      </c>
      <c r="D6" s="3239" t="s">
        <v>675</v>
      </c>
      <c r="E6" s="2883"/>
      <c r="F6" s="2913"/>
    </row>
    <row r="7" spans="1:10" ht="12.75" hidden="1" customHeight="1">
      <c r="A7" s="3205"/>
      <c r="B7" s="3242" t="s">
        <v>1294</v>
      </c>
      <c r="C7" s="3238" t="s">
        <v>1216</v>
      </c>
      <c r="D7" s="3239" t="s">
        <v>675</v>
      </c>
      <c r="E7" s="2883"/>
      <c r="F7" s="2913"/>
    </row>
    <row r="8" spans="1:10" ht="12.75" hidden="1" customHeight="1">
      <c r="A8" s="3205"/>
      <c r="B8" s="3242" t="s">
        <v>1303</v>
      </c>
      <c r="C8" s="3238" t="s">
        <v>1216</v>
      </c>
      <c r="D8" s="3239" t="s">
        <v>675</v>
      </c>
      <c r="E8" s="2883"/>
      <c r="F8" s="2913"/>
    </row>
    <row r="9" spans="1:10" ht="12.75" hidden="1" customHeight="1">
      <c r="A9" s="3205"/>
      <c r="B9" s="3242" t="s">
        <v>1304</v>
      </c>
      <c r="C9" s="3238" t="s">
        <v>1216</v>
      </c>
      <c r="D9" s="3239" t="s">
        <v>675</v>
      </c>
      <c r="E9" s="2883"/>
      <c r="F9" s="2913"/>
    </row>
    <row r="10" spans="1:10" ht="12.75" hidden="1" customHeight="1">
      <c r="A10" s="3205"/>
      <c r="B10" s="3242" t="s">
        <v>1305</v>
      </c>
      <c r="C10" s="3238" t="s">
        <v>1216</v>
      </c>
      <c r="D10" s="3239" t="s">
        <v>675</v>
      </c>
      <c r="E10" s="2883"/>
      <c r="F10" s="2913"/>
    </row>
    <row r="11" spans="1:10" ht="12.75" hidden="1" customHeight="1">
      <c r="A11" s="3205"/>
      <c r="B11" s="3242" t="s">
        <v>1334</v>
      </c>
      <c r="C11" s="3238" t="s">
        <v>1216</v>
      </c>
      <c r="D11" s="3239" t="s">
        <v>675</v>
      </c>
      <c r="E11" s="2883"/>
      <c r="F11" s="2913"/>
    </row>
    <row r="12" spans="1:10" ht="12.75" hidden="1" customHeight="1">
      <c r="A12" s="3205"/>
      <c r="B12" s="3242" t="s">
        <v>1335</v>
      </c>
      <c r="C12" s="3238" t="s">
        <v>1216</v>
      </c>
      <c r="D12" s="3239" t="s">
        <v>675</v>
      </c>
      <c r="E12" s="2883"/>
      <c r="F12" s="2913"/>
    </row>
    <row r="13" spans="1:10" ht="12.75" hidden="1" customHeight="1">
      <c r="A13" s="3205"/>
      <c r="B13" s="3242" t="s">
        <v>1163</v>
      </c>
      <c r="C13" s="3238" t="s">
        <v>1216</v>
      </c>
      <c r="D13" s="3239" t="s">
        <v>675</v>
      </c>
      <c r="E13" s="2883"/>
      <c r="F13" s="2913"/>
    </row>
    <row r="14" spans="1:10" ht="12.75" hidden="1" customHeight="1">
      <c r="A14" s="3205"/>
      <c r="B14" s="3242" t="s">
        <v>4</v>
      </c>
      <c r="C14" s="3238" t="s">
        <v>1216</v>
      </c>
      <c r="D14" s="3239" t="s">
        <v>675</v>
      </c>
      <c r="E14" s="2883"/>
      <c r="F14" s="2913"/>
    </row>
    <row r="15" spans="1:10" ht="12.75" hidden="1" customHeight="1">
      <c r="A15" s="3205"/>
      <c r="B15" s="3242" t="s">
        <v>5</v>
      </c>
      <c r="C15" s="3238" t="s">
        <v>1216</v>
      </c>
      <c r="D15" s="3239" t="s">
        <v>675</v>
      </c>
      <c r="E15" s="2883"/>
      <c r="F15" s="2913"/>
    </row>
    <row r="16" spans="1:10" ht="12.75" hidden="1" customHeight="1">
      <c r="A16" s="3205"/>
      <c r="B16" s="3242" t="s">
        <v>6</v>
      </c>
      <c r="C16" s="3238" t="s">
        <v>1216</v>
      </c>
      <c r="D16" s="3239" t="s">
        <v>675</v>
      </c>
      <c r="E16" s="2883"/>
      <c r="F16" s="2913"/>
    </row>
    <row r="17" spans="1:6" ht="12.75" hidden="1" customHeight="1">
      <c r="A17" s="3205"/>
      <c r="B17" s="3242" t="s">
        <v>28</v>
      </c>
      <c r="C17" s="3238" t="s">
        <v>1216</v>
      </c>
      <c r="D17" s="3239" t="s">
        <v>675</v>
      </c>
      <c r="E17" s="2883"/>
      <c r="F17" s="2913"/>
    </row>
    <row r="18" spans="1:6" ht="12.75" hidden="1" customHeight="1">
      <c r="A18" s="3205"/>
      <c r="B18" s="3242" t="s">
        <v>29</v>
      </c>
      <c r="C18" s="3238" t="s">
        <v>1216</v>
      </c>
      <c r="D18" s="3239" t="s">
        <v>675</v>
      </c>
      <c r="E18" s="2883"/>
      <c r="F18" s="2913"/>
    </row>
    <row r="19" spans="1:6" ht="12.75" hidden="1" customHeight="1">
      <c r="A19" s="3205"/>
      <c r="B19" s="3242" t="s">
        <v>30</v>
      </c>
      <c r="C19" s="3238" t="s">
        <v>1216</v>
      </c>
      <c r="D19" s="3239" t="s">
        <v>675</v>
      </c>
      <c r="E19" s="2883"/>
      <c r="F19" s="2913"/>
    </row>
    <row r="20" spans="1:6" ht="12.75" hidden="1" customHeight="1">
      <c r="A20" s="3205"/>
      <c r="B20" s="3242" t="s">
        <v>31</v>
      </c>
      <c r="C20" s="3238" t="s">
        <v>1216</v>
      </c>
      <c r="D20" s="3239" t="s">
        <v>675</v>
      </c>
      <c r="E20" s="2883"/>
      <c r="F20" s="2913"/>
    </row>
    <row r="21" spans="1:6" ht="12.75" hidden="1" customHeight="1">
      <c r="A21" s="3205"/>
      <c r="B21" s="3242" t="s">
        <v>32</v>
      </c>
      <c r="C21" s="3238" t="s">
        <v>1216</v>
      </c>
      <c r="D21" s="3239" t="s">
        <v>675</v>
      </c>
      <c r="E21" s="2883"/>
      <c r="F21" s="2913"/>
    </row>
    <row r="22" spans="1:6" ht="12.75" hidden="1" customHeight="1">
      <c r="A22" s="3205"/>
      <c r="B22" s="3242" t="s">
        <v>33</v>
      </c>
      <c r="C22" s="3238" t="s">
        <v>1216</v>
      </c>
      <c r="D22" s="3239" t="s">
        <v>675</v>
      </c>
      <c r="E22" s="2883"/>
      <c r="F22" s="2913"/>
    </row>
    <row r="23" spans="1:6" ht="12.75" hidden="1" customHeight="1">
      <c r="A23" s="3205"/>
      <c r="B23" s="3242" t="s">
        <v>34</v>
      </c>
      <c r="C23" s="3238" t="s">
        <v>1216</v>
      </c>
      <c r="D23" s="3239" t="s">
        <v>675</v>
      </c>
      <c r="E23" s="2883"/>
      <c r="F23" s="2913"/>
    </row>
    <row r="24" spans="1:6" ht="12.75" hidden="1" customHeight="1">
      <c r="A24" s="3205"/>
      <c r="B24" s="3242" t="s">
        <v>35</v>
      </c>
      <c r="C24" s="3238" t="s">
        <v>1216</v>
      </c>
      <c r="D24" s="3239" t="s">
        <v>675</v>
      </c>
      <c r="E24" s="2883"/>
      <c r="F24" s="2913"/>
    </row>
    <row r="25" spans="1:6" ht="12.75" hidden="1" customHeight="1">
      <c r="A25" s="3205"/>
      <c r="B25" s="3242" t="s">
        <v>36</v>
      </c>
      <c r="C25" s="3238" t="s">
        <v>1216</v>
      </c>
      <c r="D25" s="3239" t="s">
        <v>675</v>
      </c>
      <c r="E25" s="2883"/>
      <c r="F25" s="2913"/>
    </row>
    <row r="26" spans="1:6" ht="12.75" hidden="1" customHeight="1">
      <c r="A26" s="3205"/>
      <c r="B26" s="3242" t="s">
        <v>780</v>
      </c>
      <c r="C26" s="3238" t="s">
        <v>1216</v>
      </c>
      <c r="D26" s="3239" t="s">
        <v>675</v>
      </c>
      <c r="E26" s="2883"/>
      <c r="F26" s="2913"/>
    </row>
    <row r="27" spans="1:6" ht="12.75" hidden="1" customHeight="1">
      <c r="A27" s="3205"/>
      <c r="B27" s="3242" t="s">
        <v>37</v>
      </c>
      <c r="C27" s="3238" t="s">
        <v>1216</v>
      </c>
      <c r="D27" s="3239" t="s">
        <v>675</v>
      </c>
      <c r="E27" s="2883"/>
      <c r="F27" s="2913"/>
    </row>
    <row r="28" spans="1:6" ht="12.75" hidden="1" customHeight="1">
      <c r="A28" s="3205"/>
      <c r="B28" s="3242" t="s">
        <v>38</v>
      </c>
      <c r="C28" s="3238" t="s">
        <v>1216</v>
      </c>
      <c r="D28" s="3239" t="s">
        <v>675</v>
      </c>
      <c r="E28" s="2883"/>
      <c r="F28" s="2913"/>
    </row>
    <row r="29" spans="1:6" ht="12.75" hidden="1" customHeight="1">
      <c r="A29" s="3205"/>
      <c r="B29" s="3242" t="s">
        <v>39</v>
      </c>
      <c r="C29" s="3238" t="s">
        <v>1216</v>
      </c>
      <c r="D29" s="3239" t="s">
        <v>675</v>
      </c>
      <c r="E29" s="2883"/>
      <c r="F29" s="2913"/>
    </row>
    <row r="30" spans="1:6" ht="12.75" hidden="1" customHeight="1">
      <c r="A30" s="3205"/>
      <c r="B30" s="3242" t="s">
        <v>41</v>
      </c>
      <c r="C30" s="3238" t="s">
        <v>1216</v>
      </c>
      <c r="D30" s="3239" t="s">
        <v>675</v>
      </c>
      <c r="E30" s="2883"/>
      <c r="F30" s="2913"/>
    </row>
    <row r="31" spans="1:6" ht="12.75" hidden="1" customHeight="1">
      <c r="A31" s="3205"/>
      <c r="B31" s="3242" t="s">
        <v>42</v>
      </c>
      <c r="C31" s="3238" t="s">
        <v>1216</v>
      </c>
      <c r="D31" s="3239" t="s">
        <v>675</v>
      </c>
      <c r="E31" s="2883"/>
      <c r="F31" s="2913"/>
    </row>
    <row r="32" spans="1:6" ht="12.75" hidden="1" customHeight="1">
      <c r="A32" s="3205"/>
      <c r="B32" s="3242" t="s">
        <v>44</v>
      </c>
      <c r="C32" s="3238" t="s">
        <v>1216</v>
      </c>
      <c r="D32" s="3239" t="s">
        <v>675</v>
      </c>
      <c r="E32" s="2883"/>
      <c r="F32" s="2913"/>
    </row>
    <row r="33" spans="1:6" ht="12.75" hidden="1" customHeight="1">
      <c r="A33" s="3205"/>
      <c r="B33" s="3242" t="s">
        <v>45</v>
      </c>
      <c r="C33" s="3238" t="s">
        <v>1216</v>
      </c>
      <c r="D33" s="3239" t="s">
        <v>675</v>
      </c>
      <c r="E33" s="2883"/>
      <c r="F33" s="2913"/>
    </row>
    <row r="34" spans="1:6" ht="12.75" hidden="1" customHeight="1">
      <c r="A34" s="3205"/>
      <c r="B34" s="3242" t="s">
        <v>46</v>
      </c>
      <c r="C34" s="3238" t="s">
        <v>1216</v>
      </c>
      <c r="D34" s="3239" t="s">
        <v>675</v>
      </c>
      <c r="E34" s="2883"/>
      <c r="F34" s="2913"/>
    </row>
    <row r="35" spans="1:6" ht="12.75" hidden="1" customHeight="1">
      <c r="A35" s="3205"/>
      <c r="B35" s="3242" t="s">
        <v>47</v>
      </c>
      <c r="C35" s="3238" t="s">
        <v>1216</v>
      </c>
      <c r="D35" s="3239" t="s">
        <v>675</v>
      </c>
      <c r="E35" s="2883"/>
      <c r="F35" s="2913"/>
    </row>
    <row r="36" spans="1:6" ht="12.75" hidden="1" customHeight="1">
      <c r="A36" s="3205"/>
      <c r="B36" s="3242" t="s">
        <v>1148</v>
      </c>
      <c r="C36" s="3238" t="s">
        <v>1216</v>
      </c>
      <c r="D36" s="3239" t="s">
        <v>675</v>
      </c>
      <c r="E36" s="2883"/>
      <c r="F36" s="2913"/>
    </row>
    <row r="37" spans="1:6" ht="12.75" hidden="1" customHeight="1">
      <c r="A37" s="3205"/>
      <c r="B37" s="3242" t="s">
        <v>1336</v>
      </c>
      <c r="C37" s="3238" t="s">
        <v>1216</v>
      </c>
      <c r="D37" s="3239" t="s">
        <v>675</v>
      </c>
      <c r="E37" s="2883"/>
      <c r="F37" s="2913"/>
    </row>
    <row r="38" spans="1:6" ht="12.75" hidden="1" customHeight="1">
      <c r="A38" s="3205"/>
      <c r="B38" s="3242" t="s">
        <v>999</v>
      </c>
      <c r="C38" s="3238" t="s">
        <v>1216</v>
      </c>
      <c r="D38" s="3239" t="s">
        <v>675</v>
      </c>
      <c r="E38" s="2883"/>
      <c r="F38" s="2913"/>
    </row>
    <row r="39" spans="1:6" ht="12.75" hidden="1" customHeight="1">
      <c r="A39" s="3205"/>
      <c r="B39" s="3242" t="s">
        <v>1000</v>
      </c>
      <c r="C39" s="3238" t="s">
        <v>1216</v>
      </c>
      <c r="D39" s="3239" t="s">
        <v>675</v>
      </c>
      <c r="E39" s="2883"/>
      <c r="F39" s="2913"/>
    </row>
    <row r="40" spans="1:6" ht="12.75" hidden="1" customHeight="1">
      <c r="A40" s="3205"/>
      <c r="B40" s="3242" t="s">
        <v>1001</v>
      </c>
      <c r="C40" s="3238" t="s">
        <v>1216</v>
      </c>
      <c r="D40" s="3239" t="s">
        <v>675</v>
      </c>
      <c r="E40" s="2883"/>
      <c r="F40" s="2913"/>
    </row>
    <row r="41" spans="1:6" ht="12.75" hidden="1" customHeight="1">
      <c r="A41" s="3205"/>
      <c r="B41" s="3242" t="s">
        <v>1002</v>
      </c>
      <c r="C41" s="3238" t="s">
        <v>1216</v>
      </c>
      <c r="D41" s="3239" t="s">
        <v>675</v>
      </c>
      <c r="E41" s="2883"/>
    </row>
    <row r="42" spans="1:6" ht="12.75" hidden="1" customHeight="1">
      <c r="A42" s="3205"/>
      <c r="B42" s="3242" t="s">
        <v>442</v>
      </c>
      <c r="C42" s="3238" t="s">
        <v>1216</v>
      </c>
      <c r="D42" s="3239" t="s">
        <v>675</v>
      </c>
      <c r="E42" s="2883"/>
    </row>
    <row r="43" spans="1:6" ht="12.75" hidden="1" customHeight="1">
      <c r="A43" s="3205"/>
      <c r="B43" s="3242" t="s">
        <v>443</v>
      </c>
      <c r="C43" s="3238" t="s">
        <v>1216</v>
      </c>
      <c r="D43" s="3239" t="s">
        <v>675</v>
      </c>
      <c r="E43" s="2883"/>
    </row>
    <row r="44" spans="1:6" ht="12.75" hidden="1" customHeight="1">
      <c r="A44" s="3205"/>
      <c r="B44" s="3242" t="s">
        <v>444</v>
      </c>
      <c r="C44" s="3238" t="s">
        <v>1216</v>
      </c>
      <c r="D44" s="3239" t="s">
        <v>675</v>
      </c>
      <c r="E44" s="2883"/>
    </row>
    <row r="45" spans="1:6" ht="12.75" hidden="1" customHeight="1">
      <c r="A45" s="3205"/>
      <c r="B45" s="3242" t="s">
        <v>445</v>
      </c>
      <c r="C45" s="3238" t="s">
        <v>1216</v>
      </c>
      <c r="D45" s="3239" t="s">
        <v>675</v>
      </c>
      <c r="E45" s="2883"/>
    </row>
    <row r="46" spans="1:6" ht="12.75" hidden="1" customHeight="1">
      <c r="A46" s="3205"/>
      <c r="B46" s="3242" t="s">
        <v>446</v>
      </c>
      <c r="C46" s="3238" t="s">
        <v>1216</v>
      </c>
      <c r="D46" s="3239" t="s">
        <v>675</v>
      </c>
      <c r="E46" s="2883"/>
    </row>
    <row r="47" spans="1:6" ht="12.75" hidden="1" customHeight="1">
      <c r="A47" s="3205"/>
      <c r="B47" s="3242" t="s">
        <v>447</v>
      </c>
      <c r="C47" s="3238" t="s">
        <v>1216</v>
      </c>
      <c r="D47" s="3239" t="s">
        <v>675</v>
      </c>
      <c r="E47" s="2883"/>
    </row>
    <row r="48" spans="1:6" ht="12.75" hidden="1" customHeight="1">
      <c r="A48" s="3205"/>
      <c r="B48" s="3242" t="s">
        <v>720</v>
      </c>
      <c r="C48" s="3238" t="s">
        <v>1216</v>
      </c>
      <c r="D48" s="3239" t="s">
        <v>675</v>
      </c>
      <c r="E48" s="2883"/>
    </row>
    <row r="49" spans="1:5" s="3245" customFormat="1" ht="11.25" hidden="1" customHeight="1">
      <c r="A49" s="3243"/>
      <c r="B49" s="3241" t="s">
        <v>723</v>
      </c>
      <c r="C49" s="3238" t="s">
        <v>1216</v>
      </c>
      <c r="D49" s="3239" t="s">
        <v>675</v>
      </c>
      <c r="E49" s="3244"/>
    </row>
    <row r="50" spans="1:5" ht="12.75" hidden="1" customHeight="1">
      <c r="A50" s="3205"/>
      <c r="B50" s="3242" t="s">
        <v>721</v>
      </c>
      <c r="C50" s="3238" t="s">
        <v>1216</v>
      </c>
      <c r="D50" s="3239" t="s">
        <v>675</v>
      </c>
      <c r="E50" s="2883"/>
    </row>
    <row r="51" spans="1:5" ht="12.75" hidden="1" customHeight="1">
      <c r="A51" s="3205"/>
      <c r="B51" s="3242" t="s">
        <v>722</v>
      </c>
      <c r="C51" s="3238" t="s">
        <v>1216</v>
      </c>
      <c r="D51" s="3239" t="s">
        <v>675</v>
      </c>
      <c r="E51" s="2883"/>
    </row>
    <row r="52" spans="1:5" ht="12.75" hidden="1" customHeight="1">
      <c r="A52" s="3205"/>
      <c r="B52" s="3242" t="s">
        <v>1271</v>
      </c>
      <c r="C52" s="3238" t="s">
        <v>1216</v>
      </c>
      <c r="D52" s="3239" t="s">
        <v>675</v>
      </c>
      <c r="E52" s="2883"/>
    </row>
    <row r="53" spans="1:5" ht="12.75" hidden="1" customHeight="1">
      <c r="A53" s="3205"/>
      <c r="B53" s="3242" t="s">
        <v>724</v>
      </c>
      <c r="C53" s="3238" t="s">
        <v>1216</v>
      </c>
      <c r="D53" s="3239" t="s">
        <v>675</v>
      </c>
      <c r="E53" s="2883"/>
    </row>
    <row r="54" spans="1:5" ht="12.75" hidden="1" customHeight="1">
      <c r="A54" s="3205"/>
      <c r="B54" s="3242" t="s">
        <v>725</v>
      </c>
      <c r="C54" s="3238" t="s">
        <v>1216</v>
      </c>
      <c r="D54" s="3239" t="s">
        <v>675</v>
      </c>
      <c r="E54" s="2883"/>
    </row>
    <row r="55" spans="1:5" ht="12.75" hidden="1" customHeight="1">
      <c r="A55" s="3205"/>
      <c r="B55" s="3242" t="s">
        <v>726</v>
      </c>
      <c r="C55" s="3238" t="s">
        <v>1216</v>
      </c>
      <c r="D55" s="3239" t="s">
        <v>675</v>
      </c>
      <c r="E55" s="2883"/>
    </row>
    <row r="56" spans="1:5" ht="12.75" hidden="1" customHeight="1">
      <c r="A56" s="3205"/>
      <c r="B56" s="3242" t="s">
        <v>727</v>
      </c>
      <c r="C56" s="3238" t="s">
        <v>1216</v>
      </c>
      <c r="D56" s="3239" t="s">
        <v>774</v>
      </c>
      <c r="E56" s="2883"/>
    </row>
    <row r="57" spans="1:5" ht="12.75" customHeight="1">
      <c r="A57" s="3205"/>
      <c r="B57" s="3240">
        <v>2006</v>
      </c>
      <c r="C57" s="3238" t="s">
        <v>661</v>
      </c>
      <c r="D57" s="3246" t="s">
        <v>769</v>
      </c>
      <c r="E57" s="2883"/>
    </row>
    <row r="58" spans="1:5" ht="12.75" hidden="1" customHeight="1">
      <c r="A58" s="3205"/>
      <c r="B58" s="3242" t="s">
        <v>728</v>
      </c>
      <c r="C58" s="3238" t="s">
        <v>1216</v>
      </c>
      <c r="D58" s="3239" t="s">
        <v>774</v>
      </c>
      <c r="E58" s="2883"/>
    </row>
    <row r="59" spans="1:5" ht="12.75" hidden="1" customHeight="1">
      <c r="A59" s="3205"/>
      <c r="B59" s="3242" t="s">
        <v>729</v>
      </c>
      <c r="C59" s="3238" t="s">
        <v>1216</v>
      </c>
      <c r="D59" s="3239" t="s">
        <v>774</v>
      </c>
      <c r="E59" s="2883"/>
    </row>
    <row r="60" spans="1:5" ht="12.75" hidden="1" customHeight="1">
      <c r="A60" s="3205"/>
      <c r="B60" s="3242" t="s">
        <v>730</v>
      </c>
      <c r="C60" s="3238" t="s">
        <v>1216</v>
      </c>
      <c r="D60" s="3239" t="s">
        <v>774</v>
      </c>
      <c r="E60" s="2883"/>
    </row>
    <row r="61" spans="1:5" ht="12.75" hidden="1" customHeight="1">
      <c r="A61" s="3205"/>
      <c r="B61" s="3242" t="s">
        <v>731</v>
      </c>
      <c r="C61" s="3238" t="s">
        <v>1216</v>
      </c>
      <c r="D61" s="3239" t="s">
        <v>774</v>
      </c>
      <c r="E61" s="2883"/>
    </row>
    <row r="62" spans="1:5" ht="12.75" hidden="1" customHeight="1">
      <c r="A62" s="3205"/>
      <c r="B62" s="3242" t="s">
        <v>1075</v>
      </c>
      <c r="C62" s="3238" t="s">
        <v>1216</v>
      </c>
      <c r="D62" s="3239" t="s">
        <v>1079</v>
      </c>
      <c r="E62" s="2883"/>
    </row>
    <row r="63" spans="1:5" ht="12.75" hidden="1" customHeight="1">
      <c r="A63" s="3205"/>
      <c r="B63" s="3242" t="s">
        <v>1076</v>
      </c>
      <c r="C63" s="3238" t="s">
        <v>1216</v>
      </c>
      <c r="D63" s="3239" t="s">
        <v>1079</v>
      </c>
      <c r="E63" s="2883"/>
    </row>
    <row r="64" spans="1:5" ht="12.75" hidden="1" customHeight="1">
      <c r="A64" s="3205"/>
      <c r="B64" s="3242" t="s">
        <v>1077</v>
      </c>
      <c r="C64" s="3238" t="s">
        <v>1216</v>
      </c>
      <c r="D64" s="3239" t="s">
        <v>1079</v>
      </c>
      <c r="E64" s="2883"/>
    </row>
    <row r="65" spans="1:13" ht="12.75" hidden="1" customHeight="1">
      <c r="A65" s="3205"/>
      <c r="B65" s="3242" t="s">
        <v>1078</v>
      </c>
      <c r="C65" s="3238" t="s">
        <v>1216</v>
      </c>
      <c r="D65" s="3239" t="s">
        <v>846</v>
      </c>
      <c r="E65" s="2883"/>
    </row>
    <row r="66" spans="1:13" ht="12.75" hidden="1" customHeight="1">
      <c r="A66" s="3205"/>
      <c r="B66" s="3242" t="s">
        <v>842</v>
      </c>
      <c r="C66" s="3238" t="s">
        <v>1216</v>
      </c>
      <c r="D66" s="3239" t="s">
        <v>846</v>
      </c>
      <c r="E66" s="2883"/>
    </row>
    <row r="67" spans="1:13" ht="12.75" hidden="1" customHeight="1">
      <c r="A67" s="3205"/>
      <c r="B67" s="3242" t="s">
        <v>843</v>
      </c>
      <c r="C67" s="3238" t="s">
        <v>1216</v>
      </c>
      <c r="D67" s="3239" t="s">
        <v>846</v>
      </c>
      <c r="E67" s="2883"/>
    </row>
    <row r="68" spans="1:13" ht="12.75" hidden="1" customHeight="1">
      <c r="A68" s="3205"/>
      <c r="B68" s="3242" t="s">
        <v>844</v>
      </c>
      <c r="C68" s="3238" t="s">
        <v>1216</v>
      </c>
      <c r="D68" s="3239" t="s">
        <v>216</v>
      </c>
      <c r="E68" s="2883"/>
    </row>
    <row r="69" spans="1:13" ht="12.75" hidden="1" customHeight="1">
      <c r="A69" s="3205"/>
      <c r="B69" s="3242" t="s">
        <v>845</v>
      </c>
      <c r="C69" s="3238" t="s">
        <v>1216</v>
      </c>
      <c r="D69" s="3239" t="s">
        <v>216</v>
      </c>
      <c r="E69" s="2883"/>
    </row>
    <row r="70" spans="1:13" ht="12.75" hidden="1" customHeight="1">
      <c r="A70" s="3205"/>
      <c r="B70" s="3242" t="s">
        <v>215</v>
      </c>
      <c r="C70" s="3238" t="s">
        <v>1216</v>
      </c>
      <c r="D70" s="3239" t="s">
        <v>216</v>
      </c>
      <c r="E70" s="2883"/>
    </row>
    <row r="71" spans="1:13" ht="12.75" hidden="1" customHeight="1">
      <c r="A71" s="3205"/>
      <c r="B71" s="3242" t="s">
        <v>282</v>
      </c>
      <c r="C71" s="3238" t="s">
        <v>1216</v>
      </c>
      <c r="D71" s="3239" t="s">
        <v>216</v>
      </c>
      <c r="E71" s="2883"/>
    </row>
    <row r="72" spans="1:13" ht="12.75" hidden="1" customHeight="1">
      <c r="A72" s="3205"/>
      <c r="B72" s="3242" t="s">
        <v>283</v>
      </c>
      <c r="C72" s="3238" t="s">
        <v>1216</v>
      </c>
      <c r="D72" s="3239" t="s">
        <v>216</v>
      </c>
      <c r="E72" s="2883"/>
    </row>
    <row r="73" spans="1:13" ht="12.75" hidden="1" customHeight="1">
      <c r="A73" s="3205"/>
      <c r="B73" s="3242" t="s">
        <v>284</v>
      </c>
      <c r="C73" s="3238" t="s">
        <v>1216</v>
      </c>
      <c r="D73" s="3239" t="s">
        <v>216</v>
      </c>
      <c r="E73" s="2883"/>
    </row>
    <row r="74" spans="1:13" ht="12.75" hidden="1" customHeight="1">
      <c r="A74" s="3205"/>
      <c r="B74" s="3242" t="s">
        <v>285</v>
      </c>
      <c r="C74" s="3238" t="s">
        <v>1216</v>
      </c>
      <c r="D74" s="3239" t="s">
        <v>216</v>
      </c>
      <c r="E74" s="2883"/>
      <c r="M74" s="3247"/>
    </row>
    <row r="75" spans="1:13" ht="12.75" hidden="1" customHeight="1">
      <c r="A75" s="3205"/>
      <c r="B75" s="3242" t="s">
        <v>926</v>
      </c>
      <c r="C75" s="3238" t="s">
        <v>289</v>
      </c>
      <c r="D75" s="3246" t="s">
        <v>770</v>
      </c>
      <c r="E75" s="2883"/>
    </row>
    <row r="76" spans="1:13" ht="12.75" hidden="1" customHeight="1">
      <c r="A76" s="3205"/>
      <c r="B76" s="3242" t="s">
        <v>286</v>
      </c>
      <c r="C76" s="3238" t="s">
        <v>289</v>
      </c>
      <c r="D76" s="3246" t="s">
        <v>770</v>
      </c>
      <c r="E76" s="2883"/>
    </row>
    <row r="77" spans="1:13" ht="12.75" hidden="1" customHeight="1">
      <c r="A77" s="3205"/>
      <c r="B77" s="3242" t="s">
        <v>287</v>
      </c>
      <c r="C77" s="3238" t="s">
        <v>289</v>
      </c>
      <c r="D77" s="3246" t="s">
        <v>770</v>
      </c>
      <c r="E77" s="2883"/>
    </row>
    <row r="78" spans="1:13" ht="12.75" hidden="1" customHeight="1">
      <c r="A78" s="3205"/>
      <c r="B78" s="3242" t="s">
        <v>288</v>
      </c>
      <c r="C78" s="3238" t="s">
        <v>289</v>
      </c>
      <c r="D78" s="3239" t="s">
        <v>770</v>
      </c>
      <c r="E78" s="2883"/>
    </row>
    <row r="79" spans="1:13" ht="12.75" hidden="1" customHeight="1">
      <c r="A79" s="3205"/>
      <c r="B79" s="3242" t="s">
        <v>201</v>
      </c>
      <c r="C79" s="3238" t="s">
        <v>289</v>
      </c>
      <c r="D79" s="3239" t="s">
        <v>770</v>
      </c>
      <c r="E79" s="2883"/>
    </row>
    <row r="80" spans="1:13" ht="12.75" hidden="1" customHeight="1">
      <c r="A80" s="3205"/>
      <c r="B80" s="3242" t="s">
        <v>202</v>
      </c>
      <c r="C80" s="3238" t="s">
        <v>289</v>
      </c>
      <c r="D80" s="3239" t="s">
        <v>770</v>
      </c>
      <c r="E80" s="2883"/>
    </row>
    <row r="81" spans="1:13" ht="12.75" hidden="1" customHeight="1">
      <c r="A81" s="3205"/>
      <c r="B81" s="3242" t="s">
        <v>203</v>
      </c>
      <c r="C81" s="3238" t="s">
        <v>289</v>
      </c>
      <c r="D81" s="3239" t="s">
        <v>770</v>
      </c>
      <c r="E81" s="2883"/>
    </row>
    <row r="82" spans="1:13" ht="12.75" hidden="1" customHeight="1">
      <c r="A82" s="3205"/>
      <c r="B82" s="3242" t="s">
        <v>204</v>
      </c>
      <c r="C82" s="3238" t="s">
        <v>289</v>
      </c>
      <c r="D82" s="3239" t="s">
        <v>770</v>
      </c>
      <c r="E82" s="2883"/>
    </row>
    <row r="83" spans="1:13" ht="12.75" hidden="1" customHeight="1">
      <c r="A83" s="3205"/>
      <c r="B83" s="3242" t="s">
        <v>205</v>
      </c>
      <c r="C83" s="3108" t="s">
        <v>289</v>
      </c>
      <c r="D83" s="3239" t="s">
        <v>770</v>
      </c>
      <c r="E83" s="2883"/>
    </row>
    <row r="84" spans="1:13" ht="12.75" hidden="1" customHeight="1">
      <c r="A84" s="3205"/>
      <c r="B84" s="3242" t="s">
        <v>206</v>
      </c>
      <c r="C84" s="3238" t="s">
        <v>289</v>
      </c>
      <c r="D84" s="3239" t="s">
        <v>770</v>
      </c>
      <c r="E84" s="2883"/>
    </row>
    <row r="85" spans="1:13" ht="12.75" hidden="1" customHeight="1">
      <c r="A85" s="3205"/>
      <c r="B85" s="3242" t="s">
        <v>207</v>
      </c>
      <c r="C85" s="3238" t="s">
        <v>289</v>
      </c>
      <c r="D85" s="3239" t="s">
        <v>770</v>
      </c>
      <c r="E85" s="2883"/>
    </row>
    <row r="86" spans="1:13" ht="12.75" hidden="1" customHeight="1">
      <c r="A86" s="3205"/>
      <c r="B86" s="3242" t="s">
        <v>208</v>
      </c>
      <c r="C86" s="3238" t="s">
        <v>289</v>
      </c>
      <c r="D86" s="3239" t="s">
        <v>770</v>
      </c>
      <c r="E86" s="2883"/>
    </row>
    <row r="87" spans="1:13" ht="12.75" hidden="1" customHeight="1">
      <c r="A87" s="3205"/>
      <c r="B87" s="3242" t="s">
        <v>209</v>
      </c>
      <c r="C87" s="3238" t="s">
        <v>289</v>
      </c>
      <c r="D87" s="3239" t="s">
        <v>770</v>
      </c>
      <c r="E87" s="2883"/>
    </row>
    <row r="88" spans="1:13" ht="12.75" hidden="1" customHeight="1">
      <c r="A88" s="3205"/>
      <c r="B88" s="3242" t="s">
        <v>599</v>
      </c>
      <c r="C88" s="3238" t="s">
        <v>661</v>
      </c>
      <c r="D88" s="3239" t="s">
        <v>213</v>
      </c>
      <c r="E88" s="2883"/>
    </row>
    <row r="89" spans="1:13" ht="12.75" hidden="1" customHeight="1">
      <c r="A89" s="3205"/>
      <c r="B89" s="3242" t="s">
        <v>654</v>
      </c>
      <c r="C89" s="3238" t="s">
        <v>661</v>
      </c>
      <c r="D89" s="3239" t="s">
        <v>213</v>
      </c>
      <c r="E89" s="2883"/>
    </row>
    <row r="90" spans="1:13" ht="12.75" hidden="1" customHeight="1">
      <c r="A90" s="3205"/>
      <c r="B90" s="3242" t="s">
        <v>655</v>
      </c>
      <c r="C90" s="3238" t="s">
        <v>661</v>
      </c>
      <c r="D90" s="3239" t="s">
        <v>213</v>
      </c>
      <c r="E90" s="2883"/>
    </row>
    <row r="91" spans="1:13" ht="12.75" hidden="1" customHeight="1">
      <c r="A91" s="3205"/>
      <c r="B91" s="3242" t="s">
        <v>653</v>
      </c>
      <c r="C91" s="3238" t="s">
        <v>661</v>
      </c>
      <c r="D91" s="3239" t="s">
        <v>664</v>
      </c>
      <c r="E91" s="2883"/>
    </row>
    <row r="92" spans="1:13" ht="12.75" hidden="1" customHeight="1">
      <c r="A92" s="3205"/>
      <c r="B92" s="3242" t="s">
        <v>656</v>
      </c>
      <c r="C92" s="3238" t="s">
        <v>661</v>
      </c>
      <c r="D92" s="3239" t="s">
        <v>664</v>
      </c>
      <c r="E92" s="2883"/>
    </row>
    <row r="93" spans="1:13" ht="12.75" hidden="1" customHeight="1">
      <c r="A93" s="3205"/>
      <c r="B93" s="3242" t="s">
        <v>657</v>
      </c>
      <c r="C93" s="3238" t="s">
        <v>661</v>
      </c>
      <c r="D93" s="3239" t="s">
        <v>663</v>
      </c>
      <c r="E93" s="2883"/>
      <c r="M93" s="3548"/>
    </row>
    <row r="94" spans="1:13" ht="12.75" hidden="1" customHeight="1">
      <c r="A94" s="3205"/>
      <c r="B94" s="3242" t="s">
        <v>658</v>
      </c>
      <c r="C94" s="3238" t="s">
        <v>661</v>
      </c>
      <c r="D94" s="3239" t="s">
        <v>663</v>
      </c>
      <c r="E94" s="2883"/>
    </row>
    <row r="95" spans="1:13" ht="12.75" hidden="1" customHeight="1">
      <c r="A95" s="3205"/>
      <c r="B95" s="3242" t="s">
        <v>659</v>
      </c>
      <c r="C95" s="3238" t="s">
        <v>661</v>
      </c>
      <c r="D95" s="3239" t="s">
        <v>663</v>
      </c>
      <c r="E95" s="2883"/>
    </row>
    <row r="96" spans="1:13" ht="12.75" hidden="1" customHeight="1">
      <c r="A96" s="3205"/>
      <c r="B96" s="3242" t="s">
        <v>660</v>
      </c>
      <c r="C96" s="3238" t="s">
        <v>661</v>
      </c>
      <c r="D96" s="3239" t="s">
        <v>663</v>
      </c>
      <c r="E96" s="2883"/>
    </row>
    <row r="97" spans="1:5" ht="12.75" hidden="1" customHeight="1">
      <c r="A97" s="3205"/>
      <c r="B97" s="3242" t="s">
        <v>662</v>
      </c>
      <c r="C97" s="3238" t="s">
        <v>661</v>
      </c>
      <c r="D97" s="3239" t="s">
        <v>663</v>
      </c>
      <c r="E97" s="2883"/>
    </row>
    <row r="98" spans="1:5" ht="12.75" hidden="1" customHeight="1">
      <c r="A98" s="3205"/>
      <c r="B98" s="3242" t="s">
        <v>848</v>
      </c>
      <c r="C98" s="3238" t="s">
        <v>661</v>
      </c>
      <c r="D98" s="3239" t="s">
        <v>663</v>
      </c>
      <c r="E98" s="2883"/>
    </row>
    <row r="99" spans="1:5" ht="12.75" hidden="1" customHeight="1">
      <c r="A99" s="3205"/>
      <c r="B99" s="3242" t="s">
        <v>849</v>
      </c>
      <c r="C99" s="3238" t="s">
        <v>661</v>
      </c>
      <c r="D99" s="3239" t="s">
        <v>663</v>
      </c>
      <c r="E99" s="2883"/>
    </row>
    <row r="100" spans="1:5" ht="12.75" hidden="1" customHeight="1">
      <c r="A100" s="3205"/>
      <c r="B100" s="3242" t="s">
        <v>850</v>
      </c>
      <c r="C100" s="3238" t="s">
        <v>661</v>
      </c>
      <c r="D100" s="3239" t="s">
        <v>663</v>
      </c>
      <c r="E100" s="2883"/>
    </row>
    <row r="101" spans="1:5" ht="12.75" hidden="1" customHeight="1">
      <c r="A101" s="3205"/>
      <c r="B101" s="3242" t="s">
        <v>923</v>
      </c>
      <c r="C101" s="3238" t="s">
        <v>661</v>
      </c>
      <c r="D101" s="3239" t="s">
        <v>663</v>
      </c>
      <c r="E101" s="2883"/>
    </row>
    <row r="102" spans="1:5" ht="12.75" hidden="1" customHeight="1">
      <c r="A102" s="3205"/>
      <c r="B102" s="3242" t="s">
        <v>759</v>
      </c>
      <c r="C102" s="3238" t="s">
        <v>661</v>
      </c>
      <c r="D102" s="3239" t="s">
        <v>663</v>
      </c>
      <c r="E102" s="2883"/>
    </row>
    <row r="103" spans="1:5" ht="12.75" hidden="1" customHeight="1">
      <c r="A103" s="3205"/>
      <c r="B103" s="3242" t="s">
        <v>760</v>
      </c>
      <c r="C103" s="3238" t="s">
        <v>661</v>
      </c>
      <c r="D103" s="3239" t="s">
        <v>663</v>
      </c>
      <c r="E103" s="2883"/>
    </row>
    <row r="104" spans="1:5" ht="12.75" hidden="1" customHeight="1">
      <c r="A104" s="3205"/>
      <c r="B104" s="3242" t="s">
        <v>761</v>
      </c>
      <c r="C104" s="3238" t="s">
        <v>661</v>
      </c>
      <c r="D104" s="3239" t="s">
        <v>663</v>
      </c>
      <c r="E104" s="2883"/>
    </row>
    <row r="105" spans="1:5" ht="12.75" hidden="1" customHeight="1">
      <c r="A105" s="3205"/>
      <c r="B105" s="3242" t="s">
        <v>762</v>
      </c>
      <c r="C105" s="3238" t="s">
        <v>661</v>
      </c>
      <c r="D105" s="3239" t="s">
        <v>663</v>
      </c>
      <c r="E105" s="2883"/>
    </row>
    <row r="106" spans="1:5" ht="12.75" hidden="1" customHeight="1">
      <c r="A106" s="3205"/>
      <c r="B106" s="3242" t="s">
        <v>476</v>
      </c>
      <c r="C106" s="3238" t="s">
        <v>661</v>
      </c>
      <c r="D106" s="3239" t="s">
        <v>663</v>
      </c>
      <c r="E106" s="2883"/>
    </row>
    <row r="107" spans="1:5" ht="12.75" hidden="1" customHeight="1">
      <c r="A107" s="3205"/>
      <c r="B107" s="3242" t="s">
        <v>477</v>
      </c>
      <c r="C107" s="3238" t="s">
        <v>661</v>
      </c>
      <c r="D107" s="3239" t="s">
        <v>663</v>
      </c>
      <c r="E107" s="2883"/>
    </row>
    <row r="108" spans="1:5" ht="12.75" hidden="1" customHeight="1">
      <c r="A108" s="3205"/>
      <c r="B108" s="3242" t="s">
        <v>478</v>
      </c>
      <c r="C108" s="3238" t="s">
        <v>661</v>
      </c>
      <c r="D108" s="3246" t="s">
        <v>769</v>
      </c>
      <c r="E108" s="2883"/>
    </row>
    <row r="109" spans="1:5" ht="12.75" hidden="1" customHeight="1">
      <c r="A109" s="3205"/>
      <c r="B109" s="3242" t="s">
        <v>479</v>
      </c>
      <c r="C109" s="3238" t="s">
        <v>661</v>
      </c>
      <c r="D109" s="3246" t="s">
        <v>769</v>
      </c>
      <c r="E109" s="2883"/>
    </row>
    <row r="110" spans="1:5" ht="12.75" customHeight="1">
      <c r="A110" s="3205"/>
      <c r="B110" s="3240">
        <v>2007</v>
      </c>
      <c r="C110" s="3238" t="s">
        <v>578</v>
      </c>
      <c r="D110" s="3239" t="s">
        <v>518</v>
      </c>
      <c r="E110" s="2883"/>
    </row>
    <row r="111" spans="1:5" ht="12.75" hidden="1" customHeight="1">
      <c r="A111" s="3205"/>
      <c r="B111" s="3242" t="s">
        <v>1272</v>
      </c>
      <c r="C111" s="3238" t="s">
        <v>1070</v>
      </c>
      <c r="D111" s="3246" t="s">
        <v>769</v>
      </c>
      <c r="E111" s="2883"/>
    </row>
    <row r="112" spans="1:5" ht="12.75" hidden="1" customHeight="1">
      <c r="A112" s="3205"/>
      <c r="B112" s="3242" t="s">
        <v>1053</v>
      </c>
      <c r="C112" s="3238" t="s">
        <v>1070</v>
      </c>
      <c r="D112" s="3246" t="s">
        <v>769</v>
      </c>
      <c r="E112" s="2883"/>
    </row>
    <row r="113" spans="1:5" ht="12.75" hidden="1" customHeight="1">
      <c r="A113" s="3205"/>
      <c r="B113" s="3242" t="s">
        <v>1054</v>
      </c>
      <c r="C113" s="3238" t="s">
        <v>1070</v>
      </c>
      <c r="D113" s="3239" t="s">
        <v>1072</v>
      </c>
      <c r="E113" s="2883"/>
    </row>
    <row r="114" spans="1:5" ht="12.75" hidden="1" customHeight="1">
      <c r="A114" s="3205"/>
      <c r="B114" s="3242" t="s">
        <v>1055</v>
      </c>
      <c r="C114" s="3238" t="s">
        <v>1070</v>
      </c>
      <c r="D114" s="3239" t="s">
        <v>604</v>
      </c>
      <c r="E114" s="2883"/>
    </row>
    <row r="115" spans="1:5" ht="12.75" hidden="1" customHeight="1">
      <c r="A115" s="3205"/>
      <c r="B115" s="3242" t="s">
        <v>1056</v>
      </c>
      <c r="C115" s="3238" t="s">
        <v>1070</v>
      </c>
      <c r="D115" s="3239" t="s">
        <v>604</v>
      </c>
      <c r="E115" s="2883"/>
    </row>
    <row r="116" spans="1:5" ht="12.75" hidden="1" customHeight="1">
      <c r="A116" s="3205"/>
      <c r="B116" s="3242" t="s">
        <v>1057</v>
      </c>
      <c r="C116" s="3238" t="s">
        <v>1070</v>
      </c>
      <c r="D116" s="3239" t="s">
        <v>604</v>
      </c>
      <c r="E116" s="2883"/>
    </row>
    <row r="117" spans="1:5" ht="12.75" hidden="1" customHeight="1">
      <c r="A117" s="3205"/>
      <c r="B117" s="3242" t="s">
        <v>1058</v>
      </c>
      <c r="C117" s="3238" t="s">
        <v>1071</v>
      </c>
      <c r="D117" s="3239" t="s">
        <v>1073</v>
      </c>
      <c r="E117" s="2883"/>
    </row>
    <row r="118" spans="1:5" ht="12.75" hidden="1" customHeight="1">
      <c r="A118" s="3205"/>
      <c r="B118" s="3242" t="s">
        <v>90</v>
      </c>
      <c r="C118" s="3238" t="s">
        <v>95</v>
      </c>
      <c r="D118" s="3239" t="s">
        <v>1073</v>
      </c>
      <c r="E118" s="2883"/>
    </row>
    <row r="119" spans="1:5" ht="12.75" hidden="1" customHeight="1">
      <c r="A119" s="3205"/>
      <c r="B119" s="3242" t="s">
        <v>91</v>
      </c>
      <c r="C119" s="3238" t="s">
        <v>95</v>
      </c>
      <c r="D119" s="3239" t="s">
        <v>1073</v>
      </c>
      <c r="E119" s="2883"/>
    </row>
    <row r="120" spans="1:5" ht="12.75" hidden="1" customHeight="1">
      <c r="A120" s="3205"/>
      <c r="B120" s="3242" t="s">
        <v>92</v>
      </c>
      <c r="C120" s="3238" t="s">
        <v>95</v>
      </c>
      <c r="D120" s="3239" t="s">
        <v>1073</v>
      </c>
      <c r="E120" s="2883"/>
    </row>
    <row r="121" spans="1:5" ht="12.75" hidden="1" customHeight="1">
      <c r="A121" s="3205"/>
      <c r="B121" s="3242" t="s">
        <v>93</v>
      </c>
      <c r="C121" s="3238" t="s">
        <v>95</v>
      </c>
      <c r="D121" s="3239" t="s">
        <v>1073</v>
      </c>
      <c r="E121" s="2883"/>
    </row>
    <row r="122" spans="1:5" ht="12.75" hidden="1" customHeight="1">
      <c r="A122" s="3205"/>
      <c r="B122" s="3242" t="s">
        <v>94</v>
      </c>
      <c r="C122" s="3238" t="s">
        <v>95</v>
      </c>
      <c r="D122" s="3239" t="s">
        <v>1073</v>
      </c>
      <c r="E122" s="2883"/>
    </row>
    <row r="123" spans="1:5" ht="12.75" hidden="1" customHeight="1">
      <c r="A123" s="3205"/>
      <c r="B123" s="3242" t="s">
        <v>944</v>
      </c>
      <c r="C123" s="3238" t="s">
        <v>95</v>
      </c>
      <c r="D123" s="3239" t="s">
        <v>1073</v>
      </c>
      <c r="E123" s="2883"/>
    </row>
    <row r="124" spans="1:5" ht="12.75" hidden="1" customHeight="1">
      <c r="A124" s="3205"/>
      <c r="B124" s="3242" t="s">
        <v>591</v>
      </c>
      <c r="C124" s="3238" t="s">
        <v>576</v>
      </c>
      <c r="D124" s="3239" t="s">
        <v>1073</v>
      </c>
      <c r="E124" s="2883"/>
    </row>
    <row r="125" spans="1:5" ht="12.75" hidden="1" customHeight="1">
      <c r="A125" s="3205"/>
      <c r="B125" s="3242" t="s">
        <v>573</v>
      </c>
      <c r="C125" s="3238" t="s">
        <v>577</v>
      </c>
      <c r="D125" s="3239" t="s">
        <v>1073</v>
      </c>
      <c r="E125" s="2883"/>
    </row>
    <row r="126" spans="1:5" ht="12.75" hidden="1" customHeight="1">
      <c r="A126" s="3205"/>
      <c r="B126" s="3242" t="s">
        <v>574</v>
      </c>
      <c r="C126" s="3238" t="s">
        <v>578</v>
      </c>
      <c r="D126" s="3239" t="s">
        <v>1073</v>
      </c>
      <c r="E126" s="2883"/>
    </row>
    <row r="127" spans="1:5" ht="12.75" hidden="1" customHeight="1">
      <c r="A127" s="3205"/>
      <c r="B127" s="3242" t="s">
        <v>575</v>
      </c>
      <c r="C127" s="3238" t="s">
        <v>578</v>
      </c>
      <c r="D127" s="3239" t="s">
        <v>1073</v>
      </c>
      <c r="E127" s="2883"/>
    </row>
    <row r="128" spans="1:5" ht="12.75" hidden="1" customHeight="1">
      <c r="A128" s="3205"/>
      <c r="B128" s="3242" t="s">
        <v>1227</v>
      </c>
      <c r="C128" s="3238" t="s">
        <v>578</v>
      </c>
      <c r="D128" s="3239" t="s">
        <v>1073</v>
      </c>
      <c r="E128" s="2883"/>
    </row>
    <row r="129" spans="1:5" ht="12.75" hidden="1" customHeight="1">
      <c r="A129" s="3205"/>
      <c r="B129" s="3242" t="s">
        <v>687</v>
      </c>
      <c r="C129" s="3238" t="s">
        <v>578</v>
      </c>
      <c r="D129" s="3239" t="s">
        <v>1073</v>
      </c>
      <c r="E129" s="2883"/>
    </row>
    <row r="130" spans="1:5" ht="12.75" hidden="1" customHeight="1">
      <c r="A130" s="3205"/>
      <c r="B130" s="3242" t="s">
        <v>422</v>
      </c>
      <c r="C130" s="3238" t="s">
        <v>578</v>
      </c>
      <c r="D130" s="3239" t="s">
        <v>1073</v>
      </c>
      <c r="E130" s="2883"/>
    </row>
    <row r="131" spans="1:5" ht="12.75" hidden="1" customHeight="1">
      <c r="A131" s="3205"/>
      <c r="B131" s="3242" t="s">
        <v>423</v>
      </c>
      <c r="C131" s="3238" t="s">
        <v>578</v>
      </c>
      <c r="D131" s="3239" t="s">
        <v>1073</v>
      </c>
      <c r="E131" s="2883"/>
    </row>
    <row r="132" spans="1:5" ht="12.75" hidden="1" customHeight="1">
      <c r="A132" s="3205"/>
      <c r="B132" s="3242" t="s">
        <v>424</v>
      </c>
      <c r="C132" s="3238" t="s">
        <v>578</v>
      </c>
      <c r="D132" s="3239" t="s">
        <v>1073</v>
      </c>
      <c r="E132" s="2883"/>
    </row>
    <row r="133" spans="1:5" ht="12.75" hidden="1" customHeight="1">
      <c r="A133" s="3205"/>
      <c r="B133" s="3242" t="s">
        <v>425</v>
      </c>
      <c r="C133" s="3238" t="s">
        <v>578</v>
      </c>
      <c r="D133" s="3239" t="s">
        <v>1073</v>
      </c>
      <c r="E133" s="2883"/>
    </row>
    <row r="134" spans="1:5" ht="12.75" hidden="1" customHeight="1">
      <c r="A134" s="3205"/>
      <c r="B134" s="3242" t="s">
        <v>426</v>
      </c>
      <c r="C134" s="3238" t="s">
        <v>578</v>
      </c>
      <c r="D134" s="3239" t="s">
        <v>1073</v>
      </c>
      <c r="E134" s="2883"/>
    </row>
    <row r="135" spans="1:5" ht="12.75" hidden="1" customHeight="1">
      <c r="A135" s="3205"/>
      <c r="B135" s="3242" t="s">
        <v>427</v>
      </c>
      <c r="C135" s="3238" t="s">
        <v>578</v>
      </c>
      <c r="D135" s="3239" t="s">
        <v>1073</v>
      </c>
      <c r="E135" s="2883"/>
    </row>
    <row r="136" spans="1:5" ht="12.75" hidden="1" customHeight="1">
      <c r="A136" s="3205"/>
      <c r="B136" s="3242" t="s">
        <v>650</v>
      </c>
      <c r="C136" s="3238" t="s">
        <v>578</v>
      </c>
      <c r="D136" s="3239" t="s">
        <v>1073</v>
      </c>
      <c r="E136" s="1610"/>
    </row>
    <row r="137" spans="1:5" ht="12.75" hidden="1" customHeight="1">
      <c r="A137" s="3205"/>
      <c r="B137" s="3242" t="s">
        <v>1226</v>
      </c>
      <c r="C137" s="3238" t="s">
        <v>578</v>
      </c>
      <c r="D137" s="3239" t="s">
        <v>652</v>
      </c>
      <c r="E137" s="2883"/>
    </row>
    <row r="138" spans="1:5" ht="12.75" hidden="1" customHeight="1">
      <c r="A138" s="3205"/>
      <c r="B138" s="3242" t="s">
        <v>651</v>
      </c>
      <c r="C138" s="3238" t="s">
        <v>578</v>
      </c>
      <c r="D138" s="3239" t="s">
        <v>652</v>
      </c>
      <c r="E138" s="2883"/>
    </row>
    <row r="139" spans="1:5" ht="12.75" hidden="1" customHeight="1">
      <c r="A139" s="3205"/>
      <c r="B139" s="3242" t="s">
        <v>475</v>
      </c>
      <c r="C139" s="3238" t="s">
        <v>578</v>
      </c>
      <c r="D139" s="3239" t="s">
        <v>652</v>
      </c>
      <c r="E139" s="2883"/>
    </row>
    <row r="140" spans="1:5" ht="12.75" hidden="1" customHeight="1">
      <c r="A140" s="3205"/>
      <c r="B140" s="3242" t="s">
        <v>1266</v>
      </c>
      <c r="C140" s="3238" t="s">
        <v>578</v>
      </c>
      <c r="D140" s="3239" t="s">
        <v>1073</v>
      </c>
      <c r="E140" s="2883"/>
    </row>
    <row r="141" spans="1:5" ht="12.75" hidden="1" customHeight="1">
      <c r="A141" s="3205"/>
      <c r="B141" s="3242" t="s">
        <v>461</v>
      </c>
      <c r="C141" s="3238" t="s">
        <v>578</v>
      </c>
      <c r="D141" s="3239" t="s">
        <v>652</v>
      </c>
      <c r="E141" s="2883"/>
    </row>
    <row r="142" spans="1:5" ht="12.75" hidden="1" customHeight="1">
      <c r="A142" s="3205"/>
      <c r="B142" s="3242" t="s">
        <v>1128</v>
      </c>
      <c r="C142" s="3238" t="s">
        <v>578</v>
      </c>
      <c r="D142" s="3239" t="s">
        <v>652</v>
      </c>
      <c r="E142" s="2883"/>
    </row>
    <row r="143" spans="1:5" ht="12.75" hidden="1" customHeight="1">
      <c r="A143" s="3205"/>
      <c r="B143" s="3242" t="s">
        <v>1129</v>
      </c>
      <c r="C143" s="3238" t="s">
        <v>578</v>
      </c>
      <c r="D143" s="3246" t="s">
        <v>1136</v>
      </c>
      <c r="E143" s="2883"/>
    </row>
    <row r="144" spans="1:5" ht="12.75" hidden="1" customHeight="1">
      <c r="A144" s="3205"/>
      <c r="B144" s="3242" t="s">
        <v>1130</v>
      </c>
      <c r="C144" s="3238" t="s">
        <v>578</v>
      </c>
      <c r="D144" s="3246" t="s">
        <v>1136</v>
      </c>
      <c r="E144" s="2883"/>
    </row>
    <row r="145" spans="1:5" ht="12.75" hidden="1" customHeight="1">
      <c r="A145" s="3205"/>
      <c r="B145" s="3242" t="s">
        <v>1131</v>
      </c>
      <c r="C145" s="3238" t="s">
        <v>578</v>
      </c>
      <c r="D145" s="3246" t="s">
        <v>1136</v>
      </c>
      <c r="E145" s="2883"/>
    </row>
    <row r="146" spans="1:5" ht="12.75" hidden="1" customHeight="1">
      <c r="A146" s="3205"/>
      <c r="B146" s="3242" t="s">
        <v>1132</v>
      </c>
      <c r="C146" s="3238" t="s">
        <v>578</v>
      </c>
      <c r="D146" s="3246" t="s">
        <v>1136</v>
      </c>
      <c r="E146" s="2883"/>
    </row>
    <row r="147" spans="1:5" ht="12.75" hidden="1" customHeight="1">
      <c r="A147" s="3205"/>
      <c r="B147" s="3242" t="s">
        <v>1133</v>
      </c>
      <c r="C147" s="3238" t="s">
        <v>578</v>
      </c>
      <c r="D147" s="3246" t="s">
        <v>1136</v>
      </c>
      <c r="E147" s="2883"/>
    </row>
    <row r="148" spans="1:5" ht="12.75" hidden="1" customHeight="1">
      <c r="A148" s="3205"/>
      <c r="B148" s="3242" t="s">
        <v>1134</v>
      </c>
      <c r="C148" s="3238" t="s">
        <v>578</v>
      </c>
      <c r="D148" s="3246" t="s">
        <v>1136</v>
      </c>
      <c r="E148" s="2883"/>
    </row>
    <row r="149" spans="1:5" ht="12.75" hidden="1" customHeight="1">
      <c r="A149" s="3205"/>
      <c r="B149" s="3242" t="s">
        <v>1135</v>
      </c>
      <c r="C149" s="3238" t="s">
        <v>578</v>
      </c>
      <c r="D149" s="3246" t="s">
        <v>1136</v>
      </c>
      <c r="E149" s="2883"/>
    </row>
    <row r="150" spans="1:5" ht="12.75" hidden="1" customHeight="1">
      <c r="A150" s="3205"/>
      <c r="B150" s="3242" t="s">
        <v>1137</v>
      </c>
      <c r="C150" s="3238" t="s">
        <v>578</v>
      </c>
      <c r="D150" s="3239" t="s">
        <v>1136</v>
      </c>
      <c r="E150" s="2883"/>
    </row>
    <row r="151" spans="1:5" ht="12.75" hidden="1" customHeight="1">
      <c r="A151" s="3205"/>
      <c r="B151" s="3242" t="s">
        <v>1138</v>
      </c>
      <c r="C151" s="3238" t="s">
        <v>578</v>
      </c>
      <c r="D151" s="3239" t="s">
        <v>1136</v>
      </c>
      <c r="E151" s="2883"/>
    </row>
    <row r="152" spans="1:5" ht="12.75" hidden="1" customHeight="1">
      <c r="A152" s="3205"/>
      <c r="B152" s="3258" t="s">
        <v>1139</v>
      </c>
      <c r="C152" s="3257" t="s">
        <v>1279</v>
      </c>
      <c r="D152" s="3253" t="s">
        <v>1283</v>
      </c>
      <c r="E152" s="2883"/>
    </row>
    <row r="153" spans="1:5" ht="12.75" hidden="1" customHeight="1">
      <c r="A153" s="3205"/>
      <c r="B153" s="3258" t="s">
        <v>1140</v>
      </c>
      <c r="C153" s="3257" t="s">
        <v>1280</v>
      </c>
      <c r="D153" s="3253" t="s">
        <v>1284</v>
      </c>
      <c r="E153" s="2883"/>
    </row>
    <row r="154" spans="1:5" ht="12.75" hidden="1" customHeight="1">
      <c r="A154" s="3205"/>
      <c r="B154" s="3258" t="s">
        <v>1141</v>
      </c>
      <c r="C154" s="3257" t="s">
        <v>1281</v>
      </c>
      <c r="D154" s="3253" t="s">
        <v>1285</v>
      </c>
      <c r="E154" s="2883"/>
    </row>
    <row r="155" spans="1:5" ht="12.75" hidden="1" customHeight="1">
      <c r="A155" s="3205"/>
      <c r="B155" s="3258" t="s">
        <v>1142</v>
      </c>
      <c r="C155" s="3257" t="s">
        <v>1282</v>
      </c>
      <c r="D155" s="3253" t="s">
        <v>1286</v>
      </c>
      <c r="E155" s="2883"/>
    </row>
    <row r="156" spans="1:5" ht="12.75" hidden="1" customHeight="1">
      <c r="A156" s="3205"/>
      <c r="B156" s="3258" t="s">
        <v>1139</v>
      </c>
      <c r="C156" s="3257" t="s">
        <v>578</v>
      </c>
      <c r="D156" s="3253" t="s">
        <v>1136</v>
      </c>
      <c r="E156" s="2883"/>
    </row>
    <row r="157" spans="1:5" ht="12.75" hidden="1" customHeight="1">
      <c r="A157" s="3205"/>
      <c r="B157" s="3242" t="s">
        <v>1140</v>
      </c>
      <c r="C157" s="3238" t="s">
        <v>578</v>
      </c>
      <c r="D157" s="3239" t="s">
        <v>1136</v>
      </c>
      <c r="E157" s="2883"/>
    </row>
    <row r="158" spans="1:5" ht="12.75" hidden="1" customHeight="1">
      <c r="A158" s="3205"/>
      <c r="B158" s="3242" t="s">
        <v>1141</v>
      </c>
      <c r="C158" s="3238" t="s">
        <v>578</v>
      </c>
      <c r="D158" s="3239" t="s">
        <v>1143</v>
      </c>
      <c r="E158" s="2883"/>
    </row>
    <row r="159" spans="1:5" ht="12.75" hidden="1" customHeight="1">
      <c r="A159" s="3205"/>
      <c r="B159" s="3242" t="s">
        <v>1142</v>
      </c>
      <c r="C159" s="3238" t="s">
        <v>578</v>
      </c>
      <c r="D159" s="3239" t="s">
        <v>1143</v>
      </c>
      <c r="E159" s="2883"/>
    </row>
    <row r="160" spans="1:5" ht="12.75" hidden="1" customHeight="1">
      <c r="A160" s="3205"/>
      <c r="B160" s="3242" t="s">
        <v>1278</v>
      </c>
      <c r="C160" s="3238" t="s">
        <v>578</v>
      </c>
      <c r="D160" s="3239" t="s">
        <v>1143</v>
      </c>
      <c r="E160" s="2883"/>
    </row>
    <row r="161" spans="1:5" ht="12.75" hidden="1" customHeight="1">
      <c r="A161" s="3205"/>
      <c r="B161" s="3242" t="s">
        <v>523</v>
      </c>
      <c r="C161" s="3238" t="s">
        <v>578</v>
      </c>
      <c r="D161" s="3239" t="s">
        <v>1143</v>
      </c>
      <c r="E161" s="2883"/>
    </row>
    <row r="162" spans="1:5" ht="12.75" hidden="1" customHeight="1">
      <c r="A162" s="3205"/>
      <c r="B162" s="3242" t="s">
        <v>524</v>
      </c>
      <c r="C162" s="3238" t="s">
        <v>578</v>
      </c>
      <c r="D162" s="3239" t="s">
        <v>1143</v>
      </c>
      <c r="E162" s="2883"/>
    </row>
    <row r="163" spans="1:5" ht="12.75" hidden="1" customHeight="1">
      <c r="A163" s="3205"/>
      <c r="B163" s="3242" t="s">
        <v>525</v>
      </c>
      <c r="C163" s="3238" t="s">
        <v>578</v>
      </c>
      <c r="D163" s="3239" t="s">
        <v>1143</v>
      </c>
      <c r="E163" s="2883"/>
    </row>
    <row r="164" spans="1:5" ht="12.75" hidden="1" customHeight="1">
      <c r="A164" s="3205"/>
      <c r="B164" s="3242" t="s">
        <v>526</v>
      </c>
      <c r="C164" s="3238" t="s">
        <v>578</v>
      </c>
      <c r="D164" s="3239" t="s">
        <v>518</v>
      </c>
      <c r="E164" s="2883"/>
    </row>
    <row r="165" spans="1:5" ht="12.75" customHeight="1">
      <c r="A165" s="3205"/>
      <c r="B165" s="3240" t="s">
        <v>480</v>
      </c>
      <c r="C165" s="3238" t="s">
        <v>577</v>
      </c>
      <c r="D165" s="3239" t="s">
        <v>1022</v>
      </c>
      <c r="E165" s="2883"/>
    </row>
    <row r="166" spans="1:5" ht="12.75" hidden="1" customHeight="1">
      <c r="A166" s="3205"/>
      <c r="B166" s="3242" t="s">
        <v>519</v>
      </c>
      <c r="C166" s="3238" t="s">
        <v>578</v>
      </c>
      <c r="D166" s="3239" t="s">
        <v>518</v>
      </c>
      <c r="E166" s="2883"/>
    </row>
    <row r="167" spans="1:5" ht="12.75" hidden="1" customHeight="1">
      <c r="A167" s="3205"/>
      <c r="B167" s="3242" t="s">
        <v>520</v>
      </c>
      <c r="C167" s="3238" t="s">
        <v>578</v>
      </c>
      <c r="D167" s="3239" t="s">
        <v>518</v>
      </c>
      <c r="E167" s="2883"/>
    </row>
    <row r="168" spans="1:5" ht="12.75" hidden="1" customHeight="1">
      <c r="A168" s="3205"/>
      <c r="B168" s="3242" t="s">
        <v>521</v>
      </c>
      <c r="C168" s="3238" t="s">
        <v>578</v>
      </c>
      <c r="D168" s="3239" t="s">
        <v>518</v>
      </c>
      <c r="E168" s="2883"/>
    </row>
    <row r="169" spans="1:5" ht="12.75" hidden="1" customHeight="1">
      <c r="A169" s="3205"/>
      <c r="B169" s="3242" t="s">
        <v>522</v>
      </c>
      <c r="C169" s="3238" t="s">
        <v>578</v>
      </c>
      <c r="D169" s="3239" t="s">
        <v>518</v>
      </c>
      <c r="E169" s="2883"/>
    </row>
    <row r="170" spans="1:5" ht="12.75" hidden="1" customHeight="1">
      <c r="A170" s="3205"/>
      <c r="B170" s="3242" t="s">
        <v>481</v>
      </c>
      <c r="C170" s="3238" t="s">
        <v>578</v>
      </c>
      <c r="D170" s="3239" t="s">
        <v>518</v>
      </c>
      <c r="E170" s="2883"/>
    </row>
    <row r="171" spans="1:5" ht="12.75" hidden="1" customHeight="1">
      <c r="A171" s="3205"/>
      <c r="B171" s="3242" t="s">
        <v>482</v>
      </c>
      <c r="C171" s="3238" t="s">
        <v>578</v>
      </c>
      <c r="D171" s="3239" t="s">
        <v>518</v>
      </c>
      <c r="E171" s="2883"/>
    </row>
    <row r="172" spans="1:5" ht="12.75" hidden="1" customHeight="1">
      <c r="A172" s="3205"/>
      <c r="B172" s="3242" t="s">
        <v>512</v>
      </c>
      <c r="C172" s="3238" t="s">
        <v>578</v>
      </c>
      <c r="D172" s="3239" t="s">
        <v>518</v>
      </c>
      <c r="E172" s="2883"/>
    </row>
    <row r="173" spans="1:5" ht="12.75" hidden="1" customHeight="1">
      <c r="A173" s="3205"/>
      <c r="B173" s="3242" t="s">
        <v>513</v>
      </c>
      <c r="C173" s="3238" t="s">
        <v>577</v>
      </c>
      <c r="D173" s="3239" t="s">
        <v>518</v>
      </c>
      <c r="E173" s="2883"/>
    </row>
    <row r="174" spans="1:5" ht="12.75" hidden="1" customHeight="1">
      <c r="A174" s="3205"/>
      <c r="B174" s="3242" t="s">
        <v>514</v>
      </c>
      <c r="C174" s="3238" t="s">
        <v>516</v>
      </c>
      <c r="D174" s="3239" t="s">
        <v>518</v>
      </c>
      <c r="E174" s="2883"/>
    </row>
    <row r="175" spans="1:5" ht="12.75" hidden="1" customHeight="1">
      <c r="A175" s="3205"/>
      <c r="B175" s="3242" t="s">
        <v>515</v>
      </c>
      <c r="C175" s="3238" t="s">
        <v>517</v>
      </c>
      <c r="D175" s="3239" t="s">
        <v>518</v>
      </c>
      <c r="E175" s="2883"/>
    </row>
    <row r="176" spans="1:5" ht="12.75" hidden="1" customHeight="1">
      <c r="A176" s="3205"/>
      <c r="B176" s="3242" t="s">
        <v>413</v>
      </c>
      <c r="C176" s="3238" t="s">
        <v>517</v>
      </c>
      <c r="D176" s="3239" t="s">
        <v>415</v>
      </c>
      <c r="E176" s="2883"/>
    </row>
    <row r="177" spans="1:5" ht="12.75" hidden="1" customHeight="1">
      <c r="A177" s="3205"/>
      <c r="B177" s="3242" t="s">
        <v>414</v>
      </c>
      <c r="C177" s="3238" t="s">
        <v>517</v>
      </c>
      <c r="D177" s="3239" t="s">
        <v>518</v>
      </c>
      <c r="E177" s="2883"/>
    </row>
    <row r="178" spans="1:5" ht="12.75" hidden="1" customHeight="1">
      <c r="A178" s="3205"/>
      <c r="B178" s="3242" t="s">
        <v>416</v>
      </c>
      <c r="C178" s="3238" t="s">
        <v>517</v>
      </c>
      <c r="D178" s="3239" t="s">
        <v>518</v>
      </c>
      <c r="E178" s="2883"/>
    </row>
    <row r="179" spans="1:5" ht="12.75" hidden="1" customHeight="1">
      <c r="A179" s="3205"/>
      <c r="B179" s="3242" t="s">
        <v>417</v>
      </c>
      <c r="C179" s="3238" t="s">
        <v>517</v>
      </c>
      <c r="D179" s="3239" t="s">
        <v>518</v>
      </c>
      <c r="E179" s="2883"/>
    </row>
    <row r="180" spans="1:5" ht="12.75" hidden="1" customHeight="1">
      <c r="A180" s="3205"/>
      <c r="B180" s="3242" t="s">
        <v>418</v>
      </c>
      <c r="C180" s="3238" t="s">
        <v>517</v>
      </c>
      <c r="D180" s="3239" t="s">
        <v>518</v>
      </c>
      <c r="E180" s="2883"/>
    </row>
    <row r="181" spans="1:5" ht="12.75" hidden="1" customHeight="1">
      <c r="A181" s="3205"/>
      <c r="B181" s="3242" t="s">
        <v>419</v>
      </c>
      <c r="C181" s="3238" t="s">
        <v>517</v>
      </c>
      <c r="D181" s="3239" t="s">
        <v>518</v>
      </c>
      <c r="E181" s="2883"/>
    </row>
    <row r="182" spans="1:5" ht="0.75" hidden="1" customHeight="1">
      <c r="A182" s="3205"/>
      <c r="B182" s="3242" t="s">
        <v>483</v>
      </c>
      <c r="C182" s="3238" t="s">
        <v>517</v>
      </c>
      <c r="D182" s="3239" t="s">
        <v>518</v>
      </c>
      <c r="E182" s="2883"/>
    </row>
    <row r="183" spans="1:5" ht="12.75" hidden="1" customHeight="1">
      <c r="A183" s="3205"/>
      <c r="B183" s="3242" t="s">
        <v>484</v>
      </c>
      <c r="C183" s="3238" t="s">
        <v>517</v>
      </c>
      <c r="D183" s="3239" t="s">
        <v>518</v>
      </c>
      <c r="E183" s="2883"/>
    </row>
    <row r="184" spans="1:5" ht="12.75" hidden="1" customHeight="1">
      <c r="A184" s="3205"/>
      <c r="B184" s="3242" t="s">
        <v>1006</v>
      </c>
      <c r="C184" s="3238" t="s">
        <v>1007</v>
      </c>
      <c r="D184" s="3239" t="s">
        <v>1008</v>
      </c>
      <c r="E184" s="2883"/>
    </row>
    <row r="185" spans="1:5" ht="12.75" hidden="1" customHeight="1">
      <c r="A185" s="3205"/>
      <c r="B185" s="3242" t="s">
        <v>485</v>
      </c>
      <c r="C185" s="3238" t="s">
        <v>517</v>
      </c>
      <c r="D185" s="3239" t="s">
        <v>486</v>
      </c>
      <c r="E185" s="2883"/>
    </row>
    <row r="186" spans="1:5" ht="12.75" hidden="1" customHeight="1">
      <c r="A186" s="3205"/>
      <c r="B186" s="3242" t="s">
        <v>1005</v>
      </c>
      <c r="C186" s="3238" t="s">
        <v>517</v>
      </c>
      <c r="D186" s="3239" t="s">
        <v>486</v>
      </c>
      <c r="E186" s="2883"/>
    </row>
    <row r="187" spans="1:5" ht="12.75" hidden="1" customHeight="1">
      <c r="A187" s="3205"/>
      <c r="B187" s="3242" t="s">
        <v>487</v>
      </c>
      <c r="C187" s="3238" t="s">
        <v>517</v>
      </c>
      <c r="D187" s="3239" t="s">
        <v>518</v>
      </c>
      <c r="E187" s="2883"/>
    </row>
    <row r="188" spans="1:5" ht="12.75" hidden="1" customHeight="1">
      <c r="A188" s="3205"/>
      <c r="B188" s="3242" t="s">
        <v>488</v>
      </c>
      <c r="C188" s="3238" t="s">
        <v>517</v>
      </c>
      <c r="D188" s="3239" t="s">
        <v>518</v>
      </c>
      <c r="E188" s="2883"/>
    </row>
    <row r="189" spans="1:5" ht="12.75" hidden="1" customHeight="1">
      <c r="A189" s="3205"/>
      <c r="B189" s="3242" t="s">
        <v>778</v>
      </c>
      <c r="C189" s="3238" t="s">
        <v>517</v>
      </c>
      <c r="D189" s="3239" t="s">
        <v>518</v>
      </c>
      <c r="E189" s="2883"/>
    </row>
    <row r="190" spans="1:5" ht="12.75" hidden="1" customHeight="1">
      <c r="A190" s="3205"/>
      <c r="B190" s="3242" t="s">
        <v>489</v>
      </c>
      <c r="C190" s="3238" t="s">
        <v>1004</v>
      </c>
      <c r="D190" s="3253" t="s">
        <v>518</v>
      </c>
      <c r="E190" s="2883"/>
    </row>
    <row r="191" spans="1:5" ht="12.75" hidden="1" customHeight="1">
      <c r="A191" s="3205"/>
      <c r="B191" s="3242" t="s">
        <v>491</v>
      </c>
      <c r="C191" s="3238" t="s">
        <v>578</v>
      </c>
      <c r="D191" s="3253" t="s">
        <v>492</v>
      </c>
      <c r="E191" s="2883"/>
    </row>
    <row r="192" spans="1:5" ht="12.75" hidden="1" customHeight="1">
      <c r="A192" s="3205"/>
      <c r="B192" s="3242" t="s">
        <v>493</v>
      </c>
      <c r="C192" s="3238" t="s">
        <v>578</v>
      </c>
      <c r="D192" s="3253" t="s">
        <v>490</v>
      </c>
      <c r="E192" s="3549"/>
    </row>
    <row r="193" spans="1:5" ht="12.75" hidden="1" customHeight="1">
      <c r="A193" s="3205"/>
      <c r="B193" s="3242" t="s">
        <v>494</v>
      </c>
      <c r="C193" s="3238" t="s">
        <v>578</v>
      </c>
      <c r="D193" s="3253" t="s">
        <v>490</v>
      </c>
      <c r="E193" s="2883"/>
    </row>
    <row r="194" spans="1:5" ht="12.75" hidden="1" customHeight="1">
      <c r="A194" s="3205"/>
      <c r="B194" s="3242" t="s">
        <v>495</v>
      </c>
      <c r="C194" s="3238" t="s">
        <v>578</v>
      </c>
      <c r="D194" s="3253" t="s">
        <v>496</v>
      </c>
      <c r="E194" s="2883"/>
    </row>
    <row r="195" spans="1:5" ht="12.75" hidden="1" customHeight="1">
      <c r="A195" s="3205"/>
      <c r="B195" s="3242" t="s">
        <v>497</v>
      </c>
      <c r="C195" s="3238" t="s">
        <v>578</v>
      </c>
      <c r="D195" s="3253" t="s">
        <v>498</v>
      </c>
      <c r="E195" s="2883"/>
    </row>
    <row r="196" spans="1:5" ht="12.75" hidden="1" customHeight="1">
      <c r="A196" s="3205"/>
      <c r="B196" s="3242" t="s">
        <v>499</v>
      </c>
      <c r="C196" s="3238" t="s">
        <v>578</v>
      </c>
      <c r="D196" s="3239" t="s">
        <v>498</v>
      </c>
      <c r="E196" s="2883"/>
    </row>
    <row r="197" spans="1:5" ht="12.75" hidden="1" customHeight="1">
      <c r="A197" s="3205"/>
      <c r="B197" s="3242" t="s">
        <v>500</v>
      </c>
      <c r="C197" s="3238" t="s">
        <v>501</v>
      </c>
      <c r="D197" s="3239" t="s">
        <v>502</v>
      </c>
      <c r="E197" s="2883"/>
    </row>
    <row r="198" spans="1:5" ht="12.75" hidden="1" customHeight="1">
      <c r="A198" s="3205"/>
      <c r="B198" s="3242" t="s">
        <v>503</v>
      </c>
      <c r="C198" s="3238" t="s">
        <v>501</v>
      </c>
      <c r="D198" s="3239" t="s">
        <v>504</v>
      </c>
      <c r="E198" s="2883"/>
    </row>
    <row r="199" spans="1:5" ht="12.75" hidden="1" customHeight="1">
      <c r="A199" s="3205"/>
      <c r="B199" s="3242" t="s">
        <v>505</v>
      </c>
      <c r="C199" s="3238" t="s">
        <v>501</v>
      </c>
      <c r="D199" s="3239" t="s">
        <v>504</v>
      </c>
      <c r="E199" s="2883"/>
    </row>
    <row r="200" spans="1:5" ht="12.75" hidden="1" customHeight="1">
      <c r="A200" s="3205"/>
      <c r="B200" s="3242" t="s">
        <v>506</v>
      </c>
      <c r="C200" s="3238" t="s">
        <v>501</v>
      </c>
      <c r="D200" s="3239" t="s">
        <v>504</v>
      </c>
      <c r="E200" s="2883"/>
    </row>
    <row r="201" spans="1:5" ht="12.75" hidden="1" customHeight="1">
      <c r="A201" s="3205"/>
      <c r="B201" s="3242" t="s">
        <v>507</v>
      </c>
      <c r="C201" s="3238" t="s">
        <v>501</v>
      </c>
      <c r="D201" s="3239" t="s">
        <v>504</v>
      </c>
      <c r="E201" s="2883"/>
    </row>
    <row r="202" spans="1:5" ht="12.75" hidden="1" customHeight="1">
      <c r="A202" s="3205"/>
      <c r="B202" s="3242" t="s">
        <v>508</v>
      </c>
      <c r="C202" s="3238" t="s">
        <v>509</v>
      </c>
      <c r="D202" s="3239" t="s">
        <v>504</v>
      </c>
      <c r="E202" s="2883"/>
    </row>
    <row r="203" spans="1:5" ht="12.75" hidden="1" customHeight="1">
      <c r="A203" s="3205"/>
      <c r="B203" s="3242" t="s">
        <v>510</v>
      </c>
      <c r="C203" s="3238" t="s">
        <v>509</v>
      </c>
      <c r="D203" s="3239" t="s">
        <v>511</v>
      </c>
      <c r="E203" s="2883"/>
    </row>
    <row r="204" spans="1:5" ht="12.75" hidden="1" customHeight="1">
      <c r="A204" s="3205"/>
      <c r="B204" s="3242" t="s">
        <v>1009</v>
      </c>
      <c r="C204" s="3238" t="s">
        <v>509</v>
      </c>
      <c r="D204" s="3239" t="s">
        <v>511</v>
      </c>
      <c r="E204" s="2883"/>
    </row>
    <row r="205" spans="1:5" ht="12.75" hidden="1" customHeight="1">
      <c r="A205" s="3205"/>
      <c r="B205" s="3242" t="s">
        <v>1010</v>
      </c>
      <c r="C205" s="3238" t="s">
        <v>509</v>
      </c>
      <c r="D205" s="3239" t="s">
        <v>511</v>
      </c>
      <c r="E205" s="2883"/>
    </row>
    <row r="206" spans="1:5" ht="12.75" hidden="1" customHeight="1">
      <c r="A206" s="3205"/>
      <c r="B206" s="3242" t="s">
        <v>1011</v>
      </c>
      <c r="C206" s="3257" t="s">
        <v>509</v>
      </c>
      <c r="D206" s="3253" t="s">
        <v>511</v>
      </c>
      <c r="E206" s="2883"/>
    </row>
    <row r="207" spans="1:5" ht="12.75" hidden="1" customHeight="1">
      <c r="A207" s="3205"/>
      <c r="B207" s="3242" t="s">
        <v>1012</v>
      </c>
      <c r="C207" s="3257" t="s">
        <v>509</v>
      </c>
      <c r="D207" s="3253" t="s">
        <v>511</v>
      </c>
      <c r="E207" s="2883"/>
    </row>
    <row r="208" spans="1:5" ht="12.75" hidden="1" customHeight="1">
      <c r="A208" s="3205"/>
      <c r="B208" s="3242" t="s">
        <v>1013</v>
      </c>
      <c r="C208" s="3257" t="s">
        <v>509</v>
      </c>
      <c r="D208" s="3253" t="s">
        <v>511</v>
      </c>
      <c r="E208" s="2883"/>
    </row>
    <row r="209" spans="1:10" ht="12.75" hidden="1" customHeight="1">
      <c r="A209" s="3205"/>
      <c r="B209" s="3242" t="s">
        <v>1014</v>
      </c>
      <c r="C209" s="3257" t="s">
        <v>1015</v>
      </c>
      <c r="D209" s="3253" t="s">
        <v>511</v>
      </c>
      <c r="E209" s="2883"/>
    </row>
    <row r="210" spans="1:10" ht="12.75" hidden="1" customHeight="1">
      <c r="A210" s="3205"/>
      <c r="B210" s="3242" t="s">
        <v>1016</v>
      </c>
      <c r="C210" s="3238" t="s">
        <v>1015</v>
      </c>
      <c r="D210" s="3239" t="s">
        <v>511</v>
      </c>
      <c r="E210" s="2883"/>
    </row>
    <row r="211" spans="1:10" ht="12.75" hidden="1" customHeight="1">
      <c r="A211" s="3205"/>
      <c r="B211" s="3242" t="s">
        <v>1017</v>
      </c>
      <c r="C211" s="3238" t="s">
        <v>1015</v>
      </c>
      <c r="D211" s="3239" t="s">
        <v>511</v>
      </c>
      <c r="E211" s="2883"/>
      <c r="H211" s="2913"/>
      <c r="I211" s="2913"/>
      <c r="J211" s="2913"/>
    </row>
    <row r="212" spans="1:10" ht="12.75" hidden="1" customHeight="1">
      <c r="A212" s="3205"/>
      <c r="B212" s="3242" t="s">
        <v>1018</v>
      </c>
      <c r="C212" s="3238" t="s">
        <v>577</v>
      </c>
      <c r="D212" s="3239" t="s">
        <v>1022</v>
      </c>
      <c r="E212" s="2883"/>
      <c r="H212" s="2913"/>
      <c r="I212" s="173"/>
      <c r="J212" s="2913"/>
    </row>
    <row r="213" spans="1:10" ht="12.75" hidden="1" customHeight="1">
      <c r="A213" s="3205"/>
      <c r="B213" s="3242" t="s">
        <v>1019</v>
      </c>
      <c r="C213" s="3238" t="s">
        <v>577</v>
      </c>
      <c r="D213" s="3239" t="s">
        <v>1022</v>
      </c>
      <c r="E213" s="2883"/>
      <c r="H213" s="2913"/>
      <c r="I213" s="3550"/>
      <c r="J213" s="2913"/>
    </row>
    <row r="214" spans="1:10" ht="12.75" hidden="1" customHeight="1">
      <c r="A214" s="3205"/>
      <c r="B214" s="3242" t="s">
        <v>1020</v>
      </c>
      <c r="C214" s="3238" t="s">
        <v>577</v>
      </c>
      <c r="D214" s="3239" t="s">
        <v>1022</v>
      </c>
      <c r="E214" s="2883"/>
      <c r="H214" s="2913"/>
      <c r="I214" s="173"/>
      <c r="J214" s="2913"/>
    </row>
    <row r="215" spans="1:10" ht="12.75" hidden="1" customHeight="1">
      <c r="A215" s="3205"/>
      <c r="B215" s="3242" t="s">
        <v>1021</v>
      </c>
      <c r="C215" s="3238" t="s">
        <v>577</v>
      </c>
      <c r="D215" s="3239" t="s">
        <v>1022</v>
      </c>
      <c r="E215" s="2883"/>
      <c r="H215" s="2913"/>
      <c r="I215" s="2913"/>
      <c r="J215" s="2913"/>
    </row>
    <row r="216" spans="1:10" ht="12.75" customHeight="1">
      <c r="A216" s="3205"/>
      <c r="B216" s="3552" t="s">
        <v>196</v>
      </c>
      <c r="C216" s="3257" t="s">
        <v>766</v>
      </c>
      <c r="D216" s="3253" t="s">
        <v>1380</v>
      </c>
      <c r="E216" s="2883"/>
    </row>
    <row r="217" spans="1:10" ht="12.75" hidden="1" customHeight="1">
      <c r="A217" s="3205"/>
      <c r="B217" s="3553" t="s">
        <v>1023</v>
      </c>
      <c r="C217" s="3257" t="s">
        <v>1024</v>
      </c>
      <c r="D217" s="3253" t="s">
        <v>1025</v>
      </c>
      <c r="E217" s="2883"/>
    </row>
    <row r="218" spans="1:10" ht="12.75" hidden="1" customHeight="1">
      <c r="A218" s="3205"/>
      <c r="B218" s="3553" t="s">
        <v>1026</v>
      </c>
      <c r="C218" s="3257" t="s">
        <v>1024</v>
      </c>
      <c r="D218" s="3253" t="s">
        <v>1025</v>
      </c>
      <c r="E218" s="2883"/>
    </row>
    <row r="219" spans="1:10" ht="12.75" hidden="1" customHeight="1">
      <c r="A219" s="3205"/>
      <c r="B219" s="3553" t="s">
        <v>940</v>
      </c>
      <c r="C219" s="3257" t="s">
        <v>1024</v>
      </c>
      <c r="D219" s="3253" t="s">
        <v>518</v>
      </c>
      <c r="E219" s="2883"/>
    </row>
    <row r="220" spans="1:10" ht="12.75" hidden="1" customHeight="1">
      <c r="A220" s="3205"/>
      <c r="B220" s="3553" t="s">
        <v>1059</v>
      </c>
      <c r="C220" s="3257" t="s">
        <v>1024</v>
      </c>
      <c r="D220" s="3253" t="s">
        <v>1143</v>
      </c>
      <c r="E220" s="2883"/>
    </row>
    <row r="221" spans="1:10" ht="12.75" hidden="1" customHeight="1">
      <c r="A221" s="3205"/>
      <c r="B221" s="3553" t="s">
        <v>1060</v>
      </c>
      <c r="C221" s="3257" t="s">
        <v>1024</v>
      </c>
      <c r="D221" s="3253" t="s">
        <v>1143</v>
      </c>
      <c r="E221" s="2883"/>
    </row>
    <row r="222" spans="1:10" ht="12.75" hidden="1" customHeight="1">
      <c r="A222" s="3205"/>
      <c r="B222" s="3553" t="s">
        <v>1061</v>
      </c>
      <c r="C222" s="3257" t="s">
        <v>1071</v>
      </c>
      <c r="D222" s="3253" t="s">
        <v>1062</v>
      </c>
      <c r="E222" s="2883"/>
    </row>
    <row r="223" spans="1:10" ht="12.75" hidden="1" customHeight="1">
      <c r="A223" s="3205"/>
      <c r="B223" s="3553" t="s">
        <v>1063</v>
      </c>
      <c r="C223" s="3257" t="s">
        <v>1071</v>
      </c>
      <c r="D223" s="3253" t="s">
        <v>1062</v>
      </c>
      <c r="E223" s="2883"/>
    </row>
    <row r="224" spans="1:10" ht="12.75" hidden="1" customHeight="1">
      <c r="A224" s="3205"/>
      <c r="B224" s="3553" t="s">
        <v>1064</v>
      </c>
      <c r="C224" s="3257" t="s">
        <v>1071</v>
      </c>
      <c r="D224" s="3253" t="s">
        <v>1062</v>
      </c>
      <c r="E224" s="2883"/>
    </row>
    <row r="225" spans="1:5" ht="12.75" hidden="1" customHeight="1">
      <c r="A225" s="3205"/>
      <c r="B225" s="3553" t="s">
        <v>966</v>
      </c>
      <c r="C225" s="3257" t="s">
        <v>1071</v>
      </c>
      <c r="D225" s="3253" t="s">
        <v>1062</v>
      </c>
      <c r="E225" s="2883"/>
    </row>
    <row r="226" spans="1:5" ht="12.75" hidden="1" customHeight="1">
      <c r="A226" s="3205"/>
      <c r="B226" s="3553" t="s">
        <v>1065</v>
      </c>
      <c r="C226" s="3257" t="s">
        <v>1071</v>
      </c>
      <c r="D226" s="3253" t="s">
        <v>1062</v>
      </c>
      <c r="E226" s="2883"/>
    </row>
    <row r="227" spans="1:5" ht="12.75" hidden="1" customHeight="1">
      <c r="A227" s="3205"/>
      <c r="B227" s="3553" t="s">
        <v>1066</v>
      </c>
      <c r="C227" s="3257" t="s">
        <v>1071</v>
      </c>
      <c r="D227" s="3257" t="s">
        <v>1067</v>
      </c>
      <c r="E227" s="2883"/>
    </row>
    <row r="228" spans="1:5" ht="12.75" hidden="1" customHeight="1">
      <c r="A228" s="3205"/>
      <c r="B228" s="3553" t="s">
        <v>1068</v>
      </c>
      <c r="C228" s="3257" t="s">
        <v>1071</v>
      </c>
      <c r="D228" s="3253" t="s">
        <v>1067</v>
      </c>
      <c r="E228" s="2883"/>
    </row>
    <row r="229" spans="1:5" ht="12.75" hidden="1" customHeight="1">
      <c r="A229" s="3205"/>
      <c r="B229" s="3553" t="s">
        <v>1069</v>
      </c>
      <c r="C229" s="3257" t="s">
        <v>1071</v>
      </c>
      <c r="D229" s="3253" t="s">
        <v>1067</v>
      </c>
      <c r="E229" s="2883"/>
    </row>
    <row r="230" spans="1:5" ht="12.75" hidden="1" customHeight="1">
      <c r="A230" s="3205"/>
      <c r="B230" s="3553" t="s">
        <v>989</v>
      </c>
      <c r="C230" s="3257" t="s">
        <v>1071</v>
      </c>
      <c r="D230" s="3253" t="s">
        <v>767</v>
      </c>
      <c r="E230" s="2883"/>
    </row>
    <row r="231" spans="1:5" ht="12.75" hidden="1" customHeight="1">
      <c r="A231" s="3205"/>
      <c r="B231" s="3553" t="s">
        <v>1347</v>
      </c>
      <c r="C231" s="3253" t="s">
        <v>1348</v>
      </c>
      <c r="D231" s="3253" t="s">
        <v>1349</v>
      </c>
      <c r="E231" s="2883"/>
    </row>
    <row r="232" spans="1:5" ht="12.75" hidden="1" customHeight="1">
      <c r="A232" s="3205"/>
      <c r="B232" s="3553" t="s">
        <v>1350</v>
      </c>
      <c r="C232" s="3257" t="s">
        <v>1348</v>
      </c>
      <c r="D232" s="3253" t="s">
        <v>1351</v>
      </c>
      <c r="E232" s="2883"/>
    </row>
    <row r="233" spans="1:5" ht="12.75" hidden="1" customHeight="1">
      <c r="A233" s="3205"/>
      <c r="B233" s="3553" t="s">
        <v>1352</v>
      </c>
      <c r="C233" s="3257" t="s">
        <v>1348</v>
      </c>
      <c r="D233" s="3253" t="s">
        <v>1351</v>
      </c>
      <c r="E233" s="2883"/>
    </row>
    <row r="234" spans="1:5" ht="12.75" hidden="1" customHeight="1">
      <c r="A234" s="3205"/>
      <c r="B234" s="3553" t="s">
        <v>1418</v>
      </c>
      <c r="C234" s="3257" t="s">
        <v>1348</v>
      </c>
      <c r="D234" s="3253" t="s">
        <v>1351</v>
      </c>
      <c r="E234" s="2883"/>
    </row>
    <row r="235" spans="1:5" ht="12.75" hidden="1" customHeight="1">
      <c r="A235" s="3205"/>
      <c r="B235" s="3553" t="s">
        <v>1415</v>
      </c>
      <c r="C235" s="3253" t="s">
        <v>1348</v>
      </c>
      <c r="D235" s="3253" t="s">
        <v>1353</v>
      </c>
      <c r="E235" s="2883"/>
    </row>
    <row r="236" spans="1:5" ht="12.75" hidden="1" customHeight="1">
      <c r="A236" s="3205"/>
      <c r="B236" s="3553" t="s">
        <v>1354</v>
      </c>
      <c r="C236" s="3257" t="s">
        <v>1348</v>
      </c>
      <c r="D236" s="3253" t="s">
        <v>664</v>
      </c>
      <c r="E236" s="2883"/>
    </row>
    <row r="237" spans="1:5" ht="12.75" hidden="1" customHeight="1">
      <c r="A237" s="3205"/>
      <c r="B237" s="3553" t="s">
        <v>1355</v>
      </c>
      <c r="C237" s="3257" t="s">
        <v>1348</v>
      </c>
      <c r="D237" s="3253" t="s">
        <v>664</v>
      </c>
      <c r="E237" s="2883"/>
    </row>
    <row r="238" spans="1:5" ht="12.75" hidden="1" customHeight="1">
      <c r="A238" s="3205"/>
      <c r="B238" s="3553" t="s">
        <v>1416</v>
      </c>
      <c r="C238" s="3257" t="s">
        <v>766</v>
      </c>
      <c r="D238" s="3253" t="s">
        <v>664</v>
      </c>
      <c r="E238" s="2883"/>
    </row>
    <row r="239" spans="1:5" ht="12.75" hidden="1" customHeight="1">
      <c r="A239" s="3205"/>
      <c r="B239" s="3553" t="s">
        <v>1356</v>
      </c>
      <c r="C239" s="3257" t="s">
        <v>766</v>
      </c>
      <c r="D239" s="3253" t="s">
        <v>664</v>
      </c>
      <c r="E239" s="2883"/>
    </row>
    <row r="240" spans="1:5" ht="12.75" hidden="1" customHeight="1">
      <c r="A240" s="3205"/>
      <c r="B240" s="3553" t="s">
        <v>1357</v>
      </c>
      <c r="C240" s="3257" t="s">
        <v>766</v>
      </c>
      <c r="D240" s="3253" t="s">
        <v>664</v>
      </c>
      <c r="E240" s="2883"/>
    </row>
    <row r="241" spans="1:5" ht="12.75" hidden="1" customHeight="1">
      <c r="A241" s="3205"/>
      <c r="B241" s="3553" t="s">
        <v>1417</v>
      </c>
      <c r="C241" s="3257" t="s">
        <v>766</v>
      </c>
      <c r="D241" s="3253" t="s">
        <v>1358</v>
      </c>
      <c r="E241" s="2883"/>
    </row>
    <row r="242" spans="1:5" ht="0.75" hidden="1" customHeight="1">
      <c r="A242" s="3205"/>
      <c r="B242" s="3553" t="s">
        <v>1359</v>
      </c>
      <c r="C242" s="3257" t="s">
        <v>766</v>
      </c>
      <c r="D242" s="3253" t="s">
        <v>1358</v>
      </c>
      <c r="E242" s="2883"/>
    </row>
    <row r="243" spans="1:5" ht="12.75" hidden="1" customHeight="1">
      <c r="A243" s="3205"/>
      <c r="B243" s="3553" t="s">
        <v>1360</v>
      </c>
      <c r="C243" s="3257" t="s">
        <v>766</v>
      </c>
      <c r="D243" s="3253" t="s">
        <v>1358</v>
      </c>
      <c r="E243" s="2883"/>
    </row>
    <row r="244" spans="1:5" ht="12.75" hidden="1" customHeight="1">
      <c r="A244" s="3205"/>
      <c r="B244" s="3553" t="s">
        <v>1361</v>
      </c>
      <c r="C244" s="3257" t="s">
        <v>766</v>
      </c>
      <c r="D244" s="3253" t="s">
        <v>1358</v>
      </c>
      <c r="E244" s="2883"/>
    </row>
    <row r="245" spans="1:5" ht="12.75" hidden="1" customHeight="1">
      <c r="A245" s="3205"/>
      <c r="B245" s="3553" t="s">
        <v>1371</v>
      </c>
      <c r="C245" s="3257" t="s">
        <v>766</v>
      </c>
      <c r="D245" s="3253" t="s">
        <v>1358</v>
      </c>
      <c r="E245" s="2883"/>
    </row>
    <row r="246" spans="1:5" ht="12.75" hidden="1" customHeight="1">
      <c r="A246" s="3205"/>
      <c r="B246" s="3553" t="s">
        <v>1372</v>
      </c>
      <c r="C246" s="3257" t="s">
        <v>766</v>
      </c>
      <c r="D246" s="3253" t="s">
        <v>1358</v>
      </c>
      <c r="E246" s="2883"/>
    </row>
    <row r="247" spans="1:5" ht="12.75" hidden="1" customHeight="1">
      <c r="A247" s="3205"/>
      <c r="B247" s="3553" t="s">
        <v>1373</v>
      </c>
      <c r="C247" s="3257" t="s">
        <v>766</v>
      </c>
      <c r="D247" s="3253" t="s">
        <v>1358</v>
      </c>
      <c r="E247" s="2883"/>
    </row>
    <row r="248" spans="1:5" ht="12.75" hidden="1" customHeight="1">
      <c r="A248" s="3205"/>
      <c r="B248" s="3553" t="s">
        <v>1374</v>
      </c>
      <c r="C248" s="3257" t="s">
        <v>766</v>
      </c>
      <c r="D248" s="3253" t="s">
        <v>1358</v>
      </c>
      <c r="E248" s="2883"/>
    </row>
    <row r="249" spans="1:5" ht="12.75" hidden="1" customHeight="1">
      <c r="A249" s="3205"/>
      <c r="B249" s="3553" t="s">
        <v>1375</v>
      </c>
      <c r="C249" s="3257" t="s">
        <v>766</v>
      </c>
      <c r="D249" s="3253" t="s">
        <v>1376</v>
      </c>
      <c r="E249" s="2883"/>
    </row>
    <row r="250" spans="1:5" ht="12.75" hidden="1" customHeight="1">
      <c r="A250" s="3205"/>
      <c r="B250" s="3553" t="s">
        <v>1377</v>
      </c>
      <c r="C250" s="3257" t="s">
        <v>766</v>
      </c>
      <c r="D250" s="3253" t="s">
        <v>1376</v>
      </c>
      <c r="E250" s="2883"/>
    </row>
    <row r="251" spans="1:5" ht="12.75" hidden="1" customHeight="1">
      <c r="A251" s="3205"/>
      <c r="B251" s="3553" t="s">
        <v>1378</v>
      </c>
      <c r="C251" s="3257" t="s">
        <v>766</v>
      </c>
      <c r="D251" s="3253" t="s">
        <v>1376</v>
      </c>
      <c r="E251" s="2883"/>
    </row>
    <row r="252" spans="1:5" ht="12.75" hidden="1" customHeight="1">
      <c r="A252" s="3205"/>
      <c r="B252" s="3553" t="s">
        <v>1379</v>
      </c>
      <c r="C252" s="3257" t="s">
        <v>766</v>
      </c>
      <c r="D252" s="3253" t="s">
        <v>1380</v>
      </c>
      <c r="E252" s="2883"/>
    </row>
    <row r="253" spans="1:5" ht="12.75" hidden="1" customHeight="1">
      <c r="A253" s="3205"/>
      <c r="B253" s="3553" t="s">
        <v>1381</v>
      </c>
      <c r="C253" s="3257" t="s">
        <v>766</v>
      </c>
      <c r="D253" s="3253" t="s">
        <v>1380</v>
      </c>
      <c r="E253" s="2883"/>
    </row>
    <row r="254" spans="1:5" ht="12.75" hidden="1" customHeight="1">
      <c r="A254" s="3205"/>
      <c r="B254" s="3553" t="s">
        <v>1382</v>
      </c>
      <c r="C254" s="3257" t="s">
        <v>766</v>
      </c>
      <c r="D254" s="3253" t="s">
        <v>1380</v>
      </c>
      <c r="E254" s="2883"/>
    </row>
    <row r="255" spans="1:5" ht="12.75" hidden="1" customHeight="1">
      <c r="A255" s="3205"/>
      <c r="B255" s="3553" t="s">
        <v>1383</v>
      </c>
      <c r="C255" s="3257" t="s">
        <v>766</v>
      </c>
      <c r="D255" s="3253" t="s">
        <v>1380</v>
      </c>
      <c r="E255" s="2883"/>
    </row>
    <row r="256" spans="1:5" ht="12.75" hidden="1" customHeight="1">
      <c r="A256" s="3205"/>
      <c r="B256" s="3553" t="s">
        <v>1387</v>
      </c>
      <c r="C256" s="3257" t="s">
        <v>766</v>
      </c>
      <c r="D256" s="3253" t="s">
        <v>1380</v>
      </c>
      <c r="E256" s="2883"/>
    </row>
    <row r="257" spans="1:17" ht="12.75" customHeight="1">
      <c r="A257" s="3205"/>
      <c r="B257" s="3552" t="s">
        <v>1388</v>
      </c>
      <c r="C257" s="3257" t="s">
        <v>1462</v>
      </c>
      <c r="D257" s="3253" t="s">
        <v>1460</v>
      </c>
      <c r="E257" s="2883"/>
    </row>
    <row r="258" spans="1:17" ht="12.75" hidden="1" customHeight="1">
      <c r="A258" s="3205"/>
      <c r="B258" s="3553" t="s">
        <v>1389</v>
      </c>
      <c r="C258" s="3257" t="s">
        <v>766</v>
      </c>
      <c r="D258" s="3253" t="s">
        <v>1380</v>
      </c>
      <c r="E258" s="2883"/>
    </row>
    <row r="259" spans="1:17" ht="12.75" hidden="1" customHeight="1">
      <c r="A259" s="3205"/>
      <c r="B259" s="3553" t="s">
        <v>1391</v>
      </c>
      <c r="C259" s="3257" t="s">
        <v>766</v>
      </c>
      <c r="D259" s="3253" t="s">
        <v>1380</v>
      </c>
      <c r="E259" s="2883"/>
    </row>
    <row r="260" spans="1:17" ht="12.75" hidden="1" customHeight="1">
      <c r="A260" s="3205"/>
      <c r="B260" s="3553">
        <v>40193</v>
      </c>
      <c r="C260" s="3257" t="s">
        <v>766</v>
      </c>
      <c r="D260" s="3253" t="s">
        <v>1380</v>
      </c>
      <c r="E260" s="2883"/>
    </row>
    <row r="261" spans="1:17" ht="12.75" hidden="1" customHeight="1">
      <c r="A261" s="3205"/>
      <c r="B261" s="3553" t="s">
        <v>1392</v>
      </c>
      <c r="C261" s="3257" t="s">
        <v>766</v>
      </c>
      <c r="D261" s="3253" t="s">
        <v>1380</v>
      </c>
      <c r="E261" s="2883"/>
    </row>
    <row r="262" spans="1:17" ht="12.75" hidden="1" customHeight="1">
      <c r="A262" s="3205"/>
      <c r="B262" s="3553" t="s">
        <v>1393</v>
      </c>
      <c r="C262" s="3257" t="s">
        <v>766</v>
      </c>
      <c r="D262" s="3253" t="s">
        <v>1380</v>
      </c>
      <c r="E262" s="2883"/>
    </row>
    <row r="263" spans="1:17" ht="12.75" hidden="1" customHeight="1">
      <c r="A263" s="3205"/>
      <c r="B263" s="3553" t="s">
        <v>1394</v>
      </c>
      <c r="C263" s="3257" t="s">
        <v>766</v>
      </c>
      <c r="D263" s="3253" t="s">
        <v>1380</v>
      </c>
      <c r="E263" s="2883"/>
    </row>
    <row r="264" spans="1:17" ht="12.75" hidden="1" customHeight="1">
      <c r="A264" s="3205"/>
      <c r="B264" s="3553" t="s">
        <v>1395</v>
      </c>
      <c r="C264" s="3257" t="s">
        <v>766</v>
      </c>
      <c r="D264" s="3253" t="s">
        <v>1380</v>
      </c>
      <c r="E264" s="2883"/>
    </row>
    <row r="265" spans="1:17" ht="12.75" hidden="1" customHeight="1">
      <c r="A265" s="3205"/>
      <c r="B265" s="3553" t="s">
        <v>1396</v>
      </c>
      <c r="C265" s="3257" t="s">
        <v>766</v>
      </c>
      <c r="D265" s="3253" t="s">
        <v>1380</v>
      </c>
      <c r="E265" s="2883"/>
    </row>
    <row r="266" spans="1:17" ht="12.75" hidden="1" customHeight="1">
      <c r="A266" s="3205"/>
      <c r="B266" s="3553" t="s">
        <v>1397</v>
      </c>
      <c r="C266" s="3257" t="s">
        <v>766</v>
      </c>
      <c r="D266" s="3253" t="s">
        <v>1380</v>
      </c>
      <c r="E266" s="2883"/>
    </row>
    <row r="267" spans="1:17" ht="12.75" hidden="1" customHeight="1">
      <c r="A267" s="3205"/>
      <c r="B267" s="3553" t="s">
        <v>1398</v>
      </c>
      <c r="C267" s="3257" t="s">
        <v>766</v>
      </c>
      <c r="D267" s="3253" t="s">
        <v>1380</v>
      </c>
      <c r="E267" s="2883"/>
      <c r="H267" s="2913"/>
      <c r="L267" s="2913"/>
      <c r="M267" s="2913"/>
      <c r="N267" s="2913"/>
      <c r="O267" s="2913"/>
      <c r="P267" s="2913"/>
      <c r="Q267" s="2913"/>
    </row>
    <row r="268" spans="1:17" ht="12.75" hidden="1" customHeight="1">
      <c r="A268" s="3205"/>
      <c r="B268" s="3553" t="s">
        <v>1399</v>
      </c>
      <c r="C268" s="3257" t="s">
        <v>766</v>
      </c>
      <c r="D268" s="3253" t="s">
        <v>1380</v>
      </c>
      <c r="E268" s="2883"/>
      <c r="L268" s="2913"/>
      <c r="M268" s="2913"/>
      <c r="N268" s="2913"/>
      <c r="O268" s="2913"/>
      <c r="P268" s="2913"/>
      <c r="Q268" s="2913"/>
    </row>
    <row r="269" spans="1:17" ht="12.75" hidden="1" customHeight="1">
      <c r="A269" s="3205"/>
      <c r="B269" s="3553" t="s">
        <v>1400</v>
      </c>
      <c r="C269" s="3257" t="s">
        <v>766</v>
      </c>
      <c r="D269" s="3253" t="s">
        <v>1380</v>
      </c>
      <c r="E269" s="2883"/>
      <c r="L269" s="2913"/>
      <c r="M269" s="2913"/>
      <c r="N269" s="2913"/>
      <c r="O269" s="2913"/>
      <c r="P269" s="2913"/>
      <c r="Q269" s="2913"/>
    </row>
    <row r="270" spans="1:17" ht="12.75" hidden="1" customHeight="1">
      <c r="A270" s="3205"/>
      <c r="B270" s="3553" t="s">
        <v>984</v>
      </c>
      <c r="C270" s="3257" t="s">
        <v>766</v>
      </c>
      <c r="D270" s="3253" t="s">
        <v>1380</v>
      </c>
      <c r="E270" s="2883"/>
      <c r="L270" s="2913"/>
      <c r="M270" s="2913"/>
      <c r="N270" s="2913"/>
      <c r="O270" s="2913"/>
      <c r="P270" s="2913"/>
      <c r="Q270" s="2913"/>
    </row>
    <row r="271" spans="1:17" ht="12.75" hidden="1" customHeight="1">
      <c r="A271" s="3205"/>
      <c r="B271" s="3553" t="s">
        <v>1401</v>
      </c>
      <c r="C271" s="3257" t="s">
        <v>766</v>
      </c>
      <c r="D271" s="3253" t="s">
        <v>1380</v>
      </c>
      <c r="E271" s="2883"/>
      <c r="L271" s="2913"/>
      <c r="M271" s="2913"/>
      <c r="N271" s="2913"/>
      <c r="O271" s="2913"/>
      <c r="P271" s="2913"/>
      <c r="Q271" s="2913"/>
    </row>
    <row r="272" spans="1:17" ht="12.75" hidden="1" customHeight="1">
      <c r="A272" s="3205"/>
      <c r="B272" s="3553" t="s">
        <v>1402</v>
      </c>
      <c r="C272" s="3257" t="s">
        <v>766</v>
      </c>
      <c r="D272" s="3253" t="s">
        <v>1380</v>
      </c>
      <c r="E272" s="2883"/>
      <c r="I272" s="2913"/>
      <c r="L272" s="2913"/>
      <c r="M272" s="2913"/>
      <c r="N272" s="2913"/>
      <c r="O272" s="2913"/>
      <c r="P272" s="2913"/>
      <c r="Q272" s="2913"/>
    </row>
    <row r="273" spans="1:17" ht="12.75" hidden="1" customHeight="1">
      <c r="A273" s="3205"/>
      <c r="B273" s="3554" t="s">
        <v>1403</v>
      </c>
      <c r="C273" s="3257" t="s">
        <v>766</v>
      </c>
      <c r="D273" s="3253" t="s">
        <v>1380</v>
      </c>
      <c r="E273" s="2883"/>
      <c r="I273" s="2913"/>
      <c r="J273" s="2913"/>
      <c r="K273" s="2913"/>
      <c r="L273" s="2913"/>
      <c r="M273" s="2913"/>
      <c r="N273" s="2913"/>
      <c r="O273" s="2913"/>
      <c r="P273" s="2913"/>
      <c r="Q273" s="2913"/>
    </row>
    <row r="274" spans="1:17" ht="12.75" hidden="1" customHeight="1">
      <c r="A274" s="3205"/>
      <c r="B274" s="3553">
        <v>40291</v>
      </c>
      <c r="C274" s="3257" t="s">
        <v>766</v>
      </c>
      <c r="D274" s="3253" t="s">
        <v>1380</v>
      </c>
      <c r="E274" s="2883"/>
      <c r="F274" s="2913"/>
      <c r="I274" s="2913"/>
      <c r="J274" s="2913"/>
      <c r="K274" s="2913"/>
      <c r="L274" s="2913"/>
      <c r="M274" s="2913"/>
      <c r="N274" s="2913"/>
      <c r="O274" s="2913"/>
      <c r="P274" s="2913"/>
      <c r="Q274" s="2913"/>
    </row>
    <row r="275" spans="1:17" ht="12.75" hidden="1" customHeight="1">
      <c r="A275" s="3205"/>
      <c r="B275" s="3554" t="s">
        <v>989</v>
      </c>
      <c r="C275" s="3257" t="s">
        <v>766</v>
      </c>
      <c r="D275" s="3253" t="s">
        <v>1380</v>
      </c>
      <c r="E275" s="2883"/>
      <c r="F275" s="2913"/>
      <c r="I275" s="2913"/>
      <c r="J275" s="2913"/>
      <c r="K275" s="2913"/>
      <c r="L275" s="2913"/>
      <c r="M275" s="2913"/>
      <c r="N275" s="2913"/>
      <c r="O275" s="2913"/>
      <c r="P275" s="2913"/>
      <c r="Q275" s="2913"/>
    </row>
    <row r="276" spans="1:17" ht="12.75" hidden="1" customHeight="1">
      <c r="A276" s="3205"/>
      <c r="B276" s="3554" t="s">
        <v>1404</v>
      </c>
      <c r="C276" s="3257" t="s">
        <v>766</v>
      </c>
      <c r="D276" s="3253" t="s">
        <v>1380</v>
      </c>
      <c r="E276" s="2883"/>
      <c r="F276" s="2913"/>
      <c r="I276" s="2913"/>
      <c r="J276" s="2913"/>
      <c r="K276" s="2913"/>
      <c r="L276" s="2913"/>
      <c r="M276" s="2913"/>
      <c r="N276" s="2913"/>
      <c r="O276" s="2913"/>
      <c r="P276" s="2913"/>
      <c r="Q276" s="2913"/>
    </row>
    <row r="277" spans="1:17" ht="12.75" hidden="1" customHeight="1">
      <c r="A277" s="3205"/>
      <c r="B277" s="3554" t="s">
        <v>1419</v>
      </c>
      <c r="C277" s="3257" t="s">
        <v>766</v>
      </c>
      <c r="D277" s="3253" t="s">
        <v>1380</v>
      </c>
      <c r="E277" s="2883"/>
      <c r="F277" s="2913"/>
      <c r="I277" s="2913"/>
      <c r="J277" s="2913"/>
      <c r="K277" s="2913"/>
      <c r="L277" s="2913"/>
      <c r="M277" s="2913"/>
      <c r="N277" s="2913"/>
      <c r="O277" s="2913"/>
      <c r="P277" s="2913"/>
      <c r="Q277" s="2913"/>
    </row>
    <row r="278" spans="1:17" ht="12.75" hidden="1" customHeight="1">
      <c r="A278" s="3205"/>
      <c r="B278" s="3554" t="s">
        <v>1420</v>
      </c>
      <c r="C278" s="3257" t="s">
        <v>766</v>
      </c>
      <c r="D278" s="3253" t="s">
        <v>1380</v>
      </c>
      <c r="E278" s="2883"/>
      <c r="F278" s="2913"/>
      <c r="I278" s="2913"/>
      <c r="J278" s="2913"/>
      <c r="K278" s="2913"/>
      <c r="L278" s="2913"/>
      <c r="M278" s="2913"/>
      <c r="N278" s="2913"/>
      <c r="O278" s="2913"/>
      <c r="P278" s="2913"/>
      <c r="Q278" s="2913"/>
    </row>
    <row r="279" spans="1:17" ht="12.75" hidden="1" customHeight="1">
      <c r="A279" s="3205"/>
      <c r="B279" s="3250" t="s">
        <v>995</v>
      </c>
      <c r="C279" s="3107" t="s">
        <v>766</v>
      </c>
      <c r="D279" s="3249" t="s">
        <v>1380</v>
      </c>
      <c r="E279" s="2883"/>
      <c r="F279" s="2913"/>
      <c r="I279" s="2913"/>
      <c r="J279" s="2913"/>
      <c r="K279" s="2913"/>
      <c r="L279" s="2913"/>
      <c r="M279" s="2913"/>
      <c r="N279" s="2913"/>
      <c r="O279" s="2913"/>
    </row>
    <row r="280" spans="1:17" ht="12.75" hidden="1" customHeight="1">
      <c r="A280" s="3205"/>
      <c r="B280" s="3250" t="s">
        <v>1421</v>
      </c>
      <c r="C280" s="3107" t="s">
        <v>766</v>
      </c>
      <c r="D280" s="3249" t="s">
        <v>1380</v>
      </c>
      <c r="E280" s="2883"/>
      <c r="F280" s="2913"/>
      <c r="H280" s="2913"/>
      <c r="I280" s="2913"/>
      <c r="J280" s="2913"/>
      <c r="K280" s="2913"/>
      <c r="L280" s="2913"/>
      <c r="M280" s="2913"/>
      <c r="N280" s="2913"/>
      <c r="O280" s="2913"/>
    </row>
    <row r="281" spans="1:17" ht="12.75" hidden="1" customHeight="1">
      <c r="A281" s="3205"/>
      <c r="B281" s="3250" t="s">
        <v>1422</v>
      </c>
      <c r="C281" s="3107" t="s">
        <v>766</v>
      </c>
      <c r="D281" s="3249" t="s">
        <v>1380</v>
      </c>
      <c r="E281" s="2883"/>
      <c r="F281" s="2913"/>
      <c r="H281" s="2913"/>
      <c r="I281" s="2913"/>
      <c r="J281" s="2913"/>
      <c r="K281" s="2913"/>
      <c r="L281" s="2913"/>
      <c r="M281" s="2913"/>
      <c r="N281" s="2913"/>
      <c r="O281" s="2913"/>
    </row>
    <row r="282" spans="1:17" ht="12.75" hidden="1" customHeight="1">
      <c r="A282" s="3205"/>
      <c r="B282" s="3250" t="s">
        <v>1423</v>
      </c>
      <c r="C282" s="3107" t="s">
        <v>766</v>
      </c>
      <c r="D282" s="3249" t="s">
        <v>1380</v>
      </c>
      <c r="E282" s="2883"/>
      <c r="F282" s="2913"/>
      <c r="H282" s="2913"/>
      <c r="I282" s="2913"/>
      <c r="J282" s="2913"/>
      <c r="K282" s="2913"/>
    </row>
    <row r="283" spans="1:17" ht="12.75" hidden="1" customHeight="1">
      <c r="A283" s="3205"/>
      <c r="B283" s="3250" t="s">
        <v>1126</v>
      </c>
      <c r="C283" s="3107" t="s">
        <v>766</v>
      </c>
      <c r="D283" s="3249" t="s">
        <v>1380</v>
      </c>
      <c r="E283" s="2883"/>
      <c r="F283" s="2913"/>
      <c r="H283" s="2913"/>
      <c r="I283" s="2913"/>
      <c r="J283" s="2913"/>
      <c r="K283" s="2913"/>
    </row>
    <row r="284" spans="1:17" ht="12.75" hidden="1" customHeight="1">
      <c r="A284" s="3205"/>
      <c r="B284" s="3250" t="s">
        <v>1424</v>
      </c>
      <c r="C284" s="3107" t="s">
        <v>1425</v>
      </c>
      <c r="D284" s="3249" t="s">
        <v>1380</v>
      </c>
      <c r="E284" s="2883"/>
      <c r="F284" s="2913"/>
      <c r="H284" s="2913"/>
      <c r="I284" s="2913"/>
      <c r="J284" s="2913"/>
      <c r="K284" s="2913"/>
    </row>
    <row r="285" spans="1:17" ht="12.75" hidden="1" customHeight="1">
      <c r="A285" s="3205"/>
      <c r="B285" s="3250" t="s">
        <v>1426</v>
      </c>
      <c r="C285" s="3107" t="s">
        <v>1425</v>
      </c>
      <c r="D285" s="3249" t="s">
        <v>1380</v>
      </c>
      <c r="E285" s="2883"/>
      <c r="F285" s="2913"/>
      <c r="H285" s="2913"/>
      <c r="I285" s="2913"/>
      <c r="J285" s="2913"/>
      <c r="K285" s="2913"/>
    </row>
    <row r="286" spans="1:17" ht="12.75" hidden="1" customHeight="1">
      <c r="A286" s="3205"/>
      <c r="B286" s="3250" t="s">
        <v>1427</v>
      </c>
      <c r="C286" s="3107" t="s">
        <v>1425</v>
      </c>
      <c r="D286" s="3249" t="s">
        <v>1380</v>
      </c>
      <c r="E286" s="2883"/>
      <c r="F286" s="2913"/>
      <c r="H286" s="2913"/>
      <c r="I286" s="2913"/>
      <c r="J286" s="2913"/>
      <c r="K286" s="2913"/>
      <c r="N286" s="2913"/>
    </row>
    <row r="287" spans="1:17" ht="12.75" hidden="1" customHeight="1">
      <c r="A287" s="3205"/>
      <c r="B287" s="3250" t="s">
        <v>1428</v>
      </c>
      <c r="C287" s="3107" t="s">
        <v>1425</v>
      </c>
      <c r="D287" s="3249" t="s">
        <v>1380</v>
      </c>
      <c r="E287" s="2883"/>
      <c r="F287" s="2913"/>
      <c r="H287" s="2913"/>
      <c r="I287" s="2913"/>
      <c r="J287" s="2913"/>
      <c r="K287" s="2913"/>
    </row>
    <row r="288" spans="1:17" ht="12.75" hidden="1" customHeight="1">
      <c r="A288" s="3205"/>
      <c r="B288" s="3250" t="s">
        <v>1144</v>
      </c>
      <c r="C288" s="3107" t="s">
        <v>1425</v>
      </c>
      <c r="D288" s="3249" t="s">
        <v>1380</v>
      </c>
      <c r="E288" s="2883"/>
      <c r="F288" s="2913"/>
      <c r="H288" s="2913"/>
      <c r="I288" s="2913"/>
      <c r="J288" s="2913"/>
      <c r="K288" s="2913"/>
    </row>
    <row r="289" spans="1:11" ht="12.75" hidden="1" customHeight="1">
      <c r="A289" s="3205"/>
      <c r="B289" s="3250" t="s">
        <v>1443</v>
      </c>
      <c r="C289" s="3107" t="s">
        <v>1425</v>
      </c>
      <c r="D289" s="3249" t="s">
        <v>1380</v>
      </c>
      <c r="E289" s="2883"/>
      <c r="F289" s="2913"/>
      <c r="H289" s="2913"/>
      <c r="I289" s="2913"/>
      <c r="J289" s="2913"/>
      <c r="K289" s="2913"/>
    </row>
    <row r="290" spans="1:11" ht="12.75" hidden="1" customHeight="1">
      <c r="A290" s="3205"/>
      <c r="B290" s="3250" t="s">
        <v>1444</v>
      </c>
      <c r="C290" s="3107" t="s">
        <v>1425</v>
      </c>
      <c r="D290" s="3249" t="s">
        <v>1380</v>
      </c>
      <c r="E290" s="2883"/>
      <c r="F290" s="2913"/>
      <c r="H290" s="2913"/>
      <c r="I290" s="2913"/>
      <c r="J290" s="2913"/>
      <c r="K290" s="2913"/>
    </row>
    <row r="291" spans="1:11" ht="12.75" hidden="1" customHeight="1">
      <c r="A291" s="3205"/>
      <c r="B291" s="3250" t="s">
        <v>1445</v>
      </c>
      <c r="C291" s="3107" t="s">
        <v>1425</v>
      </c>
      <c r="D291" s="3249" t="s">
        <v>1448</v>
      </c>
      <c r="E291" s="2883"/>
      <c r="F291" s="2913"/>
      <c r="H291" s="2913"/>
      <c r="I291" s="2913"/>
      <c r="J291" s="2913"/>
      <c r="K291" s="2913"/>
    </row>
    <row r="292" spans="1:11" ht="12.75" hidden="1" customHeight="1">
      <c r="A292" s="3205"/>
      <c r="B292" s="3250" t="s">
        <v>1166</v>
      </c>
      <c r="C292" s="3107" t="s">
        <v>1425</v>
      </c>
      <c r="D292" s="3249" t="s">
        <v>1448</v>
      </c>
      <c r="E292" s="2883"/>
      <c r="F292" s="2913"/>
      <c r="H292" s="2913"/>
      <c r="I292" s="2913"/>
      <c r="J292" s="2913"/>
      <c r="K292" s="2913"/>
    </row>
    <row r="293" spans="1:11" ht="12.75" hidden="1" customHeight="1">
      <c r="A293" s="3205"/>
      <c r="B293" s="3250" t="s">
        <v>1447</v>
      </c>
      <c r="C293" s="3107" t="s">
        <v>1425</v>
      </c>
      <c r="D293" s="3249" t="s">
        <v>1448</v>
      </c>
      <c r="E293" s="2883"/>
      <c r="F293" s="2913"/>
      <c r="G293" s="2913"/>
      <c r="H293" s="2913"/>
      <c r="I293" s="2913"/>
      <c r="J293" s="2913"/>
      <c r="K293" s="2913"/>
    </row>
    <row r="294" spans="1:11" ht="12.75" hidden="1" customHeight="1">
      <c r="A294" s="3205"/>
      <c r="B294" s="3250" t="s">
        <v>1446</v>
      </c>
      <c r="C294" s="3107" t="s">
        <v>1425</v>
      </c>
      <c r="D294" s="3249" t="s">
        <v>1448</v>
      </c>
      <c r="E294" s="2883"/>
      <c r="F294" s="2913"/>
      <c r="G294" s="2913"/>
      <c r="H294" s="2913"/>
      <c r="I294" s="2913"/>
      <c r="J294" s="2913"/>
      <c r="K294" s="2913"/>
    </row>
    <row r="295" spans="1:11" ht="12.75" hidden="1" customHeight="1">
      <c r="A295" s="3205"/>
      <c r="B295" s="3250" t="s">
        <v>1449</v>
      </c>
      <c r="C295" s="3107" t="s">
        <v>1425</v>
      </c>
      <c r="D295" s="3249" t="s">
        <v>1448</v>
      </c>
      <c r="E295" s="2883"/>
      <c r="F295" s="2913"/>
      <c r="G295" s="2913"/>
      <c r="H295" s="2913"/>
      <c r="I295" s="2913"/>
      <c r="J295" s="2913"/>
      <c r="K295" s="2913"/>
    </row>
    <row r="296" spans="1:11" ht="12.75" hidden="1" customHeight="1">
      <c r="A296" s="3205"/>
      <c r="B296" s="3250" t="s">
        <v>1450</v>
      </c>
      <c r="C296" s="3107" t="s">
        <v>1425</v>
      </c>
      <c r="D296" s="3249" t="s">
        <v>1448</v>
      </c>
      <c r="E296" s="2883"/>
      <c r="F296" s="2913"/>
      <c r="G296" s="3551"/>
      <c r="H296" s="3551"/>
      <c r="I296" s="2913"/>
      <c r="J296" s="2913"/>
      <c r="K296" s="2913"/>
    </row>
    <row r="297" spans="1:11" ht="12.75" hidden="1" customHeight="1">
      <c r="A297" s="3205"/>
      <c r="B297" s="3250" t="s">
        <v>1451</v>
      </c>
      <c r="C297" s="3107" t="s">
        <v>604</v>
      </c>
      <c r="D297" s="3249" t="s">
        <v>769</v>
      </c>
      <c r="E297" s="2883"/>
      <c r="F297" s="2913"/>
      <c r="G297" s="2913"/>
      <c r="H297" s="2913"/>
      <c r="I297" s="2913"/>
      <c r="J297" s="2913"/>
      <c r="K297" s="2913"/>
    </row>
    <row r="298" spans="1:11" ht="12.75" hidden="1" customHeight="1">
      <c r="A298" s="3205"/>
      <c r="B298" s="3250" t="s">
        <v>1452</v>
      </c>
      <c r="C298" s="3107" t="s">
        <v>604</v>
      </c>
      <c r="D298" s="3249" t="s">
        <v>769</v>
      </c>
      <c r="E298" s="2883"/>
      <c r="F298" s="2913"/>
      <c r="G298" s="2913"/>
      <c r="H298" s="2913"/>
      <c r="I298" s="2913"/>
      <c r="J298" s="2913"/>
      <c r="K298" s="2913"/>
    </row>
    <row r="299" spans="1:11" ht="12.75" hidden="1" customHeight="1">
      <c r="A299" s="3205"/>
      <c r="B299" s="3250" t="s">
        <v>1453</v>
      </c>
      <c r="C299" s="3107" t="s">
        <v>604</v>
      </c>
      <c r="D299" s="3249" t="s">
        <v>769</v>
      </c>
      <c r="E299" s="2883"/>
      <c r="F299" s="2913"/>
      <c r="G299" s="2913"/>
      <c r="H299" s="2913"/>
      <c r="I299" s="2913"/>
      <c r="J299" s="2913"/>
      <c r="K299" s="2913"/>
    </row>
    <row r="300" spans="1:11" ht="12.75" hidden="1" customHeight="1">
      <c r="A300" s="3205"/>
      <c r="B300" s="3250" t="s">
        <v>1454</v>
      </c>
      <c r="C300" s="3107" t="s">
        <v>604</v>
      </c>
      <c r="D300" s="3249" t="s">
        <v>769</v>
      </c>
      <c r="E300" s="2883"/>
      <c r="F300" s="2913"/>
      <c r="H300" s="2913"/>
      <c r="I300" s="2913"/>
      <c r="J300" s="2913"/>
      <c r="K300" s="2913"/>
    </row>
    <row r="301" spans="1:11" ht="12.75" hidden="1" customHeight="1">
      <c r="A301" s="3205"/>
      <c r="B301" s="3250" t="s">
        <v>1228</v>
      </c>
      <c r="C301" s="3107" t="s">
        <v>604</v>
      </c>
      <c r="D301" s="3249" t="s">
        <v>769</v>
      </c>
      <c r="E301" s="2883"/>
      <c r="F301" s="2913"/>
      <c r="H301" s="2913"/>
      <c r="I301" s="2913"/>
    </row>
    <row r="302" spans="1:11" ht="12.75" hidden="1" customHeight="1">
      <c r="A302" s="3205"/>
      <c r="B302" s="3250" t="s">
        <v>1455</v>
      </c>
      <c r="C302" s="3107" t="s">
        <v>604</v>
      </c>
      <c r="D302" s="3249" t="s">
        <v>769</v>
      </c>
      <c r="E302" s="2883"/>
      <c r="F302" s="2913"/>
      <c r="H302" s="2913"/>
      <c r="I302" s="2913"/>
    </row>
    <row r="303" spans="1:11" ht="12.75" hidden="1" customHeight="1">
      <c r="A303" s="3205"/>
      <c r="B303" s="3250" t="s">
        <v>1456</v>
      </c>
      <c r="C303" s="3107" t="s">
        <v>604</v>
      </c>
      <c r="D303" s="3249" t="s">
        <v>769</v>
      </c>
      <c r="E303" s="2883"/>
      <c r="F303" s="2913"/>
      <c r="H303" s="2913"/>
      <c r="I303" s="2913"/>
    </row>
    <row r="304" spans="1:11" ht="12.75" hidden="1" customHeight="1">
      <c r="A304" s="3205"/>
      <c r="B304" s="3250" t="s">
        <v>1250</v>
      </c>
      <c r="C304" s="3107" t="s">
        <v>604</v>
      </c>
      <c r="D304" s="3248" t="s">
        <v>769</v>
      </c>
      <c r="E304" s="2883"/>
      <c r="F304" s="2913"/>
      <c r="H304" s="2913"/>
      <c r="I304" s="2913"/>
    </row>
    <row r="305" spans="1:9" ht="12.75" hidden="1" customHeight="1">
      <c r="A305" s="3205"/>
      <c r="B305" s="3251" t="s">
        <v>1457</v>
      </c>
      <c r="C305" s="3107" t="s">
        <v>604</v>
      </c>
      <c r="D305" s="3248" t="s">
        <v>769</v>
      </c>
      <c r="E305" s="2883"/>
      <c r="F305" s="2913"/>
      <c r="H305" s="2913"/>
      <c r="I305" s="2913"/>
    </row>
    <row r="306" spans="1:9" ht="12.75" hidden="1" customHeight="1">
      <c r="A306" s="3205"/>
      <c r="B306" s="3251" t="s">
        <v>994</v>
      </c>
      <c r="C306" s="3107" t="s">
        <v>1458</v>
      </c>
      <c r="D306" s="3248" t="s">
        <v>769</v>
      </c>
      <c r="E306" s="2883"/>
      <c r="F306" s="2913"/>
      <c r="H306" s="2913"/>
      <c r="I306" s="2913"/>
    </row>
    <row r="307" spans="1:9" ht="12.75" hidden="1" customHeight="1">
      <c r="A307" s="3205"/>
      <c r="B307" s="3251" t="s">
        <v>1459</v>
      </c>
      <c r="C307" s="3257" t="s">
        <v>1458</v>
      </c>
      <c r="D307" s="3253" t="s">
        <v>1460</v>
      </c>
      <c r="E307" s="2883"/>
      <c r="F307" s="2913"/>
      <c r="H307" s="2913"/>
      <c r="I307" s="2913"/>
    </row>
    <row r="308" spans="1:9" ht="12.75" hidden="1" customHeight="1">
      <c r="A308" s="3205"/>
      <c r="B308" s="3251" t="s">
        <v>1461</v>
      </c>
      <c r="C308" s="3257" t="s">
        <v>1458</v>
      </c>
      <c r="D308" s="3253" t="s">
        <v>1460</v>
      </c>
      <c r="E308" s="2883"/>
      <c r="F308" s="2913"/>
      <c r="H308" s="2913"/>
      <c r="I308" s="2913"/>
    </row>
    <row r="309" spans="1:9" ht="12.75" hidden="1" customHeight="1">
      <c r="A309" s="3205"/>
      <c r="B309" s="3251" t="s">
        <v>1273</v>
      </c>
      <c r="C309" s="3257" t="s">
        <v>1462</v>
      </c>
      <c r="D309" s="3253" t="s">
        <v>1460</v>
      </c>
      <c r="E309" s="2883"/>
      <c r="F309" s="2913"/>
      <c r="H309" s="2913"/>
      <c r="I309" s="2913"/>
    </row>
    <row r="310" spans="1:9" ht="12.75" hidden="1" customHeight="1">
      <c r="A310" s="3205"/>
      <c r="B310" s="3251" t="s">
        <v>1474</v>
      </c>
      <c r="C310" s="3257" t="s">
        <v>1462</v>
      </c>
      <c r="D310" s="3253" t="s">
        <v>1460</v>
      </c>
      <c r="E310" s="2883"/>
      <c r="F310" s="2913"/>
      <c r="H310" s="2913"/>
      <c r="I310" s="2913"/>
    </row>
    <row r="311" spans="1:9" ht="12.75" hidden="1" customHeight="1">
      <c r="A311" s="3205"/>
      <c r="B311" s="3251" t="s">
        <v>1475</v>
      </c>
      <c r="C311" s="3257" t="s">
        <v>1462</v>
      </c>
      <c r="D311" s="3253" t="s">
        <v>1460</v>
      </c>
      <c r="E311" s="2883"/>
      <c r="F311" s="2913"/>
      <c r="H311" s="2913"/>
      <c r="I311" s="2913"/>
    </row>
    <row r="312" spans="1:9" ht="12.75" customHeight="1">
      <c r="A312" s="3205"/>
      <c r="B312" s="3252" t="s">
        <v>1479</v>
      </c>
      <c r="C312" s="3257" t="s">
        <v>1507</v>
      </c>
      <c r="D312" s="3253" t="s">
        <v>1497</v>
      </c>
      <c r="E312" s="2883"/>
      <c r="F312" s="2913"/>
      <c r="H312" s="2913"/>
      <c r="I312" s="2913"/>
    </row>
    <row r="313" spans="1:9" ht="12.75" hidden="1" customHeight="1">
      <c r="A313" s="3205"/>
      <c r="B313" s="3251" t="s">
        <v>1480</v>
      </c>
      <c r="C313" s="3257" t="s">
        <v>1143</v>
      </c>
      <c r="D313" s="3253" t="s">
        <v>1460</v>
      </c>
      <c r="E313" s="2883"/>
      <c r="F313" s="2913"/>
      <c r="H313" s="2913"/>
      <c r="I313" s="2913"/>
    </row>
    <row r="314" spans="1:9" ht="12.75" hidden="1" customHeight="1">
      <c r="A314" s="3205"/>
      <c r="B314" s="3251" t="s">
        <v>1481</v>
      </c>
      <c r="C314" s="3257" t="s">
        <v>1143</v>
      </c>
      <c r="D314" s="3253" t="s">
        <v>1460</v>
      </c>
      <c r="E314" s="2883"/>
      <c r="F314" s="2913"/>
      <c r="H314" s="2913"/>
      <c r="I314" s="2913"/>
    </row>
    <row r="315" spans="1:9" ht="12.75" hidden="1" customHeight="1">
      <c r="A315" s="3205"/>
      <c r="B315" s="3251" t="s">
        <v>1482</v>
      </c>
      <c r="C315" s="3257" t="s">
        <v>1143</v>
      </c>
      <c r="D315" s="3253" t="s">
        <v>1460</v>
      </c>
      <c r="E315" s="2883"/>
      <c r="F315" s="2913"/>
      <c r="H315" s="2913"/>
      <c r="I315" s="2913"/>
    </row>
    <row r="316" spans="1:9" ht="12.75" hidden="1" customHeight="1">
      <c r="A316" s="3205"/>
      <c r="B316" s="3251" t="s">
        <v>1483</v>
      </c>
      <c r="C316" s="3257" t="s">
        <v>1143</v>
      </c>
      <c r="D316" s="3253" t="s">
        <v>1460</v>
      </c>
      <c r="E316" s="2883"/>
      <c r="F316" s="2913"/>
      <c r="H316" s="2913"/>
      <c r="I316" s="2913"/>
    </row>
    <row r="317" spans="1:9" ht="12.75" hidden="1" customHeight="1">
      <c r="A317" s="3205"/>
      <c r="B317" s="3251" t="s">
        <v>1304</v>
      </c>
      <c r="C317" s="3257" t="s">
        <v>1136</v>
      </c>
      <c r="D317" s="3253" t="s">
        <v>1460</v>
      </c>
      <c r="E317" s="2883"/>
      <c r="F317" s="2913"/>
      <c r="H317" s="2913"/>
      <c r="I317" s="2913"/>
    </row>
    <row r="318" spans="1:9" ht="12.75" hidden="1" customHeight="1">
      <c r="A318" s="3205"/>
      <c r="B318" s="3251" t="s">
        <v>1305</v>
      </c>
      <c r="C318" s="3257" t="s">
        <v>1136</v>
      </c>
      <c r="D318" s="3253" t="s">
        <v>1460</v>
      </c>
      <c r="E318" s="2883"/>
      <c r="F318" s="2913"/>
      <c r="H318" s="2913"/>
      <c r="I318" s="2913"/>
    </row>
    <row r="319" spans="1:9" ht="12.75" hidden="1" customHeight="1">
      <c r="A319" s="3205"/>
      <c r="B319" s="3251" t="s">
        <v>1334</v>
      </c>
      <c r="C319" s="3257" t="s">
        <v>492</v>
      </c>
      <c r="D319" s="3253" t="s">
        <v>1460</v>
      </c>
      <c r="E319" s="2883"/>
      <c r="F319" s="2913"/>
      <c r="H319" s="2913"/>
      <c r="I319" s="2913"/>
    </row>
    <row r="320" spans="1:9" ht="12.75" hidden="1" customHeight="1">
      <c r="A320" s="3205"/>
      <c r="B320" s="3251" t="s">
        <v>1484</v>
      </c>
      <c r="C320" s="3257" t="s">
        <v>492</v>
      </c>
      <c r="D320" s="3253" t="s">
        <v>1460</v>
      </c>
      <c r="E320" s="2883"/>
      <c r="F320" s="2913"/>
      <c r="H320" s="2913"/>
      <c r="I320" s="2913"/>
    </row>
    <row r="321" spans="1:12" ht="12.75" hidden="1" customHeight="1">
      <c r="A321" s="3205"/>
      <c r="B321" s="3254" t="s">
        <v>1163</v>
      </c>
      <c r="C321" s="3257" t="s">
        <v>492</v>
      </c>
      <c r="D321" s="3255" t="s">
        <v>1485</v>
      </c>
      <c r="E321" s="2883"/>
      <c r="F321" s="2913"/>
      <c r="H321" s="2913"/>
      <c r="I321" s="2913"/>
    </row>
    <row r="322" spans="1:12" ht="12.75" hidden="1" customHeight="1">
      <c r="A322" s="3205"/>
      <c r="B322" s="3254" t="s">
        <v>4</v>
      </c>
      <c r="C322" s="3257" t="s">
        <v>492</v>
      </c>
      <c r="D322" s="3253" t="s">
        <v>1485</v>
      </c>
      <c r="E322" s="2883"/>
      <c r="F322" s="2913"/>
      <c r="H322" s="2913"/>
      <c r="I322" s="2913"/>
    </row>
    <row r="323" spans="1:12" ht="12.75" hidden="1" customHeight="1">
      <c r="A323" s="3205"/>
      <c r="B323" s="3254" t="s">
        <v>5</v>
      </c>
      <c r="C323" s="3257" t="s">
        <v>492</v>
      </c>
      <c r="D323" s="3253" t="s">
        <v>1485</v>
      </c>
      <c r="E323" s="2883"/>
      <c r="F323" s="2913"/>
      <c r="H323" s="2913"/>
      <c r="I323" s="2913"/>
    </row>
    <row r="324" spans="1:12" ht="12.75" hidden="1" customHeight="1">
      <c r="A324" s="3205"/>
      <c r="B324" s="3254" t="s">
        <v>6</v>
      </c>
      <c r="C324" s="3257" t="s">
        <v>492</v>
      </c>
      <c r="D324" s="3253" t="s">
        <v>1485</v>
      </c>
      <c r="E324" s="2883"/>
      <c r="F324" s="2913"/>
      <c r="H324" s="2913"/>
      <c r="I324" s="2913"/>
    </row>
    <row r="325" spans="1:12" ht="12.75" hidden="1" customHeight="1">
      <c r="A325" s="3205"/>
      <c r="B325" s="3254" t="s">
        <v>28</v>
      </c>
      <c r="C325" s="3257" t="s">
        <v>492</v>
      </c>
      <c r="D325" s="3253" t="s">
        <v>1485</v>
      </c>
      <c r="E325" s="2883"/>
      <c r="F325" s="2913"/>
      <c r="H325" s="2913"/>
      <c r="I325" s="2913"/>
    </row>
    <row r="326" spans="1:12" ht="12.75" hidden="1" customHeight="1">
      <c r="A326" s="3205"/>
      <c r="B326" s="3254" t="s">
        <v>29</v>
      </c>
      <c r="C326" s="3257" t="s">
        <v>492</v>
      </c>
      <c r="D326" s="3253" t="s">
        <v>1485</v>
      </c>
      <c r="E326" s="2883"/>
      <c r="F326" s="2913"/>
      <c r="H326" s="2913"/>
      <c r="I326" s="2913"/>
    </row>
    <row r="327" spans="1:12" ht="12.75" hidden="1" customHeight="1">
      <c r="A327" s="3205"/>
      <c r="B327" s="3254" t="s">
        <v>30</v>
      </c>
      <c r="C327" s="3257" t="s">
        <v>492</v>
      </c>
      <c r="D327" s="3253" t="s">
        <v>1485</v>
      </c>
      <c r="E327" s="2883"/>
      <c r="F327" s="2913"/>
      <c r="H327" s="2913"/>
      <c r="I327" s="2913"/>
    </row>
    <row r="328" spans="1:12" ht="12.75" hidden="1" customHeight="1">
      <c r="A328" s="3205"/>
      <c r="B328" s="3254" t="s">
        <v>31</v>
      </c>
      <c r="C328" s="3257" t="s">
        <v>492</v>
      </c>
      <c r="D328" s="3253" t="s">
        <v>1485</v>
      </c>
      <c r="E328" s="2883"/>
      <c r="F328" s="2913"/>
      <c r="H328" s="2913"/>
      <c r="I328" s="2913"/>
    </row>
    <row r="329" spans="1:12" ht="12.75" hidden="1" customHeight="1">
      <c r="A329" s="3205"/>
      <c r="B329" s="3254" t="s">
        <v>33</v>
      </c>
      <c r="C329" s="3257" t="s">
        <v>1022</v>
      </c>
      <c r="D329" s="3253" t="s">
        <v>1485</v>
      </c>
      <c r="E329" s="2883"/>
      <c r="F329" s="2913"/>
      <c r="H329" s="2913"/>
      <c r="I329" s="2913"/>
    </row>
    <row r="330" spans="1:12" ht="12.75" hidden="1" customHeight="1">
      <c r="A330" s="3205"/>
      <c r="B330" s="3254" t="s">
        <v>34</v>
      </c>
      <c r="C330" s="3257" t="s">
        <v>1025</v>
      </c>
      <c r="D330" s="3253" t="s">
        <v>1485</v>
      </c>
      <c r="E330" s="2883"/>
      <c r="F330" s="2913"/>
      <c r="H330" s="2913"/>
      <c r="I330" s="2913"/>
    </row>
    <row r="331" spans="1:12" ht="12.75" hidden="1" customHeight="1">
      <c r="A331" s="3205"/>
      <c r="B331" s="3254" t="s">
        <v>35</v>
      </c>
      <c r="C331" s="3257" t="s">
        <v>1025</v>
      </c>
      <c r="D331" s="3253" t="s">
        <v>1486</v>
      </c>
      <c r="E331" s="2883"/>
      <c r="F331" s="2913"/>
      <c r="H331" s="2913"/>
      <c r="I331" s="2913"/>
    </row>
    <row r="332" spans="1:12" ht="12.75" hidden="1" customHeight="1">
      <c r="A332" s="3205"/>
      <c r="B332" s="3254" t="s">
        <v>36</v>
      </c>
      <c r="C332" s="3257" t="s">
        <v>1025</v>
      </c>
      <c r="D332" s="3253" t="s">
        <v>1486</v>
      </c>
      <c r="E332" s="2883"/>
      <c r="F332" s="2913"/>
      <c r="H332" s="2913"/>
      <c r="I332" s="2913"/>
    </row>
    <row r="333" spans="1:12" ht="12.75" hidden="1" customHeight="1">
      <c r="A333" s="3205"/>
      <c r="B333" s="3254" t="s">
        <v>780</v>
      </c>
      <c r="C333" s="3257" t="s">
        <v>1025</v>
      </c>
      <c r="D333" s="3253" t="s">
        <v>1487</v>
      </c>
      <c r="E333" s="2883"/>
      <c r="F333" s="2913"/>
      <c r="H333" s="2913"/>
      <c r="I333" s="2913"/>
      <c r="L333" s="62" t="s">
        <v>143</v>
      </c>
    </row>
    <row r="334" spans="1:12" ht="12.75" hidden="1" customHeight="1">
      <c r="A334" s="3205"/>
      <c r="B334" s="3254" t="s">
        <v>37</v>
      </c>
      <c r="C334" s="3257" t="s">
        <v>1025</v>
      </c>
      <c r="D334" s="3253" t="s">
        <v>1487</v>
      </c>
      <c r="E334" s="2883"/>
      <c r="F334" s="2913"/>
      <c r="H334" s="2913"/>
      <c r="I334" s="2913"/>
    </row>
    <row r="335" spans="1:12" ht="12.75" hidden="1" customHeight="1">
      <c r="A335" s="3205"/>
      <c r="B335" s="3254" t="s">
        <v>38</v>
      </c>
      <c r="C335" s="3257" t="s">
        <v>1025</v>
      </c>
      <c r="D335" s="3253" t="s">
        <v>1487</v>
      </c>
      <c r="E335" s="2883"/>
      <c r="F335" s="2913"/>
      <c r="H335" s="2913"/>
      <c r="I335" s="2913"/>
    </row>
    <row r="336" spans="1:12" ht="12.75" hidden="1" customHeight="1">
      <c r="A336" s="3205"/>
      <c r="B336" s="3254" t="s">
        <v>39</v>
      </c>
      <c r="C336" s="3257" t="s">
        <v>1025</v>
      </c>
      <c r="D336" s="3253" t="s">
        <v>1487</v>
      </c>
      <c r="E336" s="2883"/>
      <c r="F336" s="2913"/>
      <c r="H336" s="2913"/>
      <c r="I336" s="2913"/>
    </row>
    <row r="337" spans="1:10" ht="12.75" hidden="1" customHeight="1">
      <c r="A337" s="3205"/>
      <c r="B337" s="3254" t="s">
        <v>1493</v>
      </c>
      <c r="C337" s="3257" t="s">
        <v>1494</v>
      </c>
      <c r="D337" s="3253" t="s">
        <v>1487</v>
      </c>
      <c r="E337" s="2883"/>
      <c r="F337" s="2913"/>
      <c r="H337" s="2913"/>
      <c r="I337" s="2913"/>
    </row>
    <row r="338" spans="1:10" ht="12.75" hidden="1" customHeight="1">
      <c r="A338" s="3205"/>
      <c r="B338" s="3254" t="s">
        <v>42</v>
      </c>
      <c r="C338" s="3257" t="s">
        <v>1495</v>
      </c>
      <c r="D338" s="3253" t="s">
        <v>1487</v>
      </c>
      <c r="E338" s="2883"/>
      <c r="F338" s="2913"/>
      <c r="H338" s="2913"/>
      <c r="I338" s="2913"/>
    </row>
    <row r="339" spans="1:10" ht="12.75" hidden="1" customHeight="1">
      <c r="A339" s="3205"/>
      <c r="B339" s="3254" t="s">
        <v>44</v>
      </c>
      <c r="C339" s="3257" t="s">
        <v>1496</v>
      </c>
      <c r="D339" s="3253" t="s">
        <v>1497</v>
      </c>
      <c r="E339" s="2883"/>
      <c r="F339" s="2913"/>
      <c r="H339" s="2913"/>
      <c r="I339" s="2913"/>
    </row>
    <row r="340" spans="1:10" ht="12.75" hidden="1" customHeight="1">
      <c r="A340" s="3205"/>
      <c r="B340" s="3254" t="s">
        <v>45</v>
      </c>
      <c r="C340" s="3257" t="s">
        <v>1496</v>
      </c>
      <c r="D340" s="3253" t="s">
        <v>1497</v>
      </c>
      <c r="E340" s="2883"/>
      <c r="F340" s="2913"/>
      <c r="H340" s="63" t="s">
        <v>143</v>
      </c>
      <c r="I340" s="2913"/>
    </row>
    <row r="341" spans="1:10" ht="12.75" hidden="1" customHeight="1">
      <c r="A341" s="3205"/>
      <c r="B341" s="3254" t="s">
        <v>46</v>
      </c>
      <c r="C341" s="3257" t="s">
        <v>1498</v>
      </c>
      <c r="D341" s="3253" t="s">
        <v>1497</v>
      </c>
      <c r="E341" s="2883"/>
      <c r="F341" s="2913"/>
      <c r="H341" s="2913"/>
      <c r="I341" s="2913"/>
    </row>
    <row r="342" spans="1:10" ht="12.75" hidden="1" customHeight="1">
      <c r="A342" s="3205"/>
      <c r="B342" s="3254" t="s">
        <v>1503</v>
      </c>
      <c r="C342" s="3257" t="s">
        <v>1507</v>
      </c>
      <c r="D342" s="3253" t="s">
        <v>1508</v>
      </c>
      <c r="E342" s="2883"/>
      <c r="F342" s="2913"/>
      <c r="H342" s="2913"/>
      <c r="I342" s="2913"/>
    </row>
    <row r="343" spans="1:10" ht="12.75" hidden="1" customHeight="1">
      <c r="A343" s="3205"/>
      <c r="B343" s="3254" t="s">
        <v>1504</v>
      </c>
      <c r="C343" s="3257" t="s">
        <v>1507</v>
      </c>
      <c r="D343" s="3253" t="s">
        <v>1497</v>
      </c>
      <c r="E343" s="2883"/>
      <c r="F343" s="2913"/>
      <c r="H343" s="2913"/>
      <c r="I343" s="2913"/>
    </row>
    <row r="344" spans="1:10" ht="12.75" hidden="1" customHeight="1">
      <c r="A344" s="3205"/>
      <c r="B344" s="3254" t="s">
        <v>1505</v>
      </c>
      <c r="C344" s="3257" t="s">
        <v>1507</v>
      </c>
      <c r="D344" s="3253" t="s">
        <v>1497</v>
      </c>
      <c r="E344" s="2883"/>
      <c r="F344" s="2913"/>
      <c r="H344" s="2913"/>
      <c r="I344" s="2913"/>
    </row>
    <row r="345" spans="1:10" ht="12.75" hidden="1" customHeight="1">
      <c r="A345" s="3205"/>
      <c r="B345" s="3254" t="s">
        <v>768</v>
      </c>
      <c r="C345" s="3257" t="s">
        <v>1507</v>
      </c>
      <c r="D345" s="3253" t="s">
        <v>1497</v>
      </c>
      <c r="E345" s="2883"/>
      <c r="F345" s="2913"/>
      <c r="H345" s="2913"/>
      <c r="I345" s="2913"/>
    </row>
    <row r="346" spans="1:10" ht="12.75" hidden="1" customHeight="1">
      <c r="A346" s="3205"/>
      <c r="B346" s="3254" t="s">
        <v>1506</v>
      </c>
      <c r="C346" s="3257" t="s">
        <v>1507</v>
      </c>
      <c r="D346" s="3253" t="s">
        <v>1497</v>
      </c>
      <c r="E346" s="2883"/>
      <c r="F346" s="2913"/>
      <c r="H346" s="2913"/>
      <c r="I346" s="2913"/>
    </row>
    <row r="347" spans="1:10" ht="12.75" hidden="1" customHeight="1">
      <c r="A347" s="3205"/>
      <c r="B347" s="3254" t="s">
        <v>1000</v>
      </c>
      <c r="C347" s="3257" t="s">
        <v>1507</v>
      </c>
      <c r="D347" s="3253" t="s">
        <v>1508</v>
      </c>
      <c r="E347" s="2883"/>
      <c r="F347" s="2913"/>
      <c r="H347" s="2913"/>
      <c r="I347" s="2913"/>
      <c r="J347" s="62" t="s">
        <v>143</v>
      </c>
    </row>
    <row r="348" spans="1:10" ht="12.75" hidden="1" customHeight="1">
      <c r="A348" s="3205"/>
      <c r="B348" s="3254" t="s">
        <v>1001</v>
      </c>
      <c r="C348" s="3257" t="s">
        <v>1507</v>
      </c>
      <c r="D348" s="3253" t="s">
        <v>1497</v>
      </c>
      <c r="E348" s="2883"/>
      <c r="F348" s="2913"/>
      <c r="H348" s="2913"/>
      <c r="I348" s="2913"/>
    </row>
    <row r="349" spans="1:10" ht="12.75" hidden="1" customHeight="1">
      <c r="A349" s="3205"/>
      <c r="B349" s="3254" t="s">
        <v>1002</v>
      </c>
      <c r="C349" s="3257" t="s">
        <v>1507</v>
      </c>
      <c r="D349" s="3253" t="s">
        <v>1497</v>
      </c>
      <c r="E349" s="2883"/>
      <c r="F349" s="2913"/>
      <c r="H349" s="2913"/>
      <c r="I349" s="2913"/>
    </row>
    <row r="350" spans="1:10" ht="12.75" hidden="1" customHeight="1">
      <c r="A350" s="3205"/>
      <c r="B350" s="3254" t="s">
        <v>1509</v>
      </c>
      <c r="C350" s="3257" t="s">
        <v>1507</v>
      </c>
      <c r="D350" s="3253" t="s">
        <v>1497</v>
      </c>
      <c r="E350" s="2883"/>
      <c r="F350" s="2913"/>
      <c r="H350" s="2913"/>
      <c r="I350" s="2913"/>
    </row>
    <row r="351" spans="1:10" ht="12.75" hidden="1" customHeight="1">
      <c r="A351" s="3205"/>
      <c r="B351" s="3254" t="s">
        <v>443</v>
      </c>
      <c r="C351" s="3257" t="s">
        <v>1507</v>
      </c>
      <c r="D351" s="3253" t="s">
        <v>1497</v>
      </c>
      <c r="E351" s="2883"/>
      <c r="F351" s="2913"/>
      <c r="H351" s="2913"/>
      <c r="I351" s="2913"/>
    </row>
    <row r="352" spans="1:10" ht="12.75" hidden="1" customHeight="1">
      <c r="A352" s="3205"/>
      <c r="B352" s="3254" t="s">
        <v>444</v>
      </c>
      <c r="C352" s="3257" t="s">
        <v>1507</v>
      </c>
      <c r="D352" s="3253" t="s">
        <v>1497</v>
      </c>
      <c r="E352" s="2883"/>
      <c r="F352" s="2913"/>
      <c r="H352" s="2913"/>
      <c r="I352" s="2913"/>
      <c r="J352" s="62" t="s">
        <v>143</v>
      </c>
    </row>
    <row r="353" spans="1:13" ht="12.75" hidden="1" customHeight="1">
      <c r="A353" s="3205"/>
      <c r="B353" s="3254" t="s">
        <v>445</v>
      </c>
      <c r="C353" s="3257" t="s">
        <v>1507</v>
      </c>
      <c r="D353" s="3253" t="s">
        <v>1497</v>
      </c>
      <c r="E353" s="2883"/>
      <c r="F353" s="2913"/>
      <c r="H353" s="2913"/>
      <c r="I353" s="2913"/>
    </row>
    <row r="354" spans="1:13" ht="12.75" hidden="1" customHeight="1">
      <c r="A354" s="3205"/>
      <c r="B354" s="3254" t="s">
        <v>446</v>
      </c>
      <c r="C354" s="3257" t="s">
        <v>1507</v>
      </c>
      <c r="D354" s="3253" t="s">
        <v>1497</v>
      </c>
      <c r="E354" s="2883"/>
      <c r="F354" s="2913"/>
      <c r="H354" s="2913"/>
      <c r="I354" s="2913"/>
    </row>
    <row r="355" spans="1:13" ht="12.75" hidden="1" customHeight="1">
      <c r="A355" s="3205"/>
      <c r="B355" s="3254" t="s">
        <v>447</v>
      </c>
      <c r="C355" s="3257" t="s">
        <v>1507</v>
      </c>
      <c r="D355" s="3253" t="s">
        <v>1497</v>
      </c>
      <c r="E355" s="2883"/>
      <c r="F355" s="2913"/>
      <c r="H355" s="2913"/>
      <c r="I355" s="2913"/>
    </row>
    <row r="356" spans="1:13" ht="12.75" hidden="1" customHeight="1">
      <c r="A356" s="3205"/>
      <c r="B356" s="3254" t="s">
        <v>720</v>
      </c>
      <c r="C356" s="3257" t="s">
        <v>1507</v>
      </c>
      <c r="D356" s="3253" t="s">
        <v>1497</v>
      </c>
      <c r="E356" s="2883"/>
      <c r="F356" s="2913"/>
      <c r="H356" s="2913"/>
      <c r="I356" s="2913"/>
    </row>
    <row r="357" spans="1:13" ht="12.75" hidden="1" customHeight="1">
      <c r="A357" s="3205"/>
      <c r="B357" s="3254" t="s">
        <v>723</v>
      </c>
      <c r="C357" s="3257" t="s">
        <v>1507</v>
      </c>
      <c r="D357" s="3253" t="s">
        <v>1497</v>
      </c>
      <c r="E357" s="2883"/>
      <c r="F357" s="2913"/>
      <c r="H357" s="2913"/>
      <c r="I357" s="2913"/>
      <c r="M357" s="62" t="s">
        <v>143</v>
      </c>
    </row>
    <row r="358" spans="1:13" ht="12.75" hidden="1" customHeight="1">
      <c r="A358" s="3205"/>
      <c r="B358" s="3254" t="s">
        <v>721</v>
      </c>
      <c r="C358" s="3257" t="s">
        <v>1507</v>
      </c>
      <c r="D358" s="3253" t="s">
        <v>1497</v>
      </c>
      <c r="E358" s="2883"/>
      <c r="F358" s="2913"/>
      <c r="H358" s="2913"/>
      <c r="I358" s="2913"/>
    </row>
    <row r="359" spans="1:13" ht="12.75" hidden="1" customHeight="1">
      <c r="A359" s="3205"/>
      <c r="B359" s="3254" t="s">
        <v>722</v>
      </c>
      <c r="C359" s="3257" t="s">
        <v>1507</v>
      </c>
      <c r="D359" s="3253" t="s">
        <v>1497</v>
      </c>
      <c r="E359" s="2883"/>
      <c r="F359" s="2913"/>
      <c r="H359" s="2913"/>
      <c r="I359" s="2913"/>
    </row>
    <row r="360" spans="1:13" ht="12.75" hidden="1" customHeight="1">
      <c r="A360" s="3205"/>
      <c r="B360" s="3254" t="s">
        <v>1528</v>
      </c>
      <c r="C360" s="3257" t="s">
        <v>1507</v>
      </c>
      <c r="D360" s="3253" t="s">
        <v>1497</v>
      </c>
      <c r="E360" s="2883"/>
      <c r="F360" s="2913"/>
      <c r="H360" s="2913"/>
      <c r="I360" s="2913"/>
    </row>
    <row r="361" spans="1:13" ht="12.75" hidden="1" customHeight="1">
      <c r="A361" s="3205"/>
      <c r="B361" s="3254" t="s">
        <v>1529</v>
      </c>
      <c r="C361" s="3257" t="s">
        <v>1507</v>
      </c>
      <c r="D361" s="3253" t="s">
        <v>1497</v>
      </c>
      <c r="E361" s="2883"/>
      <c r="F361" s="2913"/>
      <c r="H361" s="2913"/>
      <c r="I361" s="2913"/>
    </row>
    <row r="362" spans="1:13" ht="12.75" hidden="1" customHeight="1">
      <c r="A362" s="3205"/>
      <c r="B362" s="3254" t="s">
        <v>725</v>
      </c>
      <c r="C362" s="3257" t="s">
        <v>1507</v>
      </c>
      <c r="D362" s="3253" t="s">
        <v>1497</v>
      </c>
      <c r="E362" s="2883"/>
      <c r="F362" s="2913"/>
      <c r="H362" s="2913"/>
      <c r="I362" s="2913"/>
    </row>
    <row r="363" spans="1:13" ht="12.75" hidden="1" customHeight="1">
      <c r="A363" s="3205"/>
      <c r="B363" s="3254" t="s">
        <v>726</v>
      </c>
      <c r="C363" s="3257" t="s">
        <v>1507</v>
      </c>
      <c r="D363" s="3253" t="s">
        <v>1497</v>
      </c>
      <c r="E363" s="2883"/>
      <c r="F363" s="2913"/>
      <c r="H363" s="2913"/>
      <c r="I363" s="2913"/>
    </row>
    <row r="364" spans="1:13" ht="12.75" hidden="1" customHeight="1">
      <c r="A364" s="3205"/>
      <c r="B364" s="3254" t="s">
        <v>727</v>
      </c>
      <c r="C364" s="3257" t="s">
        <v>1507</v>
      </c>
      <c r="D364" s="3253" t="s">
        <v>1497</v>
      </c>
      <c r="E364" s="2883"/>
      <c r="F364" s="2913"/>
      <c r="H364" s="2913"/>
      <c r="I364" s="2913"/>
    </row>
    <row r="365" spans="1:13" ht="12.75" customHeight="1">
      <c r="A365" s="3205"/>
      <c r="B365" s="3256" t="s">
        <v>1524</v>
      </c>
      <c r="C365" s="3257" t="s">
        <v>1551</v>
      </c>
      <c r="D365" s="3253" t="s">
        <v>1555</v>
      </c>
      <c r="E365" s="2883"/>
      <c r="F365" s="2913"/>
      <c r="H365" s="2913"/>
      <c r="I365" s="2913"/>
    </row>
    <row r="366" spans="1:13" ht="12.75" hidden="1" customHeight="1">
      <c r="A366" s="3205"/>
      <c r="B366" s="3254" t="s">
        <v>967</v>
      </c>
      <c r="C366" s="3257" t="s">
        <v>1507</v>
      </c>
      <c r="D366" s="3253" t="s">
        <v>1497</v>
      </c>
      <c r="E366" s="2883"/>
      <c r="F366" s="2913"/>
      <c r="H366" s="2913"/>
      <c r="I366" s="2913"/>
    </row>
    <row r="367" spans="1:13" ht="12.75" hidden="1" customHeight="1">
      <c r="A367" s="3205"/>
      <c r="B367" s="3254" t="s">
        <v>728</v>
      </c>
      <c r="C367" s="3257" t="s">
        <v>1507</v>
      </c>
      <c r="D367" s="3253" t="s">
        <v>1497</v>
      </c>
      <c r="E367" s="2883"/>
      <c r="F367" s="2913"/>
      <c r="H367" s="2913"/>
      <c r="I367" s="2913"/>
    </row>
    <row r="368" spans="1:13" ht="12.75" hidden="1" customHeight="1">
      <c r="A368" s="3205"/>
      <c r="B368" s="3254" t="s">
        <v>729</v>
      </c>
      <c r="C368" s="3257" t="s">
        <v>1507</v>
      </c>
      <c r="D368" s="3253" t="s">
        <v>1497</v>
      </c>
      <c r="E368" s="2883"/>
      <c r="F368" s="2913"/>
      <c r="H368" s="2913"/>
      <c r="I368" s="2913"/>
    </row>
    <row r="369" spans="1:9" ht="12.75" hidden="1" customHeight="1">
      <c r="A369" s="3205"/>
      <c r="B369" s="3254" t="s">
        <v>731</v>
      </c>
      <c r="C369" s="3257" t="s">
        <v>1507</v>
      </c>
      <c r="D369" s="3253" t="s">
        <v>1497</v>
      </c>
      <c r="E369" s="2883"/>
      <c r="F369" s="2913"/>
      <c r="H369" s="2913"/>
      <c r="I369" s="2913"/>
    </row>
    <row r="370" spans="1:9" ht="12.75" hidden="1" customHeight="1">
      <c r="A370" s="3205"/>
      <c r="B370" s="3254" t="s">
        <v>1075</v>
      </c>
      <c r="C370" s="3257" t="s">
        <v>1507</v>
      </c>
      <c r="D370" s="3253" t="s">
        <v>1497</v>
      </c>
      <c r="E370" s="2883"/>
      <c r="F370" s="2913"/>
      <c r="H370" s="2913"/>
      <c r="I370" s="2913"/>
    </row>
    <row r="371" spans="1:9" ht="12.75" hidden="1" customHeight="1">
      <c r="A371" s="3205"/>
      <c r="B371" s="3254" t="s">
        <v>1076</v>
      </c>
      <c r="C371" s="3257" t="s">
        <v>1507</v>
      </c>
      <c r="D371" s="3253" t="s">
        <v>1497</v>
      </c>
      <c r="E371" s="2883"/>
      <c r="F371" s="2913"/>
      <c r="H371" s="2913"/>
      <c r="I371" s="2913"/>
    </row>
    <row r="372" spans="1:9" ht="12.75" hidden="1" customHeight="1">
      <c r="A372" s="3205"/>
      <c r="B372" s="3254" t="s">
        <v>1077</v>
      </c>
      <c r="C372" s="3257" t="s">
        <v>1507</v>
      </c>
      <c r="D372" s="3253" t="s">
        <v>1497</v>
      </c>
      <c r="E372" s="2883"/>
      <c r="F372" s="2913"/>
      <c r="H372" s="63" t="s">
        <v>143</v>
      </c>
      <c r="I372" s="2913"/>
    </row>
    <row r="373" spans="1:9" ht="12" hidden="1" customHeight="1">
      <c r="A373" s="3205"/>
      <c r="B373" s="3254" t="s">
        <v>1078</v>
      </c>
      <c r="C373" s="3257" t="s">
        <v>1507</v>
      </c>
      <c r="D373" s="3253" t="s">
        <v>1497</v>
      </c>
      <c r="E373" s="2883"/>
      <c r="F373" s="2913"/>
      <c r="H373" s="2913"/>
      <c r="I373" s="2913"/>
    </row>
    <row r="374" spans="1:9" ht="12" hidden="1" customHeight="1">
      <c r="A374" s="3205"/>
      <c r="B374" s="3254" t="s">
        <v>91</v>
      </c>
      <c r="C374" s="3257" t="s">
        <v>1507</v>
      </c>
      <c r="D374" s="3253" t="s">
        <v>1497</v>
      </c>
      <c r="E374" s="2883"/>
      <c r="F374" s="2913"/>
      <c r="H374" s="2913"/>
      <c r="I374" s="2913"/>
    </row>
    <row r="375" spans="1:9" ht="12" hidden="1" customHeight="1">
      <c r="A375" s="3205"/>
      <c r="B375" s="3254" t="s">
        <v>92</v>
      </c>
      <c r="C375" s="3257" t="s">
        <v>1507</v>
      </c>
      <c r="D375" s="3253" t="s">
        <v>1497</v>
      </c>
      <c r="E375" s="2883"/>
      <c r="F375" s="2913"/>
      <c r="H375" s="2913"/>
      <c r="I375" s="2913"/>
    </row>
    <row r="376" spans="1:9" ht="12" hidden="1" customHeight="1">
      <c r="A376" s="3205"/>
      <c r="B376" s="3254" t="s">
        <v>1531</v>
      </c>
      <c r="C376" s="3257" t="s">
        <v>1507</v>
      </c>
      <c r="D376" s="3253" t="s">
        <v>1497</v>
      </c>
      <c r="E376" s="2883"/>
      <c r="F376" s="2913"/>
      <c r="G376" s="1633"/>
      <c r="H376" s="2913"/>
      <c r="I376" s="2913"/>
    </row>
    <row r="377" spans="1:9" ht="12" hidden="1" customHeight="1">
      <c r="A377" s="3205"/>
      <c r="B377" s="3254" t="s">
        <v>94</v>
      </c>
      <c r="C377" s="3257" t="s">
        <v>1507</v>
      </c>
      <c r="D377" s="3253" t="s">
        <v>1497</v>
      </c>
      <c r="E377" s="2883"/>
      <c r="F377" s="2913"/>
      <c r="H377" s="2913"/>
      <c r="I377" s="2913"/>
    </row>
    <row r="378" spans="1:9" ht="12" hidden="1" customHeight="1">
      <c r="A378" s="3205"/>
      <c r="B378" s="3254" t="s">
        <v>944</v>
      </c>
      <c r="C378" s="3257" t="s">
        <v>1507</v>
      </c>
      <c r="D378" s="3253" t="s">
        <v>1497</v>
      </c>
      <c r="E378" s="2883"/>
      <c r="F378" s="2913"/>
      <c r="H378" s="2913"/>
      <c r="I378" s="2913"/>
    </row>
    <row r="379" spans="1:9" ht="12" hidden="1" customHeight="1">
      <c r="A379" s="3205"/>
      <c r="B379" s="3254" t="s">
        <v>591</v>
      </c>
      <c r="C379" s="3257" t="s">
        <v>1507</v>
      </c>
      <c r="D379" s="3253" t="s">
        <v>1497</v>
      </c>
      <c r="E379" s="2883"/>
      <c r="F379" s="2913"/>
      <c r="H379" s="2913"/>
      <c r="I379" s="2913"/>
    </row>
    <row r="380" spans="1:9" ht="12" hidden="1" customHeight="1">
      <c r="A380" s="3205"/>
      <c r="B380" s="3254" t="s">
        <v>573</v>
      </c>
      <c r="C380" s="3257" t="s">
        <v>1507</v>
      </c>
      <c r="D380" s="3253" t="s">
        <v>1497</v>
      </c>
      <c r="E380" s="2883"/>
      <c r="F380" s="2913"/>
      <c r="H380" s="2913"/>
      <c r="I380" s="2913"/>
    </row>
    <row r="381" spans="1:9" ht="12" hidden="1" customHeight="1">
      <c r="A381" s="3205"/>
      <c r="B381" s="3254" t="s">
        <v>574</v>
      </c>
      <c r="C381" s="3257" t="s">
        <v>1507</v>
      </c>
      <c r="D381" s="3253" t="s">
        <v>1497</v>
      </c>
      <c r="E381" s="2883"/>
      <c r="F381" s="2913"/>
      <c r="H381" s="2913"/>
      <c r="I381" s="2913"/>
    </row>
    <row r="382" spans="1:9" ht="11.25" hidden="1" customHeight="1">
      <c r="A382" s="3205"/>
      <c r="B382" s="3254" t="s">
        <v>575</v>
      </c>
      <c r="C382" s="3257" t="s">
        <v>1507</v>
      </c>
      <c r="D382" s="3253" t="s">
        <v>1497</v>
      </c>
      <c r="E382" s="2883"/>
      <c r="F382" s="2913"/>
      <c r="H382" s="2913"/>
      <c r="I382" s="2913"/>
    </row>
    <row r="383" spans="1:9" ht="12" hidden="1" customHeight="1">
      <c r="A383" s="3205"/>
      <c r="B383" s="3254" t="s">
        <v>1227</v>
      </c>
      <c r="C383" s="3257" t="s">
        <v>1533</v>
      </c>
      <c r="D383" s="3253" t="s">
        <v>1534</v>
      </c>
      <c r="E383" s="2883"/>
      <c r="F383" s="2913"/>
      <c r="H383" s="2913"/>
      <c r="I383" s="2913"/>
    </row>
    <row r="384" spans="1:9" ht="12" hidden="1" customHeight="1">
      <c r="A384" s="3205"/>
      <c r="B384" s="3254" t="s">
        <v>687</v>
      </c>
      <c r="C384" s="3257" t="s">
        <v>1533</v>
      </c>
      <c r="D384" s="3253" t="s">
        <v>1534</v>
      </c>
      <c r="E384" s="2883"/>
      <c r="F384" s="2913"/>
      <c r="H384" s="2913"/>
      <c r="I384" s="2913"/>
    </row>
    <row r="385" spans="1:9" ht="12" hidden="1" customHeight="1">
      <c r="A385" s="3205"/>
      <c r="B385" s="3254" t="s">
        <v>422</v>
      </c>
      <c r="C385" s="3257" t="s">
        <v>1533</v>
      </c>
      <c r="D385" s="3253" t="s">
        <v>1534</v>
      </c>
      <c r="E385" s="2883"/>
      <c r="F385" s="2913"/>
      <c r="H385" s="2913"/>
      <c r="I385" s="2913"/>
    </row>
    <row r="386" spans="1:9" ht="12" hidden="1" customHeight="1">
      <c r="A386" s="3205"/>
      <c r="B386" s="3254" t="s">
        <v>423</v>
      </c>
      <c r="C386" s="3257" t="s">
        <v>1533</v>
      </c>
      <c r="D386" s="3253" t="s">
        <v>1534</v>
      </c>
      <c r="E386" s="2883"/>
      <c r="F386" s="2913"/>
      <c r="H386" s="2913"/>
      <c r="I386" s="2913"/>
    </row>
    <row r="387" spans="1:9" ht="12" hidden="1" customHeight="1">
      <c r="A387" s="3205"/>
      <c r="B387" s="3254" t="s">
        <v>1535</v>
      </c>
      <c r="C387" s="3257" t="s">
        <v>1533</v>
      </c>
      <c r="D387" s="3253" t="s">
        <v>1534</v>
      </c>
      <c r="E387" s="2883"/>
      <c r="F387" s="2913"/>
      <c r="H387" s="2913"/>
      <c r="I387" s="2913"/>
    </row>
    <row r="388" spans="1:9" ht="12" hidden="1" customHeight="1">
      <c r="A388" s="3205"/>
      <c r="B388" s="3254" t="s">
        <v>750</v>
      </c>
      <c r="C388" s="3257" t="s">
        <v>1533</v>
      </c>
      <c r="D388" s="3253" t="s">
        <v>1534</v>
      </c>
      <c r="E388" s="2883"/>
      <c r="F388" s="2913"/>
      <c r="H388" s="2913"/>
      <c r="I388" s="2913"/>
    </row>
    <row r="389" spans="1:9" ht="12" hidden="1" customHeight="1">
      <c r="A389" s="3205"/>
      <c r="B389" s="3254" t="s">
        <v>1536</v>
      </c>
      <c r="C389" s="3257" t="s">
        <v>1533</v>
      </c>
      <c r="D389" s="3253" t="s">
        <v>1534</v>
      </c>
      <c r="E389" s="2883"/>
      <c r="F389" s="2913"/>
      <c r="H389" s="2913"/>
      <c r="I389" s="2913"/>
    </row>
    <row r="390" spans="1:9" ht="12" hidden="1" customHeight="1">
      <c r="A390" s="3205"/>
      <c r="B390" s="3254" t="s">
        <v>1541</v>
      </c>
      <c r="C390" s="3257" t="s">
        <v>1533</v>
      </c>
      <c r="D390" s="3253" t="s">
        <v>1534</v>
      </c>
      <c r="E390" s="2883"/>
      <c r="F390" s="2913"/>
      <c r="H390" s="2913"/>
      <c r="I390" s="2913"/>
    </row>
    <row r="391" spans="1:9" ht="12" hidden="1" customHeight="1">
      <c r="A391" s="3205"/>
      <c r="B391" s="3254" t="s">
        <v>1542</v>
      </c>
      <c r="C391" s="3257" t="s">
        <v>1533</v>
      </c>
      <c r="D391" s="3253" t="s">
        <v>1534</v>
      </c>
      <c r="E391" s="2883"/>
      <c r="F391" s="2913"/>
      <c r="H391" s="2913"/>
      <c r="I391" s="2913"/>
    </row>
    <row r="392" spans="1:9" ht="12" hidden="1" customHeight="1">
      <c r="A392" s="3205"/>
      <c r="B392" s="3254" t="s">
        <v>1543</v>
      </c>
      <c r="C392" s="3257" t="s">
        <v>1533</v>
      </c>
      <c r="D392" s="3253" t="s">
        <v>1534</v>
      </c>
      <c r="E392" s="2883"/>
      <c r="F392" s="2913"/>
      <c r="H392" s="2913"/>
      <c r="I392" s="2913"/>
    </row>
    <row r="393" spans="1:9" ht="12" hidden="1" customHeight="1">
      <c r="A393" s="3205"/>
      <c r="B393" s="3254" t="s">
        <v>1544</v>
      </c>
      <c r="C393" s="3257" t="s">
        <v>1533</v>
      </c>
      <c r="D393" s="3253" t="s">
        <v>1534</v>
      </c>
      <c r="E393" s="2883"/>
      <c r="F393" s="2913"/>
      <c r="H393" s="2913"/>
      <c r="I393" s="2913"/>
    </row>
    <row r="394" spans="1:9" ht="12" hidden="1" customHeight="1">
      <c r="A394" s="3205"/>
      <c r="B394" s="3254" t="s">
        <v>461</v>
      </c>
      <c r="C394" s="3257" t="s">
        <v>1533</v>
      </c>
      <c r="D394" s="3253" t="s">
        <v>1534</v>
      </c>
      <c r="E394" s="2883"/>
      <c r="F394" s="2913"/>
      <c r="H394" s="2913"/>
      <c r="I394" s="2913"/>
    </row>
    <row r="395" spans="1:9" ht="12" hidden="1" customHeight="1">
      <c r="A395" s="3205"/>
      <c r="B395" s="3254" t="s">
        <v>1128</v>
      </c>
      <c r="C395" s="3257" t="s">
        <v>1533</v>
      </c>
      <c r="D395" s="3253" t="s">
        <v>1534</v>
      </c>
      <c r="E395" s="2883"/>
      <c r="F395" s="2913"/>
      <c r="H395" s="2913"/>
      <c r="I395" s="2913"/>
    </row>
    <row r="396" spans="1:9" ht="12" hidden="1" customHeight="1">
      <c r="A396" s="3205"/>
      <c r="B396" s="3254" t="s">
        <v>1545</v>
      </c>
      <c r="C396" s="3257" t="s">
        <v>1533</v>
      </c>
      <c r="D396" s="3253" t="s">
        <v>1497</v>
      </c>
      <c r="E396" s="2883"/>
      <c r="F396" s="2913"/>
      <c r="H396" s="2913"/>
      <c r="I396" s="2913"/>
    </row>
    <row r="397" spans="1:9" ht="12" hidden="1" customHeight="1">
      <c r="A397" s="3205"/>
      <c r="B397" s="3254" t="s">
        <v>1130</v>
      </c>
      <c r="C397" s="3257" t="s">
        <v>1533</v>
      </c>
      <c r="D397" s="3253" t="s">
        <v>1497</v>
      </c>
      <c r="E397" s="2883"/>
      <c r="F397" s="2913"/>
      <c r="H397" s="2913"/>
      <c r="I397" s="2913"/>
    </row>
    <row r="398" spans="1:9" ht="12" hidden="1" customHeight="1">
      <c r="A398" s="3205"/>
      <c r="B398" s="3258" t="s">
        <v>1131</v>
      </c>
      <c r="C398" s="3257" t="s">
        <v>1533</v>
      </c>
      <c r="D398" s="3253" t="s">
        <v>1497</v>
      </c>
      <c r="E398" s="2883"/>
      <c r="F398" s="2913"/>
      <c r="H398" s="2913"/>
      <c r="I398" s="2913"/>
    </row>
    <row r="399" spans="1:9" ht="12" hidden="1" customHeight="1">
      <c r="A399" s="3205"/>
      <c r="B399" s="3258" t="s">
        <v>1546</v>
      </c>
      <c r="C399" s="3257" t="s">
        <v>1533</v>
      </c>
      <c r="D399" s="3253" t="s">
        <v>1497</v>
      </c>
      <c r="E399" s="2883"/>
      <c r="F399" s="2913"/>
      <c r="H399" s="2913"/>
      <c r="I399" s="2913"/>
    </row>
    <row r="400" spans="1:9" ht="12" hidden="1" customHeight="1">
      <c r="A400" s="3205"/>
      <c r="B400" s="3258" t="s">
        <v>1547</v>
      </c>
      <c r="C400" s="3257" t="s">
        <v>1533</v>
      </c>
      <c r="D400" s="3253" t="s">
        <v>1497</v>
      </c>
      <c r="E400" s="2883"/>
      <c r="F400" s="2913"/>
      <c r="H400" s="2913"/>
      <c r="I400" s="2913"/>
    </row>
    <row r="401" spans="1:9" ht="12" hidden="1" customHeight="1">
      <c r="A401" s="3205"/>
      <c r="B401" s="3258" t="s">
        <v>1548</v>
      </c>
      <c r="C401" s="3257" t="s">
        <v>1551</v>
      </c>
      <c r="D401" s="3253" t="s">
        <v>1497</v>
      </c>
      <c r="E401" s="2883"/>
      <c r="F401" s="2913"/>
      <c r="H401" s="2913"/>
      <c r="I401" s="2913"/>
    </row>
    <row r="402" spans="1:9" ht="12" hidden="1" customHeight="1">
      <c r="A402" s="3205"/>
      <c r="B402" s="3258" t="s">
        <v>1549</v>
      </c>
      <c r="C402" s="3257" t="s">
        <v>1551</v>
      </c>
      <c r="D402" s="3253" t="s">
        <v>1497</v>
      </c>
      <c r="E402" s="2883"/>
      <c r="F402" s="2913"/>
      <c r="H402" s="2913"/>
      <c r="I402" s="2913"/>
    </row>
    <row r="403" spans="1:9" ht="12" hidden="1" customHeight="1">
      <c r="A403" s="3205"/>
      <c r="B403" s="3258" t="s">
        <v>1552</v>
      </c>
      <c r="C403" s="3257" t="s">
        <v>1551</v>
      </c>
      <c r="D403" s="3253" t="s">
        <v>1497</v>
      </c>
      <c r="E403" s="2883"/>
      <c r="F403" s="2913"/>
      <c r="H403" s="2913"/>
      <c r="I403" s="2913"/>
    </row>
    <row r="404" spans="1:9" ht="12" hidden="1" customHeight="1">
      <c r="A404" s="3205"/>
      <c r="B404" s="3258" t="s">
        <v>1553</v>
      </c>
      <c r="C404" s="3257" t="s">
        <v>1551</v>
      </c>
      <c r="D404" s="3253" t="s">
        <v>1555</v>
      </c>
      <c r="E404" s="2883"/>
      <c r="F404" s="2913"/>
      <c r="H404" s="2913"/>
      <c r="I404" s="2913"/>
    </row>
    <row r="405" spans="1:9" ht="12" hidden="1" customHeight="1">
      <c r="A405" s="3205"/>
      <c r="B405" s="3258" t="s">
        <v>1137</v>
      </c>
      <c r="C405" s="3257" t="s">
        <v>1551</v>
      </c>
      <c r="D405" s="3253" t="s">
        <v>1555</v>
      </c>
      <c r="E405" s="2883"/>
      <c r="F405" s="2913"/>
      <c r="H405" s="2913"/>
      <c r="I405" s="2913"/>
    </row>
    <row r="406" spans="1:9" ht="12" hidden="1" customHeight="1">
      <c r="A406" s="3205"/>
      <c r="B406" s="3258" t="s">
        <v>1138</v>
      </c>
      <c r="C406" s="3257" t="s">
        <v>1551</v>
      </c>
      <c r="D406" s="3253" t="s">
        <v>1555</v>
      </c>
      <c r="E406" s="2883"/>
      <c r="F406" s="2913"/>
      <c r="H406" s="2913"/>
      <c r="I406" s="2913"/>
    </row>
    <row r="407" spans="1:9" ht="12" hidden="1" customHeight="1">
      <c r="A407" s="3205"/>
      <c r="B407" s="3258" t="s">
        <v>1554</v>
      </c>
      <c r="C407" s="3257" t="s">
        <v>1551</v>
      </c>
      <c r="D407" s="3253" t="s">
        <v>1555</v>
      </c>
      <c r="E407" s="2883"/>
      <c r="F407" s="2913"/>
      <c r="H407" s="2913"/>
      <c r="I407" s="2913"/>
    </row>
    <row r="408" spans="1:9" ht="12" hidden="1" customHeight="1">
      <c r="A408" s="3205"/>
      <c r="B408" s="3258" t="s">
        <v>1414</v>
      </c>
      <c r="C408" s="3257" t="s">
        <v>1551</v>
      </c>
      <c r="D408" s="3253" t="s">
        <v>1555</v>
      </c>
      <c r="E408" s="2883"/>
      <c r="F408" s="2913"/>
      <c r="H408" s="2913"/>
      <c r="I408" s="2913"/>
    </row>
    <row r="409" spans="1:9" ht="12" hidden="1" customHeight="1">
      <c r="A409" s="3205"/>
      <c r="B409" s="3258" t="s">
        <v>1141</v>
      </c>
      <c r="C409" s="3257" t="s">
        <v>1551</v>
      </c>
      <c r="D409" s="3253" t="s">
        <v>1555</v>
      </c>
      <c r="E409" s="2883"/>
      <c r="F409" s="2913"/>
      <c r="H409" s="2913"/>
      <c r="I409" s="2913"/>
    </row>
    <row r="410" spans="1:9" ht="12" hidden="1" customHeight="1">
      <c r="A410" s="3205"/>
      <c r="B410" s="3258" t="s">
        <v>1142</v>
      </c>
      <c r="C410" s="3257" t="s">
        <v>1551</v>
      </c>
      <c r="D410" s="3253" t="s">
        <v>1555</v>
      </c>
      <c r="E410" s="2883"/>
      <c r="F410" s="2913"/>
      <c r="H410" s="2913"/>
      <c r="I410" s="2913"/>
    </row>
    <row r="411" spans="1:9" ht="12" hidden="1" customHeight="1">
      <c r="A411" s="3205"/>
      <c r="B411" s="3258" t="s">
        <v>1278</v>
      </c>
      <c r="C411" s="3257" t="s">
        <v>1551</v>
      </c>
      <c r="D411" s="3253" t="s">
        <v>1555</v>
      </c>
      <c r="E411" s="2883"/>
      <c r="F411" s="2913"/>
      <c r="H411" s="2913"/>
      <c r="I411" s="2913"/>
    </row>
    <row r="412" spans="1:9" ht="12" hidden="1" customHeight="1">
      <c r="A412" s="3205"/>
      <c r="B412" s="3258" t="s">
        <v>593</v>
      </c>
      <c r="C412" s="3257" t="s">
        <v>1551</v>
      </c>
      <c r="D412" s="3253" t="s">
        <v>1555</v>
      </c>
      <c r="E412" s="2883"/>
      <c r="F412" s="2913"/>
      <c r="H412" s="2913"/>
      <c r="I412" s="2913"/>
    </row>
    <row r="413" spans="1:9" ht="12" hidden="1" customHeight="1">
      <c r="A413" s="3205"/>
      <c r="B413" s="3258" t="s">
        <v>524</v>
      </c>
      <c r="C413" s="3257" t="s">
        <v>1551</v>
      </c>
      <c r="D413" s="3253" t="s">
        <v>1555</v>
      </c>
      <c r="E413" s="2883"/>
      <c r="F413" s="2913"/>
      <c r="H413" s="2913"/>
      <c r="I413" s="2913"/>
    </row>
    <row r="414" spans="1:9" ht="12" hidden="1" customHeight="1">
      <c r="A414" s="3205"/>
      <c r="B414" s="3258" t="s">
        <v>525</v>
      </c>
      <c r="C414" s="3257" t="s">
        <v>1551</v>
      </c>
      <c r="D414" s="3253" t="s">
        <v>1555</v>
      </c>
      <c r="E414" s="2883"/>
      <c r="F414" s="2913"/>
      <c r="H414" s="2913"/>
      <c r="I414" s="2913"/>
    </row>
    <row r="415" spans="1:9" ht="12" hidden="1" customHeight="1">
      <c r="A415" s="3205"/>
      <c r="B415" s="3259" t="s">
        <v>526</v>
      </c>
      <c r="C415" s="3257" t="s">
        <v>1551</v>
      </c>
      <c r="D415" s="3253" t="s">
        <v>1555</v>
      </c>
      <c r="E415" s="2883"/>
      <c r="F415" s="2913"/>
      <c r="H415" s="2913"/>
      <c r="I415" s="2913"/>
    </row>
    <row r="416" spans="1:9" ht="12" customHeight="1">
      <c r="A416" s="3205"/>
      <c r="B416" s="3260">
        <v>2013</v>
      </c>
      <c r="C416" s="3257" t="s">
        <v>1658</v>
      </c>
      <c r="D416" s="3253" t="s">
        <v>1655</v>
      </c>
      <c r="E416" s="2883"/>
      <c r="F416" s="2913"/>
      <c r="H416" s="2913"/>
      <c r="I416" s="2913"/>
    </row>
    <row r="417" spans="1:9" ht="12" hidden="1" customHeight="1">
      <c r="A417" s="3205"/>
      <c r="B417" s="3258" t="s">
        <v>967</v>
      </c>
      <c r="C417" s="3257" t="s">
        <v>1551</v>
      </c>
      <c r="D417" s="3253" t="s">
        <v>1555</v>
      </c>
      <c r="E417" s="2883"/>
      <c r="F417" s="2913"/>
      <c r="H417" s="2913"/>
      <c r="I417" s="2913"/>
    </row>
    <row r="418" spans="1:9" ht="12" hidden="1" customHeight="1">
      <c r="A418" s="3205"/>
      <c r="B418" s="3258" t="s">
        <v>1477</v>
      </c>
      <c r="C418" s="3257" t="s">
        <v>1551</v>
      </c>
      <c r="D418" s="3253" t="s">
        <v>1555</v>
      </c>
      <c r="E418" s="2883"/>
      <c r="F418" s="2913"/>
      <c r="H418" s="2913"/>
      <c r="I418" s="2913"/>
    </row>
    <row r="419" spans="1:9" ht="12" hidden="1" customHeight="1">
      <c r="A419" s="3205"/>
      <c r="B419" s="3258" t="s">
        <v>1565</v>
      </c>
      <c r="C419" s="3257" t="s">
        <v>1551</v>
      </c>
      <c r="D419" s="3253" t="s">
        <v>1555</v>
      </c>
      <c r="E419" s="2883"/>
      <c r="F419" s="2913"/>
      <c r="H419" s="2913"/>
      <c r="I419" s="2913"/>
    </row>
    <row r="420" spans="1:9" ht="12" hidden="1" customHeight="1">
      <c r="A420" s="3205"/>
      <c r="B420" s="3258" t="s">
        <v>608</v>
      </c>
      <c r="C420" s="3257" t="s">
        <v>1551</v>
      </c>
      <c r="D420" s="3253" t="s">
        <v>1555</v>
      </c>
      <c r="E420" s="2883"/>
      <c r="F420" s="2913"/>
      <c r="H420" s="2913"/>
      <c r="I420" s="2913"/>
    </row>
    <row r="421" spans="1:9" ht="12" hidden="1" customHeight="1">
      <c r="A421" s="3205"/>
      <c r="B421" s="3258" t="s">
        <v>1602</v>
      </c>
      <c r="C421" s="3257" t="s">
        <v>1551</v>
      </c>
      <c r="D421" s="3253" t="s">
        <v>1073</v>
      </c>
      <c r="E421" s="2883"/>
      <c r="F421" s="2913"/>
      <c r="H421" s="2913"/>
      <c r="I421" s="2913"/>
    </row>
    <row r="422" spans="1:9" ht="12" hidden="1" customHeight="1">
      <c r="A422" s="3205"/>
      <c r="B422" s="3258" t="s">
        <v>682</v>
      </c>
      <c r="C422" s="3257" t="s">
        <v>1603</v>
      </c>
      <c r="D422" s="3253" t="s">
        <v>1073</v>
      </c>
      <c r="E422" s="2883"/>
      <c r="F422" s="2913"/>
      <c r="H422" s="2913"/>
      <c r="I422" s="2913"/>
    </row>
    <row r="423" spans="1:9" ht="12" hidden="1" customHeight="1">
      <c r="A423" s="3205"/>
      <c r="B423" s="3258" t="s">
        <v>512</v>
      </c>
      <c r="C423" s="3257" t="s">
        <v>1603</v>
      </c>
      <c r="D423" s="3253" t="s">
        <v>1073</v>
      </c>
      <c r="E423" s="2883"/>
      <c r="F423" s="2913"/>
      <c r="H423" s="2913"/>
      <c r="I423" s="2913"/>
    </row>
    <row r="424" spans="1:9" ht="12" hidden="1" customHeight="1">
      <c r="A424" s="3205"/>
      <c r="B424" s="3258" t="s">
        <v>513</v>
      </c>
      <c r="C424" s="3257" t="s">
        <v>1603</v>
      </c>
      <c r="D424" s="3253" t="s">
        <v>1073</v>
      </c>
      <c r="E424" s="2883"/>
      <c r="F424" s="2913"/>
      <c r="H424" s="2913"/>
      <c r="I424" s="2913"/>
    </row>
    <row r="425" spans="1:9" ht="12" hidden="1" customHeight="1">
      <c r="A425" s="3205"/>
      <c r="B425" s="3258" t="s">
        <v>1604</v>
      </c>
      <c r="C425" s="3257" t="s">
        <v>1605</v>
      </c>
      <c r="D425" s="3253" t="s">
        <v>1073</v>
      </c>
      <c r="E425" s="2883"/>
      <c r="F425" s="2913"/>
      <c r="H425" s="2913"/>
      <c r="I425" s="2913"/>
    </row>
    <row r="426" spans="1:9" ht="12" hidden="1" customHeight="1">
      <c r="A426" s="3205"/>
      <c r="B426" s="3258" t="s">
        <v>681</v>
      </c>
      <c r="C426" s="3257" t="s">
        <v>1605</v>
      </c>
      <c r="D426" s="3253" t="s">
        <v>1073</v>
      </c>
      <c r="E426" s="2883"/>
      <c r="F426" s="2913"/>
      <c r="H426" s="2913"/>
      <c r="I426" s="2913"/>
    </row>
    <row r="427" spans="1:9" ht="12" hidden="1" customHeight="1">
      <c r="A427" s="3205"/>
      <c r="B427" s="3258" t="s">
        <v>1606</v>
      </c>
      <c r="C427" s="3257" t="s">
        <v>1605</v>
      </c>
      <c r="D427" s="3253" t="s">
        <v>1073</v>
      </c>
      <c r="E427" s="2883"/>
      <c r="F427" s="2913"/>
      <c r="H427" s="2913"/>
      <c r="I427" s="2913"/>
    </row>
    <row r="428" spans="1:9" ht="12" hidden="1" customHeight="1">
      <c r="A428" s="3205"/>
      <c r="B428" s="3258" t="s">
        <v>1607</v>
      </c>
      <c r="C428" s="3257" t="s">
        <v>1605</v>
      </c>
      <c r="D428" s="3253" t="s">
        <v>1073</v>
      </c>
      <c r="E428" s="2883"/>
      <c r="F428" s="2913"/>
      <c r="H428" s="2913"/>
      <c r="I428" s="2913"/>
    </row>
    <row r="429" spans="1:9" ht="12" hidden="1" customHeight="1">
      <c r="A429" s="3205"/>
      <c r="B429" s="3258" t="s">
        <v>1608</v>
      </c>
      <c r="C429" s="3257" t="s">
        <v>1605</v>
      </c>
      <c r="D429" s="3253" t="s">
        <v>1073</v>
      </c>
      <c r="E429" s="2883"/>
      <c r="F429" s="2913"/>
      <c r="H429" s="2913"/>
      <c r="I429" s="2913"/>
    </row>
    <row r="430" spans="1:9" ht="12" hidden="1" customHeight="1">
      <c r="A430" s="3205"/>
      <c r="B430" s="3258" t="s">
        <v>1626</v>
      </c>
      <c r="C430" s="3257" t="s">
        <v>1605</v>
      </c>
      <c r="D430" s="3253" t="s">
        <v>1073</v>
      </c>
      <c r="E430" s="2883"/>
      <c r="F430" s="2913"/>
      <c r="H430" s="2913"/>
      <c r="I430" s="2913"/>
    </row>
    <row r="431" spans="1:9" ht="12" hidden="1" customHeight="1">
      <c r="A431" s="3205"/>
      <c r="B431" s="3258" t="s">
        <v>1618</v>
      </c>
      <c r="C431" s="3257" t="s">
        <v>1605</v>
      </c>
      <c r="D431" s="3253" t="s">
        <v>1073</v>
      </c>
      <c r="E431" s="2883"/>
      <c r="F431" s="2913"/>
      <c r="H431" s="2913"/>
      <c r="I431" s="2913"/>
    </row>
    <row r="432" spans="1:9" ht="12" hidden="1" customHeight="1">
      <c r="A432" s="3205"/>
      <c r="B432" s="3258" t="s">
        <v>1619</v>
      </c>
      <c r="C432" s="3257" t="s">
        <v>1605</v>
      </c>
      <c r="D432" s="3253" t="s">
        <v>1073</v>
      </c>
      <c r="E432" s="2883"/>
      <c r="F432" s="2913"/>
      <c r="H432" s="2913"/>
      <c r="I432" s="2913"/>
    </row>
    <row r="433" spans="1:9" ht="12" hidden="1" customHeight="1">
      <c r="A433" s="3205"/>
      <c r="B433" s="3258" t="s">
        <v>1621</v>
      </c>
      <c r="C433" s="3257" t="s">
        <v>1605</v>
      </c>
      <c r="D433" s="3253" t="s">
        <v>1073</v>
      </c>
      <c r="E433" s="2883"/>
      <c r="F433" s="2913"/>
      <c r="H433" s="2913"/>
      <c r="I433" s="2913"/>
    </row>
    <row r="434" spans="1:9" ht="12" hidden="1" customHeight="1">
      <c r="A434" s="3205"/>
      <c r="B434" s="3258" t="s">
        <v>1620</v>
      </c>
      <c r="C434" s="3257" t="s">
        <v>1605</v>
      </c>
      <c r="D434" s="3253" t="s">
        <v>1073</v>
      </c>
      <c r="E434" s="2883"/>
      <c r="F434" s="2913"/>
      <c r="H434" s="2913"/>
      <c r="I434" s="2913"/>
    </row>
    <row r="435" spans="1:9" ht="12" hidden="1" customHeight="1">
      <c r="A435" s="3205"/>
      <c r="B435" s="3258" t="s">
        <v>1006</v>
      </c>
      <c r="C435" s="3257" t="s">
        <v>1605</v>
      </c>
      <c r="D435" s="3253" t="s">
        <v>1073</v>
      </c>
      <c r="E435" s="2883"/>
      <c r="F435" s="2913"/>
      <c r="H435" s="2913"/>
      <c r="I435" s="2913"/>
    </row>
    <row r="436" spans="1:9" ht="12" hidden="1" customHeight="1">
      <c r="A436" s="3205"/>
      <c r="B436" s="3258" t="s">
        <v>765</v>
      </c>
      <c r="C436" s="3257" t="s">
        <v>1605</v>
      </c>
      <c r="D436" s="3253" t="s">
        <v>1073</v>
      </c>
      <c r="E436" s="2883"/>
      <c r="F436" s="2913"/>
      <c r="H436" s="2913"/>
      <c r="I436" s="2913"/>
    </row>
    <row r="437" spans="1:9" ht="12" hidden="1" customHeight="1">
      <c r="A437" s="3205"/>
      <c r="B437" s="3258" t="s">
        <v>1624</v>
      </c>
      <c r="C437" s="3257" t="s">
        <v>1605</v>
      </c>
      <c r="D437" s="3253" t="s">
        <v>1073</v>
      </c>
      <c r="E437" s="2883"/>
      <c r="F437" s="2913"/>
      <c r="H437" s="2913"/>
      <c r="I437" s="2913"/>
    </row>
    <row r="438" spans="1:9" ht="12" hidden="1" customHeight="1">
      <c r="A438" s="3205"/>
      <c r="B438" s="3258" t="s">
        <v>1625</v>
      </c>
      <c r="C438" s="3257" t="s">
        <v>1605</v>
      </c>
      <c r="D438" s="3253" t="s">
        <v>1073</v>
      </c>
      <c r="E438" s="2883"/>
      <c r="F438" s="2913"/>
      <c r="H438" s="2913"/>
      <c r="I438" s="2913"/>
    </row>
    <row r="439" spans="1:9" ht="12" hidden="1" customHeight="1">
      <c r="A439" s="3205"/>
      <c r="B439" s="3258" t="s">
        <v>688</v>
      </c>
      <c r="C439" s="3257" t="s">
        <v>1605</v>
      </c>
      <c r="D439" s="3253" t="s">
        <v>1073</v>
      </c>
      <c r="E439" s="2883"/>
      <c r="F439" s="2913"/>
      <c r="H439" s="2913"/>
      <c r="I439" s="2913"/>
    </row>
    <row r="440" spans="1:9" ht="12" hidden="1" customHeight="1">
      <c r="A440" s="3205"/>
      <c r="B440" s="3258" t="s">
        <v>1627</v>
      </c>
      <c r="C440" s="3257" t="s">
        <v>1605</v>
      </c>
      <c r="D440" s="3253" t="s">
        <v>1073</v>
      </c>
      <c r="E440" s="2883"/>
      <c r="F440" s="2913"/>
      <c r="H440" s="2913"/>
      <c r="I440" s="2913"/>
    </row>
    <row r="441" spans="1:9" ht="12" hidden="1" customHeight="1">
      <c r="A441" s="3205"/>
      <c r="B441" s="3258" t="s">
        <v>1628</v>
      </c>
      <c r="C441" s="3257" t="s">
        <v>1605</v>
      </c>
      <c r="D441" s="3253" t="s">
        <v>1073</v>
      </c>
      <c r="E441" s="2883"/>
      <c r="F441" s="2913"/>
      <c r="H441" s="2913"/>
      <c r="I441" s="2913"/>
    </row>
    <row r="442" spans="1:9" ht="12" hidden="1" customHeight="1">
      <c r="A442" s="3205"/>
      <c r="B442" s="3258" t="s">
        <v>1629</v>
      </c>
      <c r="C442" s="3257" t="s">
        <v>1605</v>
      </c>
      <c r="D442" s="3253" t="s">
        <v>1073</v>
      </c>
      <c r="E442" s="2883"/>
      <c r="F442" s="2913"/>
      <c r="H442" s="2913"/>
      <c r="I442" s="2913"/>
    </row>
    <row r="443" spans="1:9" ht="12" hidden="1" customHeight="1">
      <c r="A443" s="3205"/>
      <c r="B443" s="3258" t="s">
        <v>211</v>
      </c>
      <c r="C443" s="3257" t="s">
        <v>1605</v>
      </c>
      <c r="D443" s="3253" t="s">
        <v>1073</v>
      </c>
      <c r="E443" s="2883"/>
      <c r="F443" s="2913"/>
      <c r="H443" s="2913"/>
      <c r="I443" s="2913"/>
    </row>
    <row r="444" spans="1:9" ht="12" hidden="1" customHeight="1">
      <c r="A444" s="3205"/>
      <c r="B444" s="3258" t="s">
        <v>1636</v>
      </c>
      <c r="C444" s="3257" t="s">
        <v>1605</v>
      </c>
      <c r="D444" s="3253" t="s">
        <v>1073</v>
      </c>
      <c r="E444" s="2883"/>
      <c r="F444" s="2913"/>
      <c r="H444" s="2913"/>
      <c r="I444" s="2913"/>
    </row>
    <row r="445" spans="1:9" ht="12" hidden="1" customHeight="1">
      <c r="A445" s="3205"/>
      <c r="B445" s="3258" t="s">
        <v>1637</v>
      </c>
      <c r="C445" s="3257" t="s">
        <v>1605</v>
      </c>
      <c r="D445" s="3253" t="s">
        <v>1073</v>
      </c>
      <c r="E445" s="2883"/>
      <c r="F445" s="2913"/>
      <c r="H445" s="2913"/>
      <c r="I445" s="2913"/>
    </row>
    <row r="446" spans="1:9" ht="12" hidden="1" customHeight="1">
      <c r="A446" s="3205"/>
      <c r="B446" s="3258" t="s">
        <v>1638</v>
      </c>
      <c r="C446" s="3257" t="s">
        <v>1605</v>
      </c>
      <c r="D446" s="3253" t="s">
        <v>1073</v>
      </c>
      <c r="E446" s="2883"/>
      <c r="F446" s="2913"/>
      <c r="H446" s="2913"/>
      <c r="I446" s="2913"/>
    </row>
    <row r="447" spans="1:9" ht="12.75" hidden="1" customHeight="1">
      <c r="A447" s="3205"/>
      <c r="B447" s="3258" t="s">
        <v>1639</v>
      </c>
      <c r="C447" s="3257" t="s">
        <v>1605</v>
      </c>
      <c r="D447" s="3253" t="s">
        <v>1073</v>
      </c>
      <c r="E447" s="2883"/>
      <c r="F447" s="2913"/>
      <c r="H447" s="2913"/>
      <c r="I447" s="2913"/>
    </row>
    <row r="448" spans="1:9" ht="12.75" hidden="1" customHeight="1">
      <c r="A448" s="3205"/>
      <c r="B448" s="3258" t="s">
        <v>1386</v>
      </c>
      <c r="C448" s="3257" t="s">
        <v>1605</v>
      </c>
      <c r="D448" s="3253" t="s">
        <v>1073</v>
      </c>
      <c r="E448" s="2883"/>
      <c r="F448" s="2913"/>
      <c r="H448" s="2913"/>
      <c r="I448" s="2913"/>
    </row>
    <row r="449" spans="1:9" ht="12.75" hidden="1" customHeight="1">
      <c r="A449" s="3205"/>
      <c r="B449" s="3258" t="s">
        <v>1644</v>
      </c>
      <c r="C449" s="3257" t="s">
        <v>1605</v>
      </c>
      <c r="D449" s="3253" t="s">
        <v>1143</v>
      </c>
      <c r="E449" s="2883"/>
      <c r="F449" s="2913"/>
      <c r="H449" s="2913"/>
      <c r="I449" s="2913"/>
    </row>
    <row r="450" spans="1:9" ht="12.75" hidden="1" customHeight="1">
      <c r="A450" s="3205"/>
      <c r="B450" s="3258" t="s">
        <v>768</v>
      </c>
      <c r="C450" s="3257" t="s">
        <v>1605</v>
      </c>
      <c r="D450" s="3253" t="s">
        <v>1143</v>
      </c>
      <c r="E450" s="2883"/>
      <c r="F450" s="2913"/>
      <c r="H450" s="2913"/>
      <c r="I450" s="2913"/>
    </row>
    <row r="451" spans="1:9" ht="12.75" hidden="1" customHeight="1">
      <c r="A451" s="3205"/>
      <c r="B451" s="3258" t="s">
        <v>1506</v>
      </c>
      <c r="C451" s="3257" t="s">
        <v>1605</v>
      </c>
      <c r="D451" s="3253" t="s">
        <v>1143</v>
      </c>
      <c r="E451" s="2883"/>
      <c r="F451" s="2913"/>
      <c r="H451" s="2913"/>
      <c r="I451" s="2913"/>
    </row>
    <row r="452" spans="1:9" ht="12.75" hidden="1" customHeight="1">
      <c r="A452" s="3205"/>
      <c r="B452" s="3258" t="s">
        <v>1649</v>
      </c>
      <c r="C452" s="3257" t="s">
        <v>1605</v>
      </c>
      <c r="D452" s="3253" t="s">
        <v>1143</v>
      </c>
      <c r="E452" s="2883"/>
      <c r="F452" s="2913"/>
      <c r="H452" s="2913"/>
      <c r="I452" s="2913"/>
    </row>
    <row r="453" spans="1:9" ht="12.75" hidden="1" customHeight="1">
      <c r="A453" s="3205"/>
      <c r="B453" s="3258" t="s">
        <v>1274</v>
      </c>
      <c r="C453" s="3257" t="s">
        <v>1605</v>
      </c>
      <c r="D453" s="3253" t="s">
        <v>1143</v>
      </c>
      <c r="E453" s="2883"/>
      <c r="F453" s="2913"/>
      <c r="H453" s="2913"/>
      <c r="I453" s="2913"/>
    </row>
    <row r="454" spans="1:9" ht="12.75" hidden="1" customHeight="1">
      <c r="A454" s="3205"/>
      <c r="B454" s="3258" t="s">
        <v>1650</v>
      </c>
      <c r="C454" s="3257" t="s">
        <v>1651</v>
      </c>
      <c r="D454" s="3253" t="s">
        <v>1143</v>
      </c>
      <c r="E454" s="2883"/>
      <c r="F454" s="2913"/>
      <c r="H454" s="2913"/>
      <c r="I454" s="2913"/>
    </row>
    <row r="455" spans="1:9" ht="12.75" hidden="1" customHeight="1">
      <c r="A455" s="3205"/>
      <c r="B455" s="3258" t="s">
        <v>1653</v>
      </c>
      <c r="C455" s="3257" t="s">
        <v>1651</v>
      </c>
      <c r="D455" s="3253" t="s">
        <v>1143</v>
      </c>
      <c r="E455" s="2883"/>
      <c r="F455" s="2913"/>
      <c r="H455" s="2913"/>
      <c r="I455" s="2913"/>
    </row>
    <row r="456" spans="1:9" ht="12.75" hidden="1" customHeight="1">
      <c r="A456" s="3205"/>
      <c r="B456" s="3258" t="s">
        <v>3</v>
      </c>
      <c r="C456" s="3257" t="s">
        <v>1651</v>
      </c>
      <c r="D456" s="3253" t="s">
        <v>1655</v>
      </c>
      <c r="E456" s="2883"/>
      <c r="F456" s="2913"/>
      <c r="H456" s="2913"/>
      <c r="I456" s="2913"/>
    </row>
    <row r="457" spans="1:9" ht="12.75" hidden="1" customHeight="1">
      <c r="A457" s="3205"/>
      <c r="B457" s="3258" t="s">
        <v>1502</v>
      </c>
      <c r="C457" s="3257" t="s">
        <v>1651</v>
      </c>
      <c r="D457" s="3253" t="s">
        <v>1655</v>
      </c>
      <c r="E457" s="2883"/>
      <c r="F457" s="2913"/>
      <c r="H457" s="2913"/>
      <c r="I457" s="2913"/>
    </row>
    <row r="458" spans="1:9" ht="12.75" hidden="1" customHeight="1">
      <c r="A458" s="3205"/>
      <c r="B458" s="3258" t="s">
        <v>1654</v>
      </c>
      <c r="C458" s="3257" t="s">
        <v>1651</v>
      </c>
      <c r="D458" s="3253" t="s">
        <v>1655</v>
      </c>
      <c r="E458" s="2883"/>
      <c r="F458" s="2913"/>
      <c r="H458" s="2913"/>
      <c r="I458" s="2913"/>
    </row>
    <row r="459" spans="1:9" ht="12.75" hidden="1" customHeight="1">
      <c r="A459" s="3205"/>
      <c r="B459" s="3258" t="s">
        <v>1656</v>
      </c>
      <c r="C459" s="3257" t="s">
        <v>1651</v>
      </c>
      <c r="D459" s="3253" t="s">
        <v>1655</v>
      </c>
      <c r="E459" s="2883"/>
      <c r="F459" s="2913"/>
      <c r="H459" s="2913"/>
      <c r="I459" s="2913"/>
    </row>
    <row r="460" spans="1:9" ht="12.75" hidden="1" customHeight="1">
      <c r="A460" s="3205"/>
      <c r="B460" s="3258" t="s">
        <v>1657</v>
      </c>
      <c r="C460" s="3257" t="s">
        <v>1651</v>
      </c>
      <c r="D460" s="3253" t="s">
        <v>1655</v>
      </c>
      <c r="E460" s="2883"/>
      <c r="F460" s="2913"/>
      <c r="H460" s="2913"/>
      <c r="I460" s="2913"/>
    </row>
    <row r="461" spans="1:9" ht="12.75" hidden="1" customHeight="1">
      <c r="A461" s="3205"/>
      <c r="B461" s="3258" t="s">
        <v>472</v>
      </c>
      <c r="C461" s="3257" t="s">
        <v>1658</v>
      </c>
      <c r="D461" s="3253" t="s">
        <v>1655</v>
      </c>
      <c r="E461" s="2883"/>
      <c r="F461" s="2913"/>
      <c r="H461" s="2913"/>
      <c r="I461" s="2913"/>
    </row>
    <row r="462" spans="1:9" ht="12.75" hidden="1" customHeight="1">
      <c r="A462" s="3205"/>
      <c r="B462" s="3258" t="s">
        <v>771</v>
      </c>
      <c r="C462" s="3257" t="s">
        <v>1658</v>
      </c>
      <c r="D462" s="3253" t="s">
        <v>1655</v>
      </c>
      <c r="E462" s="2883"/>
      <c r="F462" s="2913"/>
      <c r="H462" s="2913"/>
      <c r="I462" s="2913"/>
    </row>
    <row r="463" spans="1:9" ht="12.75" hidden="1" customHeight="1">
      <c r="A463" s="3205"/>
      <c r="B463" s="3258" t="s">
        <v>772</v>
      </c>
      <c r="C463" s="3257" t="s">
        <v>1658</v>
      </c>
      <c r="D463" s="3253" t="s">
        <v>1655</v>
      </c>
      <c r="E463" s="2883"/>
      <c r="F463" s="2913"/>
      <c r="H463" s="2913"/>
      <c r="I463" s="2913"/>
    </row>
    <row r="464" spans="1:9" ht="12.75" hidden="1" customHeight="1">
      <c r="A464" s="3205"/>
      <c r="B464" s="3258" t="s">
        <v>1659</v>
      </c>
      <c r="C464" s="3257" t="s">
        <v>1658</v>
      </c>
      <c r="D464" s="3253" t="s">
        <v>1655</v>
      </c>
      <c r="E464" s="2883"/>
      <c r="F464" s="2913"/>
      <c r="H464" s="2913"/>
      <c r="I464" s="2913"/>
    </row>
    <row r="465" spans="1:9" ht="12.75" hidden="1" customHeight="1">
      <c r="A465" s="3205"/>
      <c r="B465" s="3258" t="s">
        <v>1052</v>
      </c>
      <c r="C465" s="3257" t="s">
        <v>1658</v>
      </c>
      <c r="D465" s="3253" t="s">
        <v>1655</v>
      </c>
      <c r="E465" s="2883"/>
      <c r="F465" s="2913"/>
      <c r="H465" s="2913"/>
      <c r="I465" s="2913"/>
    </row>
    <row r="466" spans="1:9" ht="12.75" hidden="1" customHeight="1">
      <c r="A466" s="3205"/>
      <c r="B466" s="3258" t="s">
        <v>1660</v>
      </c>
      <c r="C466" s="3257" t="s">
        <v>1658</v>
      </c>
      <c r="D466" s="3253" t="s">
        <v>1655</v>
      </c>
      <c r="E466" s="2883"/>
      <c r="F466" s="2913"/>
      <c r="H466" s="2913"/>
      <c r="I466" s="2913"/>
    </row>
    <row r="467" spans="1:9" ht="12.75" hidden="1" customHeight="1">
      <c r="A467" s="3205"/>
      <c r="B467" s="3258" t="s">
        <v>1661</v>
      </c>
      <c r="C467" s="3257" t="s">
        <v>1658</v>
      </c>
      <c r="D467" s="3253" t="s">
        <v>1655</v>
      </c>
      <c r="E467" s="2883"/>
      <c r="F467" s="2913"/>
      <c r="H467" s="2913"/>
      <c r="I467" s="2913"/>
    </row>
    <row r="468" spans="1:9" ht="12.75" hidden="1" customHeight="1">
      <c r="A468" s="3205"/>
      <c r="B468" s="3258" t="s">
        <v>1662</v>
      </c>
      <c r="C468" s="3257" t="s">
        <v>1658</v>
      </c>
      <c r="D468" s="3253" t="s">
        <v>1655</v>
      </c>
      <c r="E468" s="2883"/>
      <c r="F468" s="2913"/>
      <c r="H468" s="2913"/>
      <c r="I468" s="2913"/>
    </row>
    <row r="469" spans="1:9">
      <c r="A469" s="3205"/>
      <c r="B469" s="3260" t="s">
        <v>1663</v>
      </c>
      <c r="C469" s="3257" t="s">
        <v>1658</v>
      </c>
      <c r="D469" s="3253" t="s">
        <v>1143</v>
      </c>
      <c r="E469" s="2883"/>
      <c r="F469" s="2913"/>
      <c r="H469" s="2913"/>
      <c r="I469" s="2913"/>
    </row>
    <row r="470" spans="1:9" hidden="1">
      <c r="A470" s="3205"/>
      <c r="B470" s="3257" t="s">
        <v>773</v>
      </c>
      <c r="C470" s="3257" t="s">
        <v>1658</v>
      </c>
      <c r="D470" s="3253" t="s">
        <v>1655</v>
      </c>
      <c r="E470" s="2883"/>
      <c r="F470" s="2913"/>
      <c r="H470" s="2913"/>
      <c r="I470" s="2913"/>
    </row>
    <row r="471" spans="1:9" hidden="1">
      <c r="A471" s="3205"/>
      <c r="B471" s="3257" t="s">
        <v>1412</v>
      </c>
      <c r="C471" s="3257" t="s">
        <v>1658</v>
      </c>
      <c r="D471" s="3253" t="s">
        <v>1655</v>
      </c>
      <c r="E471" s="2883"/>
      <c r="F471" s="2913"/>
      <c r="H471" s="2913"/>
      <c r="I471" s="2913"/>
    </row>
    <row r="472" spans="1:9" hidden="1">
      <c r="A472" s="3205"/>
      <c r="B472" s="3257" t="s">
        <v>775</v>
      </c>
      <c r="C472" s="3257" t="s">
        <v>1658</v>
      </c>
      <c r="D472" s="3253" t="s">
        <v>1664</v>
      </c>
      <c r="E472" s="2883"/>
      <c r="F472" s="2913"/>
      <c r="H472" s="2913"/>
      <c r="I472" s="2913"/>
    </row>
    <row r="473" spans="1:9" hidden="1">
      <c r="A473" s="3205"/>
      <c r="B473" s="3257" t="s">
        <v>1665</v>
      </c>
      <c r="C473" s="3257" t="s">
        <v>1658</v>
      </c>
      <c r="D473" s="3253" t="s">
        <v>1664</v>
      </c>
      <c r="E473" s="2883"/>
      <c r="F473" s="2913"/>
      <c r="H473" s="2913"/>
      <c r="I473" s="2913"/>
    </row>
    <row r="474" spans="1:9" hidden="1">
      <c r="A474" s="3205"/>
      <c r="B474" s="3257" t="s">
        <v>729</v>
      </c>
      <c r="C474" s="3257" t="s">
        <v>1658</v>
      </c>
      <c r="D474" s="3253" t="s">
        <v>1664</v>
      </c>
      <c r="E474" s="2883"/>
      <c r="F474" s="2913"/>
      <c r="H474" s="2913"/>
      <c r="I474" s="2913"/>
    </row>
    <row r="475" spans="1:9" hidden="1">
      <c r="A475" s="3205"/>
      <c r="B475" s="3257" t="s">
        <v>945</v>
      </c>
      <c r="C475" s="3257" t="s">
        <v>1658</v>
      </c>
      <c r="D475" s="3253" t="s">
        <v>1666</v>
      </c>
      <c r="E475" s="2883"/>
      <c r="F475" s="2913"/>
      <c r="H475" s="2913"/>
      <c r="I475" s="2913"/>
    </row>
    <row r="476" spans="1:9" hidden="1">
      <c r="A476" s="3205"/>
      <c r="B476" s="3257" t="s">
        <v>1667</v>
      </c>
      <c r="C476" s="3257" t="s">
        <v>1658</v>
      </c>
      <c r="D476" s="3253" t="s">
        <v>1664</v>
      </c>
      <c r="E476" s="2883"/>
      <c r="F476" s="2913"/>
      <c r="H476" s="2913"/>
      <c r="I476" s="2913"/>
    </row>
    <row r="477" spans="1:9" hidden="1">
      <c r="A477" s="3205"/>
      <c r="B477" s="3257" t="s">
        <v>1668</v>
      </c>
      <c r="C477" s="3257" t="s">
        <v>1658</v>
      </c>
      <c r="D477" s="3253" t="s">
        <v>1664</v>
      </c>
      <c r="E477" s="2883"/>
      <c r="F477" s="2913"/>
      <c r="H477" s="2913"/>
      <c r="I477" s="2913"/>
    </row>
    <row r="478" spans="1:9" hidden="1">
      <c r="A478" s="3205"/>
      <c r="B478" s="3257" t="s">
        <v>162</v>
      </c>
      <c r="C478" s="3257" t="s">
        <v>1658</v>
      </c>
      <c r="D478" s="3253" t="s">
        <v>1664</v>
      </c>
      <c r="E478" s="2883"/>
      <c r="F478" s="2913"/>
      <c r="H478" s="2913"/>
      <c r="I478" s="2913"/>
    </row>
    <row r="479" spans="1:9" hidden="1">
      <c r="A479" s="3205"/>
      <c r="B479" s="3257" t="s">
        <v>572</v>
      </c>
      <c r="C479" s="3257" t="s">
        <v>1658</v>
      </c>
      <c r="D479" s="3253" t="s">
        <v>1534</v>
      </c>
      <c r="E479" s="2883"/>
      <c r="F479" s="2913"/>
      <c r="H479" s="2913"/>
      <c r="I479" s="2913"/>
    </row>
    <row r="480" spans="1:9" hidden="1">
      <c r="A480" s="3205"/>
      <c r="B480" s="3257" t="s">
        <v>413</v>
      </c>
      <c r="C480" s="3257" t="s">
        <v>1658</v>
      </c>
      <c r="D480" s="3253" t="s">
        <v>1534</v>
      </c>
      <c r="E480" s="2883"/>
      <c r="F480" s="2913"/>
      <c r="H480" s="2913"/>
      <c r="I480" s="2913"/>
    </row>
    <row r="481" spans="1:9" hidden="1">
      <c r="A481" s="3205"/>
      <c r="B481" s="3257" t="s">
        <v>1669</v>
      </c>
      <c r="C481" s="3257" t="s">
        <v>1658</v>
      </c>
      <c r="D481" s="3253" t="s">
        <v>1534</v>
      </c>
      <c r="E481" s="2883"/>
      <c r="F481" s="2913"/>
      <c r="H481" s="2913"/>
      <c r="I481" s="2913"/>
    </row>
    <row r="482" spans="1:9" hidden="1">
      <c r="A482" s="3205"/>
      <c r="B482" s="3257" t="s">
        <v>163</v>
      </c>
      <c r="C482" s="3257" t="s">
        <v>1658</v>
      </c>
      <c r="D482" s="3253" t="s">
        <v>1534</v>
      </c>
      <c r="E482" s="2883"/>
      <c r="F482" s="2913"/>
      <c r="H482" s="2913"/>
      <c r="I482" s="2913"/>
    </row>
    <row r="483" spans="1:9" hidden="1">
      <c r="A483" s="3205"/>
      <c r="B483" s="3257" t="s">
        <v>1172</v>
      </c>
      <c r="C483" s="3257" t="s">
        <v>1658</v>
      </c>
      <c r="D483" s="3253" t="s">
        <v>1534</v>
      </c>
      <c r="E483" s="2883"/>
      <c r="F483" s="2913"/>
      <c r="H483" s="2913"/>
      <c r="I483" s="2913"/>
    </row>
    <row r="484" spans="1:9" hidden="1">
      <c r="A484" s="3205"/>
      <c r="B484" s="3257" t="s">
        <v>417</v>
      </c>
      <c r="C484" s="3257" t="s">
        <v>1658</v>
      </c>
      <c r="D484" s="3253" t="s">
        <v>1534</v>
      </c>
      <c r="E484" s="2883"/>
      <c r="F484" s="2913"/>
      <c r="H484" s="2913"/>
      <c r="I484" s="2913"/>
    </row>
    <row r="485" spans="1:9" hidden="1">
      <c r="A485" s="3205"/>
      <c r="B485" s="3257" t="s">
        <v>418</v>
      </c>
      <c r="C485" s="3257" t="s">
        <v>1658</v>
      </c>
      <c r="D485" s="3253" t="s">
        <v>1534</v>
      </c>
      <c r="E485" s="2883"/>
      <c r="F485" s="2913"/>
      <c r="H485" s="2913"/>
      <c r="I485" s="2913"/>
    </row>
    <row r="486" spans="1:9" hidden="1">
      <c r="A486" s="3205"/>
      <c r="B486" s="3257" t="s">
        <v>164</v>
      </c>
      <c r="C486" s="3257" t="s">
        <v>1658</v>
      </c>
      <c r="D486" s="3253" t="s">
        <v>1534</v>
      </c>
      <c r="E486" s="2883"/>
      <c r="F486" s="2913"/>
      <c r="H486" s="2913"/>
      <c r="I486" s="2913"/>
    </row>
    <row r="487" spans="1:9" hidden="1">
      <c r="A487" s="3205"/>
      <c r="B487" s="3257" t="s">
        <v>1672</v>
      </c>
      <c r="C487" s="3257" t="s">
        <v>1658</v>
      </c>
      <c r="D487" s="3253" t="s">
        <v>1534</v>
      </c>
      <c r="E487" s="2883"/>
      <c r="F487" s="2913"/>
      <c r="H487" s="2913"/>
      <c r="I487" s="2913"/>
    </row>
    <row r="488" spans="1:9" hidden="1">
      <c r="A488" s="3205"/>
      <c r="B488" s="3257" t="s">
        <v>878</v>
      </c>
      <c r="C488" s="3257" t="s">
        <v>1658</v>
      </c>
      <c r="D488" s="3253" t="s">
        <v>1534</v>
      </c>
      <c r="E488" s="2883"/>
      <c r="F488" s="2913"/>
      <c r="H488" s="2913"/>
      <c r="I488" s="2913"/>
    </row>
    <row r="489" spans="1:9" hidden="1">
      <c r="A489" s="3205"/>
      <c r="B489" s="3257" t="s">
        <v>1675</v>
      </c>
      <c r="C489" s="3257" t="s">
        <v>1658</v>
      </c>
      <c r="D489" s="3253" t="s">
        <v>1655</v>
      </c>
      <c r="E489" s="2883"/>
      <c r="F489" s="2913"/>
      <c r="H489" s="2913"/>
      <c r="I489" s="2913"/>
    </row>
    <row r="490" spans="1:9" hidden="1">
      <c r="A490" s="3205"/>
      <c r="B490" s="3257" t="s">
        <v>485</v>
      </c>
      <c r="C490" s="3257" t="s">
        <v>1658</v>
      </c>
      <c r="D490" s="3253" t="s">
        <v>1655</v>
      </c>
      <c r="E490" s="2883"/>
      <c r="F490" s="2913"/>
      <c r="H490" s="2913"/>
      <c r="I490" s="2913"/>
    </row>
    <row r="491" spans="1:9" hidden="1">
      <c r="A491" s="3205"/>
      <c r="B491" s="3257" t="s">
        <v>165</v>
      </c>
      <c r="C491" s="3257" t="s">
        <v>1658</v>
      </c>
      <c r="D491" s="3253" t="s">
        <v>1655</v>
      </c>
      <c r="E491" s="2883"/>
      <c r="F491" s="2913"/>
      <c r="H491" s="2913"/>
      <c r="I491" s="2913"/>
    </row>
    <row r="492" spans="1:9" hidden="1">
      <c r="A492" s="3205"/>
      <c r="B492" s="3257" t="s">
        <v>1225</v>
      </c>
      <c r="C492" s="3257" t="s">
        <v>1658</v>
      </c>
      <c r="D492" s="3253" t="s">
        <v>1655</v>
      </c>
      <c r="E492" s="2883"/>
      <c r="F492" s="2913"/>
      <c r="H492" s="2913"/>
      <c r="I492" s="2913"/>
    </row>
    <row r="493" spans="1:9" hidden="1">
      <c r="A493" s="3205"/>
      <c r="B493" s="3257" t="s">
        <v>488</v>
      </c>
      <c r="C493" s="3257" t="s">
        <v>1658</v>
      </c>
      <c r="D493" s="3253" t="s">
        <v>1655</v>
      </c>
      <c r="E493" s="2883"/>
      <c r="F493" s="2913"/>
      <c r="H493" s="2913"/>
      <c r="I493" s="2913"/>
    </row>
    <row r="494" spans="1:9" hidden="1">
      <c r="A494" s="3205"/>
      <c r="B494" s="3257" t="s">
        <v>778</v>
      </c>
      <c r="C494" s="3257" t="s">
        <v>1658</v>
      </c>
      <c r="D494" s="3253" t="s">
        <v>1655</v>
      </c>
      <c r="E494" s="2883"/>
      <c r="F494" s="2913"/>
      <c r="H494" s="2913"/>
      <c r="I494" s="2913"/>
    </row>
    <row r="495" spans="1:9" hidden="1">
      <c r="A495" s="3205"/>
      <c r="B495" s="3257" t="s">
        <v>166</v>
      </c>
      <c r="C495" s="3257" t="s">
        <v>1658</v>
      </c>
      <c r="D495" s="3253" t="s">
        <v>1655</v>
      </c>
      <c r="E495" s="2883"/>
      <c r="F495" s="2913"/>
      <c r="H495" s="2913"/>
      <c r="I495" s="2913"/>
    </row>
    <row r="496" spans="1:9" hidden="1">
      <c r="A496" s="3205"/>
      <c r="B496" s="3257" t="s">
        <v>1251</v>
      </c>
      <c r="C496" s="3257" t="s">
        <v>1658</v>
      </c>
      <c r="D496" s="3253" t="s">
        <v>1655</v>
      </c>
      <c r="E496" s="2883"/>
      <c r="F496" s="2913"/>
      <c r="H496" s="2913"/>
      <c r="I496" s="2913"/>
    </row>
    <row r="497" spans="1:9" hidden="1">
      <c r="A497" s="3205"/>
      <c r="B497" s="3257" t="s">
        <v>493</v>
      </c>
      <c r="C497" s="3257" t="s">
        <v>1658</v>
      </c>
      <c r="D497" s="3253" t="s">
        <v>1655</v>
      </c>
      <c r="E497" s="2883"/>
      <c r="F497" s="2913"/>
      <c r="H497" s="2913"/>
      <c r="I497" s="2913"/>
    </row>
    <row r="498" spans="1:9" hidden="1">
      <c r="A498" s="3205"/>
      <c r="B498" s="3257" t="s">
        <v>494</v>
      </c>
      <c r="C498" s="3257" t="s">
        <v>1658</v>
      </c>
      <c r="D498" s="3253" t="s">
        <v>1655</v>
      </c>
      <c r="E498" s="2883"/>
      <c r="F498" s="2913"/>
      <c r="H498" s="2913"/>
      <c r="I498" s="2913"/>
    </row>
    <row r="499" spans="1:9" hidden="1">
      <c r="A499" s="3205"/>
      <c r="B499" s="3257" t="s">
        <v>167</v>
      </c>
      <c r="C499" s="3257" t="s">
        <v>1658</v>
      </c>
      <c r="D499" s="3253" t="s">
        <v>1655</v>
      </c>
      <c r="E499" s="2883"/>
      <c r="F499" s="2913"/>
      <c r="H499" s="2913"/>
      <c r="I499" s="2913"/>
    </row>
    <row r="500" spans="1:9" hidden="1">
      <c r="A500" s="3205"/>
      <c r="B500" s="3257" t="s">
        <v>1694</v>
      </c>
      <c r="C500" s="3257" t="s">
        <v>1658</v>
      </c>
      <c r="D500" s="3253" t="s">
        <v>1655</v>
      </c>
      <c r="E500" s="2883"/>
      <c r="F500" s="2913"/>
      <c r="H500" s="2913"/>
      <c r="I500" s="2913"/>
    </row>
    <row r="501" spans="1:9" hidden="1">
      <c r="A501" s="3205"/>
      <c r="B501" s="3257" t="s">
        <v>1674</v>
      </c>
      <c r="C501" s="3257" t="s">
        <v>1658</v>
      </c>
      <c r="D501" s="3253" t="s">
        <v>1655</v>
      </c>
      <c r="E501" s="2883"/>
      <c r="F501" s="2913"/>
      <c r="H501" s="2913"/>
      <c r="I501" s="2913"/>
    </row>
    <row r="502" spans="1:9" hidden="1">
      <c r="A502" s="3205"/>
      <c r="B502" s="3257" t="s">
        <v>500</v>
      </c>
      <c r="C502" s="3257" t="s">
        <v>1658</v>
      </c>
      <c r="D502" s="3253" t="s">
        <v>1655</v>
      </c>
      <c r="E502" s="2883"/>
      <c r="F502" s="2913"/>
      <c r="H502" s="2913"/>
      <c r="I502" s="2913"/>
    </row>
    <row r="503" spans="1:9" hidden="1">
      <c r="A503" s="3205"/>
      <c r="B503" s="3257" t="s">
        <v>503</v>
      </c>
      <c r="C503" s="3257" t="s">
        <v>1658</v>
      </c>
      <c r="D503" s="3253" t="s">
        <v>1655</v>
      </c>
      <c r="E503" s="2883"/>
      <c r="F503" s="2913"/>
      <c r="H503" s="2913"/>
      <c r="I503" s="2913"/>
    </row>
    <row r="504" spans="1:9" hidden="1">
      <c r="A504" s="3205"/>
      <c r="B504" s="3257" t="s">
        <v>168</v>
      </c>
      <c r="C504" s="3257" t="s">
        <v>1658</v>
      </c>
      <c r="D504" s="3253" t="s">
        <v>1655</v>
      </c>
      <c r="E504" s="2883"/>
      <c r="F504" s="2913"/>
      <c r="H504" s="2913"/>
      <c r="I504" s="2913"/>
    </row>
    <row r="505" spans="1:9" hidden="1">
      <c r="A505" s="3205"/>
      <c r="B505" s="3257" t="s">
        <v>1695</v>
      </c>
      <c r="C505" s="3257" t="s">
        <v>1658</v>
      </c>
      <c r="D505" s="3253" t="s">
        <v>1655</v>
      </c>
      <c r="E505" s="2883"/>
      <c r="F505" s="2913"/>
      <c r="H505" s="2913"/>
      <c r="I505" s="2913"/>
    </row>
    <row r="506" spans="1:9" hidden="1">
      <c r="A506" s="3205"/>
      <c r="B506" s="3257" t="s">
        <v>1275</v>
      </c>
      <c r="C506" s="3257" t="s">
        <v>1658</v>
      </c>
      <c r="D506" s="3253" t="s">
        <v>1655</v>
      </c>
      <c r="E506" s="2883"/>
      <c r="F506" s="2913"/>
      <c r="H506" s="2913"/>
      <c r="I506" s="2913"/>
    </row>
    <row r="507" spans="1:9" hidden="1">
      <c r="A507" s="3205"/>
      <c r="B507" s="3257" t="s">
        <v>1697</v>
      </c>
      <c r="C507" s="3257" t="s">
        <v>1658</v>
      </c>
      <c r="D507" s="3253" t="s">
        <v>1655</v>
      </c>
      <c r="E507" s="2883"/>
      <c r="F507" s="2913"/>
      <c r="H507" s="2913"/>
      <c r="I507" s="2913"/>
    </row>
    <row r="508" spans="1:9" hidden="1">
      <c r="A508" s="3205"/>
      <c r="B508" s="3257" t="s">
        <v>183</v>
      </c>
      <c r="C508" s="3257" t="s">
        <v>1658</v>
      </c>
      <c r="D508" s="3253" t="s">
        <v>1655</v>
      </c>
      <c r="E508" s="2883"/>
      <c r="F508" s="2913"/>
      <c r="H508" s="2913"/>
      <c r="I508" s="2913"/>
    </row>
    <row r="509" spans="1:9" hidden="1">
      <c r="A509" s="3205"/>
      <c r="B509" s="3257" t="s">
        <v>879</v>
      </c>
      <c r="C509" s="3257" t="s">
        <v>1658</v>
      </c>
      <c r="D509" s="3253" t="s">
        <v>1655</v>
      </c>
      <c r="E509" s="2883"/>
      <c r="F509" s="2913"/>
      <c r="H509" s="2913"/>
      <c r="I509" s="2913"/>
    </row>
    <row r="510" spans="1:9" hidden="1">
      <c r="A510" s="3205"/>
      <c r="B510" s="3257" t="s">
        <v>1009</v>
      </c>
      <c r="C510" s="3257" t="s">
        <v>1658</v>
      </c>
      <c r="D510" s="3253" t="s">
        <v>1655</v>
      </c>
      <c r="E510" s="2883"/>
      <c r="F510" s="2913"/>
      <c r="H510" s="2913"/>
      <c r="I510" s="2913"/>
    </row>
    <row r="511" spans="1:9" hidden="1">
      <c r="A511" s="3205"/>
      <c r="B511" s="3257" t="s">
        <v>1010</v>
      </c>
      <c r="C511" s="3257" t="s">
        <v>1658</v>
      </c>
      <c r="D511" s="3253" t="s">
        <v>1655</v>
      </c>
      <c r="E511" s="2883"/>
      <c r="F511" s="2913"/>
      <c r="H511" s="2913"/>
      <c r="I511" s="2913"/>
    </row>
    <row r="512" spans="1:9" hidden="1">
      <c r="A512" s="3205"/>
      <c r="B512" s="3257" t="s">
        <v>170</v>
      </c>
      <c r="C512" s="3257" t="s">
        <v>1658</v>
      </c>
      <c r="D512" s="3253" t="s">
        <v>1655</v>
      </c>
      <c r="E512" s="2883"/>
      <c r="F512" s="2913"/>
      <c r="H512" s="2913"/>
      <c r="I512" s="2913"/>
    </row>
    <row r="513" spans="1:9" hidden="1">
      <c r="A513" s="3205"/>
      <c r="B513" s="3257" t="s">
        <v>170</v>
      </c>
      <c r="C513" s="3257" t="s">
        <v>1658</v>
      </c>
      <c r="D513" s="3253" t="s">
        <v>1655</v>
      </c>
      <c r="E513" s="2883"/>
      <c r="F513" s="2913"/>
      <c r="H513" s="2913"/>
      <c r="I513" s="2913"/>
    </row>
    <row r="514" spans="1:9" hidden="1">
      <c r="A514" s="3205"/>
      <c r="B514" s="3257" t="s">
        <v>1673</v>
      </c>
      <c r="C514" s="3257" t="s">
        <v>1658</v>
      </c>
      <c r="D514" s="3253" t="s">
        <v>1143</v>
      </c>
      <c r="E514" s="2883"/>
      <c r="F514" s="2913"/>
      <c r="H514" s="2913"/>
      <c r="I514" s="2913"/>
    </row>
    <row r="515" spans="1:9" hidden="1">
      <c r="A515" s="3205"/>
      <c r="B515" s="3257" t="s">
        <v>1014</v>
      </c>
      <c r="C515" s="3257" t="s">
        <v>1658</v>
      </c>
      <c r="D515" s="3253" t="s">
        <v>1143</v>
      </c>
      <c r="E515" s="2883"/>
      <c r="F515" s="2913"/>
      <c r="H515" s="2913"/>
      <c r="I515" s="2913"/>
    </row>
    <row r="516" spans="1:9" hidden="1">
      <c r="A516" s="3205"/>
      <c r="B516" s="3257" t="s">
        <v>1016</v>
      </c>
      <c r="C516" s="3257" t="s">
        <v>1658</v>
      </c>
      <c r="D516" s="3253" t="s">
        <v>1143</v>
      </c>
      <c r="E516" s="2883"/>
      <c r="F516" s="2913"/>
      <c r="H516" s="2913"/>
      <c r="I516" s="2913"/>
    </row>
    <row r="517" spans="1:9" hidden="1">
      <c r="A517" s="3205"/>
      <c r="B517" s="3257" t="s">
        <v>171</v>
      </c>
      <c r="C517" s="3257" t="s">
        <v>1658</v>
      </c>
      <c r="D517" s="3253" t="s">
        <v>1143</v>
      </c>
      <c r="E517" s="2883"/>
      <c r="F517" s="2913"/>
      <c r="H517" s="2913"/>
      <c r="I517" s="2913"/>
    </row>
    <row r="518" spans="1:9" hidden="1">
      <c r="A518" s="3205"/>
      <c r="B518" s="3257" t="s">
        <v>922</v>
      </c>
      <c r="C518" s="3257" t="s">
        <v>1658</v>
      </c>
      <c r="D518" s="3253" t="s">
        <v>1143</v>
      </c>
      <c r="E518" s="2883"/>
      <c r="F518" s="2913"/>
      <c r="H518" s="2913"/>
      <c r="I518" s="2913"/>
    </row>
    <row r="519" spans="1:9" hidden="1">
      <c r="A519" s="3205"/>
      <c r="B519" s="3257" t="s">
        <v>1019</v>
      </c>
      <c r="C519" s="3257" t="s">
        <v>1658</v>
      </c>
      <c r="D519" s="3253" t="s">
        <v>1143</v>
      </c>
      <c r="E519" s="2883"/>
      <c r="F519" s="2913"/>
      <c r="H519" s="2913"/>
      <c r="I519" s="2913"/>
    </row>
    <row r="520" spans="1:9" hidden="1">
      <c r="A520" s="3205"/>
      <c r="B520" s="3257" t="s">
        <v>1020</v>
      </c>
      <c r="C520" s="3257" t="s">
        <v>1658</v>
      </c>
      <c r="D520" s="3253" t="s">
        <v>1143</v>
      </c>
      <c r="E520" s="2883"/>
      <c r="F520" s="2913"/>
      <c r="H520" s="2913"/>
      <c r="I520" s="2913"/>
    </row>
    <row r="521" spans="1:9" hidden="1">
      <c r="A521" s="3205"/>
      <c r="B521" s="3257" t="s">
        <v>148</v>
      </c>
      <c r="C521" s="3257" t="s">
        <v>1658</v>
      </c>
      <c r="D521" s="3253" t="s">
        <v>1143</v>
      </c>
      <c r="E521" s="2883"/>
      <c r="F521" s="2913"/>
      <c r="H521" s="2913"/>
      <c r="I521" s="2913"/>
    </row>
    <row r="522" spans="1:9">
      <c r="A522" s="3205"/>
      <c r="B522" s="3261" t="s">
        <v>1767</v>
      </c>
      <c r="C522" s="3257"/>
      <c r="D522" s="3253"/>
      <c r="E522" s="2883"/>
      <c r="F522" s="2913"/>
      <c r="H522" s="2913"/>
      <c r="I522" s="2913"/>
    </row>
    <row r="523" spans="1:9">
      <c r="A523" s="3205"/>
      <c r="B523" s="3257" t="s">
        <v>161</v>
      </c>
      <c r="C523" s="3257" t="s">
        <v>1658</v>
      </c>
      <c r="D523" s="3253" t="s">
        <v>1746</v>
      </c>
      <c r="E523" s="2883"/>
      <c r="F523" s="2913"/>
      <c r="H523" s="2913"/>
      <c r="I523" s="2913"/>
    </row>
    <row r="524" spans="1:9">
      <c r="A524" s="3205"/>
      <c r="B524" s="3257" t="s">
        <v>162</v>
      </c>
      <c r="C524" s="3257" t="s">
        <v>1658</v>
      </c>
      <c r="D524" s="3253" t="s">
        <v>1746</v>
      </c>
      <c r="E524" s="2883"/>
      <c r="F524" s="2913"/>
      <c r="H524" s="2913"/>
      <c r="I524" s="2913"/>
    </row>
    <row r="525" spans="1:9">
      <c r="A525" s="3205"/>
      <c r="B525" s="3257" t="s">
        <v>163</v>
      </c>
      <c r="C525" s="3257" t="s">
        <v>1658</v>
      </c>
      <c r="D525" s="3253" t="s">
        <v>1746</v>
      </c>
      <c r="E525" s="2883"/>
      <c r="F525" s="2913"/>
      <c r="H525" s="2913"/>
      <c r="I525" s="2913"/>
    </row>
    <row r="526" spans="1:9">
      <c r="A526" s="3205"/>
      <c r="B526" s="3257" t="s">
        <v>164</v>
      </c>
      <c r="C526" s="3257" t="s">
        <v>1774</v>
      </c>
      <c r="D526" s="3253" t="s">
        <v>1779</v>
      </c>
      <c r="E526" s="2883"/>
      <c r="F526" s="2913"/>
      <c r="H526" s="2913"/>
      <c r="I526" s="2913"/>
    </row>
    <row r="527" spans="1:9">
      <c r="A527" s="3205"/>
      <c r="B527" s="3257" t="s">
        <v>165</v>
      </c>
      <c r="C527" s="3257" t="s">
        <v>1780</v>
      </c>
      <c r="D527" s="3253" t="s">
        <v>1779</v>
      </c>
      <c r="E527" s="2883"/>
      <c r="F527" s="2913"/>
      <c r="H527" s="2913"/>
      <c r="I527" s="2913"/>
    </row>
    <row r="528" spans="1:9">
      <c r="A528" s="3205"/>
      <c r="B528" s="3257" t="s">
        <v>166</v>
      </c>
      <c r="C528" s="3257" t="s">
        <v>1795</v>
      </c>
      <c r="D528" s="3253" t="s">
        <v>1779</v>
      </c>
      <c r="E528" s="2883"/>
      <c r="F528" s="2913"/>
      <c r="H528" s="2913"/>
      <c r="I528" s="2913"/>
    </row>
    <row r="529" spans="1:9">
      <c r="A529" s="3205"/>
      <c r="B529" s="3257" t="s">
        <v>167</v>
      </c>
      <c r="C529" s="3257" t="s">
        <v>1795</v>
      </c>
      <c r="D529" s="3253" t="s">
        <v>1801</v>
      </c>
      <c r="E529" s="2883"/>
      <c r="F529" s="2913"/>
      <c r="H529" s="2913"/>
      <c r="I529" s="2913"/>
    </row>
    <row r="530" spans="1:9">
      <c r="A530" s="3205"/>
      <c r="B530" s="3257" t="s">
        <v>168</v>
      </c>
      <c r="C530" s="3257" t="s">
        <v>1795</v>
      </c>
      <c r="D530" s="3253" t="s">
        <v>1810</v>
      </c>
      <c r="E530" s="2883"/>
      <c r="F530" s="2913"/>
      <c r="H530" s="2913"/>
      <c r="I530" s="2913"/>
    </row>
    <row r="531" spans="1:9">
      <c r="A531" s="3205"/>
      <c r="B531" s="3257" t="s">
        <v>183</v>
      </c>
      <c r="C531" s="3257" t="s">
        <v>1795</v>
      </c>
      <c r="D531" s="3253" t="s">
        <v>1810</v>
      </c>
      <c r="E531" s="2883"/>
      <c r="F531" s="2913"/>
      <c r="H531" s="2913"/>
      <c r="I531" s="2913"/>
    </row>
    <row r="532" spans="1:9">
      <c r="A532" s="3205"/>
      <c r="B532" s="3257" t="s">
        <v>170</v>
      </c>
      <c r="C532" s="3257" t="s">
        <v>1826</v>
      </c>
      <c r="D532" s="3253" t="s">
        <v>1827</v>
      </c>
      <c r="E532" s="2883"/>
      <c r="F532" s="2913"/>
      <c r="H532" s="2913"/>
      <c r="I532" s="2913"/>
    </row>
    <row r="533" spans="1:9">
      <c r="A533" s="3989"/>
      <c r="B533" s="3257" t="s">
        <v>171</v>
      </c>
      <c r="C533" s="3257" t="s">
        <v>1826</v>
      </c>
      <c r="D533" s="3253" t="s">
        <v>1827</v>
      </c>
      <c r="E533" s="2883"/>
      <c r="F533" s="2913"/>
      <c r="H533" s="2913"/>
      <c r="I533" s="2913"/>
    </row>
    <row r="534" spans="1:9">
      <c r="A534" s="4267"/>
      <c r="B534" s="4043" t="s">
        <v>148</v>
      </c>
      <c r="C534" s="3257" t="s">
        <v>1826</v>
      </c>
      <c r="D534" s="3253" t="s">
        <v>1827</v>
      </c>
      <c r="E534" s="2883"/>
      <c r="F534" s="2913"/>
      <c r="H534" s="2913"/>
      <c r="I534" s="2913"/>
    </row>
    <row r="535" spans="1:9" ht="22.5">
      <c r="A535" s="3205"/>
      <c r="B535" s="3262" t="s">
        <v>420</v>
      </c>
      <c r="C535" s="3237" t="s">
        <v>1736</v>
      </c>
      <c r="D535" s="3237" t="s">
        <v>1735</v>
      </c>
      <c r="E535" s="2883"/>
      <c r="F535" s="2913"/>
      <c r="H535" s="2913"/>
      <c r="I535" s="2913"/>
    </row>
    <row r="536" spans="1:9" hidden="1">
      <c r="A536" s="3205"/>
      <c r="B536" s="3260">
        <v>2015</v>
      </c>
      <c r="C536" s="3257"/>
      <c r="D536" s="3253"/>
      <c r="E536" s="2883"/>
      <c r="F536" s="2913"/>
      <c r="H536" s="2913"/>
      <c r="I536" s="2913"/>
    </row>
    <row r="537" spans="1:9" hidden="1">
      <c r="A537" s="3205"/>
      <c r="B537" s="3257" t="s">
        <v>938</v>
      </c>
      <c r="C537" s="3257" t="s">
        <v>1658</v>
      </c>
      <c r="D537" s="3253" t="s">
        <v>1143</v>
      </c>
      <c r="E537" s="2883"/>
      <c r="F537" s="2913"/>
      <c r="H537" s="2913"/>
      <c r="I537" s="2913"/>
    </row>
    <row r="538" spans="1:9" hidden="1">
      <c r="A538" s="3205"/>
      <c r="B538" s="3257" t="s">
        <v>939</v>
      </c>
      <c r="C538" s="3257" t="s">
        <v>1658</v>
      </c>
      <c r="D538" s="3253" t="s">
        <v>1746</v>
      </c>
      <c r="E538" s="2883"/>
      <c r="F538" s="2913"/>
      <c r="H538" s="2913"/>
      <c r="I538" s="2913"/>
    </row>
    <row r="539" spans="1:9" hidden="1">
      <c r="A539" s="3205"/>
      <c r="B539" s="3257" t="s">
        <v>940</v>
      </c>
      <c r="C539" s="3257" t="s">
        <v>1658</v>
      </c>
      <c r="D539" s="3253" t="s">
        <v>1746</v>
      </c>
      <c r="E539" s="2883"/>
      <c r="F539" s="2913"/>
      <c r="H539" s="2913"/>
      <c r="I539" s="2913"/>
    </row>
    <row r="540" spans="1:9" hidden="1">
      <c r="A540" s="3205"/>
      <c r="B540" s="3257" t="s">
        <v>1059</v>
      </c>
      <c r="C540" s="3257" t="s">
        <v>1658</v>
      </c>
      <c r="D540" s="3253" t="s">
        <v>1746</v>
      </c>
      <c r="E540" s="2883"/>
      <c r="F540" s="2913"/>
      <c r="H540" s="2913"/>
      <c r="I540" s="2913"/>
    </row>
    <row r="541" spans="1:9" hidden="1">
      <c r="A541" s="3205"/>
      <c r="B541" s="3257" t="s">
        <v>1060</v>
      </c>
      <c r="C541" s="3257" t="s">
        <v>1658</v>
      </c>
      <c r="D541" s="3253" t="s">
        <v>1746</v>
      </c>
      <c r="E541" s="2883"/>
      <c r="F541" s="2913"/>
      <c r="H541" s="2913"/>
      <c r="I541" s="2913"/>
    </row>
    <row r="542" spans="1:9" hidden="1">
      <c r="A542" s="3205"/>
      <c r="B542" s="3257" t="s">
        <v>82</v>
      </c>
      <c r="C542" s="3257" t="s">
        <v>1658</v>
      </c>
      <c r="D542" s="3253" t="s">
        <v>1746</v>
      </c>
      <c r="E542" s="2883"/>
      <c r="F542" s="2913"/>
      <c r="H542" s="2913"/>
      <c r="I542" s="2913"/>
    </row>
    <row r="543" spans="1:9" hidden="1">
      <c r="A543" s="3205"/>
      <c r="B543" s="3257" t="s">
        <v>1063</v>
      </c>
      <c r="C543" s="3257" t="s">
        <v>1658</v>
      </c>
      <c r="D543" s="3253" t="s">
        <v>1746</v>
      </c>
      <c r="E543" s="2883"/>
      <c r="F543" s="2913"/>
      <c r="H543" s="2913"/>
      <c r="I543" s="2913"/>
    </row>
    <row r="544" spans="1:9" hidden="1">
      <c r="A544" s="3205"/>
      <c r="B544" s="3257" t="s">
        <v>1064</v>
      </c>
      <c r="C544" s="3257" t="s">
        <v>1658</v>
      </c>
      <c r="D544" s="3253" t="s">
        <v>1746</v>
      </c>
      <c r="E544" s="2883"/>
      <c r="F544" s="2913"/>
      <c r="H544" s="2913"/>
      <c r="I544" s="2913"/>
    </row>
    <row r="545" spans="1:9" hidden="1">
      <c r="A545" s="3205"/>
      <c r="B545" s="3257" t="s">
        <v>966</v>
      </c>
      <c r="C545" s="3257" t="s">
        <v>1658</v>
      </c>
      <c r="D545" s="3253" t="s">
        <v>1746</v>
      </c>
      <c r="E545" s="2883"/>
      <c r="F545" s="2913"/>
      <c r="H545" s="2913"/>
      <c r="I545" s="2913"/>
    </row>
    <row r="546" spans="1:9" hidden="1">
      <c r="A546" s="3205"/>
      <c r="B546" s="3257" t="s">
        <v>1768</v>
      </c>
      <c r="C546" s="3257" t="s">
        <v>1658</v>
      </c>
      <c r="D546" s="3253" t="s">
        <v>1746</v>
      </c>
      <c r="E546" s="2883"/>
      <c r="F546" s="2913"/>
      <c r="H546" s="2913"/>
      <c r="I546" s="2913"/>
    </row>
    <row r="547" spans="1:9" hidden="1">
      <c r="A547" s="3205"/>
      <c r="B547" s="3257" t="s">
        <v>1769</v>
      </c>
      <c r="C547" s="3257" t="s">
        <v>1658</v>
      </c>
      <c r="D547" s="3253" t="s">
        <v>1746</v>
      </c>
      <c r="E547" s="2883"/>
      <c r="F547" s="2913"/>
      <c r="H547" s="2913"/>
      <c r="I547" s="2913"/>
    </row>
    <row r="548" spans="1:9" hidden="1">
      <c r="A548" s="3205"/>
      <c r="B548" s="3257" t="s">
        <v>1770</v>
      </c>
      <c r="C548" s="3257" t="s">
        <v>1658</v>
      </c>
      <c r="D548" s="3253" t="s">
        <v>1746</v>
      </c>
      <c r="E548" s="2883"/>
      <c r="F548" s="2913"/>
      <c r="H548" s="2913"/>
      <c r="I548" s="2913"/>
    </row>
    <row r="549" spans="1:9" hidden="1">
      <c r="A549" s="3205"/>
      <c r="B549" s="3257" t="s">
        <v>1771</v>
      </c>
      <c r="C549" s="3257" t="s">
        <v>1658</v>
      </c>
      <c r="D549" s="3253" t="s">
        <v>1746</v>
      </c>
      <c r="E549" s="2883"/>
      <c r="F549" s="2913"/>
      <c r="H549" s="2913"/>
      <c r="I549" s="2913"/>
    </row>
    <row r="550" spans="1:9" hidden="1">
      <c r="A550" s="3205"/>
      <c r="B550" s="3257" t="s">
        <v>1772</v>
      </c>
      <c r="C550" s="3257" t="s">
        <v>1658</v>
      </c>
      <c r="D550" s="3253" t="s">
        <v>1746</v>
      </c>
      <c r="E550" s="2883"/>
      <c r="F550" s="2913"/>
      <c r="H550" s="2913"/>
      <c r="I550" s="2913"/>
    </row>
    <row r="551" spans="1:9" hidden="1">
      <c r="A551" s="3205"/>
      <c r="B551" s="3257" t="s">
        <v>1773</v>
      </c>
      <c r="C551" s="3257" t="s">
        <v>1774</v>
      </c>
      <c r="D551" s="3253" t="s">
        <v>1746</v>
      </c>
      <c r="E551" s="2883"/>
      <c r="F551" s="2913"/>
      <c r="H551" s="2913"/>
      <c r="I551" s="2913"/>
    </row>
    <row r="552" spans="1:9" hidden="1">
      <c r="A552" s="3205"/>
      <c r="B552" s="3257" t="s">
        <v>1776</v>
      </c>
      <c r="C552" s="3257" t="s">
        <v>1774</v>
      </c>
      <c r="D552" s="3253" t="s">
        <v>1746</v>
      </c>
      <c r="E552" s="2883"/>
      <c r="F552" s="2913"/>
      <c r="H552" s="2913"/>
      <c r="I552" s="2913"/>
    </row>
    <row r="553" spans="1:9" hidden="1">
      <c r="A553" s="3205"/>
      <c r="B553" s="3257" t="s">
        <v>1777</v>
      </c>
      <c r="C553" s="3257" t="s">
        <v>1774</v>
      </c>
      <c r="D553" s="3253" t="s">
        <v>1779</v>
      </c>
      <c r="E553" s="2883"/>
      <c r="F553" s="2913"/>
      <c r="H553" s="2913"/>
      <c r="I553" s="2913"/>
    </row>
    <row r="554" spans="1:9" hidden="1">
      <c r="A554" s="3205"/>
      <c r="B554" s="3257" t="s">
        <v>1778</v>
      </c>
      <c r="C554" s="3257" t="s">
        <v>1774</v>
      </c>
      <c r="D554" s="3253" t="s">
        <v>1779</v>
      </c>
      <c r="E554" s="2883"/>
      <c r="F554" s="2913"/>
      <c r="H554" s="2913"/>
      <c r="I554" s="2913"/>
    </row>
    <row r="555" spans="1:9" hidden="1">
      <c r="A555" s="3205"/>
      <c r="B555" s="3257" t="s">
        <v>1781</v>
      </c>
      <c r="C555" s="3257" t="s">
        <v>1780</v>
      </c>
      <c r="D555" s="3253" t="s">
        <v>1779</v>
      </c>
      <c r="E555" s="2883"/>
      <c r="F555" s="2913"/>
      <c r="H555" s="2913"/>
      <c r="I555" s="2913"/>
    </row>
    <row r="556" spans="1:9" hidden="1">
      <c r="A556" s="3205"/>
      <c r="B556" s="3257" t="s">
        <v>1787</v>
      </c>
      <c r="C556" s="3257" t="s">
        <v>1780</v>
      </c>
      <c r="D556" s="3253" t="s">
        <v>1779</v>
      </c>
      <c r="E556" s="2883"/>
      <c r="F556" s="2913"/>
      <c r="H556" s="2913"/>
      <c r="I556" s="2913"/>
    </row>
    <row r="557" spans="1:9" hidden="1">
      <c r="A557" s="3205"/>
      <c r="B557" s="3257" t="s">
        <v>1788</v>
      </c>
      <c r="C557" s="3257" t="s">
        <v>1780</v>
      </c>
      <c r="D557" s="3253" t="s">
        <v>1779</v>
      </c>
      <c r="E557" s="2883"/>
      <c r="F557" s="2913"/>
      <c r="H557" s="2913"/>
      <c r="I557" s="2913"/>
    </row>
    <row r="558" spans="1:9" hidden="1">
      <c r="A558" s="3205"/>
      <c r="B558" s="3257" t="s">
        <v>1789</v>
      </c>
      <c r="C558" s="3257" t="s">
        <v>1780</v>
      </c>
      <c r="D558" s="3253" t="s">
        <v>1779</v>
      </c>
      <c r="E558" s="2883"/>
      <c r="F558" s="2913"/>
      <c r="H558" s="2913"/>
      <c r="I558" s="2913"/>
    </row>
    <row r="559" spans="1:9" hidden="1">
      <c r="A559" s="3205"/>
      <c r="B559" s="3257" t="s">
        <v>1790</v>
      </c>
      <c r="C559" s="3257" t="s">
        <v>1780</v>
      </c>
      <c r="D559" s="3253" t="s">
        <v>1779</v>
      </c>
      <c r="E559" s="2883"/>
      <c r="F559" s="2913"/>
      <c r="H559" s="2913"/>
      <c r="I559" s="2913"/>
    </row>
    <row r="560" spans="1:9" hidden="1">
      <c r="A560" s="3205"/>
      <c r="B560" s="3257" t="s">
        <v>1791</v>
      </c>
      <c r="C560" s="3257" t="s">
        <v>1795</v>
      </c>
      <c r="D560" s="3253" t="s">
        <v>1779</v>
      </c>
      <c r="E560" s="2883"/>
      <c r="F560" s="2913"/>
      <c r="H560" s="2913"/>
      <c r="I560" s="2913"/>
    </row>
    <row r="561" spans="1:9" hidden="1">
      <c r="A561" s="3205"/>
      <c r="B561" s="3257" t="s">
        <v>1792</v>
      </c>
      <c r="C561" s="3257" t="s">
        <v>1795</v>
      </c>
      <c r="D561" s="3253" t="s">
        <v>1779</v>
      </c>
      <c r="E561" s="2883"/>
      <c r="F561" s="2913"/>
      <c r="H561" s="2913"/>
      <c r="I561" s="2913"/>
    </row>
    <row r="562" spans="1:9" hidden="1">
      <c r="A562" s="3205"/>
      <c r="B562" s="3257" t="s">
        <v>1794</v>
      </c>
      <c r="C562" s="3257" t="s">
        <v>1795</v>
      </c>
      <c r="D562" s="3253" t="s">
        <v>1779</v>
      </c>
      <c r="E562" s="2883"/>
      <c r="F562" s="2913"/>
      <c r="H562" s="2913"/>
      <c r="I562" s="2913"/>
    </row>
    <row r="563" spans="1:9" hidden="1">
      <c r="A563" s="3205"/>
      <c r="B563" s="3257" t="s">
        <v>1793</v>
      </c>
      <c r="C563" s="3257" t="s">
        <v>1795</v>
      </c>
      <c r="D563" s="3253" t="s">
        <v>1779</v>
      </c>
      <c r="E563" s="2883"/>
      <c r="F563" s="2913"/>
      <c r="H563" s="2913"/>
      <c r="I563" s="2913"/>
    </row>
    <row r="564" spans="1:9" hidden="1">
      <c r="A564" s="3205"/>
      <c r="B564" s="3257" t="s">
        <v>1796</v>
      </c>
      <c r="C564" s="3257" t="s">
        <v>1795</v>
      </c>
      <c r="D564" s="3253" t="s">
        <v>1779</v>
      </c>
      <c r="E564" s="2883"/>
      <c r="F564" s="2913"/>
      <c r="H564" s="2913"/>
      <c r="I564" s="2913"/>
    </row>
    <row r="565" spans="1:9" hidden="1">
      <c r="A565" s="3205"/>
      <c r="B565" s="3257" t="s">
        <v>1797</v>
      </c>
      <c r="C565" s="3257" t="s">
        <v>1795</v>
      </c>
      <c r="D565" s="3253" t="s">
        <v>1779</v>
      </c>
      <c r="E565" s="2883"/>
      <c r="F565" s="2913"/>
      <c r="H565" s="2913"/>
      <c r="I565" s="2913"/>
    </row>
    <row r="566" spans="1:9" hidden="1">
      <c r="A566" s="3205"/>
      <c r="B566" s="3257" t="s">
        <v>1798</v>
      </c>
      <c r="C566" s="3257" t="s">
        <v>1795</v>
      </c>
      <c r="D566" s="3253" t="s">
        <v>1739</v>
      </c>
      <c r="E566" s="2883"/>
      <c r="F566" s="2913"/>
      <c r="H566" s="2913"/>
      <c r="I566" s="2913"/>
    </row>
    <row r="567" spans="1:9" hidden="1">
      <c r="A567" s="3205"/>
      <c r="B567" s="3257" t="s">
        <v>1799</v>
      </c>
      <c r="C567" s="3257" t="s">
        <v>1795</v>
      </c>
      <c r="D567" s="3253" t="s">
        <v>1801</v>
      </c>
      <c r="E567" s="2883"/>
      <c r="F567" s="2913"/>
      <c r="H567" s="2913"/>
      <c r="I567" s="2913"/>
    </row>
    <row r="568" spans="1:9" hidden="1">
      <c r="A568" s="3205"/>
      <c r="B568" s="3257" t="s">
        <v>1800</v>
      </c>
      <c r="C568" s="3257" t="s">
        <v>1795</v>
      </c>
      <c r="D568" s="3253" t="s">
        <v>1801</v>
      </c>
      <c r="E568" s="2883"/>
      <c r="F568" s="2913"/>
      <c r="H568" s="2913"/>
      <c r="I568" s="2913"/>
    </row>
    <row r="569" spans="1:9" hidden="1">
      <c r="A569" s="3205"/>
      <c r="B569" s="3257" t="s">
        <v>1805</v>
      </c>
      <c r="C569" s="3257" t="s">
        <v>1795</v>
      </c>
      <c r="D569" s="3253" t="s">
        <v>1808</v>
      </c>
      <c r="E569" s="2883"/>
      <c r="F569" s="2913"/>
      <c r="H569" s="2913"/>
      <c r="I569" s="2913"/>
    </row>
    <row r="570" spans="1:9" hidden="1">
      <c r="A570" s="3205"/>
      <c r="B570" s="3257" t="s">
        <v>1807</v>
      </c>
      <c r="C570" s="3257" t="s">
        <v>1795</v>
      </c>
      <c r="D570" s="3253" t="s">
        <v>1809</v>
      </c>
      <c r="E570" s="2883"/>
      <c r="F570" s="2913"/>
      <c r="H570" s="2913"/>
      <c r="I570" s="2913"/>
    </row>
    <row r="571" spans="1:9" hidden="1">
      <c r="A571" s="3205"/>
      <c r="B571" s="3257" t="s">
        <v>1806</v>
      </c>
      <c r="C571" s="3257" t="s">
        <v>1795</v>
      </c>
      <c r="D571" s="3253" t="s">
        <v>1810</v>
      </c>
      <c r="E571" s="2883"/>
      <c r="F571" s="2913"/>
      <c r="H571" s="2913"/>
      <c r="I571" s="2913"/>
    </row>
    <row r="572" spans="1:9" hidden="1">
      <c r="A572" s="3205"/>
      <c r="B572" s="3257" t="s">
        <v>1811</v>
      </c>
      <c r="C572" s="3257" t="s">
        <v>1795</v>
      </c>
      <c r="D572" s="3253" t="s">
        <v>1810</v>
      </c>
      <c r="E572" s="2883"/>
      <c r="F572" s="2913"/>
      <c r="H572" s="2913"/>
      <c r="I572" s="2913"/>
    </row>
    <row r="573" spans="1:9" hidden="1">
      <c r="A573" s="3205"/>
      <c r="B573" s="3257" t="s">
        <v>1815</v>
      </c>
      <c r="C573" s="3257" t="s">
        <v>1795</v>
      </c>
      <c r="D573" s="3253" t="s">
        <v>1810</v>
      </c>
      <c r="E573" s="2883"/>
      <c r="F573" s="2913"/>
      <c r="H573" s="2913"/>
      <c r="I573" s="2913"/>
    </row>
    <row r="574" spans="1:9" hidden="1">
      <c r="A574" s="3205"/>
      <c r="B574" s="3257" t="s">
        <v>1812</v>
      </c>
      <c r="C574" s="3257" t="s">
        <v>1795</v>
      </c>
      <c r="D574" s="3253" t="s">
        <v>1810</v>
      </c>
      <c r="E574" s="2883"/>
      <c r="F574" s="2913"/>
      <c r="H574" s="2913"/>
      <c r="I574" s="2913"/>
    </row>
    <row r="575" spans="1:9" hidden="1">
      <c r="A575" s="3205"/>
      <c r="B575" s="3257" t="s">
        <v>1813</v>
      </c>
      <c r="C575" s="3257" t="s">
        <v>1795</v>
      </c>
      <c r="D575" s="3253" t="s">
        <v>1810</v>
      </c>
      <c r="E575" s="2883"/>
      <c r="F575" s="2913"/>
      <c r="H575" s="2913"/>
      <c r="I575" s="2913"/>
    </row>
    <row r="576" spans="1:9" hidden="1">
      <c r="A576" s="2883"/>
      <c r="B576" s="3257" t="s">
        <v>1814</v>
      </c>
      <c r="C576" s="3257" t="s">
        <v>1816</v>
      </c>
      <c r="D576" s="3253" t="s">
        <v>1810</v>
      </c>
      <c r="E576" s="2883"/>
      <c r="F576" s="2913"/>
      <c r="H576" s="2913"/>
      <c r="I576" s="2913"/>
    </row>
    <row r="577" spans="1:9" hidden="1">
      <c r="A577" s="2883"/>
      <c r="B577" s="3257" t="s">
        <v>1828</v>
      </c>
      <c r="C577" s="3257" t="s">
        <v>1826</v>
      </c>
      <c r="D577" s="3253" t="s">
        <v>1827</v>
      </c>
      <c r="E577" s="2883"/>
      <c r="F577" s="2913"/>
      <c r="H577" s="2913"/>
      <c r="I577" s="2913"/>
    </row>
    <row r="578" spans="1:9" hidden="1">
      <c r="A578" s="2883"/>
      <c r="B578" s="3257" t="s">
        <v>1829</v>
      </c>
      <c r="C578" s="3257" t="s">
        <v>1826</v>
      </c>
      <c r="D578" s="3253" t="s">
        <v>1827</v>
      </c>
      <c r="E578" s="2883"/>
      <c r="F578" s="2913"/>
      <c r="H578" s="2913"/>
      <c r="I578" s="2913"/>
    </row>
    <row r="579" spans="1:9" hidden="1">
      <c r="A579" s="2883"/>
      <c r="B579" s="3257" t="s">
        <v>1830</v>
      </c>
      <c r="C579" s="3257" t="s">
        <v>1826</v>
      </c>
      <c r="D579" s="3253" t="s">
        <v>1827</v>
      </c>
      <c r="E579" s="2883"/>
      <c r="F579" s="2913"/>
      <c r="H579" s="2913"/>
      <c r="I579" s="2913"/>
    </row>
    <row r="580" spans="1:9" hidden="1">
      <c r="A580" s="2883"/>
      <c r="B580" s="3257" t="s">
        <v>1831</v>
      </c>
      <c r="C580" s="3257" t="s">
        <v>1826</v>
      </c>
      <c r="D580" s="3253" t="s">
        <v>1827</v>
      </c>
      <c r="E580" s="2883"/>
      <c r="F580" s="2913"/>
      <c r="H580" s="2913"/>
      <c r="I580" s="2913"/>
    </row>
    <row r="581" spans="1:9" hidden="1">
      <c r="A581" s="2883"/>
      <c r="B581" s="3257" t="s">
        <v>1832</v>
      </c>
      <c r="C581" s="3257" t="s">
        <v>1826</v>
      </c>
      <c r="D581" s="3253" t="s">
        <v>1827</v>
      </c>
      <c r="E581" s="2883"/>
      <c r="F581" s="2913"/>
      <c r="H581" s="2913"/>
      <c r="I581" s="2913"/>
    </row>
    <row r="582" spans="1:9" hidden="1">
      <c r="A582" s="2883"/>
      <c r="B582" s="3257" t="s">
        <v>1833</v>
      </c>
      <c r="C582" s="3257" t="s">
        <v>1826</v>
      </c>
      <c r="D582" s="3253" t="s">
        <v>1827</v>
      </c>
      <c r="E582" s="2883"/>
      <c r="F582" s="2913"/>
      <c r="H582" s="2913"/>
      <c r="I582" s="2913"/>
    </row>
    <row r="583" spans="1:9" hidden="1">
      <c r="A583" s="2883"/>
      <c r="B583" s="3257" t="s">
        <v>1834</v>
      </c>
      <c r="C583" s="3257" t="s">
        <v>1826</v>
      </c>
      <c r="D583" s="3253" t="s">
        <v>1827</v>
      </c>
      <c r="E583" s="2883"/>
      <c r="F583" s="2913"/>
      <c r="H583" s="2913"/>
      <c r="I583" s="2913"/>
    </row>
    <row r="584" spans="1:9" hidden="1">
      <c r="A584" s="2883"/>
      <c r="B584" s="3257" t="s">
        <v>1835</v>
      </c>
      <c r="C584" s="3257" t="s">
        <v>1826</v>
      </c>
      <c r="D584" s="3253" t="s">
        <v>1827</v>
      </c>
      <c r="E584" s="2883"/>
      <c r="F584" s="2913"/>
      <c r="H584" s="2913"/>
      <c r="I584" s="2913"/>
    </row>
    <row r="585" spans="1:9" hidden="1">
      <c r="A585" s="2883"/>
      <c r="B585" s="3257" t="s">
        <v>1836</v>
      </c>
      <c r="C585" s="3257" t="s">
        <v>1826</v>
      </c>
      <c r="D585" s="3253" t="s">
        <v>1827</v>
      </c>
      <c r="E585" s="2883"/>
      <c r="F585" s="2913"/>
      <c r="H585" s="2913"/>
      <c r="I585" s="2913"/>
    </row>
    <row r="586" spans="1:9" hidden="1">
      <c r="A586" s="2883"/>
      <c r="B586" s="3257" t="s">
        <v>1837</v>
      </c>
      <c r="C586" s="3257" t="s">
        <v>1826</v>
      </c>
      <c r="D586" s="3253" t="s">
        <v>1827</v>
      </c>
      <c r="E586" s="2883"/>
      <c r="F586" s="2913"/>
      <c r="H586" s="2913"/>
      <c r="I586" s="2913"/>
    </row>
    <row r="587" spans="1:9" hidden="1">
      <c r="A587" s="2883"/>
      <c r="B587" s="3257" t="s">
        <v>1838</v>
      </c>
      <c r="C587" s="3257" t="s">
        <v>1826</v>
      </c>
      <c r="D587" s="3253" t="s">
        <v>1827</v>
      </c>
      <c r="E587" s="2883"/>
      <c r="F587" s="2913"/>
      <c r="H587" s="2913"/>
      <c r="I587" s="2913"/>
    </row>
    <row r="588" spans="1:9" hidden="1">
      <c r="A588" s="2883"/>
      <c r="B588" s="3257" t="s">
        <v>1839</v>
      </c>
      <c r="C588" s="3257" t="s">
        <v>1826</v>
      </c>
      <c r="D588" s="3253" t="s">
        <v>1827</v>
      </c>
      <c r="E588" s="2883"/>
      <c r="F588" s="2913"/>
      <c r="H588" s="2913"/>
      <c r="I588" s="2913"/>
    </row>
    <row r="589" spans="1:9">
      <c r="A589" s="2883"/>
      <c r="B589" s="4266" t="s">
        <v>2093</v>
      </c>
      <c r="C589" s="4043"/>
      <c r="D589" s="4044"/>
      <c r="E589" s="2883"/>
      <c r="F589" s="2913"/>
      <c r="H589" s="2913"/>
      <c r="I589" s="2913"/>
    </row>
    <row r="590" spans="1:9" hidden="1">
      <c r="A590" s="2883"/>
      <c r="B590" s="4043" t="s">
        <v>1840</v>
      </c>
      <c r="C590" s="4043" t="s">
        <v>1826</v>
      </c>
      <c r="D590" s="4044" t="s">
        <v>1827</v>
      </c>
      <c r="E590" s="2883"/>
      <c r="F590" s="2913"/>
      <c r="H590" s="2913"/>
      <c r="I590" s="2913"/>
    </row>
    <row r="591" spans="1:9" hidden="1">
      <c r="A591" s="2883"/>
      <c r="B591" s="4043" t="s">
        <v>2048</v>
      </c>
      <c r="C591" s="4043" t="s">
        <v>1826</v>
      </c>
      <c r="D591" s="4044" t="s">
        <v>1827</v>
      </c>
      <c r="E591" s="2883"/>
      <c r="F591" s="2913"/>
      <c r="H591" s="2913"/>
      <c r="I591" s="2913"/>
    </row>
    <row r="592" spans="1:9" hidden="1">
      <c r="A592" s="2883"/>
      <c r="B592" s="4043" t="s">
        <v>2049</v>
      </c>
      <c r="C592" s="4043" t="s">
        <v>1826</v>
      </c>
      <c r="D592" s="4044" t="s">
        <v>1827</v>
      </c>
      <c r="E592" s="2883"/>
      <c r="F592" s="2913"/>
      <c r="H592" s="2913"/>
      <c r="I592" s="2913"/>
    </row>
    <row r="593" spans="1:9" hidden="1">
      <c r="A593" s="2883"/>
      <c r="B593" s="4043" t="s">
        <v>2050</v>
      </c>
      <c r="C593" s="4043" t="s">
        <v>1826</v>
      </c>
      <c r="D593" s="4044" t="s">
        <v>1827</v>
      </c>
      <c r="E593" s="2883"/>
      <c r="F593" s="2913"/>
      <c r="H593" s="2913"/>
      <c r="I593" s="2913"/>
    </row>
    <row r="594" spans="1:9" hidden="1">
      <c r="A594" s="2883"/>
      <c r="B594" s="4043" t="s">
        <v>2069</v>
      </c>
      <c r="C594" s="4043" t="s">
        <v>1826</v>
      </c>
      <c r="D594" s="4044" t="s">
        <v>1827</v>
      </c>
      <c r="E594" s="2883"/>
      <c r="F594" s="2913"/>
      <c r="H594" s="2913"/>
      <c r="I594" s="2913"/>
    </row>
    <row r="595" spans="1:9">
      <c r="A595" s="2883"/>
      <c r="B595" s="4043" t="s">
        <v>2070</v>
      </c>
      <c r="C595" s="4043" t="s">
        <v>1826</v>
      </c>
      <c r="D595" s="4044" t="s">
        <v>1827</v>
      </c>
      <c r="E595" s="2883"/>
      <c r="F595" s="2913"/>
      <c r="H595" s="2913"/>
      <c r="I595" s="2913"/>
    </row>
    <row r="596" spans="1:9">
      <c r="A596" s="2883"/>
      <c r="B596" s="4043" t="s">
        <v>2084</v>
      </c>
      <c r="C596" s="4043" t="s">
        <v>1826</v>
      </c>
      <c r="D596" s="4044" t="s">
        <v>1827</v>
      </c>
      <c r="E596" s="2883"/>
      <c r="F596" s="2913"/>
      <c r="H596" s="2913"/>
      <c r="I596" s="2913"/>
    </row>
    <row r="597" spans="1:9">
      <c r="A597" s="2883"/>
      <c r="B597" s="4043" t="s">
        <v>2085</v>
      </c>
      <c r="C597" s="4043" t="s">
        <v>1826</v>
      </c>
      <c r="D597" s="4044" t="s">
        <v>1827</v>
      </c>
      <c r="E597" s="2883"/>
      <c r="F597" s="2913"/>
      <c r="H597" s="2913"/>
      <c r="I597" s="2913"/>
    </row>
    <row r="598" spans="1:9">
      <c r="A598" s="2883"/>
      <c r="B598" s="4043" t="s">
        <v>2087</v>
      </c>
      <c r="C598" s="4043" t="s">
        <v>1826</v>
      </c>
      <c r="D598" s="4044" t="s">
        <v>1827</v>
      </c>
      <c r="E598" s="2883"/>
      <c r="F598" s="2913"/>
      <c r="H598" s="2913"/>
      <c r="I598" s="2913"/>
    </row>
    <row r="599" spans="1:9">
      <c r="A599" s="2883"/>
      <c r="B599" s="4043" t="s">
        <v>2088</v>
      </c>
      <c r="C599" s="4043" t="s">
        <v>1826</v>
      </c>
      <c r="D599" s="4044" t="s">
        <v>1827</v>
      </c>
      <c r="E599" s="2883"/>
      <c r="F599" s="2913"/>
      <c r="H599" s="2913"/>
      <c r="I599" s="2913"/>
    </row>
    <row r="600" spans="1:9">
      <c r="A600" s="2883"/>
      <c r="B600" s="4043" t="s">
        <v>2089</v>
      </c>
      <c r="C600" s="4043" t="s">
        <v>1826</v>
      </c>
      <c r="D600" s="4044" t="s">
        <v>1827</v>
      </c>
      <c r="E600" s="2883"/>
      <c r="F600" s="2913"/>
      <c r="H600" s="2913"/>
      <c r="I600" s="2913"/>
    </row>
    <row r="601" spans="1:9">
      <c r="A601" s="2883"/>
      <c r="B601" s="4043" t="s">
        <v>2090</v>
      </c>
      <c r="C601" s="4043" t="s">
        <v>2091</v>
      </c>
      <c r="D601" s="4044" t="s">
        <v>2092</v>
      </c>
      <c r="E601" s="2883"/>
      <c r="F601" s="2913"/>
      <c r="H601" s="2913"/>
      <c r="I601" s="2913"/>
    </row>
    <row r="602" spans="1:9">
      <c r="A602" s="2883"/>
      <c r="B602" s="4043" t="s">
        <v>2098</v>
      </c>
      <c r="C602" s="4043" t="s">
        <v>1826</v>
      </c>
      <c r="D602" s="4044" t="s">
        <v>1827</v>
      </c>
      <c r="E602" s="2883"/>
      <c r="F602" s="2913"/>
      <c r="H602" s="2913"/>
      <c r="I602" s="2913"/>
    </row>
    <row r="603" spans="1:9">
      <c r="A603" s="2883"/>
      <c r="B603" s="4043" t="s">
        <v>2099</v>
      </c>
      <c r="C603" s="4043" t="s">
        <v>1826</v>
      </c>
      <c r="D603" s="4044" t="s">
        <v>2100</v>
      </c>
      <c r="E603" s="2883"/>
      <c r="F603" s="2913"/>
      <c r="H603" s="2913"/>
      <c r="I603" s="2913"/>
    </row>
    <row r="604" spans="1:9">
      <c r="A604" s="2883"/>
      <c r="B604" s="4043" t="s">
        <v>2101</v>
      </c>
      <c r="C604" s="4043" t="s">
        <v>1826</v>
      </c>
      <c r="D604" s="4044" t="s">
        <v>2100</v>
      </c>
      <c r="E604" s="2883"/>
      <c r="F604" s="2913"/>
      <c r="H604" s="2913"/>
      <c r="I604" s="2913"/>
    </row>
    <row r="605" spans="1:9">
      <c r="A605" s="2883"/>
      <c r="B605" s="4043" t="s">
        <v>2102</v>
      </c>
      <c r="C605" s="4043" t="s">
        <v>1826</v>
      </c>
      <c r="D605" s="4044" t="s">
        <v>2100</v>
      </c>
      <c r="E605" s="2883"/>
      <c r="F605" s="2913"/>
      <c r="H605" s="2913"/>
      <c r="I605" s="2913"/>
    </row>
    <row r="606" spans="1:9">
      <c r="A606" s="2883"/>
      <c r="B606" s="4377" t="s">
        <v>2103</v>
      </c>
      <c r="C606" s="4377" t="s">
        <v>1826</v>
      </c>
      <c r="D606" s="4378" t="s">
        <v>2100</v>
      </c>
      <c r="E606" s="2883"/>
      <c r="F606" s="2913"/>
      <c r="H606" s="2913"/>
      <c r="I606" s="2913"/>
    </row>
    <row r="607" spans="1:9" ht="9.75" customHeight="1">
      <c r="A607" s="3205"/>
      <c r="B607" s="4894" t="s">
        <v>1749</v>
      </c>
      <c r="C607" s="4894"/>
      <c r="D607" s="4894"/>
      <c r="E607" s="2883"/>
      <c r="F607" s="2913"/>
      <c r="H607" s="2913"/>
      <c r="I607" s="2913"/>
    </row>
    <row r="608" spans="1:9" ht="9" customHeight="1">
      <c r="A608" s="3205"/>
      <c r="B608" s="4895" t="s">
        <v>1785</v>
      </c>
      <c r="C608" s="4895"/>
      <c r="D608" s="4895"/>
      <c r="E608" s="2883"/>
      <c r="F608" s="2913"/>
    </row>
    <row r="609" spans="1:6" ht="19.5" customHeight="1">
      <c r="A609" s="3205"/>
      <c r="B609" s="4896" t="s">
        <v>1786</v>
      </c>
      <c r="C609" s="4896"/>
      <c r="D609" s="4896"/>
      <c r="E609" s="2883"/>
      <c r="F609" s="2913"/>
    </row>
    <row r="610" spans="1:6">
      <c r="A610" s="3205"/>
      <c r="B610" s="3109"/>
      <c r="C610" s="3109"/>
      <c r="D610" s="3109"/>
      <c r="E610" s="2883"/>
      <c r="F610" s="2913"/>
    </row>
    <row r="611" spans="1:6">
      <c r="A611" s="3205"/>
      <c r="B611" s="2883"/>
      <c r="C611" s="2883"/>
      <c r="D611" s="2883"/>
      <c r="E611" s="2883"/>
      <c r="F611" s="2913"/>
    </row>
    <row r="612" spans="1:6">
      <c r="A612" s="3205"/>
      <c r="B612" s="2883"/>
      <c r="C612" s="2883"/>
      <c r="D612" s="2883"/>
      <c r="E612" s="2883"/>
      <c r="F612" s="2913"/>
    </row>
    <row r="613" spans="1:6">
      <c r="A613" s="3205"/>
      <c r="B613" s="2883"/>
      <c r="C613" s="2883"/>
      <c r="D613" s="2883"/>
      <c r="E613" s="2883"/>
      <c r="F613" s="2913"/>
    </row>
    <row r="614" spans="1:6">
      <c r="A614" s="3205"/>
      <c r="B614" s="2883"/>
      <c r="C614" s="2883"/>
      <c r="D614" s="2883"/>
      <c r="E614" s="2883"/>
      <c r="F614" s="2913"/>
    </row>
    <row r="615" spans="1:6">
      <c r="A615" s="3205"/>
      <c r="B615" s="2883"/>
      <c r="C615" s="2883"/>
      <c r="D615" s="2883"/>
      <c r="E615" s="2883"/>
      <c r="F615" s="2913"/>
    </row>
    <row r="616" spans="1:6">
      <c r="A616" s="3205"/>
      <c r="B616" s="2883"/>
      <c r="C616" s="2883"/>
      <c r="D616" s="2883"/>
      <c r="E616" s="2883"/>
      <c r="F616" s="2913"/>
    </row>
    <row r="617" spans="1:6">
      <c r="A617" s="3205"/>
      <c r="B617" s="2883"/>
      <c r="C617" s="2883"/>
      <c r="D617" s="2883"/>
      <c r="E617" s="2883"/>
      <c r="F617" s="2913"/>
    </row>
    <row r="618" spans="1:6">
      <c r="A618" s="3205"/>
      <c r="B618" s="2883"/>
      <c r="C618" s="2883"/>
      <c r="D618" s="2883"/>
      <c r="E618" s="2883"/>
      <c r="F618" s="2913"/>
    </row>
    <row r="619" spans="1:6" ht="12.75" customHeight="1">
      <c r="A619" s="3205"/>
      <c r="B619" s="2883"/>
      <c r="C619" s="2883"/>
      <c r="D619" s="2883"/>
      <c r="E619" s="2883"/>
      <c r="F619" s="2913"/>
    </row>
    <row r="620" spans="1:6" ht="12.75" customHeight="1">
      <c r="A620" s="3205"/>
      <c r="B620" s="2883"/>
      <c r="C620" s="2883"/>
      <c r="D620" s="2883"/>
      <c r="E620" s="2883"/>
      <c r="F620" s="2913"/>
    </row>
    <row r="621" spans="1:6" ht="12.75" customHeight="1">
      <c r="A621" s="3205"/>
      <c r="B621" s="2883"/>
      <c r="C621" s="2883"/>
      <c r="D621" s="2883"/>
      <c r="E621" s="2883"/>
      <c r="F621" s="2913"/>
    </row>
    <row r="622" spans="1:6">
      <c r="A622" s="3205"/>
      <c r="B622" s="2883"/>
      <c r="C622" s="2883"/>
      <c r="D622" s="2883"/>
      <c r="E622" s="2883"/>
      <c r="F622" s="2913"/>
    </row>
    <row r="623" spans="1:6">
      <c r="A623" s="3205"/>
      <c r="B623" s="2883"/>
      <c r="C623" s="2883"/>
      <c r="D623" s="2883"/>
      <c r="E623" s="2883"/>
      <c r="F623" s="2913"/>
    </row>
    <row r="624" spans="1:6">
      <c r="A624" s="3205"/>
      <c r="B624" s="2883"/>
      <c r="C624" s="2883"/>
      <c r="D624" s="2883"/>
      <c r="E624" s="2883"/>
      <c r="F624" s="2913"/>
    </row>
    <row r="625" spans="1:6">
      <c r="A625" s="3205"/>
      <c r="B625" s="2883"/>
      <c r="C625" s="2883"/>
      <c r="D625" s="2883"/>
      <c r="E625" s="2883"/>
      <c r="F625" s="2913"/>
    </row>
    <row r="626" spans="1:6">
      <c r="A626" s="3205"/>
      <c r="B626" s="2883"/>
      <c r="C626" s="2883"/>
      <c r="D626" s="2883"/>
      <c r="E626" s="2883"/>
      <c r="F626" s="2913"/>
    </row>
    <row r="627" spans="1:6">
      <c r="B627" s="2913"/>
      <c r="C627" s="2913"/>
      <c r="D627" s="2913"/>
      <c r="E627" s="2913"/>
      <c r="F627" s="2913"/>
    </row>
    <row r="628" spans="1:6">
      <c r="B628" s="2913"/>
      <c r="C628" s="2913"/>
      <c r="D628" s="2913"/>
      <c r="E628" s="2913"/>
      <c r="F628" s="2913"/>
    </row>
    <row r="629" spans="1:6">
      <c r="B629" s="2913"/>
      <c r="C629" s="2913"/>
      <c r="D629" s="2913"/>
      <c r="E629" s="2913"/>
      <c r="F629" s="2913"/>
    </row>
    <row r="630" spans="1:6">
      <c r="B630" s="2913"/>
      <c r="C630" s="2913"/>
      <c r="D630" s="2913"/>
      <c r="E630" s="2913"/>
      <c r="F630" s="2913"/>
    </row>
    <row r="631" spans="1:6">
      <c r="B631" s="2913"/>
      <c r="C631" s="2913"/>
      <c r="D631" s="2913"/>
      <c r="E631" s="2913"/>
      <c r="F631" s="2913"/>
    </row>
    <row r="632" spans="1:6">
      <c r="B632" s="2913"/>
      <c r="C632" s="2913"/>
      <c r="D632" s="2913"/>
      <c r="E632" s="2913"/>
      <c r="F632" s="2913"/>
    </row>
    <row r="633" spans="1:6">
      <c r="B633" s="2913"/>
      <c r="C633" s="2913"/>
      <c r="D633" s="2913"/>
      <c r="E633" s="2913"/>
      <c r="F633" s="2913"/>
    </row>
    <row r="634" spans="1:6">
      <c r="B634" s="2913"/>
      <c r="C634" s="2913"/>
      <c r="D634" s="2913"/>
      <c r="E634" s="2913"/>
      <c r="F634" s="2913"/>
    </row>
    <row r="635" spans="1:6">
      <c r="B635" s="2913"/>
      <c r="C635" s="2913"/>
      <c r="D635" s="2913"/>
      <c r="E635" s="2913"/>
      <c r="F635" s="2913"/>
    </row>
    <row r="636" spans="1:6">
      <c r="B636" s="2913"/>
      <c r="C636" s="2913"/>
      <c r="D636" s="2913"/>
      <c r="E636" s="2913"/>
      <c r="F636" s="2913"/>
    </row>
    <row r="637" spans="1:6">
      <c r="B637" s="2913"/>
      <c r="C637" s="2913"/>
      <c r="D637" s="2913"/>
      <c r="E637" s="2913"/>
      <c r="F637" s="2913"/>
    </row>
    <row r="638" spans="1:6">
      <c r="B638" s="2913"/>
      <c r="C638" s="2913"/>
      <c r="D638" s="2913"/>
      <c r="E638" s="2913"/>
      <c r="F638" s="2913"/>
    </row>
    <row r="639" spans="1:6">
      <c r="B639" s="2913"/>
      <c r="C639" s="2913"/>
      <c r="D639" s="2913"/>
      <c r="E639" s="2913"/>
      <c r="F639" s="2913"/>
    </row>
    <row r="640" spans="1:6">
      <c r="B640" s="2913"/>
      <c r="C640" s="2913"/>
      <c r="D640" s="2913"/>
      <c r="E640" s="2913"/>
      <c r="F640" s="2913"/>
    </row>
    <row r="641" spans="2:6">
      <c r="B641" s="2913"/>
      <c r="C641" s="2913"/>
      <c r="D641" s="2913"/>
      <c r="E641" s="2913"/>
      <c r="F641" s="2913"/>
    </row>
    <row r="642" spans="2:6">
      <c r="B642" s="2913"/>
      <c r="C642" s="2913"/>
      <c r="D642" s="2913"/>
      <c r="E642" s="2913"/>
      <c r="F642" s="2913"/>
    </row>
    <row r="643" spans="2:6">
      <c r="B643" s="2913"/>
      <c r="C643" s="2913"/>
      <c r="D643" s="2913"/>
      <c r="E643" s="2913"/>
      <c r="F643" s="2913"/>
    </row>
    <row r="644" spans="2:6">
      <c r="B644" s="2913"/>
      <c r="C644" s="2913"/>
      <c r="D644" s="2913"/>
      <c r="E644" s="2913"/>
      <c r="F644" s="2913"/>
    </row>
    <row r="645" spans="2:6">
      <c r="B645" s="2913"/>
      <c r="C645" s="2913"/>
      <c r="D645" s="2913"/>
      <c r="E645" s="2913"/>
      <c r="F645" s="2913"/>
    </row>
    <row r="646" spans="2:6">
      <c r="B646" s="2913"/>
      <c r="C646" s="2913"/>
      <c r="D646" s="2913"/>
      <c r="E646" s="2913"/>
      <c r="F646" s="2913"/>
    </row>
    <row r="647" spans="2:6">
      <c r="B647" s="2913"/>
      <c r="C647" s="2913"/>
      <c r="D647" s="2913"/>
      <c r="E647" s="2913"/>
      <c r="F647" s="2913"/>
    </row>
    <row r="648" spans="2:6">
      <c r="B648" s="2913"/>
      <c r="C648" s="2913"/>
      <c r="D648" s="2913"/>
      <c r="E648" s="2913"/>
      <c r="F648" s="2913"/>
    </row>
    <row r="649" spans="2:6">
      <c r="B649" s="2913"/>
      <c r="C649" s="2913"/>
      <c r="D649" s="2913"/>
      <c r="E649" s="2913"/>
      <c r="F649" s="2913"/>
    </row>
    <row r="650" spans="2:6">
      <c r="B650" s="2913"/>
      <c r="C650" s="2913"/>
      <c r="D650" s="2913"/>
      <c r="E650" s="2913"/>
      <c r="F650" s="2913"/>
    </row>
    <row r="651" spans="2:6">
      <c r="B651" s="2913"/>
      <c r="C651" s="2913"/>
      <c r="D651" s="2913"/>
      <c r="E651" s="2913"/>
      <c r="F651" s="2913"/>
    </row>
    <row r="652" spans="2:6">
      <c r="B652" s="2913"/>
      <c r="C652" s="2913"/>
      <c r="D652" s="2913"/>
      <c r="E652" s="2913"/>
      <c r="F652" s="2913"/>
    </row>
    <row r="653" spans="2:6">
      <c r="B653" s="2913"/>
      <c r="C653" s="2913"/>
      <c r="D653" s="2913"/>
      <c r="E653" s="2913"/>
      <c r="F653" s="2913"/>
    </row>
    <row r="654" spans="2:6">
      <c r="B654" s="2913"/>
      <c r="C654" s="2913"/>
      <c r="D654" s="2913"/>
      <c r="E654" s="2913"/>
      <c r="F654" s="2913"/>
    </row>
    <row r="655" spans="2:6">
      <c r="B655" s="2913"/>
      <c r="C655" s="2913"/>
      <c r="D655" s="2913"/>
      <c r="E655" s="2913"/>
      <c r="F655" s="2913"/>
    </row>
    <row r="656" spans="2:6">
      <c r="B656" s="2913"/>
      <c r="C656" s="2913"/>
      <c r="D656" s="2913"/>
      <c r="E656" s="2913"/>
      <c r="F656" s="2913"/>
    </row>
    <row r="657" spans="2:6">
      <c r="B657" s="2913"/>
      <c r="C657" s="2913"/>
      <c r="D657" s="2913"/>
      <c r="E657" s="2913"/>
      <c r="F657" s="2913"/>
    </row>
    <row r="658" spans="2:6">
      <c r="B658" s="2913"/>
      <c r="C658" s="2913"/>
      <c r="D658" s="2913"/>
      <c r="E658" s="2913"/>
      <c r="F658" s="2913"/>
    </row>
    <row r="659" spans="2:6">
      <c r="B659" s="2913"/>
      <c r="C659" s="2913"/>
      <c r="D659" s="2913"/>
      <c r="E659" s="2913"/>
      <c r="F659" s="2913"/>
    </row>
    <row r="660" spans="2:6">
      <c r="B660" s="2913"/>
      <c r="C660" s="2913"/>
      <c r="D660" s="2913"/>
      <c r="E660" s="2913"/>
      <c r="F660" s="2913"/>
    </row>
    <row r="661" spans="2:6">
      <c r="B661" s="2913"/>
      <c r="C661" s="2913"/>
      <c r="D661" s="2913"/>
      <c r="E661" s="2913"/>
      <c r="F661" s="2913"/>
    </row>
    <row r="662" spans="2:6">
      <c r="B662" s="2913"/>
      <c r="C662" s="2913"/>
      <c r="D662" s="2913"/>
      <c r="E662" s="2913"/>
      <c r="F662" s="2913"/>
    </row>
    <row r="663" spans="2:6">
      <c r="B663" s="2913"/>
      <c r="C663" s="2913"/>
      <c r="D663" s="2913"/>
      <c r="E663" s="2913"/>
      <c r="F663" s="2913"/>
    </row>
    <row r="664" spans="2:6">
      <c r="B664" s="2913"/>
      <c r="C664" s="2913"/>
      <c r="D664" s="2913"/>
      <c r="E664" s="2913"/>
      <c r="F664" s="2913"/>
    </row>
    <row r="665" spans="2:6">
      <c r="B665" s="2913"/>
      <c r="C665" s="2913"/>
      <c r="D665" s="2913"/>
      <c r="E665" s="2913"/>
      <c r="F665" s="2913"/>
    </row>
    <row r="666" spans="2:6">
      <c r="B666" s="2913"/>
      <c r="C666" s="2913"/>
      <c r="D666" s="2913"/>
      <c r="E666" s="2913"/>
      <c r="F666" s="2913"/>
    </row>
    <row r="667" spans="2:6">
      <c r="B667" s="2913"/>
      <c r="C667" s="2913"/>
      <c r="D667" s="2913"/>
      <c r="E667" s="2913"/>
      <c r="F667" s="2913"/>
    </row>
    <row r="668" spans="2:6">
      <c r="B668" s="2913"/>
      <c r="C668" s="2913"/>
      <c r="D668" s="2913"/>
      <c r="E668" s="2913"/>
      <c r="F668" s="2913"/>
    </row>
    <row r="669" spans="2:6">
      <c r="B669" s="2913"/>
      <c r="C669" s="2913"/>
      <c r="D669" s="2913"/>
      <c r="E669" s="2913"/>
      <c r="F669" s="2913"/>
    </row>
    <row r="670" spans="2:6">
      <c r="B670" s="2913"/>
      <c r="C670" s="2913"/>
      <c r="D670" s="2913"/>
      <c r="E670" s="2913"/>
      <c r="F670" s="2913"/>
    </row>
    <row r="671" spans="2:6">
      <c r="B671" s="2913"/>
      <c r="C671" s="2913"/>
      <c r="D671" s="2913"/>
      <c r="E671" s="2913"/>
      <c r="F671" s="2913"/>
    </row>
    <row r="672" spans="2:6">
      <c r="B672" s="2913"/>
      <c r="C672" s="2913"/>
      <c r="D672" s="2913"/>
      <c r="E672" s="2913"/>
      <c r="F672" s="2913"/>
    </row>
    <row r="673" spans="2:6">
      <c r="B673" s="2913"/>
      <c r="C673" s="2913"/>
      <c r="D673" s="2913"/>
      <c r="E673" s="2913"/>
      <c r="F673" s="2913"/>
    </row>
    <row r="674" spans="2:6">
      <c r="B674" s="2913"/>
      <c r="C674" s="2913"/>
      <c r="D674" s="2913"/>
      <c r="E674" s="2913"/>
      <c r="F674" s="2913"/>
    </row>
    <row r="675" spans="2:6">
      <c r="B675" s="2913"/>
      <c r="C675" s="2913"/>
      <c r="D675" s="2913"/>
      <c r="E675" s="2913"/>
      <c r="F675" s="2913"/>
    </row>
    <row r="676" spans="2:6">
      <c r="B676" s="2913"/>
      <c r="C676" s="2913"/>
      <c r="D676" s="2913"/>
      <c r="E676" s="2913"/>
      <c r="F676" s="2913"/>
    </row>
    <row r="677" spans="2:6">
      <c r="B677" s="2913"/>
      <c r="C677" s="2913"/>
      <c r="D677" s="2913"/>
      <c r="E677" s="2913"/>
      <c r="F677" s="2913"/>
    </row>
    <row r="678" spans="2:6">
      <c r="B678" s="2913"/>
      <c r="C678" s="2913"/>
      <c r="D678" s="2913"/>
      <c r="E678" s="2913"/>
      <c r="F678" s="2913"/>
    </row>
    <row r="679" spans="2:6">
      <c r="B679" s="2913"/>
      <c r="C679" s="2913"/>
      <c r="D679" s="2913"/>
      <c r="E679" s="2913"/>
      <c r="F679" s="2913"/>
    </row>
    <row r="680" spans="2:6">
      <c r="B680" s="2913"/>
      <c r="C680" s="2913"/>
      <c r="D680" s="2913"/>
      <c r="E680" s="2913"/>
      <c r="F680" s="2913"/>
    </row>
    <row r="681" spans="2:6">
      <c r="B681" s="2913"/>
      <c r="C681" s="2913"/>
      <c r="D681" s="2913"/>
      <c r="E681" s="2913"/>
      <c r="F681" s="2913"/>
    </row>
    <row r="682" spans="2:6">
      <c r="B682" s="2913"/>
      <c r="C682" s="2913"/>
      <c r="D682" s="2913"/>
      <c r="E682" s="2913"/>
      <c r="F682" s="2913"/>
    </row>
    <row r="683" spans="2:6">
      <c r="B683" s="2913"/>
      <c r="C683" s="2913"/>
      <c r="D683" s="2913"/>
      <c r="E683" s="2913"/>
      <c r="F683" s="2913"/>
    </row>
    <row r="684" spans="2:6">
      <c r="B684" s="2913"/>
      <c r="C684" s="2913"/>
      <c r="D684" s="2913"/>
      <c r="E684" s="2913"/>
      <c r="F684" s="2913"/>
    </row>
    <row r="685" spans="2:6">
      <c r="B685" s="2913"/>
      <c r="C685" s="2913"/>
      <c r="D685" s="2913"/>
      <c r="E685" s="2913"/>
      <c r="F685" s="2913"/>
    </row>
    <row r="686" spans="2:6">
      <c r="B686" s="2913"/>
      <c r="C686" s="2913"/>
      <c r="D686" s="2913"/>
      <c r="E686" s="2913"/>
      <c r="F686" s="2913"/>
    </row>
    <row r="687" spans="2:6">
      <c r="B687" s="2913"/>
      <c r="C687" s="2913"/>
      <c r="D687" s="2913"/>
      <c r="E687" s="2913"/>
      <c r="F687" s="2913"/>
    </row>
    <row r="688" spans="2:6">
      <c r="B688" s="2913"/>
      <c r="C688" s="2913"/>
      <c r="D688" s="2913"/>
      <c r="E688" s="2913"/>
      <c r="F688" s="2913"/>
    </row>
    <row r="689" spans="2:6">
      <c r="B689" s="2913"/>
      <c r="C689" s="2913"/>
      <c r="D689" s="2913"/>
      <c r="E689" s="2913"/>
      <c r="F689" s="2913"/>
    </row>
    <row r="690" spans="2:6">
      <c r="B690" s="2913"/>
      <c r="C690" s="2913"/>
      <c r="D690" s="2913"/>
      <c r="E690" s="2913"/>
      <c r="F690" s="2913"/>
    </row>
    <row r="691" spans="2:6">
      <c r="B691" s="2913"/>
      <c r="C691" s="2913"/>
      <c r="D691" s="2913"/>
      <c r="E691" s="2913"/>
      <c r="F691" s="2913"/>
    </row>
    <row r="692" spans="2:6">
      <c r="B692" s="2913"/>
      <c r="C692" s="2913"/>
      <c r="D692" s="2913"/>
      <c r="E692" s="2913"/>
      <c r="F692" s="2913"/>
    </row>
    <row r="693" spans="2:6">
      <c r="B693" s="2913"/>
      <c r="C693" s="2913"/>
      <c r="D693" s="2913"/>
      <c r="E693" s="2913"/>
      <c r="F693" s="2913"/>
    </row>
    <row r="694" spans="2:6">
      <c r="B694" s="2913"/>
      <c r="C694" s="2913"/>
      <c r="D694" s="2913"/>
      <c r="E694" s="2913"/>
      <c r="F694" s="2913"/>
    </row>
    <row r="695" spans="2:6">
      <c r="B695" s="2913"/>
      <c r="C695" s="2913"/>
      <c r="D695" s="2913"/>
      <c r="E695" s="2913"/>
      <c r="F695" s="2913"/>
    </row>
    <row r="696" spans="2:6">
      <c r="B696" s="2913"/>
      <c r="C696" s="2913"/>
      <c r="D696" s="2913"/>
      <c r="E696" s="2913"/>
      <c r="F696" s="2913"/>
    </row>
    <row r="697" spans="2:6">
      <c r="B697" s="2913"/>
      <c r="C697" s="2913"/>
      <c r="D697" s="2913"/>
      <c r="E697" s="2913"/>
      <c r="F697" s="2913"/>
    </row>
    <row r="698" spans="2:6">
      <c r="B698" s="2913"/>
      <c r="C698" s="2913"/>
      <c r="D698" s="2913"/>
      <c r="E698" s="2913"/>
      <c r="F698" s="2913"/>
    </row>
    <row r="699" spans="2:6">
      <c r="B699" s="2913"/>
      <c r="C699" s="2913"/>
      <c r="D699" s="2913"/>
      <c r="E699" s="2913"/>
      <c r="F699" s="2913"/>
    </row>
    <row r="700" spans="2:6">
      <c r="B700" s="2913"/>
      <c r="C700" s="2913"/>
      <c r="D700" s="2913"/>
      <c r="E700" s="2913"/>
      <c r="F700" s="2913"/>
    </row>
    <row r="701" spans="2:6">
      <c r="B701" s="2913"/>
      <c r="C701" s="2913"/>
      <c r="D701" s="2913"/>
      <c r="E701" s="2913"/>
      <c r="F701" s="2913"/>
    </row>
    <row r="702" spans="2:6">
      <c r="B702" s="2913"/>
      <c r="C702" s="2913"/>
      <c r="D702" s="2913"/>
      <c r="E702" s="2913"/>
      <c r="F702" s="2913"/>
    </row>
    <row r="703" spans="2:6">
      <c r="B703" s="2913"/>
      <c r="C703" s="2913"/>
      <c r="D703" s="2913"/>
      <c r="E703" s="2913"/>
      <c r="F703" s="2913"/>
    </row>
    <row r="704" spans="2:6">
      <c r="B704" s="2913"/>
      <c r="C704" s="2913"/>
      <c r="D704" s="2913"/>
      <c r="E704" s="2913"/>
      <c r="F704" s="2913"/>
    </row>
    <row r="705" spans="2:6">
      <c r="B705" s="2913"/>
      <c r="C705" s="2913"/>
      <c r="D705" s="2913"/>
      <c r="E705" s="2913"/>
      <c r="F705" s="2913"/>
    </row>
    <row r="706" spans="2:6">
      <c r="B706" s="2913"/>
      <c r="C706" s="2913"/>
      <c r="D706" s="2913"/>
      <c r="E706" s="2913"/>
      <c r="F706" s="2913"/>
    </row>
    <row r="707" spans="2:6">
      <c r="B707" s="2913"/>
      <c r="C707" s="2913"/>
      <c r="D707" s="2913"/>
      <c r="E707" s="2913"/>
      <c r="F707" s="2913"/>
    </row>
    <row r="708" spans="2:6">
      <c r="B708" s="2913"/>
      <c r="C708" s="2913"/>
      <c r="D708" s="2913"/>
      <c r="E708" s="2913"/>
      <c r="F708" s="2913"/>
    </row>
    <row r="709" spans="2:6">
      <c r="B709" s="2913"/>
      <c r="C709" s="2913"/>
      <c r="D709" s="2913"/>
      <c r="E709" s="2913"/>
      <c r="F709" s="2913"/>
    </row>
    <row r="710" spans="2:6">
      <c r="B710" s="2913"/>
      <c r="C710" s="2913"/>
      <c r="D710" s="2913"/>
      <c r="E710" s="2913"/>
      <c r="F710" s="2913"/>
    </row>
    <row r="711" spans="2:6">
      <c r="B711" s="2913"/>
      <c r="C711" s="2913"/>
      <c r="D711" s="2913"/>
      <c r="E711" s="2913"/>
      <c r="F711" s="2913"/>
    </row>
    <row r="712" spans="2:6">
      <c r="B712" s="2913"/>
      <c r="C712" s="2913"/>
      <c r="D712" s="2913"/>
      <c r="E712" s="2913"/>
      <c r="F712" s="2913"/>
    </row>
    <row r="713" spans="2:6">
      <c r="B713" s="2913"/>
      <c r="C713" s="2913"/>
      <c r="D713" s="2913"/>
      <c r="E713" s="2913"/>
      <c r="F713" s="2913"/>
    </row>
    <row r="714" spans="2:6">
      <c r="B714" s="2913"/>
      <c r="C714" s="2913"/>
      <c r="D714" s="2913"/>
      <c r="E714" s="2913"/>
      <c r="F714" s="2913"/>
    </row>
    <row r="715" spans="2:6">
      <c r="B715" s="2913"/>
      <c r="C715" s="2913"/>
      <c r="D715" s="2913"/>
      <c r="E715" s="2913"/>
      <c r="F715" s="2913"/>
    </row>
    <row r="716" spans="2:6">
      <c r="B716" s="2913"/>
      <c r="C716" s="2913"/>
      <c r="D716" s="2913"/>
      <c r="E716" s="2913"/>
      <c r="F716" s="2913"/>
    </row>
    <row r="717" spans="2:6">
      <c r="B717" s="2913"/>
      <c r="C717" s="2913"/>
      <c r="D717" s="2913"/>
      <c r="E717" s="2913"/>
      <c r="F717" s="2913"/>
    </row>
    <row r="718" spans="2:6">
      <c r="B718" s="2913"/>
      <c r="C718" s="2913"/>
      <c r="D718" s="2913"/>
      <c r="E718" s="2913"/>
      <c r="F718" s="2913"/>
    </row>
    <row r="719" spans="2:6">
      <c r="B719" s="2913"/>
      <c r="C719" s="2913"/>
      <c r="D719" s="2913"/>
      <c r="E719" s="2913"/>
      <c r="F719" s="2913"/>
    </row>
    <row r="720" spans="2:6">
      <c r="B720" s="2913"/>
      <c r="C720" s="2913"/>
      <c r="D720" s="2913"/>
      <c r="E720" s="2913"/>
      <c r="F720" s="2913"/>
    </row>
    <row r="721" spans="2:6">
      <c r="B721" s="2913"/>
      <c r="C721" s="2913"/>
      <c r="D721" s="2913"/>
      <c r="E721" s="2913"/>
      <c r="F721" s="2913"/>
    </row>
    <row r="722" spans="2:6">
      <c r="B722" s="2913"/>
      <c r="C722" s="2913"/>
      <c r="D722" s="2913"/>
      <c r="E722" s="2913"/>
      <c r="F722" s="2913"/>
    </row>
    <row r="723" spans="2:6">
      <c r="B723" s="2913"/>
      <c r="C723" s="2913"/>
      <c r="D723" s="2913"/>
      <c r="E723" s="2913"/>
      <c r="F723" s="2913"/>
    </row>
    <row r="724" spans="2:6">
      <c r="B724" s="2913"/>
      <c r="C724" s="2913"/>
      <c r="D724" s="2913"/>
      <c r="E724" s="2913"/>
      <c r="F724" s="2913"/>
    </row>
    <row r="725" spans="2:6">
      <c r="B725" s="2913"/>
      <c r="C725" s="2913"/>
      <c r="D725" s="2913"/>
      <c r="E725" s="2913"/>
      <c r="F725" s="2913"/>
    </row>
    <row r="726" spans="2:6">
      <c r="B726" s="2913"/>
      <c r="C726" s="2913"/>
      <c r="D726" s="2913"/>
      <c r="E726" s="2913"/>
      <c r="F726" s="2913"/>
    </row>
    <row r="727" spans="2:6">
      <c r="B727" s="2913"/>
      <c r="C727" s="2913"/>
      <c r="D727" s="2913"/>
      <c r="E727" s="2913"/>
      <c r="F727" s="2913"/>
    </row>
    <row r="728" spans="2:6">
      <c r="B728" s="2913"/>
      <c r="C728" s="2913"/>
      <c r="D728" s="2913"/>
      <c r="E728" s="2913"/>
      <c r="F728" s="2913"/>
    </row>
    <row r="729" spans="2:6">
      <c r="B729" s="2913"/>
      <c r="C729" s="2913"/>
      <c r="D729" s="2913"/>
      <c r="E729" s="2913"/>
      <c r="F729" s="2913"/>
    </row>
    <row r="730" spans="2:6">
      <c r="B730" s="2913"/>
      <c r="C730" s="2913"/>
      <c r="D730" s="2913"/>
      <c r="E730" s="2913"/>
      <c r="F730" s="2913"/>
    </row>
    <row r="731" spans="2:6">
      <c r="B731" s="2913"/>
      <c r="C731" s="2913"/>
      <c r="D731" s="2913"/>
      <c r="E731" s="2913"/>
      <c r="F731" s="2913"/>
    </row>
    <row r="732" spans="2:6">
      <c r="B732" s="2913"/>
      <c r="C732" s="2913"/>
      <c r="D732" s="2913"/>
      <c r="E732" s="2913"/>
      <c r="F732" s="2913"/>
    </row>
    <row r="733" spans="2:6">
      <c r="B733" s="2913"/>
      <c r="C733" s="2913"/>
      <c r="D733" s="2913"/>
      <c r="E733" s="2913"/>
      <c r="F733" s="2913"/>
    </row>
    <row r="734" spans="2:6">
      <c r="B734" s="2913"/>
      <c r="C734" s="2913"/>
      <c r="D734" s="2913"/>
      <c r="E734" s="2913"/>
      <c r="F734" s="2913"/>
    </row>
    <row r="735" spans="2:6">
      <c r="B735" s="2913"/>
      <c r="C735" s="2913"/>
      <c r="D735" s="2913"/>
      <c r="E735" s="2913"/>
      <c r="F735" s="2913"/>
    </row>
    <row r="736" spans="2:6">
      <c r="B736" s="2913"/>
      <c r="C736" s="2913"/>
      <c r="D736" s="2913"/>
      <c r="E736" s="2913"/>
      <c r="F736" s="2913"/>
    </row>
    <row r="737" spans="2:6">
      <c r="B737" s="2913"/>
      <c r="C737" s="2913"/>
      <c r="D737" s="2913"/>
      <c r="E737" s="2913"/>
      <c r="F737" s="2913"/>
    </row>
    <row r="738" spans="2:6">
      <c r="B738" s="2913"/>
      <c r="C738" s="2913"/>
      <c r="D738" s="2913"/>
      <c r="E738" s="2913"/>
      <c r="F738" s="2913"/>
    </row>
    <row r="739" spans="2:6">
      <c r="B739" s="2913"/>
      <c r="C739" s="2913"/>
      <c r="D739" s="2913"/>
      <c r="E739" s="2913"/>
      <c r="F739" s="2913"/>
    </row>
    <row r="740" spans="2:6">
      <c r="B740" s="2913"/>
      <c r="C740" s="2913"/>
      <c r="D740" s="2913"/>
      <c r="E740" s="2913"/>
      <c r="F740" s="2913"/>
    </row>
    <row r="741" spans="2:6">
      <c r="B741" s="2913"/>
      <c r="C741" s="2913"/>
      <c r="D741" s="2913"/>
      <c r="E741" s="2913"/>
      <c r="F741" s="2913"/>
    </row>
    <row r="742" spans="2:6">
      <c r="B742" s="2913"/>
      <c r="C742" s="2913"/>
      <c r="D742" s="2913"/>
      <c r="E742" s="2913"/>
      <c r="F742" s="2913"/>
    </row>
    <row r="743" spans="2:6">
      <c r="B743" s="2913"/>
      <c r="C743" s="2913"/>
      <c r="D743" s="2913"/>
      <c r="E743" s="2913"/>
      <c r="F743" s="2913"/>
    </row>
    <row r="744" spans="2:6">
      <c r="B744" s="2913"/>
      <c r="C744" s="2913"/>
      <c r="D744" s="2913"/>
      <c r="E744" s="2913"/>
      <c r="F744" s="2913"/>
    </row>
    <row r="745" spans="2:6">
      <c r="B745" s="2913"/>
      <c r="C745" s="2913"/>
      <c r="D745" s="2913"/>
      <c r="E745" s="2913"/>
      <c r="F745" s="2913"/>
    </row>
    <row r="746" spans="2:6">
      <c r="B746" s="2913"/>
      <c r="C746" s="2913"/>
      <c r="D746" s="2913"/>
      <c r="E746" s="2913"/>
      <c r="F746" s="2913"/>
    </row>
    <row r="747" spans="2:6">
      <c r="B747" s="2913"/>
      <c r="C747" s="2913"/>
      <c r="D747" s="2913"/>
      <c r="E747" s="2913"/>
      <c r="F747" s="2913"/>
    </row>
    <row r="748" spans="2:6">
      <c r="B748" s="2913"/>
      <c r="C748" s="2913"/>
      <c r="D748" s="2913"/>
      <c r="E748" s="2913"/>
      <c r="F748" s="2913"/>
    </row>
    <row r="749" spans="2:6">
      <c r="B749" s="2913"/>
      <c r="C749" s="2913"/>
      <c r="D749" s="2913"/>
      <c r="E749" s="2913"/>
      <c r="F749" s="2913"/>
    </row>
    <row r="750" spans="2:6">
      <c r="B750" s="2913"/>
      <c r="C750" s="2913"/>
      <c r="D750" s="2913"/>
      <c r="E750" s="2913"/>
      <c r="F750" s="2913"/>
    </row>
    <row r="751" spans="2:6">
      <c r="B751" s="2913"/>
      <c r="C751" s="2913"/>
      <c r="D751" s="2913"/>
      <c r="E751" s="2913"/>
      <c r="F751" s="2913"/>
    </row>
    <row r="752" spans="2:6">
      <c r="B752" s="2913"/>
      <c r="C752" s="2913"/>
      <c r="D752" s="2913"/>
      <c r="E752" s="2913"/>
      <c r="F752" s="2913"/>
    </row>
    <row r="753" spans="2:6">
      <c r="B753" s="2913"/>
      <c r="C753" s="2913"/>
      <c r="D753" s="2913"/>
      <c r="E753" s="2913"/>
      <c r="F753" s="2913"/>
    </row>
    <row r="754" spans="2:6">
      <c r="B754" s="2913"/>
      <c r="C754" s="2913"/>
      <c r="D754" s="2913"/>
      <c r="E754" s="2913"/>
      <c r="F754" s="2913"/>
    </row>
    <row r="755" spans="2:6">
      <c r="B755" s="2913"/>
      <c r="C755" s="2913"/>
      <c r="D755" s="2913"/>
      <c r="E755" s="2913"/>
      <c r="F755" s="2913"/>
    </row>
    <row r="756" spans="2:6">
      <c r="B756" s="2913"/>
      <c r="C756" s="2913"/>
      <c r="D756" s="2913"/>
      <c r="E756" s="2913"/>
      <c r="F756" s="2913"/>
    </row>
    <row r="757" spans="2:6">
      <c r="B757" s="2913"/>
      <c r="C757" s="2913"/>
      <c r="D757" s="2913"/>
      <c r="E757" s="2913"/>
      <c r="F757" s="2913"/>
    </row>
    <row r="758" spans="2:6">
      <c r="B758" s="2913"/>
      <c r="C758" s="2913"/>
      <c r="D758" s="2913"/>
      <c r="E758" s="2913"/>
      <c r="F758" s="2913"/>
    </row>
    <row r="759" spans="2:6">
      <c r="B759" s="2913"/>
      <c r="C759" s="2913"/>
      <c r="D759" s="2913"/>
      <c r="E759" s="2913"/>
      <c r="F759" s="2913"/>
    </row>
    <row r="760" spans="2:6">
      <c r="B760" s="2913"/>
      <c r="C760" s="2913"/>
      <c r="D760" s="2913"/>
      <c r="E760" s="2913"/>
      <c r="F760" s="2913"/>
    </row>
    <row r="761" spans="2:6">
      <c r="B761" s="2913"/>
      <c r="C761" s="2913"/>
      <c r="D761" s="2913"/>
      <c r="E761" s="2913"/>
      <c r="F761" s="2913"/>
    </row>
    <row r="762" spans="2:6">
      <c r="B762" s="2913"/>
      <c r="C762" s="2913"/>
      <c r="D762" s="2913"/>
      <c r="E762" s="2913"/>
      <c r="F762" s="2913"/>
    </row>
    <row r="763" spans="2:6">
      <c r="B763" s="2913"/>
      <c r="C763" s="2913"/>
      <c r="D763" s="2913"/>
      <c r="E763" s="2913"/>
      <c r="F763" s="2913"/>
    </row>
    <row r="764" spans="2:6">
      <c r="B764" s="2913"/>
      <c r="C764" s="2913"/>
      <c r="D764" s="2913"/>
      <c r="E764" s="2913"/>
      <c r="F764" s="2913"/>
    </row>
    <row r="765" spans="2:6">
      <c r="B765" s="2913"/>
      <c r="C765" s="2913"/>
      <c r="D765" s="2913"/>
      <c r="E765" s="2913"/>
      <c r="F765" s="2913"/>
    </row>
    <row r="766" spans="2:6">
      <c r="B766" s="2913"/>
      <c r="C766" s="2913"/>
      <c r="D766" s="2913"/>
      <c r="E766" s="2913"/>
      <c r="F766" s="2913"/>
    </row>
    <row r="767" spans="2:6">
      <c r="B767" s="2913"/>
      <c r="C767" s="2913"/>
      <c r="D767" s="2913"/>
      <c r="E767" s="2913"/>
      <c r="F767" s="2913"/>
    </row>
    <row r="768" spans="2:6">
      <c r="B768" s="2913"/>
      <c r="C768" s="2913"/>
      <c r="D768" s="2913"/>
      <c r="E768" s="2913"/>
      <c r="F768" s="2913"/>
    </row>
    <row r="769" spans="2:6">
      <c r="B769" s="2913"/>
      <c r="C769" s="2913"/>
      <c r="D769" s="2913"/>
      <c r="E769" s="2913"/>
      <c r="F769" s="2913"/>
    </row>
    <row r="770" spans="2:6">
      <c r="B770" s="2913"/>
      <c r="C770" s="2913"/>
      <c r="D770" s="2913"/>
      <c r="E770" s="2913"/>
      <c r="F770" s="2913"/>
    </row>
    <row r="771" spans="2:6">
      <c r="B771" s="2913"/>
      <c r="C771" s="2913"/>
      <c r="D771" s="2913"/>
      <c r="E771" s="2913"/>
      <c r="F771" s="2913"/>
    </row>
    <row r="772" spans="2:6">
      <c r="B772" s="2913"/>
      <c r="C772" s="2913"/>
      <c r="D772" s="2913"/>
      <c r="E772" s="2913"/>
      <c r="F772" s="2913"/>
    </row>
    <row r="773" spans="2:6">
      <c r="B773" s="2913"/>
      <c r="C773" s="2913"/>
      <c r="D773" s="2913"/>
      <c r="E773" s="2913"/>
      <c r="F773" s="2913"/>
    </row>
    <row r="774" spans="2:6">
      <c r="B774" s="2913"/>
      <c r="C774" s="2913"/>
      <c r="D774" s="2913"/>
      <c r="E774" s="2913"/>
      <c r="F774" s="2913"/>
    </row>
    <row r="775" spans="2:6">
      <c r="B775" s="2913"/>
      <c r="C775" s="2913"/>
      <c r="D775" s="2913"/>
      <c r="E775" s="2913"/>
      <c r="F775" s="2913"/>
    </row>
    <row r="776" spans="2:6">
      <c r="B776" s="2913"/>
      <c r="C776" s="2913"/>
      <c r="D776" s="2913"/>
      <c r="E776" s="2913"/>
      <c r="F776" s="2913"/>
    </row>
    <row r="777" spans="2:6">
      <c r="B777" s="2913"/>
      <c r="C777" s="2913"/>
      <c r="D777" s="2913"/>
      <c r="E777" s="2913"/>
      <c r="F777" s="2913"/>
    </row>
    <row r="778" spans="2:6">
      <c r="B778" s="2913"/>
      <c r="C778" s="2913"/>
      <c r="D778" s="2913"/>
      <c r="E778" s="2913"/>
      <c r="F778" s="2913"/>
    </row>
    <row r="779" spans="2:6">
      <c r="B779" s="2913"/>
      <c r="C779" s="2913"/>
      <c r="D779" s="2913"/>
      <c r="E779" s="2913"/>
      <c r="F779" s="2913"/>
    </row>
    <row r="780" spans="2:6">
      <c r="B780" s="2913"/>
      <c r="C780" s="2913"/>
      <c r="D780" s="2913"/>
      <c r="E780" s="2913"/>
      <c r="F780" s="2913"/>
    </row>
    <row r="781" spans="2:6">
      <c r="B781" s="2913"/>
      <c r="C781" s="2913"/>
      <c r="D781" s="2913"/>
      <c r="E781" s="2913"/>
      <c r="F781" s="2913"/>
    </row>
    <row r="782" spans="2:6">
      <c r="B782" s="2913"/>
      <c r="C782" s="2913"/>
      <c r="D782" s="2913"/>
      <c r="E782" s="2913"/>
      <c r="F782" s="2913"/>
    </row>
    <row r="783" spans="2:6">
      <c r="B783" s="2913"/>
      <c r="C783" s="2913"/>
      <c r="D783" s="2913"/>
      <c r="E783" s="2913"/>
      <c r="F783" s="2913"/>
    </row>
    <row r="784" spans="2:6">
      <c r="B784" s="2913"/>
      <c r="C784" s="2913"/>
      <c r="D784" s="2913"/>
      <c r="E784" s="2913"/>
      <c r="F784" s="2913"/>
    </row>
    <row r="785" spans="2:6">
      <c r="B785" s="2913"/>
      <c r="C785" s="2913"/>
      <c r="D785" s="2913"/>
      <c r="E785" s="2913"/>
      <c r="F785" s="2913"/>
    </row>
    <row r="786" spans="2:6">
      <c r="B786" s="2913"/>
      <c r="C786" s="2913"/>
      <c r="D786" s="2913"/>
      <c r="E786" s="2913"/>
      <c r="F786" s="2913"/>
    </row>
    <row r="787" spans="2:6">
      <c r="B787" s="2913"/>
      <c r="C787" s="2913"/>
      <c r="D787" s="2913"/>
      <c r="E787" s="2913"/>
      <c r="F787" s="2913"/>
    </row>
    <row r="788" spans="2:6">
      <c r="B788" s="2913"/>
      <c r="C788" s="2913"/>
      <c r="D788" s="2913"/>
      <c r="E788" s="2913"/>
      <c r="F788" s="2913"/>
    </row>
    <row r="789" spans="2:6">
      <c r="B789" s="2913"/>
      <c r="C789" s="2913"/>
      <c r="D789" s="2913"/>
      <c r="E789" s="2913"/>
      <c r="F789" s="2913"/>
    </row>
    <row r="790" spans="2:6">
      <c r="B790" s="2913"/>
      <c r="C790" s="2913"/>
      <c r="D790" s="2913"/>
      <c r="E790" s="2913"/>
      <c r="F790" s="2913"/>
    </row>
    <row r="791" spans="2:6">
      <c r="B791" s="2913"/>
      <c r="C791" s="2913"/>
      <c r="D791" s="2913"/>
      <c r="E791" s="2913"/>
      <c r="F791" s="2913"/>
    </row>
    <row r="792" spans="2:6">
      <c r="B792" s="2913"/>
      <c r="C792" s="2913"/>
      <c r="D792" s="2913"/>
      <c r="E792" s="2913"/>
      <c r="F792" s="2913"/>
    </row>
    <row r="793" spans="2:6">
      <c r="B793" s="2913"/>
      <c r="C793" s="2913"/>
      <c r="D793" s="2913"/>
      <c r="E793" s="2913"/>
      <c r="F793" s="2913"/>
    </row>
    <row r="794" spans="2:6">
      <c r="B794" s="2913"/>
      <c r="C794" s="2913"/>
      <c r="D794" s="2913"/>
      <c r="E794" s="2913"/>
      <c r="F794" s="2913"/>
    </row>
    <row r="795" spans="2:6">
      <c r="B795" s="2913"/>
      <c r="C795" s="2913"/>
      <c r="D795" s="2913"/>
      <c r="E795" s="2913"/>
      <c r="F795" s="2913"/>
    </row>
    <row r="796" spans="2:6">
      <c r="B796" s="2913"/>
      <c r="C796" s="2913"/>
      <c r="D796" s="2913"/>
      <c r="E796" s="2913"/>
      <c r="F796" s="2913"/>
    </row>
    <row r="797" spans="2:6">
      <c r="B797" s="2913"/>
      <c r="C797" s="2913"/>
      <c r="D797" s="2913"/>
      <c r="E797" s="2913"/>
      <c r="F797" s="2913"/>
    </row>
    <row r="798" spans="2:6">
      <c r="B798" s="2913"/>
      <c r="C798" s="2913"/>
      <c r="D798" s="2913"/>
      <c r="E798" s="2913"/>
      <c r="F798" s="2913"/>
    </row>
    <row r="799" spans="2:6">
      <c r="B799" s="2913"/>
      <c r="C799" s="2913"/>
      <c r="D799" s="2913"/>
      <c r="E799" s="2913"/>
      <c r="F799" s="2913"/>
    </row>
    <row r="800" spans="2:6">
      <c r="B800" s="2913"/>
      <c r="C800" s="2913"/>
      <c r="D800" s="2913"/>
      <c r="E800" s="2913"/>
      <c r="F800" s="2913"/>
    </row>
    <row r="801" spans="2:6">
      <c r="B801" s="2913"/>
      <c r="C801" s="2913"/>
      <c r="D801" s="2913"/>
      <c r="E801" s="2913"/>
      <c r="F801" s="2913"/>
    </row>
    <row r="802" spans="2:6">
      <c r="B802" s="2913"/>
      <c r="C802" s="2913"/>
      <c r="D802" s="2913"/>
      <c r="E802" s="2913"/>
      <c r="F802" s="2913"/>
    </row>
    <row r="803" spans="2:6">
      <c r="B803" s="2913"/>
      <c r="C803" s="2913"/>
      <c r="D803" s="2913"/>
      <c r="E803" s="2913"/>
      <c r="F803" s="2913"/>
    </row>
    <row r="804" spans="2:6">
      <c r="B804" s="2913"/>
      <c r="C804" s="2913"/>
      <c r="D804" s="2913"/>
      <c r="E804" s="2913"/>
      <c r="F804" s="2913"/>
    </row>
    <row r="805" spans="2:6">
      <c r="B805" s="2913"/>
      <c r="C805" s="2913"/>
      <c r="D805" s="2913"/>
      <c r="E805" s="2913"/>
      <c r="F805" s="2913"/>
    </row>
    <row r="806" spans="2:6">
      <c r="B806" s="2913"/>
      <c r="C806" s="2913"/>
      <c r="D806" s="2913"/>
      <c r="E806" s="2913"/>
      <c r="F806" s="2913"/>
    </row>
    <row r="807" spans="2:6">
      <c r="B807" s="2913"/>
      <c r="C807" s="2913"/>
      <c r="D807" s="2913"/>
      <c r="E807" s="2913"/>
      <c r="F807" s="2913"/>
    </row>
    <row r="808" spans="2:6">
      <c r="B808" s="2913"/>
      <c r="C808" s="2913"/>
      <c r="D808" s="2913"/>
      <c r="E808" s="2913"/>
      <c r="F808" s="2913"/>
    </row>
    <row r="809" spans="2:6">
      <c r="B809" s="2913"/>
      <c r="C809" s="2913"/>
      <c r="D809" s="2913"/>
      <c r="E809" s="2913"/>
      <c r="F809" s="2913"/>
    </row>
    <row r="810" spans="2:6">
      <c r="B810" s="2913"/>
      <c r="C810" s="2913"/>
      <c r="D810" s="2913"/>
      <c r="E810" s="2913"/>
      <c r="F810" s="2913"/>
    </row>
    <row r="811" spans="2:6">
      <c r="B811" s="2913"/>
      <c r="C811" s="2913"/>
      <c r="D811" s="2913"/>
      <c r="E811" s="2913"/>
      <c r="F811" s="2913"/>
    </row>
    <row r="812" spans="2:6">
      <c r="B812" s="2913"/>
      <c r="C812" s="2913"/>
      <c r="D812" s="2913"/>
      <c r="E812" s="2913"/>
      <c r="F812" s="2913"/>
    </row>
    <row r="813" spans="2:6">
      <c r="B813" s="2913"/>
      <c r="C813" s="2913"/>
      <c r="D813" s="2913"/>
      <c r="E813" s="2913"/>
      <c r="F813" s="2913"/>
    </row>
    <row r="814" spans="2:6">
      <c r="B814" s="2913"/>
      <c r="C814" s="2913"/>
      <c r="D814" s="2913"/>
      <c r="E814" s="2913"/>
      <c r="F814" s="2913"/>
    </row>
    <row r="815" spans="2:6">
      <c r="B815" s="2913"/>
      <c r="C815" s="2913"/>
      <c r="D815" s="2913"/>
      <c r="E815" s="2913"/>
      <c r="F815" s="2913"/>
    </row>
    <row r="816" spans="2:6">
      <c r="B816" s="2913"/>
      <c r="C816" s="2913"/>
      <c r="D816" s="2913"/>
      <c r="E816" s="2913"/>
      <c r="F816" s="2913"/>
    </row>
    <row r="817" spans="2:6">
      <c r="B817" s="2913"/>
      <c r="C817" s="2913"/>
      <c r="D817" s="2913"/>
      <c r="E817" s="2913"/>
      <c r="F817" s="2913"/>
    </row>
    <row r="818" spans="2:6">
      <c r="B818" s="2913"/>
      <c r="C818" s="2913"/>
      <c r="D818" s="2913"/>
      <c r="E818" s="2913"/>
      <c r="F818" s="2913"/>
    </row>
    <row r="819" spans="2:6">
      <c r="B819" s="2913"/>
      <c r="C819" s="2913"/>
      <c r="D819" s="2913"/>
      <c r="E819" s="2913"/>
      <c r="F819" s="2913"/>
    </row>
    <row r="820" spans="2:6">
      <c r="B820" s="2913"/>
      <c r="C820" s="2913"/>
      <c r="D820" s="2913"/>
      <c r="E820" s="2913"/>
      <c r="F820" s="2913"/>
    </row>
    <row r="821" spans="2:6">
      <c r="B821" s="2913"/>
      <c r="C821" s="2913"/>
      <c r="D821" s="2913"/>
      <c r="E821" s="2913"/>
      <c r="F821" s="2913"/>
    </row>
    <row r="822" spans="2:6">
      <c r="B822" s="2913"/>
      <c r="C822" s="2913"/>
      <c r="D822" s="2913"/>
      <c r="E822" s="2913"/>
      <c r="F822" s="2913"/>
    </row>
    <row r="823" spans="2:6">
      <c r="B823" s="2913"/>
      <c r="C823" s="2913"/>
      <c r="D823" s="2913"/>
      <c r="E823" s="2913"/>
      <c r="F823" s="2913"/>
    </row>
    <row r="824" spans="2:6">
      <c r="B824" s="2913"/>
      <c r="C824" s="2913"/>
      <c r="D824" s="2913"/>
      <c r="E824" s="2913"/>
      <c r="F824" s="2913"/>
    </row>
    <row r="825" spans="2:6">
      <c r="B825" s="2913"/>
      <c r="C825" s="2913"/>
      <c r="D825" s="2913"/>
      <c r="E825" s="2913"/>
      <c r="F825" s="2913"/>
    </row>
    <row r="826" spans="2:6">
      <c r="B826" s="2913"/>
      <c r="C826" s="2913"/>
      <c r="D826" s="2913"/>
      <c r="E826" s="2913"/>
      <c r="F826" s="2913"/>
    </row>
    <row r="827" spans="2:6">
      <c r="B827" s="2913"/>
      <c r="C827" s="2913"/>
      <c r="D827" s="2913"/>
      <c r="E827" s="2913"/>
      <c r="F827" s="2913"/>
    </row>
    <row r="828" spans="2:6">
      <c r="B828" s="2913"/>
      <c r="C828" s="2913"/>
      <c r="D828" s="2913"/>
      <c r="E828" s="2913"/>
      <c r="F828" s="2913"/>
    </row>
    <row r="829" spans="2:6">
      <c r="B829" s="2913"/>
      <c r="C829" s="2913"/>
      <c r="D829" s="2913"/>
      <c r="E829" s="2913"/>
      <c r="F829" s="2913"/>
    </row>
    <row r="830" spans="2:6">
      <c r="B830" s="2913"/>
      <c r="C830" s="2913"/>
      <c r="D830" s="2913"/>
      <c r="E830" s="2913"/>
      <c r="F830" s="2913"/>
    </row>
    <row r="831" spans="2:6">
      <c r="B831" s="2913"/>
      <c r="C831" s="2913"/>
      <c r="D831" s="2913"/>
      <c r="E831" s="2913"/>
      <c r="F831" s="2913"/>
    </row>
    <row r="832" spans="2:6">
      <c r="B832" s="2913"/>
      <c r="C832" s="2913"/>
      <c r="D832" s="2913"/>
      <c r="E832" s="2913"/>
      <c r="F832" s="2913"/>
    </row>
    <row r="833" spans="2:6">
      <c r="B833" s="2913"/>
      <c r="C833" s="2913"/>
      <c r="D833" s="2913"/>
      <c r="E833" s="2913"/>
      <c r="F833" s="2913"/>
    </row>
    <row r="834" spans="2:6">
      <c r="B834" s="2913"/>
      <c r="C834" s="2913"/>
      <c r="D834" s="2913"/>
      <c r="E834" s="2913"/>
      <c r="F834" s="2913"/>
    </row>
    <row r="835" spans="2:6">
      <c r="B835" s="2913"/>
      <c r="C835" s="2913"/>
      <c r="D835" s="2913"/>
      <c r="E835" s="2913"/>
      <c r="F835" s="2913"/>
    </row>
    <row r="836" spans="2:6">
      <c r="B836" s="2913"/>
      <c r="C836" s="2913"/>
      <c r="D836" s="2913"/>
      <c r="E836" s="2913"/>
      <c r="F836" s="2913"/>
    </row>
    <row r="837" spans="2:6">
      <c r="B837" s="2913"/>
      <c r="C837" s="2913"/>
      <c r="D837" s="2913"/>
      <c r="E837" s="2913"/>
      <c r="F837" s="2913"/>
    </row>
    <row r="838" spans="2:6">
      <c r="B838" s="2913"/>
      <c r="C838" s="2913"/>
      <c r="D838" s="2913"/>
      <c r="E838" s="2913"/>
      <c r="F838" s="2913"/>
    </row>
    <row r="839" spans="2:6">
      <c r="B839" s="2913"/>
      <c r="C839" s="2913"/>
      <c r="D839" s="2913"/>
      <c r="E839" s="2913"/>
      <c r="F839" s="2913"/>
    </row>
    <row r="840" spans="2:6">
      <c r="B840" s="2913"/>
      <c r="C840" s="2913"/>
      <c r="D840" s="2913"/>
      <c r="E840" s="2913"/>
      <c r="F840" s="2913"/>
    </row>
    <row r="841" spans="2:6">
      <c r="B841" s="2913"/>
      <c r="C841" s="2913"/>
      <c r="D841" s="2913"/>
      <c r="E841" s="2913"/>
      <c r="F841" s="2913"/>
    </row>
    <row r="842" spans="2:6">
      <c r="B842" s="2913"/>
      <c r="C842" s="2913"/>
      <c r="D842" s="2913"/>
      <c r="E842" s="2913"/>
      <c r="F842" s="2913"/>
    </row>
    <row r="843" spans="2:6">
      <c r="B843" s="2913"/>
      <c r="C843" s="2913"/>
      <c r="D843" s="2913"/>
      <c r="E843" s="2913"/>
      <c r="F843" s="2913"/>
    </row>
    <row r="844" spans="2:6">
      <c r="B844" s="2913"/>
      <c r="C844" s="2913"/>
      <c r="D844" s="2913"/>
      <c r="E844" s="2913"/>
      <c r="F844" s="2913"/>
    </row>
    <row r="845" spans="2:6">
      <c r="B845" s="2913"/>
      <c r="C845" s="2913"/>
      <c r="D845" s="2913"/>
      <c r="E845" s="2913"/>
      <c r="F845" s="2913"/>
    </row>
    <row r="846" spans="2:6">
      <c r="B846" s="2913"/>
      <c r="C846" s="2913"/>
      <c r="D846" s="2913"/>
      <c r="E846" s="2913"/>
      <c r="F846" s="2913"/>
    </row>
    <row r="847" spans="2:6">
      <c r="B847" s="2913"/>
      <c r="C847" s="2913"/>
      <c r="D847" s="2913"/>
      <c r="E847" s="2913"/>
      <c r="F847" s="2913"/>
    </row>
    <row r="848" spans="2:6">
      <c r="B848" s="2913"/>
      <c r="C848" s="2913"/>
      <c r="D848" s="2913"/>
      <c r="E848" s="2913"/>
      <c r="F848" s="2913"/>
    </row>
    <row r="849" spans="2:6">
      <c r="B849" s="2913"/>
      <c r="C849" s="2913"/>
      <c r="D849" s="2913"/>
      <c r="E849" s="2913"/>
      <c r="F849" s="2913"/>
    </row>
    <row r="850" spans="2:6">
      <c r="B850" s="2913"/>
      <c r="C850" s="2913"/>
      <c r="D850" s="2913"/>
      <c r="E850" s="2913"/>
      <c r="F850" s="2913"/>
    </row>
    <row r="851" spans="2:6">
      <c r="B851" s="2913"/>
      <c r="C851" s="2913"/>
      <c r="D851" s="2913"/>
      <c r="E851" s="2913"/>
      <c r="F851" s="2913"/>
    </row>
    <row r="852" spans="2:6">
      <c r="B852" s="2913"/>
      <c r="C852" s="2913"/>
      <c r="D852" s="2913"/>
      <c r="E852" s="2913"/>
      <c r="F852" s="2913"/>
    </row>
    <row r="853" spans="2:6">
      <c r="B853" s="2913"/>
      <c r="C853" s="2913"/>
      <c r="D853" s="2913"/>
      <c r="E853" s="2913"/>
      <c r="F853" s="2913"/>
    </row>
    <row r="854" spans="2:6">
      <c r="B854" s="2913"/>
      <c r="C854" s="2913"/>
      <c r="D854" s="2913"/>
      <c r="E854" s="2913"/>
      <c r="F854" s="2913"/>
    </row>
    <row r="855" spans="2:6">
      <c r="B855" s="2913"/>
      <c r="C855" s="2913"/>
      <c r="D855" s="2913"/>
      <c r="E855" s="2913"/>
      <c r="F855" s="2913"/>
    </row>
    <row r="856" spans="2:6">
      <c r="B856" s="2913"/>
      <c r="C856" s="2913"/>
      <c r="D856" s="2913"/>
      <c r="E856" s="2913"/>
      <c r="F856" s="2913"/>
    </row>
    <row r="857" spans="2:6">
      <c r="B857" s="2913"/>
      <c r="C857" s="2913"/>
      <c r="D857" s="2913"/>
      <c r="E857" s="2913"/>
      <c r="F857" s="2913"/>
    </row>
    <row r="858" spans="2:6">
      <c r="B858" s="2913"/>
      <c r="C858" s="2913"/>
      <c r="D858" s="2913"/>
      <c r="E858" s="2913"/>
      <c r="F858" s="2913"/>
    </row>
    <row r="859" spans="2:6">
      <c r="B859" s="2913"/>
      <c r="C859" s="2913"/>
      <c r="D859" s="2913"/>
      <c r="E859" s="2913"/>
      <c r="F859" s="2913"/>
    </row>
    <row r="860" spans="2:6">
      <c r="B860" s="2913"/>
      <c r="C860" s="2913"/>
      <c r="D860" s="2913"/>
      <c r="E860" s="2913"/>
      <c r="F860" s="2913"/>
    </row>
    <row r="861" spans="2:6">
      <c r="B861" s="2913"/>
      <c r="C861" s="2913"/>
      <c r="D861" s="2913"/>
      <c r="E861" s="2913"/>
      <c r="F861" s="2913"/>
    </row>
    <row r="862" spans="2:6">
      <c r="B862" s="2913"/>
      <c r="C862" s="2913"/>
      <c r="D862" s="2913"/>
      <c r="E862" s="2913"/>
      <c r="F862" s="2913"/>
    </row>
    <row r="863" spans="2:6">
      <c r="B863" s="2913"/>
      <c r="C863" s="2913"/>
      <c r="D863" s="2913"/>
      <c r="E863" s="2913"/>
      <c r="F863" s="2913"/>
    </row>
    <row r="864" spans="2:6">
      <c r="B864" s="2913"/>
      <c r="C864" s="2913"/>
      <c r="D864" s="2913"/>
      <c r="E864" s="2913"/>
      <c r="F864" s="2913"/>
    </row>
    <row r="865" spans="2:6">
      <c r="B865" s="2913"/>
      <c r="C865" s="2913"/>
      <c r="D865" s="2913"/>
      <c r="E865" s="2913"/>
      <c r="F865" s="2913"/>
    </row>
    <row r="866" spans="2:6">
      <c r="B866" s="2913"/>
      <c r="C866" s="2913"/>
      <c r="D866" s="2913"/>
      <c r="E866" s="2913"/>
      <c r="F866" s="2913"/>
    </row>
    <row r="867" spans="2:6">
      <c r="B867" s="2913"/>
      <c r="C867" s="2913"/>
      <c r="D867" s="2913"/>
      <c r="E867" s="2913"/>
      <c r="F867" s="2913"/>
    </row>
    <row r="868" spans="2:6">
      <c r="B868" s="2913"/>
      <c r="C868" s="2913"/>
      <c r="D868" s="2913"/>
      <c r="E868" s="2913"/>
      <c r="F868" s="2913"/>
    </row>
    <row r="869" spans="2:6">
      <c r="B869" s="2913"/>
      <c r="C869" s="2913"/>
      <c r="D869" s="2913"/>
      <c r="E869" s="2913"/>
      <c r="F869" s="2913"/>
    </row>
    <row r="870" spans="2:6">
      <c r="B870" s="2913"/>
      <c r="C870" s="2913"/>
      <c r="D870" s="2913"/>
      <c r="E870" s="2913"/>
      <c r="F870" s="2913"/>
    </row>
    <row r="871" spans="2:6">
      <c r="B871" s="2913"/>
      <c r="C871" s="2913"/>
      <c r="D871" s="2913"/>
      <c r="E871" s="2913"/>
      <c r="F871" s="2913"/>
    </row>
    <row r="872" spans="2:6">
      <c r="B872" s="2913"/>
      <c r="C872" s="2913"/>
      <c r="D872" s="2913"/>
      <c r="E872" s="2913"/>
      <c r="F872" s="2913"/>
    </row>
    <row r="873" spans="2:6">
      <c r="B873" s="2913"/>
      <c r="C873" s="2913"/>
      <c r="D873" s="2913"/>
      <c r="E873" s="2913"/>
      <c r="F873" s="2913"/>
    </row>
    <row r="874" spans="2:6">
      <c r="B874" s="2913"/>
      <c r="C874" s="2913"/>
      <c r="D874" s="2913"/>
      <c r="E874" s="2913"/>
      <c r="F874" s="2913"/>
    </row>
    <row r="875" spans="2:6">
      <c r="B875" s="2913"/>
      <c r="C875" s="2913"/>
      <c r="D875" s="2913"/>
      <c r="E875" s="2913"/>
      <c r="F875" s="2913"/>
    </row>
    <row r="876" spans="2:6">
      <c r="B876" s="2913"/>
      <c r="C876" s="2913"/>
      <c r="D876" s="2913"/>
      <c r="E876" s="2913"/>
      <c r="F876" s="2913"/>
    </row>
    <row r="877" spans="2:6">
      <c r="B877" s="2913"/>
      <c r="C877" s="2913"/>
      <c r="D877" s="2913"/>
      <c r="E877" s="2913"/>
      <c r="F877" s="2913"/>
    </row>
    <row r="878" spans="2:6">
      <c r="B878" s="2913"/>
      <c r="C878" s="2913"/>
      <c r="D878" s="2913"/>
      <c r="E878" s="2913"/>
      <c r="F878" s="2913"/>
    </row>
    <row r="879" spans="2:6">
      <c r="B879" s="2913"/>
      <c r="C879" s="2913"/>
      <c r="D879" s="2913"/>
      <c r="E879" s="2913"/>
      <c r="F879" s="2913"/>
    </row>
    <row r="880" spans="2:6">
      <c r="B880" s="2913"/>
      <c r="C880" s="2913"/>
      <c r="D880" s="2913"/>
      <c r="E880" s="2913"/>
      <c r="F880" s="2913"/>
    </row>
    <row r="881" spans="2:6">
      <c r="B881" s="2913"/>
      <c r="C881" s="2913"/>
      <c r="D881" s="2913"/>
      <c r="E881" s="2913"/>
      <c r="F881" s="2913"/>
    </row>
    <row r="882" spans="2:6">
      <c r="B882" s="2913"/>
      <c r="C882" s="2913"/>
      <c r="D882" s="2913"/>
      <c r="E882" s="2913"/>
      <c r="F882" s="2913"/>
    </row>
    <row r="883" spans="2:6">
      <c r="B883" s="2913"/>
      <c r="C883" s="2913"/>
      <c r="D883" s="2913"/>
      <c r="E883" s="2913"/>
      <c r="F883" s="2913"/>
    </row>
    <row r="884" spans="2:6">
      <c r="B884" s="2913"/>
      <c r="C884" s="2913"/>
      <c r="D884" s="2913"/>
      <c r="E884" s="2913"/>
      <c r="F884" s="2913"/>
    </row>
    <row r="885" spans="2:6">
      <c r="B885" s="2913"/>
      <c r="C885" s="2913"/>
      <c r="D885" s="2913"/>
      <c r="E885" s="2913"/>
      <c r="F885" s="2913"/>
    </row>
    <row r="886" spans="2:6">
      <c r="B886" s="2913"/>
      <c r="C886" s="2913"/>
      <c r="D886" s="2913"/>
      <c r="E886" s="2913"/>
      <c r="F886" s="2913"/>
    </row>
    <row r="887" spans="2:6">
      <c r="B887" s="2913"/>
      <c r="C887" s="2913"/>
      <c r="D887" s="2913"/>
      <c r="E887" s="2913"/>
      <c r="F887" s="2913"/>
    </row>
    <row r="888" spans="2:6">
      <c r="B888" s="2913"/>
      <c r="C888" s="2913"/>
      <c r="D888" s="2913"/>
      <c r="E888" s="2913"/>
      <c r="F888" s="2913"/>
    </row>
    <row r="889" spans="2:6">
      <c r="B889" s="2913"/>
      <c r="C889" s="2913"/>
      <c r="D889" s="2913"/>
      <c r="E889" s="2913"/>
      <c r="F889" s="2913"/>
    </row>
    <row r="890" spans="2:6">
      <c r="B890" s="2913"/>
      <c r="C890" s="2913"/>
      <c r="D890" s="2913"/>
      <c r="E890" s="2913"/>
      <c r="F890" s="2913"/>
    </row>
    <row r="891" spans="2:6">
      <c r="B891" s="2913"/>
      <c r="C891" s="2913"/>
      <c r="D891" s="2913"/>
      <c r="E891" s="2913"/>
      <c r="F891" s="2913"/>
    </row>
    <row r="892" spans="2:6">
      <c r="B892" s="2913"/>
      <c r="C892" s="2913"/>
      <c r="D892" s="2913"/>
      <c r="E892" s="2913"/>
      <c r="F892" s="2913"/>
    </row>
    <row r="893" spans="2:6">
      <c r="B893" s="2913"/>
      <c r="C893" s="2913"/>
      <c r="D893" s="2913"/>
      <c r="E893" s="2913"/>
      <c r="F893" s="2913"/>
    </row>
    <row r="894" spans="2:6">
      <c r="B894" s="2913"/>
      <c r="C894" s="2913"/>
      <c r="D894" s="2913"/>
      <c r="E894" s="2913"/>
      <c r="F894" s="2913"/>
    </row>
    <row r="895" spans="2:6">
      <c r="B895" s="2913"/>
      <c r="C895" s="2913"/>
      <c r="D895" s="2913"/>
      <c r="E895" s="2913"/>
      <c r="F895" s="2913"/>
    </row>
    <row r="896" spans="2:6">
      <c r="B896" s="2913"/>
      <c r="C896" s="2913"/>
      <c r="D896" s="2913"/>
      <c r="E896" s="2913"/>
      <c r="F896" s="2913"/>
    </row>
    <row r="897" spans="2:6">
      <c r="B897" s="2913"/>
      <c r="C897" s="2913"/>
      <c r="D897" s="2913"/>
      <c r="E897" s="2913"/>
      <c r="F897" s="2913"/>
    </row>
    <row r="898" spans="2:6">
      <c r="B898" s="2913"/>
      <c r="C898" s="2913"/>
      <c r="D898" s="2913"/>
      <c r="E898" s="2913"/>
      <c r="F898" s="2913"/>
    </row>
    <row r="899" spans="2:6">
      <c r="B899" s="2913"/>
      <c r="C899" s="2913"/>
      <c r="D899" s="2913"/>
      <c r="E899" s="2913"/>
      <c r="F899" s="2913"/>
    </row>
    <row r="900" spans="2:6">
      <c r="B900" s="2913"/>
      <c r="C900" s="2913"/>
      <c r="D900" s="2913"/>
      <c r="E900" s="2913"/>
      <c r="F900" s="2913"/>
    </row>
    <row r="901" spans="2:6">
      <c r="B901" s="2913"/>
      <c r="C901" s="2913"/>
      <c r="D901" s="2913"/>
      <c r="E901" s="2913"/>
      <c r="F901" s="2913"/>
    </row>
    <row r="902" spans="2:6">
      <c r="B902" s="2913"/>
      <c r="C902" s="2913"/>
      <c r="D902" s="2913"/>
      <c r="E902" s="2913"/>
      <c r="F902" s="2913"/>
    </row>
    <row r="903" spans="2:6">
      <c r="B903" s="2913"/>
      <c r="C903" s="2913"/>
      <c r="D903" s="2913"/>
      <c r="E903" s="2913"/>
      <c r="F903" s="2913"/>
    </row>
    <row r="904" spans="2:6">
      <c r="B904" s="2913"/>
      <c r="C904" s="2913"/>
      <c r="D904" s="2913"/>
      <c r="E904" s="2913"/>
      <c r="F904" s="2913"/>
    </row>
    <row r="905" spans="2:6">
      <c r="B905" s="2913"/>
      <c r="C905" s="2913"/>
      <c r="D905" s="2913"/>
      <c r="E905" s="2913"/>
      <c r="F905" s="2913"/>
    </row>
    <row r="906" spans="2:6">
      <c r="B906" s="2913"/>
      <c r="C906" s="2913"/>
      <c r="D906" s="2913"/>
      <c r="E906" s="2913"/>
      <c r="F906" s="2913"/>
    </row>
    <row r="907" spans="2:6">
      <c r="B907" s="2913"/>
      <c r="C907" s="2913"/>
      <c r="D907" s="2913"/>
      <c r="E907" s="2913"/>
      <c r="F907" s="2913"/>
    </row>
    <row r="908" spans="2:6">
      <c r="B908" s="2913"/>
      <c r="C908" s="2913"/>
      <c r="D908" s="2913"/>
      <c r="E908" s="2913"/>
      <c r="F908" s="2913"/>
    </row>
    <row r="909" spans="2:6">
      <c r="B909" s="2913"/>
      <c r="C909" s="2913"/>
      <c r="D909" s="2913"/>
      <c r="E909" s="2913"/>
      <c r="F909" s="2913"/>
    </row>
    <row r="910" spans="2:6">
      <c r="B910" s="2913"/>
      <c r="C910" s="2913"/>
      <c r="D910" s="2913"/>
      <c r="E910" s="2913"/>
      <c r="F910" s="2913"/>
    </row>
    <row r="911" spans="2:6">
      <c r="B911" s="2913"/>
      <c r="C911" s="2913"/>
      <c r="D911" s="2913"/>
      <c r="E911" s="2913"/>
      <c r="F911" s="2913"/>
    </row>
    <row r="912" spans="2:6">
      <c r="B912" s="2913"/>
      <c r="C912" s="2913"/>
      <c r="D912" s="2913"/>
      <c r="E912" s="2913"/>
      <c r="F912" s="2913"/>
    </row>
    <row r="913" spans="2:6">
      <c r="B913" s="2913"/>
      <c r="C913" s="2913"/>
      <c r="D913" s="2913"/>
      <c r="E913" s="2913"/>
      <c r="F913" s="2913"/>
    </row>
    <row r="914" spans="2:6">
      <c r="B914" s="2913"/>
      <c r="C914" s="2913"/>
      <c r="D914" s="2913"/>
      <c r="E914" s="2913"/>
      <c r="F914" s="2913"/>
    </row>
    <row r="915" spans="2:6">
      <c r="B915" s="2913"/>
      <c r="C915" s="2913"/>
      <c r="D915" s="2913"/>
      <c r="E915" s="2913"/>
      <c r="F915" s="2913"/>
    </row>
    <row r="916" spans="2:6">
      <c r="B916" s="2913"/>
      <c r="C916" s="2913"/>
      <c r="D916" s="2913"/>
      <c r="E916" s="2913"/>
      <c r="F916" s="2913"/>
    </row>
    <row r="917" spans="2:6">
      <c r="B917" s="2913"/>
      <c r="C917" s="2913"/>
      <c r="D917" s="2913"/>
      <c r="E917" s="2913"/>
      <c r="F917" s="2913"/>
    </row>
    <row r="918" spans="2:6">
      <c r="B918" s="2913"/>
      <c r="C918" s="2913"/>
      <c r="D918" s="2913"/>
      <c r="E918" s="2913"/>
      <c r="F918" s="2913"/>
    </row>
    <row r="919" spans="2:6">
      <c r="B919" s="2913"/>
      <c r="C919" s="2913"/>
      <c r="D919" s="2913"/>
      <c r="E919" s="2913"/>
      <c r="F919" s="2913"/>
    </row>
    <row r="920" spans="2:6">
      <c r="B920" s="2913"/>
      <c r="C920" s="2913"/>
      <c r="D920" s="2913"/>
      <c r="E920" s="2913"/>
      <c r="F920" s="2913"/>
    </row>
    <row r="921" spans="2:6">
      <c r="B921" s="2913"/>
      <c r="C921" s="2913"/>
      <c r="D921" s="2913"/>
      <c r="E921" s="2913"/>
      <c r="F921" s="2913"/>
    </row>
    <row r="922" spans="2:6">
      <c r="B922" s="2913"/>
      <c r="C922" s="2913"/>
      <c r="D922" s="2913"/>
      <c r="E922" s="2913"/>
      <c r="F922" s="2913"/>
    </row>
    <row r="923" spans="2:6">
      <c r="B923" s="2913"/>
      <c r="C923" s="2913"/>
      <c r="D923" s="2913"/>
      <c r="E923" s="2913"/>
      <c r="F923" s="2913"/>
    </row>
    <row r="924" spans="2:6">
      <c r="B924" s="2913"/>
      <c r="C924" s="2913"/>
      <c r="D924" s="2913"/>
      <c r="E924" s="2913"/>
      <c r="F924" s="2913"/>
    </row>
    <row r="925" spans="2:6">
      <c r="B925" s="2913"/>
      <c r="C925" s="2913"/>
      <c r="D925" s="2913"/>
      <c r="E925" s="2913"/>
      <c r="F925" s="2913"/>
    </row>
    <row r="926" spans="2:6">
      <c r="B926" s="2913"/>
      <c r="C926" s="2913"/>
      <c r="D926" s="2913"/>
      <c r="E926" s="2913"/>
      <c r="F926" s="2913"/>
    </row>
    <row r="927" spans="2:6">
      <c r="B927" s="2913"/>
      <c r="C927" s="2913"/>
      <c r="D927" s="2913"/>
      <c r="E927" s="2913"/>
      <c r="F927" s="2913"/>
    </row>
    <row r="928" spans="2:6">
      <c r="B928" s="2913"/>
      <c r="C928" s="2913"/>
      <c r="D928" s="2913"/>
      <c r="E928" s="2913"/>
      <c r="F928" s="2913"/>
    </row>
    <row r="929" spans="2:6">
      <c r="B929" s="2913"/>
      <c r="C929" s="2913"/>
      <c r="D929" s="2913"/>
      <c r="E929" s="2913"/>
      <c r="F929" s="2913"/>
    </row>
    <row r="930" spans="2:6">
      <c r="B930" s="2913"/>
      <c r="C930" s="2913"/>
      <c r="D930" s="2913"/>
      <c r="E930" s="2913"/>
      <c r="F930" s="2913"/>
    </row>
    <row r="931" spans="2:6">
      <c r="B931" s="2913"/>
      <c r="C931" s="2913"/>
      <c r="D931" s="2913"/>
      <c r="E931" s="2913"/>
      <c r="F931" s="2913"/>
    </row>
    <row r="932" spans="2:6">
      <c r="B932" s="2913"/>
      <c r="C932" s="2913"/>
      <c r="D932" s="2913"/>
      <c r="E932" s="2913"/>
      <c r="F932" s="2913"/>
    </row>
    <row r="933" spans="2:6">
      <c r="B933" s="2913"/>
      <c r="C933" s="2913"/>
      <c r="D933" s="2913"/>
      <c r="E933" s="2913"/>
      <c r="F933" s="2913"/>
    </row>
    <row r="934" spans="2:6">
      <c r="B934" s="2913"/>
      <c r="C934" s="2913"/>
      <c r="D934" s="2913"/>
      <c r="E934" s="2913"/>
      <c r="F934" s="2913"/>
    </row>
    <row r="935" spans="2:6">
      <c r="B935" s="2913"/>
      <c r="C935" s="2913"/>
      <c r="D935" s="2913"/>
      <c r="E935" s="2913"/>
      <c r="F935" s="2913"/>
    </row>
    <row r="936" spans="2:6">
      <c r="B936" s="2913"/>
      <c r="C936" s="2913"/>
      <c r="D936" s="2913"/>
      <c r="E936" s="2913"/>
      <c r="F936" s="2913"/>
    </row>
    <row r="937" spans="2:6">
      <c r="B937" s="2913"/>
      <c r="C937" s="2913"/>
      <c r="D937" s="2913"/>
      <c r="E937" s="2913"/>
      <c r="F937" s="2913"/>
    </row>
    <row r="938" spans="2:6">
      <c r="B938" s="2913"/>
      <c r="C938" s="2913"/>
      <c r="D938" s="2913"/>
      <c r="E938" s="2913"/>
      <c r="F938" s="2913"/>
    </row>
    <row r="939" spans="2:6">
      <c r="B939" s="2913"/>
      <c r="C939" s="2913"/>
      <c r="D939" s="2913"/>
      <c r="E939" s="2913"/>
      <c r="F939" s="2913"/>
    </row>
    <row r="940" spans="2:6">
      <c r="B940" s="2913"/>
      <c r="C940" s="2913"/>
      <c r="D940" s="2913"/>
      <c r="E940" s="2913"/>
      <c r="F940" s="2913"/>
    </row>
    <row r="941" spans="2:6">
      <c r="B941" s="2913"/>
      <c r="C941" s="2913"/>
      <c r="D941" s="2913"/>
      <c r="E941" s="2913"/>
      <c r="F941" s="2913"/>
    </row>
    <row r="942" spans="2:6">
      <c r="B942" s="2913"/>
      <c r="C942" s="2913"/>
      <c r="D942" s="2913"/>
      <c r="E942" s="2913"/>
      <c r="F942" s="2913"/>
    </row>
    <row r="943" spans="2:6">
      <c r="B943" s="2913"/>
      <c r="C943" s="2913"/>
      <c r="D943" s="2913"/>
      <c r="E943" s="2913"/>
      <c r="F943" s="2913"/>
    </row>
    <row r="944" spans="2:6">
      <c r="B944" s="2913"/>
      <c r="C944" s="2913"/>
      <c r="D944" s="2913"/>
      <c r="E944" s="2913"/>
      <c r="F944" s="2913"/>
    </row>
    <row r="945" spans="2:6">
      <c r="B945" s="2913"/>
      <c r="C945" s="2913"/>
      <c r="D945" s="2913"/>
      <c r="E945" s="2913"/>
      <c r="F945" s="2913"/>
    </row>
    <row r="946" spans="2:6">
      <c r="B946" s="2913"/>
      <c r="C946" s="2913"/>
      <c r="D946" s="2913"/>
      <c r="E946" s="2913"/>
      <c r="F946" s="2913"/>
    </row>
    <row r="947" spans="2:6">
      <c r="B947" s="2913"/>
      <c r="C947" s="2913"/>
      <c r="D947" s="2913"/>
      <c r="E947" s="2913"/>
      <c r="F947" s="2913"/>
    </row>
    <row r="948" spans="2:6">
      <c r="B948" s="2913"/>
      <c r="C948" s="2913"/>
      <c r="D948" s="2913"/>
      <c r="E948" s="2913"/>
      <c r="F948" s="2913"/>
    </row>
    <row r="949" spans="2:6">
      <c r="B949" s="2913"/>
      <c r="C949" s="2913"/>
      <c r="D949" s="2913"/>
      <c r="E949" s="2913"/>
      <c r="F949" s="2913"/>
    </row>
    <row r="950" spans="2:6">
      <c r="B950" s="2913"/>
      <c r="C950" s="2913"/>
      <c r="D950" s="2913"/>
      <c r="E950" s="2913"/>
      <c r="F950" s="2913"/>
    </row>
    <row r="951" spans="2:6">
      <c r="B951" s="2913"/>
      <c r="C951" s="2913"/>
      <c r="D951" s="2913"/>
      <c r="E951" s="2913"/>
      <c r="F951" s="2913"/>
    </row>
    <row r="952" spans="2:6">
      <c r="B952" s="2913"/>
      <c r="C952" s="2913"/>
      <c r="D952" s="2913"/>
      <c r="E952" s="2913"/>
      <c r="F952" s="2913"/>
    </row>
    <row r="953" spans="2:6">
      <c r="B953" s="2913"/>
      <c r="C953" s="2913"/>
      <c r="D953" s="2913"/>
      <c r="E953" s="2913"/>
      <c r="F953" s="2913"/>
    </row>
    <row r="954" spans="2:6">
      <c r="B954" s="2913"/>
      <c r="C954" s="2913"/>
      <c r="D954" s="2913"/>
      <c r="E954" s="2913"/>
      <c r="F954" s="2913"/>
    </row>
    <row r="955" spans="2:6">
      <c r="B955" s="2913"/>
      <c r="C955" s="2913"/>
      <c r="D955" s="2913"/>
      <c r="E955" s="2913"/>
      <c r="F955" s="2913"/>
    </row>
    <row r="956" spans="2:6">
      <c r="B956" s="2913"/>
      <c r="C956" s="2913"/>
      <c r="D956" s="2913"/>
      <c r="E956" s="2913"/>
      <c r="F956" s="2913"/>
    </row>
    <row r="957" spans="2:6">
      <c r="B957" s="2913"/>
      <c r="C957" s="2913"/>
      <c r="D957" s="2913"/>
      <c r="E957" s="2913"/>
      <c r="F957" s="2913"/>
    </row>
    <row r="958" spans="2:6">
      <c r="B958" s="2913"/>
      <c r="C958" s="2913"/>
      <c r="D958" s="2913"/>
      <c r="E958" s="2913"/>
      <c r="F958" s="2913"/>
    </row>
    <row r="959" spans="2:6">
      <c r="B959" s="2913"/>
      <c r="C959" s="2913"/>
      <c r="D959" s="2913"/>
      <c r="E959" s="2913"/>
      <c r="F959" s="2913"/>
    </row>
    <row r="960" spans="2:6">
      <c r="B960" s="2913"/>
      <c r="C960" s="2913"/>
      <c r="D960" s="2913"/>
      <c r="E960" s="2913"/>
      <c r="F960" s="2913"/>
    </row>
    <row r="961" spans="2:6">
      <c r="B961" s="2913"/>
      <c r="C961" s="2913"/>
      <c r="D961" s="2913"/>
      <c r="E961" s="2913"/>
      <c r="F961" s="2913"/>
    </row>
    <row r="962" spans="2:6">
      <c r="B962" s="2913"/>
      <c r="C962" s="2913"/>
      <c r="D962" s="2913"/>
      <c r="E962" s="2913"/>
      <c r="F962" s="2913"/>
    </row>
    <row r="963" spans="2:6">
      <c r="B963" s="2913"/>
      <c r="C963" s="2913"/>
      <c r="D963" s="2913"/>
      <c r="E963" s="2913"/>
      <c r="F963" s="2913"/>
    </row>
    <row r="964" spans="2:6">
      <c r="B964" s="2913"/>
      <c r="C964" s="2913"/>
      <c r="D964" s="2913"/>
      <c r="E964" s="2913"/>
      <c r="F964" s="2913"/>
    </row>
    <row r="965" spans="2:6">
      <c r="B965" s="2913"/>
      <c r="C965" s="2913"/>
      <c r="D965" s="2913"/>
      <c r="E965" s="2913"/>
      <c r="F965" s="2913"/>
    </row>
    <row r="966" spans="2:6">
      <c r="B966" s="2913"/>
      <c r="C966" s="2913"/>
      <c r="D966" s="2913"/>
      <c r="E966" s="2913"/>
      <c r="F966" s="2913"/>
    </row>
    <row r="967" spans="2:6">
      <c r="B967" s="2913"/>
      <c r="C967" s="2913"/>
      <c r="D967" s="2913"/>
      <c r="E967" s="2913"/>
      <c r="F967" s="2913"/>
    </row>
    <row r="968" spans="2:6">
      <c r="B968" s="2913"/>
      <c r="C968" s="2913"/>
      <c r="D968" s="2913"/>
      <c r="E968" s="2913"/>
      <c r="F968" s="2913"/>
    </row>
    <row r="969" spans="2:6">
      <c r="B969" s="2913"/>
      <c r="C969" s="2913"/>
      <c r="D969" s="2913"/>
      <c r="E969" s="2913"/>
      <c r="F969" s="2913"/>
    </row>
    <row r="970" spans="2:6">
      <c r="B970" s="2913"/>
      <c r="C970" s="2913"/>
      <c r="D970" s="2913"/>
      <c r="E970" s="2913"/>
      <c r="F970" s="2913"/>
    </row>
    <row r="971" spans="2:6">
      <c r="B971" s="2913"/>
      <c r="C971" s="2913"/>
      <c r="D971" s="2913"/>
      <c r="E971" s="2913"/>
      <c r="F971" s="2913"/>
    </row>
    <row r="972" spans="2:6">
      <c r="B972" s="2913"/>
      <c r="C972" s="2913"/>
      <c r="D972" s="2913"/>
      <c r="E972" s="2913"/>
      <c r="F972" s="2913"/>
    </row>
    <row r="973" spans="2:6">
      <c r="B973" s="2913"/>
      <c r="C973" s="2913"/>
      <c r="D973" s="2913"/>
      <c r="E973" s="2913"/>
      <c r="F973" s="2913"/>
    </row>
    <row r="974" spans="2:6">
      <c r="B974" s="2913"/>
      <c r="C974" s="2913"/>
      <c r="D974" s="2913"/>
      <c r="E974" s="2913"/>
      <c r="F974" s="2913"/>
    </row>
    <row r="975" spans="2:6">
      <c r="B975" s="2913"/>
      <c r="C975" s="2913"/>
      <c r="D975" s="2913"/>
      <c r="E975" s="2913"/>
      <c r="F975" s="2913"/>
    </row>
    <row r="976" spans="2:6">
      <c r="B976" s="2913"/>
      <c r="C976" s="2913"/>
      <c r="D976" s="2913"/>
      <c r="E976" s="2913"/>
      <c r="F976" s="2913"/>
    </row>
    <row r="977" spans="2:6">
      <c r="B977" s="2913"/>
      <c r="C977" s="2913"/>
      <c r="D977" s="2913"/>
      <c r="E977" s="2913"/>
      <c r="F977" s="2913"/>
    </row>
    <row r="978" spans="2:6">
      <c r="B978" s="2913"/>
      <c r="C978" s="2913"/>
      <c r="D978" s="2913"/>
      <c r="E978" s="2913"/>
      <c r="F978" s="2913"/>
    </row>
    <row r="979" spans="2:6">
      <c r="B979" s="2913"/>
      <c r="C979" s="2913"/>
      <c r="D979" s="2913"/>
      <c r="E979" s="2913"/>
      <c r="F979" s="2913"/>
    </row>
    <row r="980" spans="2:6">
      <c r="B980" s="2913"/>
      <c r="C980" s="2913"/>
      <c r="D980" s="2913"/>
      <c r="E980" s="2913"/>
      <c r="F980" s="2913"/>
    </row>
    <row r="981" spans="2:6">
      <c r="B981" s="2913"/>
      <c r="C981" s="2913"/>
      <c r="D981" s="2913"/>
      <c r="E981" s="2913"/>
      <c r="F981" s="2913"/>
    </row>
    <row r="982" spans="2:6">
      <c r="B982" s="2913"/>
      <c r="C982" s="2913"/>
      <c r="D982" s="2913"/>
      <c r="E982" s="2913"/>
      <c r="F982" s="2913"/>
    </row>
    <row r="983" spans="2:6">
      <c r="B983" s="2913"/>
      <c r="C983" s="2913"/>
      <c r="D983" s="2913"/>
      <c r="E983" s="2913"/>
      <c r="F983" s="2913"/>
    </row>
    <row r="984" spans="2:6">
      <c r="B984" s="2913"/>
      <c r="C984" s="2913"/>
      <c r="D984" s="2913"/>
      <c r="E984" s="2913"/>
      <c r="F984" s="2913"/>
    </row>
    <row r="985" spans="2:6">
      <c r="B985" s="2913"/>
      <c r="C985" s="2913"/>
      <c r="D985" s="2913"/>
      <c r="E985" s="2913"/>
      <c r="F985" s="2913"/>
    </row>
    <row r="986" spans="2:6">
      <c r="B986" s="2913"/>
      <c r="C986" s="2913"/>
      <c r="D986" s="2913"/>
      <c r="E986" s="2913"/>
      <c r="F986" s="2913"/>
    </row>
    <row r="987" spans="2:6">
      <c r="B987" s="2913"/>
      <c r="C987" s="2913"/>
      <c r="D987" s="2913"/>
      <c r="E987" s="2913"/>
      <c r="F987" s="2913"/>
    </row>
    <row r="988" spans="2:6">
      <c r="B988" s="2913"/>
      <c r="C988" s="2913"/>
      <c r="D988" s="2913"/>
      <c r="E988" s="2913"/>
      <c r="F988" s="2913"/>
    </row>
    <row r="989" spans="2:6">
      <c r="B989" s="2913"/>
      <c r="C989" s="2913"/>
      <c r="D989" s="2913"/>
      <c r="E989" s="2913"/>
      <c r="F989" s="2913"/>
    </row>
    <row r="990" spans="2:6">
      <c r="B990" s="2913"/>
      <c r="C990" s="2913"/>
      <c r="D990" s="2913"/>
      <c r="E990" s="2913"/>
      <c r="F990" s="2913"/>
    </row>
    <row r="991" spans="2:6">
      <c r="B991" s="2913"/>
      <c r="C991" s="2913"/>
      <c r="D991" s="2913"/>
      <c r="E991" s="2913"/>
      <c r="F991" s="2913"/>
    </row>
    <row r="992" spans="2:6">
      <c r="B992" s="2913"/>
      <c r="C992" s="2913"/>
      <c r="D992" s="2913"/>
      <c r="E992" s="2913"/>
      <c r="F992" s="2913"/>
    </row>
    <row r="993" spans="2:6">
      <c r="B993" s="2913"/>
      <c r="C993" s="2913"/>
      <c r="D993" s="2913"/>
      <c r="E993" s="2913"/>
      <c r="F993" s="2913"/>
    </row>
    <row r="994" spans="2:6">
      <c r="B994" s="2913"/>
      <c r="C994" s="2913"/>
      <c r="D994" s="2913"/>
      <c r="E994" s="2913"/>
      <c r="F994" s="2913"/>
    </row>
    <row r="995" spans="2:6">
      <c r="B995" s="2913"/>
      <c r="C995" s="2913"/>
      <c r="D995" s="2913"/>
      <c r="E995" s="2913"/>
      <c r="F995" s="2913"/>
    </row>
    <row r="996" spans="2:6">
      <c r="B996" s="2913"/>
      <c r="C996" s="2913"/>
      <c r="D996" s="2913"/>
      <c r="E996" s="2913"/>
      <c r="F996" s="2913"/>
    </row>
    <row r="997" spans="2:6">
      <c r="B997" s="2913"/>
      <c r="C997" s="2913"/>
      <c r="D997" s="2913"/>
      <c r="E997" s="2913"/>
      <c r="F997" s="2913"/>
    </row>
    <row r="998" spans="2:6">
      <c r="B998" s="2913"/>
      <c r="C998" s="2913"/>
      <c r="D998" s="2913"/>
      <c r="E998" s="2913"/>
      <c r="F998" s="2913"/>
    </row>
    <row r="999" spans="2:6">
      <c r="B999" s="2913"/>
      <c r="C999" s="2913"/>
      <c r="D999" s="2913"/>
      <c r="E999" s="2913"/>
      <c r="F999" s="2913"/>
    </row>
    <row r="1000" spans="2:6">
      <c r="B1000" s="2913"/>
      <c r="C1000" s="2913"/>
      <c r="D1000" s="2913"/>
      <c r="E1000" s="2913"/>
      <c r="F1000" s="2913"/>
    </row>
    <row r="1001" spans="2:6">
      <c r="B1001" s="2913"/>
      <c r="C1001" s="2913"/>
      <c r="D1001" s="2913"/>
      <c r="E1001" s="2913"/>
      <c r="F1001" s="2913"/>
    </row>
    <row r="1002" spans="2:6">
      <c r="B1002" s="2913"/>
      <c r="C1002" s="2913"/>
      <c r="D1002" s="2913"/>
      <c r="E1002" s="2913"/>
      <c r="F1002" s="2913"/>
    </row>
    <row r="1003" spans="2:6">
      <c r="B1003" s="2913"/>
      <c r="C1003" s="2913"/>
      <c r="D1003" s="2913"/>
      <c r="E1003" s="2913"/>
      <c r="F1003" s="2913"/>
    </row>
    <row r="1004" spans="2:6">
      <c r="B1004" s="2913"/>
      <c r="C1004" s="2913"/>
      <c r="D1004" s="2913"/>
      <c r="E1004" s="2913"/>
      <c r="F1004" s="2913"/>
    </row>
    <row r="1005" spans="2:6">
      <c r="B1005" s="2913"/>
      <c r="C1005" s="2913"/>
      <c r="D1005" s="2913"/>
      <c r="E1005" s="2913"/>
      <c r="F1005" s="2913"/>
    </row>
    <row r="1006" spans="2:6">
      <c r="B1006" s="2913"/>
      <c r="C1006" s="2913"/>
      <c r="D1006" s="2913"/>
      <c r="E1006" s="2913"/>
      <c r="F1006" s="2913"/>
    </row>
    <row r="1007" spans="2:6">
      <c r="B1007" s="2913"/>
      <c r="C1007" s="2913"/>
      <c r="D1007" s="2913"/>
      <c r="E1007" s="2913"/>
      <c r="F1007" s="2913"/>
    </row>
    <row r="1008" spans="2:6">
      <c r="B1008" s="2913"/>
      <c r="C1008" s="2913"/>
      <c r="D1008" s="2913"/>
      <c r="E1008" s="2913"/>
      <c r="F1008" s="2913"/>
    </row>
    <row r="1009" spans="2:6">
      <c r="B1009" s="2913"/>
      <c r="C1009" s="2913"/>
      <c r="D1009" s="2913"/>
      <c r="E1009" s="2913"/>
      <c r="F1009" s="2913"/>
    </row>
    <row r="1010" spans="2:6">
      <c r="B1010" s="2913"/>
      <c r="C1010" s="2913"/>
      <c r="D1010" s="2913"/>
      <c r="E1010" s="2913"/>
      <c r="F1010" s="2913"/>
    </row>
    <row r="1011" spans="2:6">
      <c r="B1011" s="2913"/>
      <c r="C1011" s="2913"/>
      <c r="D1011" s="2913"/>
      <c r="E1011" s="2913"/>
      <c r="F1011" s="2913"/>
    </row>
    <row r="1012" spans="2:6">
      <c r="B1012" s="2913"/>
      <c r="C1012" s="2913"/>
      <c r="D1012" s="2913"/>
      <c r="E1012" s="2913"/>
      <c r="F1012" s="2913"/>
    </row>
    <row r="1013" spans="2:6">
      <c r="B1013" s="2913"/>
      <c r="C1013" s="2913"/>
      <c r="D1013" s="2913"/>
      <c r="E1013" s="2913"/>
      <c r="F1013" s="2913"/>
    </row>
    <row r="1014" spans="2:6">
      <c r="B1014" s="2913"/>
      <c r="C1014" s="2913"/>
      <c r="D1014" s="2913"/>
      <c r="E1014" s="2913"/>
      <c r="F1014" s="2913"/>
    </row>
    <row r="1015" spans="2:6">
      <c r="B1015" s="2913"/>
      <c r="C1015" s="2913"/>
      <c r="D1015" s="2913"/>
      <c r="E1015" s="2913"/>
      <c r="F1015" s="2913"/>
    </row>
    <row r="1016" spans="2:6">
      <c r="B1016" s="2913"/>
      <c r="C1016" s="2913"/>
      <c r="D1016" s="2913"/>
      <c r="E1016" s="2913"/>
      <c r="F1016" s="2913"/>
    </row>
    <row r="1017" spans="2:6">
      <c r="B1017" s="2913"/>
      <c r="C1017" s="2913"/>
      <c r="D1017" s="2913"/>
      <c r="E1017" s="2913"/>
      <c r="F1017" s="2913"/>
    </row>
    <row r="1018" spans="2:6">
      <c r="B1018" s="2913"/>
      <c r="C1018" s="2913"/>
      <c r="D1018" s="2913"/>
      <c r="E1018" s="2913"/>
      <c r="F1018" s="2913"/>
    </row>
    <row r="1019" spans="2:6">
      <c r="B1019" s="2913"/>
      <c r="C1019" s="2913"/>
      <c r="D1019" s="2913"/>
      <c r="E1019" s="2913"/>
      <c r="F1019" s="2913"/>
    </row>
    <row r="1020" spans="2:6">
      <c r="B1020" s="2913"/>
      <c r="C1020" s="2913"/>
      <c r="D1020" s="2913"/>
      <c r="E1020" s="2913"/>
      <c r="F1020" s="2913"/>
    </row>
    <row r="1021" spans="2:6">
      <c r="B1021" s="2913"/>
      <c r="C1021" s="2913"/>
      <c r="D1021" s="2913"/>
      <c r="E1021" s="2913"/>
      <c r="F1021" s="2913"/>
    </row>
    <row r="1022" spans="2:6">
      <c r="B1022" s="2913"/>
      <c r="C1022" s="2913"/>
      <c r="D1022" s="2913"/>
      <c r="E1022" s="2913"/>
      <c r="F1022" s="2913"/>
    </row>
    <row r="1023" spans="2:6">
      <c r="B1023" s="2913"/>
      <c r="C1023" s="2913"/>
      <c r="D1023" s="2913"/>
      <c r="E1023" s="2913"/>
      <c r="F1023" s="2913"/>
    </row>
    <row r="1024" spans="2:6">
      <c r="B1024" s="2913"/>
      <c r="C1024" s="2913"/>
      <c r="D1024" s="2913"/>
      <c r="E1024" s="2913"/>
      <c r="F1024" s="2913"/>
    </row>
    <row r="1025" spans="2:6">
      <c r="B1025" s="2913"/>
      <c r="C1025" s="2913"/>
      <c r="D1025" s="2913"/>
      <c r="E1025" s="2913"/>
      <c r="F1025" s="2913"/>
    </row>
    <row r="1026" spans="2:6">
      <c r="B1026" s="2913"/>
      <c r="C1026" s="2913"/>
      <c r="D1026" s="2913"/>
      <c r="E1026" s="2913"/>
      <c r="F1026" s="2913"/>
    </row>
    <row r="1027" spans="2:6">
      <c r="B1027" s="2913"/>
      <c r="C1027" s="2913"/>
      <c r="D1027" s="2913"/>
      <c r="E1027" s="2913"/>
      <c r="F1027" s="2913"/>
    </row>
    <row r="1028" spans="2:6">
      <c r="B1028" s="2913"/>
      <c r="C1028" s="2913"/>
      <c r="D1028" s="2913"/>
      <c r="E1028" s="2913"/>
      <c r="F1028" s="2913"/>
    </row>
    <row r="1029" spans="2:6">
      <c r="B1029" s="2913"/>
      <c r="C1029" s="2913"/>
      <c r="D1029" s="2913"/>
      <c r="E1029" s="2913"/>
      <c r="F1029" s="2913"/>
    </row>
    <row r="1030" spans="2:6">
      <c r="B1030" s="2913"/>
      <c r="C1030" s="2913"/>
      <c r="D1030" s="2913"/>
      <c r="E1030" s="2913"/>
      <c r="F1030" s="2913"/>
    </row>
    <row r="1031" spans="2:6">
      <c r="B1031" s="2913"/>
      <c r="C1031" s="2913"/>
      <c r="D1031" s="2913"/>
      <c r="E1031" s="2913"/>
      <c r="F1031" s="2913"/>
    </row>
    <row r="1032" spans="2:6">
      <c r="B1032" s="2913"/>
      <c r="C1032" s="2913"/>
      <c r="D1032" s="2913"/>
      <c r="E1032" s="2913"/>
      <c r="F1032" s="2913"/>
    </row>
    <row r="1033" spans="2:6">
      <c r="B1033" s="2913"/>
      <c r="C1033" s="2913"/>
      <c r="D1033" s="2913"/>
      <c r="E1033" s="2913"/>
      <c r="F1033" s="2913"/>
    </row>
    <row r="1034" spans="2:6">
      <c r="B1034" s="2913"/>
      <c r="C1034" s="2913"/>
      <c r="D1034" s="2913"/>
      <c r="E1034" s="2913"/>
      <c r="F1034" s="2913"/>
    </row>
    <row r="1035" spans="2:6">
      <c r="B1035" s="2913"/>
      <c r="C1035" s="2913"/>
      <c r="D1035" s="2913"/>
      <c r="E1035" s="2913"/>
      <c r="F1035" s="2913"/>
    </row>
    <row r="1036" spans="2:6">
      <c r="B1036" s="2913"/>
      <c r="C1036" s="2913"/>
      <c r="D1036" s="2913"/>
      <c r="E1036" s="2913"/>
      <c r="F1036" s="2913"/>
    </row>
    <row r="1037" spans="2:6">
      <c r="B1037" s="2913"/>
      <c r="C1037" s="2913"/>
      <c r="D1037" s="2913"/>
      <c r="E1037" s="2913"/>
      <c r="F1037" s="2913"/>
    </row>
    <row r="1038" spans="2:6">
      <c r="B1038" s="2913"/>
      <c r="C1038" s="2913"/>
      <c r="D1038" s="2913"/>
      <c r="E1038" s="2913"/>
      <c r="F1038" s="2913"/>
    </row>
    <row r="1039" spans="2:6">
      <c r="B1039" s="2913"/>
      <c r="C1039" s="2913"/>
      <c r="D1039" s="2913"/>
      <c r="E1039" s="2913"/>
      <c r="F1039" s="2913"/>
    </row>
    <row r="1040" spans="2:6">
      <c r="B1040" s="2913"/>
      <c r="C1040" s="2913"/>
      <c r="D1040" s="2913"/>
      <c r="E1040" s="2913"/>
      <c r="F1040" s="2913"/>
    </row>
    <row r="1041" spans="2:6">
      <c r="B1041" s="2913"/>
      <c r="C1041" s="2913"/>
      <c r="D1041" s="2913"/>
      <c r="E1041" s="2913"/>
      <c r="F1041" s="2913"/>
    </row>
    <row r="1042" spans="2:6">
      <c r="B1042" s="2913"/>
      <c r="C1042" s="2913"/>
      <c r="D1042" s="2913"/>
      <c r="E1042" s="2913"/>
      <c r="F1042" s="2913"/>
    </row>
    <row r="1043" spans="2:6">
      <c r="B1043" s="2913"/>
      <c r="C1043" s="2913"/>
      <c r="D1043" s="2913"/>
      <c r="E1043" s="2913"/>
      <c r="F1043" s="2913"/>
    </row>
    <row r="1044" spans="2:6">
      <c r="B1044" s="2913"/>
      <c r="C1044" s="2913"/>
      <c r="D1044" s="2913"/>
      <c r="E1044" s="2913"/>
      <c r="F1044" s="2913"/>
    </row>
    <row r="1045" spans="2:6">
      <c r="B1045" s="2913"/>
      <c r="C1045" s="2913"/>
      <c r="D1045" s="2913"/>
      <c r="E1045" s="2913"/>
      <c r="F1045" s="2913"/>
    </row>
    <row r="1046" spans="2:6">
      <c r="B1046" s="2913"/>
      <c r="C1046" s="2913"/>
      <c r="D1046" s="2913"/>
      <c r="E1046" s="2913"/>
      <c r="F1046" s="2913"/>
    </row>
    <row r="1047" spans="2:6">
      <c r="B1047" s="2913"/>
      <c r="C1047" s="2913"/>
      <c r="D1047" s="2913"/>
      <c r="E1047" s="2913"/>
      <c r="F1047" s="2913"/>
    </row>
    <row r="1048" spans="2:6">
      <c r="B1048" s="2913"/>
      <c r="C1048" s="2913"/>
      <c r="D1048" s="2913"/>
      <c r="E1048" s="2913"/>
      <c r="F1048" s="2913"/>
    </row>
    <row r="1049" spans="2:6">
      <c r="B1049" s="2913"/>
      <c r="C1049" s="2913"/>
      <c r="D1049" s="2913"/>
      <c r="E1049" s="2913"/>
      <c r="F1049" s="2913"/>
    </row>
    <row r="1050" spans="2:6">
      <c r="B1050" s="2913"/>
      <c r="C1050" s="2913"/>
      <c r="D1050" s="2913"/>
      <c r="E1050" s="2913"/>
      <c r="F1050" s="2913"/>
    </row>
    <row r="1051" spans="2:6">
      <c r="B1051" s="2913"/>
      <c r="C1051" s="2913"/>
      <c r="D1051" s="2913"/>
      <c r="E1051" s="2913"/>
      <c r="F1051" s="2913"/>
    </row>
    <row r="1052" spans="2:6">
      <c r="B1052" s="2913"/>
      <c r="C1052" s="2913"/>
      <c r="D1052" s="2913"/>
      <c r="E1052" s="2913"/>
      <c r="F1052" s="2913"/>
    </row>
    <row r="1053" spans="2:6">
      <c r="B1053" s="2913"/>
      <c r="C1053" s="2913"/>
      <c r="D1053" s="2913"/>
      <c r="E1053" s="2913"/>
      <c r="F1053" s="2913"/>
    </row>
    <row r="1054" spans="2:6">
      <c r="B1054" s="2913"/>
      <c r="C1054" s="2913"/>
      <c r="D1054" s="2913"/>
      <c r="E1054" s="2913"/>
      <c r="F1054" s="2913"/>
    </row>
    <row r="1055" spans="2:6">
      <c r="B1055" s="2913"/>
      <c r="C1055" s="2913"/>
      <c r="D1055" s="2913"/>
      <c r="E1055" s="2913"/>
      <c r="F1055" s="2913"/>
    </row>
    <row r="1056" spans="2:6">
      <c r="B1056" s="2913"/>
      <c r="C1056" s="2913"/>
      <c r="D1056" s="2913"/>
      <c r="E1056" s="2913"/>
      <c r="F1056" s="2913"/>
    </row>
    <row r="1057" spans="2:6">
      <c r="B1057" s="2913"/>
      <c r="C1057" s="2913"/>
      <c r="D1057" s="2913"/>
      <c r="E1057" s="2913"/>
      <c r="F1057" s="2913"/>
    </row>
    <row r="1058" spans="2:6">
      <c r="B1058" s="2913"/>
      <c r="C1058" s="2913"/>
      <c r="D1058" s="2913"/>
      <c r="E1058" s="2913"/>
      <c r="F1058" s="2913"/>
    </row>
    <row r="1059" spans="2:6">
      <c r="B1059" s="2913"/>
      <c r="C1059" s="2913"/>
      <c r="D1059" s="2913"/>
      <c r="E1059" s="2913"/>
      <c r="F1059" s="2913"/>
    </row>
    <row r="1060" spans="2:6">
      <c r="B1060" s="2913"/>
      <c r="C1060" s="2913"/>
      <c r="D1060" s="2913"/>
      <c r="E1060" s="2913"/>
      <c r="F1060" s="2913"/>
    </row>
    <row r="1061" spans="2:6">
      <c r="B1061" s="2913"/>
      <c r="C1061" s="2913"/>
      <c r="D1061" s="2913"/>
      <c r="E1061" s="2913"/>
      <c r="F1061" s="2913"/>
    </row>
    <row r="1062" spans="2:6">
      <c r="B1062" s="2913"/>
      <c r="C1062" s="2913"/>
      <c r="D1062" s="2913"/>
      <c r="E1062" s="2913"/>
      <c r="F1062" s="2913"/>
    </row>
    <row r="1063" spans="2:6">
      <c r="B1063" s="2913"/>
      <c r="C1063" s="2913"/>
      <c r="D1063" s="2913"/>
      <c r="E1063" s="2913"/>
      <c r="F1063" s="2913"/>
    </row>
    <row r="1064" spans="2:6">
      <c r="B1064" s="2913"/>
      <c r="C1064" s="2913"/>
      <c r="D1064" s="2913"/>
      <c r="E1064" s="2913"/>
      <c r="F1064" s="2913"/>
    </row>
    <row r="1065" spans="2:6">
      <c r="B1065" s="2913"/>
      <c r="C1065" s="2913"/>
      <c r="D1065" s="2913"/>
      <c r="E1065" s="2913"/>
      <c r="F1065" s="2913"/>
    </row>
    <row r="1066" spans="2:6">
      <c r="B1066" s="2913"/>
      <c r="C1066" s="2913"/>
      <c r="D1066" s="2913"/>
      <c r="E1066" s="2913"/>
      <c r="F1066" s="2913"/>
    </row>
    <row r="1067" spans="2:6">
      <c r="B1067" s="2913"/>
      <c r="C1067" s="2913"/>
      <c r="D1067" s="2913"/>
      <c r="E1067" s="2913"/>
      <c r="F1067" s="2913"/>
    </row>
    <row r="1068" spans="2:6">
      <c r="B1068" s="2913"/>
      <c r="C1068" s="2913"/>
      <c r="D1068" s="2913"/>
      <c r="E1068" s="2913"/>
      <c r="F1068" s="2913"/>
    </row>
    <row r="1069" spans="2:6">
      <c r="B1069" s="2913"/>
      <c r="C1069" s="2913"/>
      <c r="D1069" s="2913"/>
      <c r="E1069" s="2913"/>
      <c r="F1069" s="2913"/>
    </row>
    <row r="1070" spans="2:6">
      <c r="B1070" s="2913"/>
      <c r="C1070" s="2913"/>
      <c r="D1070" s="2913"/>
      <c r="E1070" s="2913"/>
      <c r="F1070" s="2913"/>
    </row>
    <row r="1071" spans="2:6">
      <c r="B1071" s="2913"/>
      <c r="C1071" s="2913"/>
      <c r="D1071" s="2913"/>
      <c r="E1071" s="2913"/>
      <c r="F1071" s="2913"/>
    </row>
    <row r="1072" spans="2:6">
      <c r="B1072" s="2913"/>
      <c r="C1072" s="2913"/>
      <c r="D1072" s="2913"/>
      <c r="E1072" s="2913"/>
      <c r="F1072" s="2913"/>
    </row>
    <row r="1073" spans="2:6">
      <c r="B1073" s="2913"/>
      <c r="C1073" s="2913"/>
      <c r="D1073" s="2913"/>
      <c r="E1073" s="2913"/>
      <c r="F1073" s="2913"/>
    </row>
    <row r="1074" spans="2:6">
      <c r="B1074" s="2913"/>
      <c r="C1074" s="2913"/>
      <c r="D1074" s="2913"/>
      <c r="E1074" s="2913"/>
      <c r="F1074" s="2913"/>
    </row>
    <row r="1075" spans="2:6">
      <c r="B1075" s="2913"/>
      <c r="C1075" s="2913"/>
      <c r="D1075" s="2913"/>
      <c r="E1075" s="2913"/>
      <c r="F1075" s="2913"/>
    </row>
    <row r="1076" spans="2:6">
      <c r="B1076" s="2913"/>
      <c r="C1076" s="2913"/>
      <c r="D1076" s="2913"/>
      <c r="E1076" s="2913"/>
      <c r="F1076" s="2913"/>
    </row>
    <row r="1077" spans="2:6">
      <c r="B1077" s="2913"/>
      <c r="C1077" s="2913"/>
      <c r="D1077" s="2913"/>
      <c r="E1077" s="2913"/>
      <c r="F1077" s="2913"/>
    </row>
    <row r="1078" spans="2:6">
      <c r="B1078" s="2913"/>
      <c r="C1078" s="2913"/>
      <c r="D1078" s="2913"/>
      <c r="E1078" s="2913"/>
      <c r="F1078" s="2913"/>
    </row>
    <row r="1079" spans="2:6">
      <c r="B1079" s="2913"/>
      <c r="C1079" s="2913"/>
      <c r="D1079" s="2913"/>
      <c r="E1079" s="2913"/>
      <c r="F1079" s="2913"/>
    </row>
    <row r="1080" spans="2:6">
      <c r="B1080" s="2913"/>
      <c r="C1080" s="2913"/>
      <c r="D1080" s="2913"/>
      <c r="E1080" s="2913"/>
      <c r="F1080" s="2913"/>
    </row>
    <row r="1081" spans="2:6">
      <c r="B1081" s="2913"/>
      <c r="C1081" s="2913"/>
      <c r="D1081" s="2913"/>
      <c r="E1081" s="2913"/>
      <c r="F1081" s="2913"/>
    </row>
    <row r="1082" spans="2:6">
      <c r="B1082" s="2913"/>
      <c r="C1082" s="2913"/>
      <c r="D1082" s="2913"/>
      <c r="E1082" s="2913"/>
      <c r="F1082" s="2913"/>
    </row>
    <row r="1083" spans="2:6">
      <c r="B1083" s="2913"/>
      <c r="C1083" s="2913"/>
      <c r="D1083" s="2913"/>
      <c r="E1083" s="2913"/>
      <c r="F1083" s="2913"/>
    </row>
    <row r="1084" spans="2:6">
      <c r="B1084" s="2913"/>
      <c r="C1084" s="2913"/>
      <c r="D1084" s="2913"/>
      <c r="E1084" s="2913"/>
      <c r="F1084" s="2913"/>
    </row>
    <row r="1085" spans="2:6">
      <c r="B1085" s="2913"/>
      <c r="C1085" s="2913"/>
      <c r="D1085" s="2913"/>
      <c r="E1085" s="2913"/>
      <c r="F1085" s="2913"/>
    </row>
    <row r="1086" spans="2:6">
      <c r="B1086" s="2913"/>
      <c r="C1086" s="2913"/>
      <c r="D1086" s="2913"/>
      <c r="E1086" s="2913"/>
      <c r="F1086" s="2913"/>
    </row>
    <row r="1087" spans="2:6">
      <c r="B1087" s="2913"/>
      <c r="C1087" s="2913"/>
      <c r="D1087" s="2913"/>
      <c r="E1087" s="2913"/>
      <c r="F1087" s="2913"/>
    </row>
    <row r="1088" spans="2:6">
      <c r="B1088" s="2913"/>
      <c r="C1088" s="2913"/>
      <c r="D1088" s="2913"/>
      <c r="E1088" s="2913"/>
      <c r="F1088" s="2913"/>
    </row>
    <row r="1089" spans="2:6">
      <c r="B1089" s="2913"/>
      <c r="C1089" s="2913"/>
      <c r="D1089" s="2913"/>
      <c r="E1089" s="2913"/>
      <c r="F1089" s="2913"/>
    </row>
    <row r="1090" spans="2:6">
      <c r="B1090" s="2913"/>
      <c r="C1090" s="2913"/>
      <c r="D1090" s="2913"/>
      <c r="E1090" s="2913"/>
      <c r="F1090" s="2913"/>
    </row>
    <row r="1091" spans="2:6">
      <c r="B1091" s="2913"/>
      <c r="C1091" s="2913"/>
      <c r="D1091" s="2913"/>
      <c r="E1091" s="2913"/>
      <c r="F1091" s="2913"/>
    </row>
    <row r="1092" spans="2:6">
      <c r="B1092" s="2913"/>
      <c r="C1092" s="2913"/>
      <c r="D1092" s="2913"/>
      <c r="E1092" s="2913"/>
      <c r="F1092" s="2913"/>
    </row>
    <row r="1093" spans="2:6">
      <c r="B1093" s="2913"/>
      <c r="C1093" s="2913"/>
      <c r="D1093" s="2913"/>
      <c r="E1093" s="2913"/>
      <c r="F1093" s="2913"/>
    </row>
    <row r="1094" spans="2:6">
      <c r="B1094" s="2913"/>
      <c r="C1094" s="2913"/>
      <c r="D1094" s="2913"/>
      <c r="E1094" s="2913"/>
      <c r="F1094" s="2913"/>
    </row>
    <row r="1095" spans="2:6">
      <c r="B1095" s="2913"/>
      <c r="C1095" s="2913"/>
      <c r="D1095" s="2913"/>
      <c r="E1095" s="2913"/>
      <c r="F1095" s="2913"/>
    </row>
    <row r="1096" spans="2:6">
      <c r="B1096" s="2913"/>
      <c r="C1096" s="2913"/>
      <c r="D1096" s="2913"/>
      <c r="E1096" s="2913"/>
      <c r="F1096" s="2913"/>
    </row>
    <row r="1097" spans="2:6">
      <c r="B1097" s="2913"/>
      <c r="C1097" s="2913"/>
      <c r="D1097" s="2913"/>
      <c r="E1097" s="2913"/>
      <c r="F1097" s="2913"/>
    </row>
    <row r="1098" spans="2:6">
      <c r="B1098" s="2913"/>
      <c r="C1098" s="2913"/>
      <c r="D1098" s="2913"/>
      <c r="E1098" s="2913"/>
      <c r="F1098" s="2913"/>
    </row>
    <row r="1099" spans="2:6">
      <c r="B1099" s="2913"/>
      <c r="C1099" s="2913"/>
      <c r="D1099" s="2913"/>
      <c r="E1099" s="2913"/>
      <c r="F1099" s="2913"/>
    </row>
    <row r="1100" spans="2:6">
      <c r="B1100" s="2913"/>
      <c r="C1100" s="2913"/>
      <c r="D1100" s="2913"/>
      <c r="E1100" s="2913"/>
      <c r="F1100" s="2913"/>
    </row>
    <row r="1101" spans="2:6">
      <c r="B1101" s="2913"/>
      <c r="C1101" s="2913"/>
      <c r="D1101" s="2913"/>
      <c r="E1101" s="2913"/>
      <c r="F1101" s="2913"/>
    </row>
    <row r="1102" spans="2:6">
      <c r="B1102" s="2913"/>
      <c r="C1102" s="2913"/>
      <c r="D1102" s="2913"/>
      <c r="E1102" s="2913"/>
      <c r="F1102" s="2913"/>
    </row>
    <row r="1103" spans="2:6">
      <c r="B1103" s="2913"/>
      <c r="C1103" s="2913"/>
      <c r="D1103" s="2913"/>
      <c r="E1103" s="2913"/>
      <c r="F1103" s="2913"/>
    </row>
    <row r="1104" spans="2:6">
      <c r="B1104" s="2913"/>
      <c r="C1104" s="2913"/>
      <c r="D1104" s="2913"/>
      <c r="E1104" s="2913"/>
      <c r="F1104" s="2913"/>
    </row>
    <row r="1105" spans="2:6">
      <c r="B1105" s="2913"/>
      <c r="C1105" s="2913"/>
      <c r="D1105" s="2913"/>
      <c r="E1105" s="2913"/>
      <c r="F1105" s="2913"/>
    </row>
    <row r="1106" spans="2:6">
      <c r="B1106" s="2913"/>
      <c r="C1106" s="2913"/>
      <c r="D1106" s="2913"/>
      <c r="E1106" s="2913"/>
      <c r="F1106" s="2913"/>
    </row>
    <row r="1107" spans="2:6">
      <c r="B1107" s="2913"/>
      <c r="C1107" s="2913"/>
      <c r="D1107" s="2913"/>
      <c r="E1107" s="2913"/>
      <c r="F1107" s="2913"/>
    </row>
    <row r="1108" spans="2:6">
      <c r="B1108" s="2913"/>
      <c r="C1108" s="2913"/>
      <c r="D1108" s="2913"/>
      <c r="E1108" s="2913"/>
      <c r="F1108" s="2913"/>
    </row>
    <row r="1109" spans="2:6">
      <c r="B1109" s="2913"/>
      <c r="C1109" s="2913"/>
      <c r="D1109" s="2913"/>
      <c r="E1109" s="2913"/>
      <c r="F1109" s="2913"/>
    </row>
    <row r="1110" spans="2:6">
      <c r="B1110" s="2913"/>
      <c r="C1110" s="2913"/>
      <c r="D1110" s="2913"/>
      <c r="E1110" s="2913"/>
      <c r="F1110" s="2913"/>
    </row>
    <row r="1111" spans="2:6">
      <c r="B1111" s="2913"/>
      <c r="C1111" s="2913"/>
      <c r="D1111" s="2913"/>
      <c r="E1111" s="2913"/>
      <c r="F1111" s="2913"/>
    </row>
    <row r="1112" spans="2:6">
      <c r="B1112" s="2913"/>
      <c r="C1112" s="2913"/>
      <c r="D1112" s="2913"/>
      <c r="E1112" s="2913"/>
      <c r="F1112" s="2913"/>
    </row>
    <row r="1113" spans="2:6">
      <c r="B1113" s="2913"/>
      <c r="C1113" s="2913"/>
      <c r="D1113" s="2913"/>
      <c r="E1113" s="2913"/>
      <c r="F1113" s="2913"/>
    </row>
    <row r="1114" spans="2:6">
      <c r="B1114" s="2913"/>
      <c r="C1114" s="2913"/>
      <c r="D1114" s="2913"/>
      <c r="E1114" s="2913"/>
      <c r="F1114" s="2913"/>
    </row>
    <row r="1115" spans="2:6">
      <c r="B1115" s="2913"/>
      <c r="C1115" s="2913"/>
      <c r="D1115" s="2913"/>
      <c r="E1115" s="2913"/>
      <c r="F1115" s="2913"/>
    </row>
    <row r="1116" spans="2:6">
      <c r="B1116" s="2913"/>
      <c r="C1116" s="2913"/>
      <c r="D1116" s="2913"/>
      <c r="E1116" s="2913"/>
      <c r="F1116" s="2913"/>
    </row>
    <row r="1117" spans="2:6">
      <c r="B1117" s="2913"/>
      <c r="C1117" s="2913"/>
      <c r="D1117" s="2913"/>
      <c r="E1117" s="2913"/>
      <c r="F1117" s="2913"/>
    </row>
    <row r="1118" spans="2:6">
      <c r="B1118" s="2913"/>
      <c r="C1118" s="2913"/>
      <c r="D1118" s="2913"/>
      <c r="E1118" s="2913"/>
      <c r="F1118" s="2913"/>
    </row>
    <row r="1119" spans="2:6">
      <c r="B1119" s="2913"/>
      <c r="C1119" s="2913"/>
      <c r="D1119" s="2913"/>
      <c r="E1119" s="2913"/>
      <c r="F1119" s="2913"/>
    </row>
    <row r="1120" spans="2:6">
      <c r="B1120" s="2913"/>
      <c r="C1120" s="2913"/>
      <c r="D1120" s="2913"/>
      <c r="E1120" s="2913"/>
      <c r="F1120" s="2913"/>
    </row>
    <row r="1121" spans="2:6">
      <c r="B1121" s="2913"/>
      <c r="C1121" s="2913"/>
      <c r="D1121" s="2913"/>
      <c r="E1121" s="2913"/>
      <c r="F1121" s="2913"/>
    </row>
    <row r="1122" spans="2:6">
      <c r="B1122" s="2913"/>
      <c r="C1122" s="2913"/>
      <c r="D1122" s="2913"/>
      <c r="E1122" s="2913"/>
      <c r="F1122" s="2913"/>
    </row>
    <row r="1123" spans="2:6">
      <c r="B1123" s="2913"/>
      <c r="C1123" s="2913"/>
      <c r="D1123" s="2913"/>
      <c r="E1123" s="2913"/>
      <c r="F1123" s="2913"/>
    </row>
    <row r="1124" spans="2:6">
      <c r="B1124" s="2913"/>
      <c r="C1124" s="2913"/>
      <c r="D1124" s="2913"/>
      <c r="E1124" s="2913"/>
      <c r="F1124" s="2913"/>
    </row>
    <row r="1125" spans="2:6">
      <c r="B1125" s="2913"/>
      <c r="C1125" s="2913"/>
      <c r="D1125" s="2913"/>
      <c r="E1125" s="2913"/>
      <c r="F1125" s="2913"/>
    </row>
    <row r="1126" spans="2:6">
      <c r="B1126" s="2913"/>
      <c r="C1126" s="2913"/>
      <c r="D1126" s="2913"/>
      <c r="E1126" s="2913"/>
      <c r="F1126" s="2913"/>
    </row>
    <row r="1127" spans="2:6">
      <c r="B1127" s="2913"/>
      <c r="C1127" s="2913"/>
      <c r="D1127" s="2913"/>
      <c r="E1127" s="2913"/>
      <c r="F1127" s="2913"/>
    </row>
    <row r="1128" spans="2:6">
      <c r="B1128" s="2913"/>
      <c r="C1128" s="2913"/>
      <c r="D1128" s="2913"/>
      <c r="E1128" s="2913"/>
      <c r="F1128" s="2913"/>
    </row>
    <row r="1129" spans="2:6">
      <c r="B1129" s="2913"/>
      <c r="C1129" s="2913"/>
      <c r="D1129" s="2913"/>
      <c r="E1129" s="2913"/>
      <c r="F1129" s="2913"/>
    </row>
    <row r="1130" spans="2:6">
      <c r="B1130" s="2913"/>
      <c r="C1130" s="2913"/>
      <c r="D1130" s="2913"/>
      <c r="E1130" s="2913"/>
      <c r="F1130" s="2913"/>
    </row>
    <row r="1131" spans="2:6">
      <c r="B1131" s="2913"/>
      <c r="C1131" s="2913"/>
      <c r="D1131" s="2913"/>
      <c r="E1131" s="2913"/>
      <c r="F1131" s="2913"/>
    </row>
    <row r="1132" spans="2:6">
      <c r="B1132" s="2913"/>
      <c r="C1132" s="2913"/>
      <c r="D1132" s="2913"/>
      <c r="E1132" s="2913"/>
      <c r="F1132" s="2913"/>
    </row>
    <row r="1133" spans="2:6">
      <c r="B1133" s="2913"/>
      <c r="C1133" s="2913"/>
      <c r="D1133" s="2913"/>
      <c r="E1133" s="2913"/>
      <c r="F1133" s="2913"/>
    </row>
    <row r="1134" spans="2:6">
      <c r="B1134" s="2913"/>
      <c r="C1134" s="2913"/>
      <c r="D1134" s="2913"/>
      <c r="E1134" s="2913"/>
      <c r="F1134" s="2913"/>
    </row>
    <row r="1135" spans="2:6">
      <c r="B1135" s="2913"/>
      <c r="C1135" s="2913"/>
      <c r="D1135" s="2913"/>
      <c r="E1135" s="2913"/>
      <c r="F1135" s="2913"/>
    </row>
    <row r="1136" spans="2:6">
      <c r="B1136" s="2913"/>
      <c r="C1136" s="2913"/>
      <c r="D1136" s="2913"/>
      <c r="E1136" s="2913"/>
      <c r="F1136" s="2913"/>
    </row>
    <row r="1137" spans="2:6">
      <c r="B1137" s="2913"/>
      <c r="C1137" s="2913"/>
      <c r="D1137" s="2913"/>
      <c r="E1137" s="2913"/>
      <c r="F1137" s="2913"/>
    </row>
    <row r="1138" spans="2:6">
      <c r="B1138" s="2913"/>
      <c r="C1138" s="2913"/>
      <c r="D1138" s="2913"/>
      <c r="E1138" s="2913"/>
      <c r="F1138" s="2913"/>
    </row>
    <row r="1139" spans="2:6">
      <c r="B1139" s="2913"/>
      <c r="C1139" s="2913"/>
      <c r="D1139" s="2913"/>
      <c r="E1139" s="2913"/>
      <c r="F1139" s="2913"/>
    </row>
    <row r="1140" spans="2:6">
      <c r="B1140" s="2913"/>
      <c r="C1140" s="2913"/>
      <c r="D1140" s="2913"/>
      <c r="E1140" s="2913"/>
      <c r="F1140" s="2913"/>
    </row>
    <row r="1141" spans="2:6">
      <c r="B1141" s="2913"/>
      <c r="C1141" s="2913"/>
      <c r="D1141" s="2913"/>
      <c r="E1141" s="2913"/>
      <c r="F1141" s="2913"/>
    </row>
    <row r="1142" spans="2:6">
      <c r="B1142" s="2913"/>
      <c r="C1142" s="2913"/>
      <c r="D1142" s="2913"/>
      <c r="E1142" s="2913"/>
      <c r="F1142" s="2913"/>
    </row>
    <row r="1143" spans="2:6">
      <c r="B1143" s="2913"/>
      <c r="C1143" s="2913"/>
      <c r="D1143" s="2913"/>
      <c r="E1143" s="2913"/>
      <c r="F1143" s="2913"/>
    </row>
    <row r="1144" spans="2:6">
      <c r="B1144" s="2913"/>
      <c r="C1144" s="2913"/>
      <c r="D1144" s="2913"/>
      <c r="E1144" s="2913"/>
      <c r="F1144" s="2913"/>
    </row>
    <row r="1145" spans="2:6">
      <c r="B1145" s="2913"/>
      <c r="C1145" s="2913"/>
      <c r="D1145" s="2913"/>
      <c r="E1145" s="2913"/>
      <c r="F1145" s="2913"/>
    </row>
    <row r="1146" spans="2:6">
      <c r="B1146" s="2913"/>
      <c r="C1146" s="2913"/>
      <c r="D1146" s="2913"/>
      <c r="E1146" s="2913"/>
      <c r="F1146" s="2913"/>
    </row>
    <row r="1147" spans="2:6">
      <c r="B1147" s="2913"/>
      <c r="C1147" s="2913"/>
      <c r="D1147" s="2913"/>
      <c r="E1147" s="2913"/>
      <c r="F1147" s="2913"/>
    </row>
    <row r="1148" spans="2:6">
      <c r="B1148" s="2913"/>
      <c r="C1148" s="2913"/>
      <c r="D1148" s="2913"/>
      <c r="E1148" s="2913"/>
      <c r="F1148" s="2913"/>
    </row>
    <row r="1149" spans="2:6">
      <c r="B1149" s="2913"/>
      <c r="C1149" s="2913"/>
      <c r="D1149" s="2913"/>
      <c r="E1149" s="2913"/>
      <c r="F1149" s="2913"/>
    </row>
    <row r="1150" spans="2:6">
      <c r="B1150" s="2913"/>
      <c r="C1150" s="2913"/>
      <c r="D1150" s="2913"/>
      <c r="E1150" s="2913"/>
      <c r="F1150" s="2913"/>
    </row>
    <row r="1151" spans="2:6">
      <c r="B1151" s="2913"/>
      <c r="C1151" s="2913"/>
      <c r="D1151" s="2913"/>
      <c r="E1151" s="2913"/>
      <c r="F1151" s="2913"/>
    </row>
    <row r="1152" spans="2:6">
      <c r="B1152" s="2913"/>
      <c r="C1152" s="2913"/>
      <c r="D1152" s="2913"/>
      <c r="E1152" s="2913"/>
      <c r="F1152" s="2913"/>
    </row>
    <row r="1153" spans="2:6">
      <c r="B1153" s="2913"/>
      <c r="C1153" s="2913"/>
      <c r="D1153" s="2913"/>
      <c r="E1153" s="2913"/>
      <c r="F1153" s="2913"/>
    </row>
    <row r="1154" spans="2:6">
      <c r="B1154" s="2913"/>
      <c r="C1154" s="2913"/>
      <c r="D1154" s="2913"/>
      <c r="E1154" s="2913"/>
      <c r="F1154" s="2913"/>
    </row>
    <row r="1155" spans="2:6">
      <c r="B1155" s="2913"/>
      <c r="C1155" s="2913"/>
      <c r="D1155" s="2913"/>
      <c r="E1155" s="2913"/>
      <c r="F1155" s="2913"/>
    </row>
    <row r="1156" spans="2:6">
      <c r="B1156" s="2913"/>
      <c r="C1156" s="2913"/>
      <c r="D1156" s="2913"/>
      <c r="E1156" s="2913"/>
      <c r="F1156" s="2913"/>
    </row>
    <row r="1157" spans="2:6">
      <c r="B1157" s="2913"/>
      <c r="C1157" s="2913"/>
      <c r="D1157" s="2913"/>
      <c r="E1157" s="2913"/>
      <c r="F1157" s="2913"/>
    </row>
    <row r="1158" spans="2:6">
      <c r="B1158" s="2913"/>
      <c r="C1158" s="2913"/>
      <c r="D1158" s="2913"/>
      <c r="E1158" s="2913"/>
      <c r="F1158" s="2913"/>
    </row>
    <row r="1159" spans="2:6">
      <c r="B1159" s="2913"/>
      <c r="C1159" s="2913"/>
      <c r="D1159" s="2913"/>
      <c r="E1159" s="2913"/>
      <c r="F1159" s="2913"/>
    </row>
    <row r="1160" spans="2:6">
      <c r="B1160" s="2913"/>
      <c r="C1160" s="2913"/>
      <c r="D1160" s="2913"/>
      <c r="E1160" s="2913"/>
      <c r="F1160" s="2913"/>
    </row>
    <row r="1161" spans="2:6">
      <c r="B1161" s="2913"/>
      <c r="C1161" s="2913"/>
      <c r="D1161" s="2913"/>
      <c r="E1161" s="2913"/>
      <c r="F1161" s="2913"/>
    </row>
    <row r="1162" spans="2:6">
      <c r="B1162" s="2913"/>
      <c r="C1162" s="2913"/>
      <c r="D1162" s="2913"/>
      <c r="E1162" s="2913"/>
      <c r="F1162" s="2913"/>
    </row>
    <row r="1163" spans="2:6">
      <c r="B1163" s="2913"/>
      <c r="C1163" s="2913"/>
      <c r="D1163" s="2913"/>
      <c r="E1163" s="2913"/>
      <c r="F1163" s="2913"/>
    </row>
    <row r="1164" spans="2:6">
      <c r="B1164" s="2913"/>
      <c r="C1164" s="2913"/>
      <c r="D1164" s="2913"/>
      <c r="E1164" s="2913"/>
      <c r="F1164" s="2913"/>
    </row>
    <row r="1165" spans="2:6">
      <c r="B1165" s="2913"/>
      <c r="C1165" s="2913"/>
      <c r="D1165" s="2913"/>
      <c r="E1165" s="2913"/>
      <c r="F1165" s="2913"/>
    </row>
    <row r="1166" spans="2:6">
      <c r="B1166" s="2913"/>
      <c r="C1166" s="2913"/>
      <c r="D1166" s="2913"/>
      <c r="E1166" s="2913"/>
      <c r="F1166" s="2913"/>
    </row>
    <row r="1167" spans="2:6">
      <c r="B1167" s="2913"/>
      <c r="C1167" s="2913"/>
      <c r="D1167" s="2913"/>
      <c r="E1167" s="2913"/>
      <c r="F1167" s="2913"/>
    </row>
    <row r="1168" spans="2:6">
      <c r="B1168" s="2913"/>
      <c r="C1168" s="2913"/>
      <c r="D1168" s="2913"/>
      <c r="E1168" s="2913"/>
      <c r="F1168" s="2913"/>
    </row>
    <row r="1169" spans="2:6">
      <c r="B1169" s="2913"/>
      <c r="C1169" s="2913"/>
      <c r="D1169" s="2913"/>
      <c r="E1169" s="2913"/>
      <c r="F1169" s="2913"/>
    </row>
    <row r="1170" spans="2:6">
      <c r="B1170" s="2913"/>
      <c r="C1170" s="2913"/>
      <c r="D1170" s="2913"/>
      <c r="E1170" s="2913"/>
      <c r="F1170" s="2913"/>
    </row>
    <row r="1171" spans="2:6">
      <c r="B1171" s="2913"/>
      <c r="C1171" s="2913"/>
      <c r="D1171" s="2913"/>
      <c r="E1171" s="2913"/>
      <c r="F1171" s="2913"/>
    </row>
    <row r="1172" spans="2:6">
      <c r="B1172" s="2913"/>
      <c r="C1172" s="2913"/>
      <c r="D1172" s="2913"/>
      <c r="E1172" s="2913"/>
      <c r="F1172" s="2913"/>
    </row>
    <row r="1173" spans="2:6">
      <c r="B1173" s="2913"/>
      <c r="C1173" s="2913"/>
      <c r="D1173" s="2913"/>
      <c r="E1173" s="2913"/>
      <c r="F1173" s="2913"/>
    </row>
    <row r="1174" spans="2:6">
      <c r="B1174" s="2913"/>
      <c r="C1174" s="2913"/>
      <c r="D1174" s="2913"/>
      <c r="E1174" s="2913"/>
      <c r="F1174" s="2913"/>
    </row>
    <row r="1175" spans="2:6">
      <c r="B1175" s="2913"/>
      <c r="C1175" s="2913"/>
      <c r="D1175" s="2913"/>
      <c r="E1175" s="2913"/>
      <c r="F1175" s="2913"/>
    </row>
    <row r="1176" spans="2:6">
      <c r="B1176" s="2913"/>
      <c r="C1176" s="2913"/>
      <c r="D1176" s="2913"/>
      <c r="E1176" s="2913"/>
      <c r="F1176" s="2913"/>
    </row>
    <row r="1177" spans="2:6">
      <c r="B1177" s="2913"/>
      <c r="C1177" s="2913"/>
      <c r="D1177" s="2913"/>
      <c r="E1177" s="2913"/>
      <c r="F1177" s="2913"/>
    </row>
    <row r="1178" spans="2:6">
      <c r="B1178" s="2913"/>
      <c r="C1178" s="2913"/>
      <c r="D1178" s="2913"/>
      <c r="E1178" s="2913"/>
      <c r="F1178" s="2913"/>
    </row>
    <row r="1179" spans="2:6">
      <c r="B1179" s="2913"/>
      <c r="C1179" s="2913"/>
      <c r="D1179" s="2913"/>
      <c r="E1179" s="2913"/>
      <c r="F1179" s="2913"/>
    </row>
    <row r="1180" spans="2:6">
      <c r="B1180" s="2913"/>
      <c r="C1180" s="2913"/>
      <c r="D1180" s="2913"/>
      <c r="E1180" s="2913"/>
      <c r="F1180" s="2913"/>
    </row>
    <row r="1181" spans="2:6">
      <c r="B1181" s="2913"/>
      <c r="C1181" s="2913"/>
      <c r="D1181" s="2913"/>
      <c r="E1181" s="2913"/>
      <c r="F1181" s="2913"/>
    </row>
    <row r="1182" spans="2:6">
      <c r="B1182" s="2913"/>
      <c r="C1182" s="2913"/>
      <c r="D1182" s="2913"/>
      <c r="E1182" s="2913"/>
      <c r="F1182" s="2913"/>
    </row>
    <row r="1183" spans="2:6">
      <c r="B1183" s="2913"/>
      <c r="C1183" s="2913"/>
      <c r="D1183" s="2913"/>
      <c r="E1183" s="2913"/>
      <c r="F1183" s="2913"/>
    </row>
    <row r="1184" spans="2:6">
      <c r="B1184" s="2913"/>
      <c r="C1184" s="2913"/>
      <c r="D1184" s="2913"/>
      <c r="E1184" s="2913"/>
      <c r="F1184" s="2913"/>
    </row>
    <row r="1185" spans="2:6">
      <c r="B1185" s="2913"/>
      <c r="C1185" s="2913"/>
      <c r="D1185" s="2913"/>
      <c r="E1185" s="2913"/>
      <c r="F1185" s="2913"/>
    </row>
    <row r="1186" spans="2:6">
      <c r="B1186" s="2913"/>
      <c r="C1186" s="2913"/>
      <c r="D1186" s="2913"/>
      <c r="E1186" s="2913"/>
      <c r="F1186" s="2913"/>
    </row>
    <row r="1187" spans="2:6">
      <c r="B1187" s="2913"/>
      <c r="C1187" s="2913"/>
      <c r="D1187" s="2913"/>
      <c r="E1187" s="2913"/>
      <c r="F1187" s="2913"/>
    </row>
    <row r="1188" spans="2:6">
      <c r="B1188" s="2913"/>
      <c r="C1188" s="2913"/>
      <c r="D1188" s="2913"/>
      <c r="E1188" s="2913"/>
      <c r="F1188" s="2913"/>
    </row>
    <row r="1189" spans="2:6">
      <c r="B1189" s="2913"/>
      <c r="C1189" s="2913"/>
      <c r="D1189" s="2913"/>
      <c r="E1189" s="2913"/>
      <c r="F1189" s="2913"/>
    </row>
    <row r="1190" spans="2:6">
      <c r="B1190" s="2913"/>
      <c r="C1190" s="2913"/>
      <c r="D1190" s="2913"/>
      <c r="E1190" s="2913"/>
      <c r="F1190" s="2913"/>
    </row>
    <row r="1191" spans="2:6">
      <c r="B1191" s="2913"/>
      <c r="C1191" s="2913"/>
      <c r="D1191" s="2913"/>
      <c r="E1191" s="2913"/>
      <c r="F1191" s="2913"/>
    </row>
    <row r="1192" spans="2:6">
      <c r="B1192" s="2913"/>
      <c r="C1192" s="2913"/>
      <c r="D1192" s="2913"/>
      <c r="E1192" s="2913"/>
      <c r="F1192" s="2913"/>
    </row>
    <row r="1193" spans="2:6">
      <c r="B1193" s="2913"/>
      <c r="C1193" s="2913"/>
      <c r="D1193" s="2913"/>
      <c r="E1193" s="2913"/>
      <c r="F1193" s="2913"/>
    </row>
    <row r="1194" spans="2:6">
      <c r="B1194" s="2913"/>
      <c r="C1194" s="2913"/>
      <c r="D1194" s="2913"/>
      <c r="E1194" s="2913"/>
      <c r="F1194" s="2913"/>
    </row>
    <row r="1195" spans="2:6">
      <c r="B1195" s="2913"/>
      <c r="C1195" s="2913"/>
      <c r="D1195" s="2913"/>
      <c r="E1195" s="2913"/>
      <c r="F1195" s="2913"/>
    </row>
    <row r="1196" spans="2:6">
      <c r="B1196" s="2913"/>
      <c r="C1196" s="2913"/>
      <c r="D1196" s="2913"/>
      <c r="E1196" s="2913"/>
      <c r="F1196" s="2913"/>
    </row>
    <row r="1197" spans="2:6">
      <c r="B1197" s="2913"/>
      <c r="C1197" s="2913"/>
      <c r="D1197" s="2913"/>
      <c r="E1197" s="2913"/>
      <c r="F1197" s="2913"/>
    </row>
    <row r="1198" spans="2:6">
      <c r="B1198" s="2913"/>
      <c r="C1198" s="2913"/>
      <c r="D1198" s="2913"/>
      <c r="E1198" s="2913"/>
      <c r="F1198" s="2913"/>
    </row>
    <row r="1199" spans="2:6">
      <c r="B1199" s="2913"/>
      <c r="C1199" s="2913"/>
      <c r="D1199" s="2913"/>
      <c r="E1199" s="2913"/>
      <c r="F1199" s="2913"/>
    </row>
    <row r="1200" spans="2:6">
      <c r="B1200" s="2913"/>
      <c r="C1200" s="2913"/>
      <c r="D1200" s="2913"/>
      <c r="E1200" s="2913"/>
      <c r="F1200" s="2913"/>
    </row>
    <row r="1201" spans="2:6">
      <c r="B1201" s="2913"/>
      <c r="C1201" s="2913"/>
      <c r="D1201" s="2913"/>
      <c r="E1201" s="2913"/>
      <c r="F1201" s="2913"/>
    </row>
    <row r="1202" spans="2:6">
      <c r="B1202" s="2913"/>
      <c r="C1202" s="2913"/>
      <c r="D1202" s="2913"/>
      <c r="E1202" s="2913"/>
      <c r="F1202" s="2913"/>
    </row>
    <row r="1203" spans="2:6">
      <c r="B1203" s="2913"/>
      <c r="C1203" s="2913"/>
      <c r="D1203" s="2913"/>
      <c r="E1203" s="2913"/>
      <c r="F1203" s="2913"/>
    </row>
    <row r="1204" spans="2:6">
      <c r="B1204" s="2913"/>
      <c r="C1204" s="2913"/>
      <c r="D1204" s="2913"/>
      <c r="E1204" s="2913"/>
      <c r="F1204" s="2913"/>
    </row>
    <row r="1205" spans="2:6">
      <c r="B1205" s="2913"/>
      <c r="C1205" s="2913"/>
      <c r="D1205" s="2913"/>
      <c r="E1205" s="2913"/>
      <c r="F1205" s="2913"/>
    </row>
    <row r="1206" spans="2:6">
      <c r="B1206" s="2913"/>
      <c r="C1206" s="2913"/>
      <c r="D1206" s="2913"/>
      <c r="E1206" s="2913"/>
      <c r="F1206" s="2913"/>
    </row>
    <row r="1207" spans="2:6">
      <c r="B1207" s="2913"/>
      <c r="C1207" s="2913"/>
      <c r="D1207" s="2913"/>
      <c r="E1207" s="2913"/>
      <c r="F1207" s="2913"/>
    </row>
    <row r="1208" spans="2:6">
      <c r="B1208" s="2913"/>
      <c r="C1208" s="2913"/>
      <c r="D1208" s="2913"/>
      <c r="E1208" s="2913"/>
      <c r="F1208" s="2913"/>
    </row>
    <row r="1209" spans="2:6">
      <c r="B1209" s="2913"/>
      <c r="C1209" s="2913"/>
      <c r="D1209" s="2913"/>
      <c r="E1209" s="2913"/>
      <c r="F1209" s="2913"/>
    </row>
    <row r="1210" spans="2:6">
      <c r="B1210" s="2913"/>
      <c r="C1210" s="2913"/>
      <c r="D1210" s="2913"/>
      <c r="E1210" s="2913"/>
      <c r="F1210" s="2913"/>
    </row>
    <row r="1211" spans="2:6">
      <c r="B1211" s="2913"/>
      <c r="C1211" s="2913"/>
      <c r="D1211" s="2913"/>
      <c r="E1211" s="2913"/>
      <c r="F1211" s="2913"/>
    </row>
    <row r="1212" spans="2:6">
      <c r="B1212" s="2913"/>
      <c r="C1212" s="2913"/>
      <c r="D1212" s="2913"/>
      <c r="E1212" s="2913"/>
      <c r="F1212" s="2913"/>
    </row>
    <row r="1213" spans="2:6">
      <c r="B1213" s="2913"/>
      <c r="C1213" s="2913"/>
      <c r="D1213" s="2913"/>
      <c r="E1213" s="2913"/>
      <c r="F1213" s="2913"/>
    </row>
    <row r="1214" spans="2:6">
      <c r="B1214" s="2913"/>
      <c r="C1214" s="2913"/>
      <c r="D1214" s="2913"/>
      <c r="E1214" s="2913"/>
      <c r="F1214" s="2913"/>
    </row>
    <row r="1215" spans="2:6">
      <c r="B1215" s="2913"/>
      <c r="C1215" s="2913"/>
      <c r="D1215" s="2913"/>
      <c r="E1215" s="2913"/>
      <c r="F1215" s="2913"/>
    </row>
    <row r="1216" spans="2:6">
      <c r="B1216" s="2913"/>
      <c r="C1216" s="2913"/>
      <c r="D1216" s="2913"/>
      <c r="E1216" s="2913"/>
      <c r="F1216" s="2913"/>
    </row>
    <row r="1217" spans="2:6">
      <c r="B1217" s="2913"/>
      <c r="C1217" s="2913"/>
      <c r="D1217" s="2913"/>
      <c r="E1217" s="2913"/>
      <c r="F1217" s="2913"/>
    </row>
    <row r="1218" spans="2:6">
      <c r="B1218" s="2913"/>
      <c r="C1218" s="2913"/>
      <c r="D1218" s="2913"/>
      <c r="E1218" s="2913"/>
      <c r="F1218" s="2913"/>
    </row>
    <row r="1219" spans="2:6">
      <c r="B1219" s="2913"/>
      <c r="C1219" s="2913"/>
      <c r="D1219" s="2913"/>
      <c r="E1219" s="2913"/>
      <c r="F1219" s="2913"/>
    </row>
    <row r="1220" spans="2:6">
      <c r="B1220" s="2913"/>
      <c r="C1220" s="2913"/>
      <c r="D1220" s="2913"/>
      <c r="E1220" s="2913"/>
      <c r="F1220" s="2913"/>
    </row>
    <row r="1221" spans="2:6">
      <c r="B1221" s="2913"/>
      <c r="C1221" s="2913"/>
      <c r="D1221" s="2913"/>
      <c r="E1221" s="2913"/>
      <c r="F1221" s="2913"/>
    </row>
    <row r="1222" spans="2:6">
      <c r="B1222" s="2913"/>
      <c r="C1222" s="2913"/>
      <c r="D1222" s="2913"/>
      <c r="E1222" s="2913"/>
      <c r="F1222" s="2913"/>
    </row>
    <row r="1223" spans="2:6">
      <c r="B1223" s="2913"/>
      <c r="C1223" s="2913"/>
      <c r="D1223" s="2913"/>
      <c r="E1223" s="2913"/>
      <c r="F1223" s="2913"/>
    </row>
    <row r="1224" spans="2:6">
      <c r="B1224" s="2913"/>
      <c r="C1224" s="2913"/>
      <c r="D1224" s="2913"/>
      <c r="E1224" s="2913"/>
      <c r="F1224" s="2913"/>
    </row>
    <row r="1225" spans="2:6">
      <c r="B1225" s="2913"/>
      <c r="C1225" s="2913"/>
      <c r="D1225" s="2913"/>
      <c r="E1225" s="2913"/>
      <c r="F1225" s="2913"/>
    </row>
    <row r="1226" spans="2:6">
      <c r="B1226" s="2913"/>
      <c r="C1226" s="2913"/>
      <c r="D1226" s="2913"/>
      <c r="E1226" s="2913"/>
      <c r="F1226" s="2913"/>
    </row>
    <row r="1227" spans="2:6">
      <c r="B1227" s="2913"/>
      <c r="C1227" s="2913"/>
      <c r="D1227" s="2913"/>
      <c r="E1227" s="2913"/>
      <c r="F1227" s="2913"/>
    </row>
    <row r="1228" spans="2:6">
      <c r="B1228" s="2913"/>
      <c r="C1228" s="2913"/>
      <c r="D1228" s="2913"/>
      <c r="E1228" s="2913"/>
      <c r="F1228" s="2913"/>
    </row>
    <row r="1229" spans="2:6">
      <c r="B1229" s="2913"/>
      <c r="C1229" s="2913"/>
      <c r="D1229" s="2913"/>
      <c r="E1229" s="2913"/>
      <c r="F1229" s="2913"/>
    </row>
    <row r="1230" spans="2:6">
      <c r="B1230" s="2913"/>
      <c r="C1230" s="2913"/>
      <c r="D1230" s="2913"/>
      <c r="E1230" s="2913"/>
      <c r="F1230" s="2913"/>
    </row>
    <row r="1231" spans="2:6">
      <c r="B1231" s="2913"/>
      <c r="C1231" s="2913"/>
      <c r="D1231" s="2913"/>
      <c r="E1231" s="2913"/>
      <c r="F1231" s="2913"/>
    </row>
    <row r="1232" spans="2:6">
      <c r="B1232" s="2913"/>
      <c r="C1232" s="2913"/>
      <c r="D1232" s="2913"/>
      <c r="E1232" s="2913"/>
      <c r="F1232" s="2913"/>
    </row>
    <row r="1233" spans="2:6">
      <c r="B1233" s="2913"/>
      <c r="C1233" s="2913"/>
      <c r="D1233" s="2913"/>
      <c r="E1233" s="2913"/>
      <c r="F1233" s="2913"/>
    </row>
    <row r="1234" spans="2:6">
      <c r="B1234" s="2913"/>
      <c r="C1234" s="2913"/>
      <c r="D1234" s="2913"/>
      <c r="E1234" s="2913"/>
      <c r="F1234" s="2913"/>
    </row>
    <row r="1235" spans="2:6">
      <c r="B1235" s="2913"/>
      <c r="C1235" s="2913"/>
      <c r="D1235" s="2913"/>
      <c r="E1235" s="2913"/>
      <c r="F1235" s="2913"/>
    </row>
    <row r="1236" spans="2:6">
      <c r="B1236" s="2913"/>
      <c r="C1236" s="2913"/>
      <c r="D1236" s="2913"/>
      <c r="E1236" s="2913"/>
      <c r="F1236" s="2913"/>
    </row>
    <row r="1237" spans="2:6">
      <c r="B1237" s="2913"/>
      <c r="C1237" s="2913"/>
      <c r="D1237" s="2913"/>
      <c r="E1237" s="2913"/>
      <c r="F1237" s="2913"/>
    </row>
    <row r="1238" spans="2:6">
      <c r="B1238" s="2913"/>
      <c r="C1238" s="2913"/>
      <c r="D1238" s="2913"/>
      <c r="E1238" s="2913"/>
      <c r="F1238" s="2913"/>
    </row>
    <row r="1239" spans="2:6">
      <c r="B1239" s="2913"/>
      <c r="C1239" s="2913"/>
      <c r="D1239" s="2913"/>
      <c r="E1239" s="2913"/>
      <c r="F1239" s="2913"/>
    </row>
    <row r="1240" spans="2:6">
      <c r="B1240" s="2913"/>
      <c r="C1240" s="2913"/>
      <c r="D1240" s="2913"/>
      <c r="E1240" s="2913"/>
      <c r="F1240" s="2913"/>
    </row>
    <row r="1241" spans="2:6">
      <c r="B1241" s="2913"/>
      <c r="C1241" s="2913"/>
      <c r="D1241" s="2913"/>
      <c r="E1241" s="2913"/>
      <c r="F1241" s="2913"/>
    </row>
    <row r="1242" spans="2:6">
      <c r="B1242" s="2913"/>
      <c r="C1242" s="2913"/>
      <c r="D1242" s="2913"/>
      <c r="E1242" s="2913"/>
      <c r="F1242" s="2913"/>
    </row>
    <row r="1243" spans="2:6">
      <c r="B1243" s="2913"/>
      <c r="C1243" s="2913"/>
      <c r="D1243" s="2913"/>
      <c r="E1243" s="2913"/>
      <c r="F1243" s="2913"/>
    </row>
    <row r="1244" spans="2:6">
      <c r="B1244" s="2913"/>
      <c r="C1244" s="2913"/>
      <c r="D1244" s="2913"/>
      <c r="E1244" s="2913"/>
      <c r="F1244" s="2913"/>
    </row>
    <row r="1245" spans="2:6">
      <c r="B1245" s="2913"/>
      <c r="C1245" s="2913"/>
      <c r="D1245" s="2913"/>
      <c r="E1245" s="2913"/>
      <c r="F1245" s="2913"/>
    </row>
    <row r="1246" spans="2:6">
      <c r="B1246" s="2913"/>
      <c r="C1246" s="2913"/>
      <c r="D1246" s="2913"/>
      <c r="E1246" s="2913"/>
      <c r="F1246" s="2913"/>
    </row>
    <row r="1247" spans="2:6">
      <c r="B1247" s="2913"/>
      <c r="C1247" s="2913"/>
      <c r="D1247" s="2913"/>
      <c r="E1247" s="2913"/>
      <c r="F1247" s="2913"/>
    </row>
    <row r="1248" spans="2:6">
      <c r="B1248" s="2913"/>
      <c r="C1248" s="2913"/>
      <c r="D1248" s="2913"/>
      <c r="E1248" s="2913"/>
      <c r="F1248" s="2913"/>
    </row>
    <row r="1249" spans="2:6">
      <c r="B1249" s="2913"/>
      <c r="C1249" s="2913"/>
      <c r="D1249" s="2913"/>
      <c r="E1249" s="2913"/>
      <c r="F1249" s="2913"/>
    </row>
    <row r="1250" spans="2:6">
      <c r="B1250" s="2913"/>
      <c r="C1250" s="2913"/>
      <c r="D1250" s="2913"/>
      <c r="E1250" s="2913"/>
      <c r="F1250" s="2913"/>
    </row>
    <row r="1251" spans="2:6">
      <c r="B1251" s="2913"/>
      <c r="C1251" s="2913"/>
      <c r="D1251" s="2913"/>
      <c r="E1251" s="2913"/>
      <c r="F1251" s="2913"/>
    </row>
    <row r="1252" spans="2:6">
      <c r="B1252" s="2913"/>
      <c r="C1252" s="2913"/>
      <c r="D1252" s="2913"/>
      <c r="E1252" s="2913"/>
      <c r="F1252" s="2913"/>
    </row>
    <row r="1253" spans="2:6">
      <c r="B1253" s="2913"/>
      <c r="C1253" s="2913"/>
      <c r="D1253" s="2913"/>
      <c r="E1253" s="2913"/>
      <c r="F1253" s="2913"/>
    </row>
    <row r="1254" spans="2:6">
      <c r="B1254" s="2913"/>
      <c r="C1254" s="2913"/>
      <c r="D1254" s="2913"/>
      <c r="E1254" s="2913"/>
      <c r="F1254" s="2913"/>
    </row>
    <row r="1255" spans="2:6">
      <c r="B1255" s="2913"/>
      <c r="C1255" s="2913"/>
      <c r="D1255" s="2913"/>
      <c r="E1255" s="2913"/>
      <c r="F1255" s="2913"/>
    </row>
    <row r="1256" spans="2:6">
      <c r="B1256" s="2913"/>
      <c r="C1256" s="2913"/>
      <c r="D1256" s="2913"/>
      <c r="E1256" s="2913"/>
      <c r="F1256" s="2913"/>
    </row>
    <row r="1257" spans="2:6">
      <c r="B1257" s="2913"/>
      <c r="C1257" s="2913"/>
      <c r="D1257" s="2913"/>
      <c r="E1257" s="2913"/>
      <c r="F1257" s="2913"/>
    </row>
    <row r="1258" spans="2:6">
      <c r="B1258" s="2913"/>
      <c r="C1258" s="2913"/>
      <c r="D1258" s="2913"/>
      <c r="E1258" s="2913"/>
      <c r="F1258" s="2913"/>
    </row>
    <row r="1259" spans="2:6">
      <c r="B1259" s="2913"/>
      <c r="C1259" s="2913"/>
      <c r="D1259" s="2913"/>
      <c r="E1259" s="2913"/>
      <c r="F1259" s="2913"/>
    </row>
    <row r="1260" spans="2:6">
      <c r="B1260" s="2913"/>
      <c r="C1260" s="2913"/>
      <c r="D1260" s="2913"/>
      <c r="E1260" s="2913"/>
      <c r="F1260" s="2913"/>
    </row>
    <row r="1261" spans="2:6">
      <c r="B1261" s="2913"/>
      <c r="C1261" s="2913"/>
      <c r="D1261" s="2913"/>
      <c r="E1261" s="2913"/>
      <c r="F1261" s="2913"/>
    </row>
    <row r="1262" spans="2:6">
      <c r="B1262" s="2913"/>
      <c r="C1262" s="2913"/>
      <c r="D1262" s="2913"/>
      <c r="E1262" s="2913"/>
      <c r="F1262" s="2913"/>
    </row>
    <row r="1263" spans="2:6">
      <c r="B1263" s="2913"/>
      <c r="C1263" s="2913"/>
      <c r="D1263" s="2913"/>
      <c r="E1263" s="2913"/>
      <c r="F1263" s="2913"/>
    </row>
    <row r="1264" spans="2:6">
      <c r="B1264" s="2913"/>
      <c r="C1264" s="2913"/>
      <c r="D1264" s="2913"/>
      <c r="E1264" s="2913"/>
      <c r="F1264" s="2913"/>
    </row>
    <row r="1265" spans="2:6">
      <c r="B1265" s="2913"/>
      <c r="C1265" s="2913"/>
      <c r="D1265" s="2913"/>
      <c r="E1265" s="2913"/>
      <c r="F1265" s="2913"/>
    </row>
    <row r="1266" spans="2:6">
      <c r="B1266" s="2913"/>
      <c r="C1266" s="2913"/>
      <c r="D1266" s="2913"/>
      <c r="E1266" s="2913"/>
      <c r="F1266" s="2913"/>
    </row>
    <row r="1267" spans="2:6">
      <c r="B1267" s="2913"/>
      <c r="C1267" s="2913"/>
      <c r="D1267" s="2913"/>
      <c r="E1267" s="2913"/>
      <c r="F1267" s="2913"/>
    </row>
    <row r="1268" spans="2:6">
      <c r="B1268" s="2913"/>
      <c r="C1268" s="2913"/>
      <c r="D1268" s="2913"/>
      <c r="E1268" s="2913"/>
      <c r="F1268" s="2913"/>
    </row>
    <row r="1269" spans="2:6">
      <c r="B1269" s="2913"/>
      <c r="C1269" s="2913"/>
      <c r="D1269" s="2913"/>
      <c r="E1269" s="2913"/>
      <c r="F1269" s="2913"/>
    </row>
    <row r="1270" spans="2:6">
      <c r="B1270" s="2913"/>
      <c r="C1270" s="2913"/>
      <c r="D1270" s="2913"/>
      <c r="E1270" s="2913"/>
      <c r="F1270" s="2913"/>
    </row>
    <row r="1271" spans="2:6">
      <c r="B1271" s="2913"/>
      <c r="C1271" s="2913"/>
      <c r="D1271" s="2913"/>
      <c r="E1271" s="2913"/>
      <c r="F1271" s="2913"/>
    </row>
    <row r="1272" spans="2:6">
      <c r="B1272" s="2913"/>
      <c r="C1272" s="2913"/>
      <c r="D1272" s="2913"/>
      <c r="E1272" s="2913"/>
      <c r="F1272" s="2913"/>
    </row>
    <row r="1273" spans="2:6">
      <c r="B1273" s="2913"/>
      <c r="C1273" s="2913"/>
      <c r="D1273" s="2913"/>
      <c r="E1273" s="2913"/>
      <c r="F1273" s="2913"/>
    </row>
    <row r="1274" spans="2:6">
      <c r="B1274" s="2913"/>
      <c r="C1274" s="2913"/>
      <c r="D1274" s="2913"/>
      <c r="E1274" s="2913"/>
      <c r="F1274" s="2913"/>
    </row>
    <row r="1275" spans="2:6">
      <c r="B1275" s="2913"/>
      <c r="C1275" s="2913"/>
      <c r="D1275" s="2913"/>
      <c r="E1275" s="2913"/>
      <c r="F1275" s="2913"/>
    </row>
    <row r="1276" spans="2:6">
      <c r="B1276" s="2913"/>
      <c r="C1276" s="2913"/>
      <c r="D1276" s="2913"/>
      <c r="E1276" s="2913"/>
      <c r="F1276" s="2913"/>
    </row>
    <row r="1277" spans="2:6">
      <c r="B1277" s="2913"/>
      <c r="C1277" s="2913"/>
      <c r="D1277" s="2913"/>
      <c r="E1277" s="2913"/>
      <c r="F1277" s="2913"/>
    </row>
    <row r="1278" spans="2:6">
      <c r="B1278" s="2913"/>
      <c r="C1278" s="2913"/>
      <c r="D1278" s="2913"/>
      <c r="E1278" s="2913"/>
      <c r="F1278" s="2913"/>
    </row>
    <row r="1279" spans="2:6">
      <c r="B1279" s="2913"/>
      <c r="C1279" s="2913"/>
      <c r="D1279" s="2913"/>
      <c r="E1279" s="2913"/>
      <c r="F1279" s="2913"/>
    </row>
    <row r="1280" spans="2:6">
      <c r="B1280" s="2913"/>
      <c r="C1280" s="2913"/>
      <c r="D1280" s="2913"/>
      <c r="E1280" s="2913"/>
      <c r="F1280" s="2913"/>
    </row>
    <row r="1281" spans="2:6">
      <c r="B1281" s="2913"/>
      <c r="C1281" s="2913"/>
      <c r="D1281" s="2913"/>
      <c r="E1281" s="2913"/>
      <c r="F1281" s="2913"/>
    </row>
    <row r="1282" spans="2:6">
      <c r="B1282" s="2913"/>
      <c r="C1282" s="2913"/>
      <c r="D1282" s="2913"/>
      <c r="E1282" s="2913"/>
      <c r="F1282" s="2913"/>
    </row>
    <row r="1283" spans="2:6">
      <c r="B1283" s="2913"/>
      <c r="C1283" s="2913"/>
      <c r="D1283" s="2913"/>
      <c r="E1283" s="2913"/>
      <c r="F1283" s="2913"/>
    </row>
    <row r="1284" spans="2:6">
      <c r="B1284" s="2913"/>
      <c r="C1284" s="2913"/>
      <c r="D1284" s="2913"/>
      <c r="E1284" s="2913"/>
      <c r="F1284" s="2913"/>
    </row>
    <row r="1285" spans="2:6">
      <c r="B1285" s="2913"/>
      <c r="C1285" s="2913"/>
      <c r="D1285" s="2913"/>
      <c r="E1285" s="2913"/>
      <c r="F1285" s="2913"/>
    </row>
    <row r="1286" spans="2:6">
      <c r="B1286" s="2913"/>
      <c r="C1286" s="2913"/>
      <c r="D1286" s="2913"/>
      <c r="E1286" s="2913"/>
      <c r="F1286" s="2913"/>
    </row>
    <row r="1287" spans="2:6">
      <c r="B1287" s="2913"/>
      <c r="C1287" s="2913"/>
      <c r="D1287" s="2913"/>
      <c r="E1287" s="2913"/>
      <c r="F1287" s="2913"/>
    </row>
    <row r="1288" spans="2:6">
      <c r="B1288" s="2913"/>
      <c r="C1288" s="2913"/>
      <c r="D1288" s="2913"/>
      <c r="E1288" s="2913"/>
      <c r="F1288" s="2913"/>
    </row>
    <row r="1289" spans="2:6">
      <c r="B1289" s="2913"/>
      <c r="C1289" s="2913"/>
      <c r="D1289" s="2913"/>
      <c r="E1289" s="2913"/>
      <c r="F1289" s="2913"/>
    </row>
    <row r="1290" spans="2:6">
      <c r="B1290" s="2913"/>
      <c r="C1290" s="2913"/>
      <c r="D1290" s="2913"/>
      <c r="E1290" s="2913"/>
      <c r="F1290" s="2913"/>
    </row>
    <row r="1291" spans="2:6">
      <c r="B1291" s="2913"/>
      <c r="C1291" s="2913"/>
      <c r="D1291" s="2913"/>
      <c r="E1291" s="2913"/>
      <c r="F1291" s="2913"/>
    </row>
    <row r="1292" spans="2:6">
      <c r="B1292" s="2913"/>
      <c r="C1292" s="2913"/>
      <c r="D1292" s="2913"/>
      <c r="E1292" s="2913"/>
      <c r="F1292" s="2913"/>
    </row>
    <row r="1293" spans="2:6">
      <c r="B1293" s="2913"/>
      <c r="C1293" s="2913"/>
      <c r="D1293" s="2913"/>
      <c r="E1293" s="2913"/>
      <c r="F1293" s="2913"/>
    </row>
    <row r="1294" spans="2:6">
      <c r="B1294" s="2913"/>
      <c r="C1294" s="2913"/>
      <c r="D1294" s="2913"/>
      <c r="E1294" s="2913"/>
      <c r="F1294" s="2913"/>
    </row>
    <row r="1295" spans="2:6">
      <c r="B1295" s="2913"/>
      <c r="C1295" s="2913"/>
      <c r="D1295" s="2913"/>
      <c r="E1295" s="2913"/>
      <c r="F1295" s="2913"/>
    </row>
    <row r="1296" spans="2:6">
      <c r="B1296" s="2913"/>
      <c r="C1296" s="2913"/>
      <c r="D1296" s="2913"/>
      <c r="E1296" s="2913"/>
      <c r="F1296" s="2913"/>
    </row>
    <row r="1297" spans="2:6">
      <c r="B1297" s="2913"/>
      <c r="C1297" s="2913"/>
      <c r="D1297" s="2913"/>
      <c r="E1297" s="2913"/>
      <c r="F1297" s="2913"/>
    </row>
    <row r="1298" spans="2:6">
      <c r="B1298" s="2913"/>
      <c r="C1298" s="2913"/>
      <c r="D1298" s="2913"/>
      <c r="E1298" s="2913"/>
      <c r="F1298" s="2913"/>
    </row>
    <row r="1299" spans="2:6">
      <c r="B1299" s="2913"/>
      <c r="C1299" s="2913"/>
      <c r="D1299" s="2913"/>
      <c r="E1299" s="2913"/>
      <c r="F1299" s="2913"/>
    </row>
    <row r="1300" spans="2:6">
      <c r="B1300" s="2913"/>
      <c r="C1300" s="2913"/>
      <c r="D1300" s="2913"/>
      <c r="E1300" s="2913"/>
      <c r="F1300" s="2913"/>
    </row>
    <row r="1301" spans="2:6">
      <c r="B1301" s="2913"/>
      <c r="C1301" s="2913"/>
      <c r="D1301" s="2913"/>
      <c r="E1301" s="2913"/>
      <c r="F1301" s="2913"/>
    </row>
    <row r="1302" spans="2:6">
      <c r="B1302" s="2913"/>
      <c r="C1302" s="2913"/>
      <c r="D1302" s="2913"/>
      <c r="E1302" s="2913"/>
      <c r="F1302" s="2913"/>
    </row>
    <row r="1303" spans="2:6">
      <c r="B1303" s="2913"/>
      <c r="C1303" s="2913"/>
      <c r="D1303" s="2913"/>
      <c r="E1303" s="2913"/>
      <c r="F1303" s="2913"/>
    </row>
    <row r="1304" spans="2:6">
      <c r="B1304" s="2913"/>
      <c r="C1304" s="2913"/>
      <c r="D1304" s="2913"/>
      <c r="E1304" s="2913"/>
      <c r="F1304" s="2913"/>
    </row>
    <row r="1305" spans="2:6">
      <c r="B1305" s="2913"/>
      <c r="C1305" s="2913"/>
      <c r="D1305" s="2913"/>
      <c r="E1305" s="2913"/>
      <c r="F1305" s="2913"/>
    </row>
    <row r="1306" spans="2:6">
      <c r="B1306" s="2913"/>
      <c r="C1306" s="2913"/>
      <c r="D1306" s="2913"/>
      <c r="E1306" s="2913"/>
      <c r="F1306" s="2913"/>
    </row>
    <row r="1307" spans="2:6">
      <c r="B1307" s="2913"/>
      <c r="C1307" s="2913"/>
      <c r="D1307" s="2913"/>
      <c r="E1307" s="2913"/>
      <c r="F1307" s="2913"/>
    </row>
    <row r="1308" spans="2:6">
      <c r="B1308" s="2913"/>
      <c r="C1308" s="2913"/>
      <c r="D1308" s="2913"/>
      <c r="E1308" s="2913"/>
      <c r="F1308" s="2913"/>
    </row>
    <row r="1309" spans="2:6">
      <c r="B1309" s="2913"/>
      <c r="C1309" s="2913"/>
      <c r="D1309" s="2913"/>
      <c r="E1309" s="2913"/>
      <c r="F1309" s="2913"/>
    </row>
    <row r="1310" spans="2:6">
      <c r="B1310" s="2913"/>
      <c r="C1310" s="2913"/>
      <c r="D1310" s="2913"/>
      <c r="E1310" s="2913"/>
      <c r="F1310" s="2913"/>
    </row>
    <row r="1311" spans="2:6">
      <c r="B1311" s="2913"/>
      <c r="C1311" s="2913"/>
      <c r="D1311" s="2913"/>
      <c r="E1311" s="2913"/>
      <c r="F1311" s="2913"/>
    </row>
    <row r="1312" spans="2:6">
      <c r="B1312" s="2913"/>
      <c r="C1312" s="2913"/>
      <c r="D1312" s="2913"/>
      <c r="E1312" s="2913"/>
      <c r="F1312" s="2913"/>
    </row>
    <row r="1313" spans="2:6">
      <c r="B1313" s="2913"/>
      <c r="C1313" s="2913"/>
      <c r="D1313" s="2913"/>
      <c r="E1313" s="2913"/>
      <c r="F1313" s="2913"/>
    </row>
    <row r="1314" spans="2:6">
      <c r="B1314" s="2913"/>
      <c r="C1314" s="2913"/>
      <c r="D1314" s="2913"/>
      <c r="E1314" s="2913"/>
      <c r="F1314" s="2913"/>
    </row>
    <row r="1315" spans="2:6">
      <c r="B1315" s="2913"/>
      <c r="C1315" s="2913"/>
      <c r="D1315" s="2913"/>
      <c r="E1315" s="2913"/>
      <c r="F1315" s="2913"/>
    </row>
    <row r="1316" spans="2:6">
      <c r="B1316" s="2913"/>
      <c r="C1316" s="2913"/>
      <c r="D1316" s="2913"/>
      <c r="E1316" s="2913"/>
      <c r="F1316" s="2913"/>
    </row>
    <row r="1317" spans="2:6">
      <c r="B1317" s="2913"/>
      <c r="C1317" s="2913"/>
      <c r="D1317" s="2913"/>
      <c r="E1317" s="2913"/>
      <c r="F1317" s="2913"/>
    </row>
    <row r="1318" spans="2:6">
      <c r="B1318" s="2913"/>
      <c r="C1318" s="2913"/>
      <c r="D1318" s="2913"/>
      <c r="E1318" s="2913"/>
      <c r="F1318" s="2913"/>
    </row>
    <row r="1319" spans="2:6">
      <c r="B1319" s="2913"/>
      <c r="C1319" s="2913"/>
      <c r="D1319" s="2913"/>
      <c r="E1319" s="2913"/>
      <c r="F1319" s="2913"/>
    </row>
    <row r="1320" spans="2:6">
      <c r="B1320" s="2913"/>
      <c r="C1320" s="2913"/>
      <c r="D1320" s="2913"/>
      <c r="E1320" s="2913"/>
      <c r="F1320" s="2913"/>
    </row>
    <row r="1321" spans="2:6">
      <c r="B1321" s="2913"/>
      <c r="C1321" s="2913"/>
      <c r="D1321" s="2913"/>
      <c r="E1321" s="2913"/>
      <c r="F1321" s="2913"/>
    </row>
    <row r="1322" spans="2:6">
      <c r="B1322" s="2913"/>
      <c r="C1322" s="2913"/>
      <c r="D1322" s="2913"/>
      <c r="E1322" s="2913"/>
      <c r="F1322" s="2913"/>
    </row>
    <row r="1323" spans="2:6">
      <c r="B1323" s="2913"/>
      <c r="C1323" s="2913"/>
      <c r="D1323" s="2913"/>
      <c r="E1323" s="2913"/>
      <c r="F1323" s="2913"/>
    </row>
    <row r="1324" spans="2:6">
      <c r="B1324" s="2913"/>
      <c r="C1324" s="2913"/>
      <c r="D1324" s="2913"/>
      <c r="E1324" s="2913"/>
      <c r="F1324" s="2913"/>
    </row>
    <row r="1325" spans="2:6">
      <c r="B1325" s="2913"/>
      <c r="C1325" s="2913"/>
      <c r="D1325" s="2913"/>
      <c r="E1325" s="2913"/>
      <c r="F1325" s="2913"/>
    </row>
    <row r="1326" spans="2:6">
      <c r="B1326" s="2913"/>
      <c r="C1326" s="2913"/>
      <c r="D1326" s="2913"/>
      <c r="E1326" s="2913"/>
      <c r="F1326" s="2913"/>
    </row>
    <row r="1327" spans="2:6">
      <c r="B1327" s="2913"/>
      <c r="C1327" s="2913"/>
      <c r="D1327" s="2913"/>
      <c r="E1327" s="2913"/>
      <c r="F1327" s="2913"/>
    </row>
    <row r="1328" spans="2:6">
      <c r="B1328" s="2913"/>
      <c r="C1328" s="2913"/>
      <c r="D1328" s="2913"/>
      <c r="E1328" s="2913"/>
      <c r="F1328" s="2913"/>
    </row>
    <row r="1329" spans="2:6">
      <c r="B1329" s="2913"/>
      <c r="C1329" s="2913"/>
      <c r="D1329" s="2913"/>
      <c r="E1329" s="2913"/>
      <c r="F1329" s="2913"/>
    </row>
    <row r="1330" spans="2:6">
      <c r="B1330" s="2913"/>
      <c r="C1330" s="2913"/>
      <c r="D1330" s="2913"/>
      <c r="E1330" s="2913"/>
      <c r="F1330" s="2913"/>
    </row>
    <row r="1331" spans="2:6">
      <c r="B1331" s="2913"/>
      <c r="C1331" s="2913"/>
      <c r="D1331" s="2913"/>
      <c r="E1331" s="2913"/>
      <c r="F1331" s="2913"/>
    </row>
    <row r="1332" spans="2:6">
      <c r="B1332" s="2913"/>
      <c r="C1332" s="2913"/>
      <c r="D1332" s="2913"/>
      <c r="E1332" s="2913"/>
      <c r="F1332" s="2913"/>
    </row>
    <row r="1333" spans="2:6">
      <c r="B1333" s="2913"/>
      <c r="C1333" s="2913"/>
      <c r="D1333" s="2913"/>
      <c r="E1333" s="2913"/>
      <c r="F1333" s="2913"/>
    </row>
    <row r="1334" spans="2:6">
      <c r="B1334" s="2913"/>
      <c r="C1334" s="2913"/>
      <c r="D1334" s="2913"/>
      <c r="E1334" s="2913"/>
      <c r="F1334" s="2913"/>
    </row>
    <row r="1335" spans="2:6">
      <c r="B1335" s="2913"/>
      <c r="C1335" s="2913"/>
      <c r="D1335" s="2913"/>
      <c r="E1335" s="2913"/>
      <c r="F1335" s="2913"/>
    </row>
    <row r="1336" spans="2:6">
      <c r="B1336" s="2913"/>
      <c r="C1336" s="2913"/>
      <c r="D1336" s="2913"/>
      <c r="E1336" s="2913"/>
      <c r="F1336" s="2913"/>
    </row>
    <row r="1337" spans="2:6">
      <c r="B1337" s="2913"/>
      <c r="C1337" s="2913"/>
      <c r="D1337" s="2913"/>
      <c r="E1337" s="2913"/>
      <c r="F1337" s="2913"/>
    </row>
    <row r="1338" spans="2:6">
      <c r="B1338" s="2913"/>
      <c r="C1338" s="2913"/>
      <c r="D1338" s="2913"/>
      <c r="E1338" s="2913"/>
      <c r="F1338" s="2913"/>
    </row>
    <row r="1339" spans="2:6">
      <c r="B1339" s="2913"/>
      <c r="C1339" s="2913"/>
      <c r="D1339" s="2913"/>
      <c r="E1339" s="2913"/>
      <c r="F1339" s="2913"/>
    </row>
    <row r="1340" spans="2:6">
      <c r="B1340" s="2913"/>
      <c r="C1340" s="2913"/>
      <c r="D1340" s="2913"/>
      <c r="E1340" s="2913"/>
      <c r="F1340" s="2913"/>
    </row>
    <row r="1341" spans="2:6">
      <c r="B1341" s="2913"/>
      <c r="C1341" s="2913"/>
      <c r="D1341" s="2913"/>
      <c r="E1341" s="2913"/>
      <c r="F1341" s="2913"/>
    </row>
    <row r="1342" spans="2:6">
      <c r="B1342" s="2913"/>
      <c r="C1342" s="2913"/>
      <c r="D1342" s="2913"/>
      <c r="E1342" s="2913"/>
      <c r="F1342" s="2913"/>
    </row>
    <row r="1343" spans="2:6">
      <c r="B1343" s="2913"/>
      <c r="C1343" s="2913"/>
      <c r="D1343" s="2913"/>
      <c r="E1343" s="2913"/>
      <c r="F1343" s="2913"/>
    </row>
    <row r="1344" spans="2:6">
      <c r="B1344" s="2913"/>
      <c r="C1344" s="2913"/>
      <c r="D1344" s="2913"/>
      <c r="E1344" s="2913"/>
      <c r="F1344" s="2913"/>
    </row>
    <row r="1345" spans="2:6">
      <c r="B1345" s="2913"/>
      <c r="C1345" s="2913"/>
      <c r="D1345" s="2913"/>
      <c r="E1345" s="2913"/>
      <c r="F1345" s="2913"/>
    </row>
    <row r="1346" spans="2:6">
      <c r="B1346" s="2913"/>
      <c r="C1346" s="2913"/>
      <c r="D1346" s="2913"/>
      <c r="E1346" s="2913"/>
      <c r="F1346" s="2913"/>
    </row>
    <row r="1347" spans="2:6">
      <c r="B1347" s="2913"/>
      <c r="C1347" s="2913"/>
      <c r="D1347" s="2913"/>
      <c r="E1347" s="2913"/>
      <c r="F1347" s="2913"/>
    </row>
    <row r="1348" spans="2:6">
      <c r="B1348" s="2913"/>
      <c r="C1348" s="2913"/>
      <c r="D1348" s="2913"/>
      <c r="E1348" s="2913"/>
      <c r="F1348" s="2913"/>
    </row>
    <row r="1349" spans="2:6">
      <c r="B1349" s="2913"/>
      <c r="C1349" s="2913"/>
      <c r="D1349" s="2913"/>
      <c r="E1349" s="2913"/>
      <c r="F1349" s="2913"/>
    </row>
    <row r="1350" spans="2:6">
      <c r="B1350" s="2913"/>
      <c r="C1350" s="2913"/>
      <c r="D1350" s="2913"/>
      <c r="E1350" s="2913"/>
      <c r="F1350" s="2913"/>
    </row>
    <row r="1351" spans="2:6">
      <c r="B1351" s="2913"/>
      <c r="C1351" s="2913"/>
      <c r="D1351" s="2913"/>
      <c r="E1351" s="2913"/>
      <c r="F1351" s="2913"/>
    </row>
    <row r="1352" spans="2:6">
      <c r="B1352" s="2913"/>
      <c r="C1352" s="2913"/>
      <c r="D1352" s="2913"/>
      <c r="E1352" s="2913"/>
      <c r="F1352" s="2913"/>
    </row>
    <row r="1353" spans="2:6">
      <c r="B1353" s="2913"/>
      <c r="C1353" s="2913"/>
      <c r="D1353" s="2913"/>
      <c r="E1353" s="2913"/>
      <c r="F1353" s="2913"/>
    </row>
    <row r="1354" spans="2:6">
      <c r="B1354" s="2913"/>
      <c r="C1354" s="2913"/>
      <c r="D1354" s="2913"/>
      <c r="E1354" s="2913"/>
      <c r="F1354" s="2913"/>
    </row>
    <row r="1355" spans="2:6">
      <c r="B1355" s="2913"/>
      <c r="C1355" s="2913"/>
      <c r="D1355" s="2913"/>
      <c r="E1355" s="2913"/>
      <c r="F1355" s="2913"/>
    </row>
    <row r="1356" spans="2:6">
      <c r="B1356" s="2913"/>
      <c r="C1356" s="2913"/>
      <c r="D1356" s="2913"/>
      <c r="E1356" s="2913"/>
      <c r="F1356" s="2913"/>
    </row>
    <row r="1357" spans="2:6">
      <c r="B1357" s="2913"/>
      <c r="C1357" s="2913"/>
      <c r="D1357" s="2913"/>
      <c r="E1357" s="2913"/>
      <c r="F1357" s="2913"/>
    </row>
    <row r="1358" spans="2:6">
      <c r="B1358" s="2913"/>
      <c r="C1358" s="2913"/>
      <c r="D1358" s="2913"/>
      <c r="E1358" s="2913"/>
      <c r="F1358" s="2913"/>
    </row>
    <row r="1359" spans="2:6">
      <c r="B1359" s="2913"/>
      <c r="C1359" s="2913"/>
      <c r="D1359" s="2913"/>
      <c r="E1359" s="2913"/>
      <c r="F1359" s="2913"/>
    </row>
    <row r="1360" spans="2:6">
      <c r="B1360" s="2913"/>
      <c r="C1360" s="2913"/>
      <c r="D1360" s="2913"/>
      <c r="E1360" s="2913"/>
      <c r="F1360" s="2913"/>
    </row>
    <row r="1361" spans="2:6">
      <c r="B1361" s="2913"/>
      <c r="C1361" s="2913"/>
      <c r="D1361" s="2913"/>
      <c r="E1361" s="2913"/>
      <c r="F1361" s="2913"/>
    </row>
    <row r="1362" spans="2:6">
      <c r="B1362" s="2913"/>
      <c r="C1362" s="2913"/>
      <c r="D1362" s="2913"/>
      <c r="E1362" s="2913"/>
      <c r="F1362" s="2913"/>
    </row>
    <row r="1363" spans="2:6">
      <c r="B1363" s="2913"/>
      <c r="C1363" s="2913"/>
      <c r="D1363" s="2913"/>
      <c r="E1363" s="2913"/>
      <c r="F1363" s="2913"/>
    </row>
    <row r="1364" spans="2:6">
      <c r="B1364" s="2913"/>
      <c r="C1364" s="2913"/>
      <c r="D1364" s="2913"/>
      <c r="E1364" s="2913"/>
      <c r="F1364" s="2913"/>
    </row>
    <row r="1365" spans="2:6">
      <c r="B1365" s="2913"/>
      <c r="C1365" s="2913"/>
      <c r="D1365" s="2913"/>
      <c r="E1365" s="2913"/>
      <c r="F1365" s="2913"/>
    </row>
    <row r="1366" spans="2:6">
      <c r="B1366" s="2913"/>
      <c r="C1366" s="2913"/>
      <c r="D1366" s="2913"/>
      <c r="E1366" s="2913"/>
      <c r="F1366" s="2913"/>
    </row>
    <row r="1367" spans="2:6">
      <c r="B1367" s="2913"/>
      <c r="C1367" s="2913"/>
      <c r="D1367" s="2913"/>
      <c r="E1367" s="2913"/>
      <c r="F1367" s="2913"/>
    </row>
    <row r="1368" spans="2:6">
      <c r="B1368" s="2913"/>
      <c r="C1368" s="2913"/>
      <c r="D1368" s="2913"/>
      <c r="E1368" s="2913"/>
      <c r="F1368" s="2913"/>
    </row>
    <row r="1369" spans="2:6">
      <c r="B1369" s="2913"/>
      <c r="C1369" s="2913"/>
      <c r="D1369" s="2913"/>
      <c r="E1369" s="2913"/>
      <c r="F1369" s="2913"/>
    </row>
    <row r="1370" spans="2:6">
      <c r="B1370" s="2913"/>
      <c r="C1370" s="2913"/>
      <c r="D1370" s="2913"/>
      <c r="E1370" s="2913"/>
      <c r="F1370" s="2913"/>
    </row>
    <row r="1371" spans="2:6">
      <c r="B1371" s="2913"/>
      <c r="C1371" s="2913"/>
      <c r="D1371" s="2913"/>
      <c r="E1371" s="2913"/>
      <c r="F1371" s="2913"/>
    </row>
    <row r="1372" spans="2:6">
      <c r="B1372" s="2913"/>
      <c r="C1372" s="2913"/>
      <c r="D1372" s="2913"/>
      <c r="E1372" s="2913"/>
      <c r="F1372" s="2913"/>
    </row>
    <row r="1373" spans="2:6">
      <c r="B1373" s="2913"/>
      <c r="C1373" s="2913"/>
      <c r="D1373" s="2913"/>
      <c r="E1373" s="2913"/>
      <c r="F1373" s="2913"/>
    </row>
    <row r="1374" spans="2:6">
      <c r="B1374" s="2913"/>
      <c r="C1374" s="2913"/>
      <c r="D1374" s="2913"/>
      <c r="E1374" s="2913"/>
      <c r="F1374" s="2913"/>
    </row>
    <row r="1375" spans="2:6">
      <c r="B1375" s="2913"/>
      <c r="C1375" s="2913"/>
      <c r="D1375" s="2913"/>
      <c r="E1375" s="2913"/>
      <c r="F1375" s="2913"/>
    </row>
    <row r="1376" spans="2:6">
      <c r="B1376" s="2913"/>
      <c r="C1376" s="2913"/>
      <c r="D1376" s="2913"/>
      <c r="E1376" s="2913"/>
      <c r="F1376" s="2913"/>
    </row>
    <row r="1377" spans="2:6">
      <c r="B1377" s="2913"/>
      <c r="C1377" s="2913"/>
      <c r="D1377" s="2913"/>
      <c r="E1377" s="2913"/>
      <c r="F1377" s="2913"/>
    </row>
    <row r="1378" spans="2:6">
      <c r="B1378" s="2913"/>
      <c r="C1378" s="2913"/>
      <c r="D1378" s="2913"/>
      <c r="E1378" s="2913"/>
      <c r="F1378" s="2913"/>
    </row>
    <row r="1379" spans="2:6">
      <c r="B1379" s="2913"/>
      <c r="C1379" s="2913"/>
      <c r="D1379" s="2913"/>
      <c r="E1379" s="2913"/>
      <c r="F1379" s="2913"/>
    </row>
    <row r="1380" spans="2:6">
      <c r="B1380" s="2913"/>
      <c r="C1380" s="2913"/>
      <c r="D1380" s="2913"/>
      <c r="E1380" s="2913"/>
      <c r="F1380" s="2913"/>
    </row>
    <row r="1381" spans="2:6">
      <c r="B1381" s="2913"/>
      <c r="C1381" s="2913"/>
      <c r="D1381" s="2913"/>
      <c r="E1381" s="2913"/>
      <c r="F1381" s="2913"/>
    </row>
    <row r="1382" spans="2:6">
      <c r="B1382" s="2913"/>
      <c r="C1382" s="2913"/>
      <c r="D1382" s="2913"/>
      <c r="E1382" s="2913"/>
      <c r="F1382" s="2913"/>
    </row>
    <row r="1383" spans="2:6">
      <c r="B1383" s="2913"/>
      <c r="C1383" s="2913"/>
      <c r="D1383" s="2913"/>
      <c r="E1383" s="2913"/>
      <c r="F1383" s="2913"/>
    </row>
    <row r="1384" spans="2:6">
      <c r="B1384" s="2913"/>
      <c r="C1384" s="2913"/>
      <c r="D1384" s="2913"/>
      <c r="E1384" s="2913"/>
      <c r="F1384" s="2913"/>
    </row>
    <row r="1385" spans="2:6">
      <c r="B1385" s="2913"/>
      <c r="C1385" s="2913"/>
      <c r="D1385" s="2913"/>
      <c r="E1385" s="2913"/>
      <c r="F1385" s="2913"/>
    </row>
    <row r="1386" spans="2:6">
      <c r="B1386" s="2913"/>
      <c r="C1386" s="2913"/>
      <c r="D1386" s="2913"/>
      <c r="E1386" s="2913"/>
      <c r="F1386" s="2913"/>
    </row>
    <row r="1387" spans="2:6">
      <c r="B1387" s="2913"/>
      <c r="C1387" s="2913"/>
      <c r="D1387" s="2913"/>
      <c r="E1387" s="2913"/>
      <c r="F1387" s="2913"/>
    </row>
    <row r="1388" spans="2:6">
      <c r="B1388" s="2913"/>
      <c r="C1388" s="2913"/>
      <c r="D1388" s="2913"/>
      <c r="E1388" s="2913"/>
      <c r="F1388" s="2913"/>
    </row>
    <row r="1389" spans="2:6">
      <c r="B1389" s="2913"/>
      <c r="C1389" s="2913"/>
      <c r="D1389" s="2913"/>
      <c r="E1389" s="2913"/>
      <c r="F1389" s="2913"/>
    </row>
    <row r="1390" spans="2:6">
      <c r="B1390" s="2913"/>
      <c r="C1390" s="2913"/>
      <c r="D1390" s="2913"/>
      <c r="E1390" s="2913"/>
      <c r="F1390" s="2913"/>
    </row>
    <row r="1391" spans="2:6">
      <c r="B1391" s="2913"/>
      <c r="C1391" s="2913"/>
      <c r="D1391" s="2913"/>
      <c r="E1391" s="2913"/>
      <c r="F1391" s="2913"/>
    </row>
    <row r="1392" spans="2:6">
      <c r="B1392" s="2913"/>
      <c r="C1392" s="2913"/>
      <c r="D1392" s="2913"/>
      <c r="E1392" s="2913"/>
      <c r="F1392" s="2913"/>
    </row>
    <row r="1393" spans="2:6">
      <c r="B1393" s="2913"/>
      <c r="C1393" s="2913"/>
      <c r="D1393" s="2913"/>
      <c r="E1393" s="2913"/>
      <c r="F1393" s="2913"/>
    </row>
    <row r="1394" spans="2:6">
      <c r="B1394" s="2913"/>
      <c r="C1394" s="2913"/>
      <c r="D1394" s="2913"/>
      <c r="E1394" s="2913"/>
      <c r="F1394" s="2913"/>
    </row>
    <row r="1395" spans="2:6">
      <c r="B1395" s="2913"/>
      <c r="C1395" s="2913"/>
      <c r="D1395" s="2913"/>
      <c r="E1395" s="2913"/>
      <c r="F1395" s="2913"/>
    </row>
    <row r="1396" spans="2:6">
      <c r="B1396" s="2913"/>
      <c r="C1396" s="2913"/>
      <c r="D1396" s="2913"/>
      <c r="E1396" s="2913"/>
      <c r="F1396" s="2913"/>
    </row>
    <row r="1397" spans="2:6">
      <c r="B1397" s="2913"/>
      <c r="C1397" s="2913"/>
      <c r="D1397" s="2913"/>
      <c r="E1397" s="2913"/>
      <c r="F1397" s="2913"/>
    </row>
    <row r="1398" spans="2:6">
      <c r="B1398" s="2913"/>
      <c r="C1398" s="2913"/>
      <c r="D1398" s="2913"/>
      <c r="E1398" s="2913"/>
      <c r="F1398" s="2913"/>
    </row>
    <row r="1399" spans="2:6">
      <c r="B1399" s="2913"/>
      <c r="C1399" s="2913"/>
      <c r="D1399" s="2913"/>
      <c r="E1399" s="2913"/>
      <c r="F1399" s="2913"/>
    </row>
    <row r="1400" spans="2:6">
      <c r="B1400" s="2913"/>
      <c r="C1400" s="2913"/>
      <c r="D1400" s="2913"/>
      <c r="E1400" s="2913"/>
      <c r="F1400" s="2913"/>
    </row>
    <row r="1401" spans="2:6">
      <c r="B1401" s="2913"/>
      <c r="C1401" s="2913"/>
      <c r="D1401" s="2913"/>
      <c r="E1401" s="2913"/>
      <c r="F1401" s="2913"/>
    </row>
    <row r="1402" spans="2:6">
      <c r="B1402" s="2913"/>
      <c r="C1402" s="2913"/>
      <c r="D1402" s="2913"/>
      <c r="E1402" s="2913"/>
      <c r="F1402" s="2913"/>
    </row>
    <row r="1403" spans="2:6">
      <c r="B1403" s="2913"/>
      <c r="C1403" s="2913"/>
      <c r="D1403" s="2913"/>
      <c r="E1403" s="2913"/>
      <c r="F1403" s="2913"/>
    </row>
    <row r="1404" spans="2:6">
      <c r="B1404" s="2913"/>
      <c r="C1404" s="2913"/>
      <c r="D1404" s="2913"/>
      <c r="E1404" s="2913"/>
      <c r="F1404" s="2913"/>
    </row>
    <row r="1405" spans="2:6">
      <c r="B1405" s="2913"/>
      <c r="C1405" s="2913"/>
      <c r="D1405" s="2913"/>
      <c r="E1405" s="2913"/>
      <c r="F1405" s="2913"/>
    </row>
    <row r="1406" spans="2:6">
      <c r="B1406" s="2913"/>
      <c r="C1406" s="2913"/>
      <c r="D1406" s="2913"/>
      <c r="E1406" s="2913"/>
      <c r="F1406" s="2913"/>
    </row>
    <row r="1407" spans="2:6">
      <c r="B1407" s="2913"/>
      <c r="C1407" s="2913"/>
      <c r="D1407" s="2913"/>
      <c r="E1407" s="2913"/>
      <c r="F1407" s="2913"/>
    </row>
    <row r="1408" spans="2:6">
      <c r="B1408" s="2913"/>
      <c r="C1408" s="2913"/>
      <c r="D1408" s="2913"/>
      <c r="E1408" s="2913"/>
      <c r="F1408" s="2913"/>
    </row>
    <row r="1409" spans="2:6">
      <c r="B1409" s="2913"/>
      <c r="C1409" s="2913"/>
      <c r="D1409" s="2913"/>
      <c r="E1409" s="2913"/>
      <c r="F1409" s="2913"/>
    </row>
    <row r="1410" spans="2:6">
      <c r="B1410" s="2913"/>
      <c r="C1410" s="2913"/>
      <c r="D1410" s="2913"/>
      <c r="E1410" s="2913"/>
      <c r="F1410" s="2913"/>
    </row>
    <row r="1411" spans="2:6">
      <c r="B1411" s="2913"/>
      <c r="C1411" s="2913"/>
      <c r="D1411" s="2913"/>
      <c r="E1411" s="2913"/>
      <c r="F1411" s="2913"/>
    </row>
    <row r="1412" spans="2:6">
      <c r="B1412" s="2913"/>
      <c r="C1412" s="2913"/>
      <c r="D1412" s="2913"/>
      <c r="E1412" s="2913"/>
      <c r="F1412" s="2913"/>
    </row>
    <row r="1413" spans="2:6">
      <c r="B1413" s="2913"/>
      <c r="C1413" s="2913"/>
      <c r="D1413" s="2913"/>
      <c r="E1413" s="2913"/>
      <c r="F1413" s="2913"/>
    </row>
    <row r="1414" spans="2:6">
      <c r="B1414" s="2913"/>
      <c r="C1414" s="2913"/>
      <c r="D1414" s="2913"/>
      <c r="E1414" s="2913"/>
      <c r="F1414" s="2913"/>
    </row>
    <row r="1415" spans="2:6">
      <c r="B1415" s="2913"/>
      <c r="C1415" s="2913"/>
      <c r="D1415" s="2913"/>
      <c r="E1415" s="2913"/>
      <c r="F1415" s="2913"/>
    </row>
    <row r="1416" spans="2:6">
      <c r="B1416" s="2913"/>
      <c r="C1416" s="2913"/>
      <c r="D1416" s="2913"/>
      <c r="E1416" s="2913"/>
      <c r="F1416" s="2913"/>
    </row>
    <row r="1417" spans="2:6">
      <c r="B1417" s="2913"/>
      <c r="C1417" s="2913"/>
      <c r="D1417" s="2913"/>
      <c r="E1417" s="2913"/>
      <c r="F1417" s="2913"/>
    </row>
    <row r="1418" spans="2:6">
      <c r="B1418" s="2913"/>
      <c r="C1418" s="2913"/>
      <c r="D1418" s="2913"/>
      <c r="E1418" s="2913"/>
      <c r="F1418" s="2913"/>
    </row>
    <row r="1419" spans="2:6">
      <c r="B1419" s="2913"/>
      <c r="C1419" s="2913"/>
      <c r="D1419" s="2913"/>
      <c r="E1419" s="2913"/>
      <c r="F1419" s="2913"/>
    </row>
    <row r="1420" spans="2:6">
      <c r="B1420" s="2913"/>
      <c r="C1420" s="2913"/>
      <c r="D1420" s="2913"/>
      <c r="E1420" s="2913"/>
      <c r="F1420" s="2913"/>
    </row>
    <row r="1421" spans="2:6">
      <c r="B1421" s="2913"/>
      <c r="C1421" s="2913"/>
      <c r="D1421" s="2913"/>
      <c r="E1421" s="2913"/>
      <c r="F1421" s="2913"/>
    </row>
    <row r="1422" spans="2:6">
      <c r="B1422" s="2913"/>
      <c r="C1422" s="2913"/>
      <c r="D1422" s="2913"/>
      <c r="E1422" s="2913"/>
      <c r="F1422" s="2913"/>
    </row>
    <row r="1423" spans="2:6">
      <c r="B1423" s="2913"/>
      <c r="C1423" s="2913"/>
      <c r="D1423" s="2913"/>
      <c r="E1423" s="2913"/>
      <c r="F1423" s="2913"/>
    </row>
    <row r="1424" spans="2:6">
      <c r="B1424" s="2913"/>
      <c r="C1424" s="2913"/>
      <c r="D1424" s="2913"/>
      <c r="E1424" s="2913"/>
      <c r="F1424" s="2913"/>
    </row>
    <row r="1425" spans="2:6">
      <c r="B1425" s="2913"/>
      <c r="C1425" s="2913"/>
      <c r="D1425" s="2913"/>
      <c r="E1425" s="2913"/>
      <c r="F1425" s="2913"/>
    </row>
    <row r="1426" spans="2:6">
      <c r="B1426" s="2913"/>
      <c r="C1426" s="2913"/>
      <c r="D1426" s="2913"/>
      <c r="E1426" s="2913"/>
      <c r="F1426" s="2913"/>
    </row>
    <row r="1427" spans="2:6">
      <c r="B1427" s="2913"/>
      <c r="C1427" s="2913"/>
      <c r="D1427" s="2913"/>
      <c r="E1427" s="2913"/>
      <c r="F1427" s="2913"/>
    </row>
    <row r="1428" spans="2:6">
      <c r="B1428" s="2913"/>
      <c r="C1428" s="2913"/>
      <c r="D1428" s="2913"/>
      <c r="E1428" s="2913"/>
      <c r="F1428" s="2913"/>
    </row>
    <row r="1429" spans="2:6">
      <c r="B1429" s="2913"/>
      <c r="C1429" s="2913"/>
      <c r="D1429" s="2913"/>
      <c r="E1429" s="2913"/>
      <c r="F1429" s="2913"/>
    </row>
    <row r="1430" spans="2:6">
      <c r="B1430" s="2913"/>
      <c r="C1430" s="2913"/>
      <c r="D1430" s="2913"/>
      <c r="E1430" s="2913"/>
      <c r="F1430" s="2913"/>
    </row>
    <row r="1431" spans="2:6">
      <c r="B1431" s="2913"/>
      <c r="C1431" s="2913"/>
      <c r="D1431" s="2913"/>
      <c r="E1431" s="2913"/>
      <c r="F1431" s="2913"/>
    </row>
    <row r="1432" spans="2:6">
      <c r="B1432" s="2913"/>
      <c r="C1432" s="2913"/>
      <c r="D1432" s="2913"/>
      <c r="E1432" s="2913"/>
      <c r="F1432" s="2913"/>
    </row>
    <row r="1433" spans="2:6">
      <c r="B1433" s="2913"/>
      <c r="C1433" s="2913"/>
      <c r="D1433" s="2913"/>
      <c r="E1433" s="2913"/>
      <c r="F1433" s="2913"/>
    </row>
    <row r="1434" spans="2:6">
      <c r="B1434" s="2913"/>
      <c r="C1434" s="2913"/>
      <c r="D1434" s="2913"/>
      <c r="E1434" s="2913"/>
      <c r="F1434" s="2913"/>
    </row>
    <row r="1435" spans="2:6">
      <c r="B1435" s="2913"/>
      <c r="C1435" s="2913"/>
      <c r="D1435" s="2913"/>
      <c r="E1435" s="2913"/>
      <c r="F1435" s="2913"/>
    </row>
    <row r="1436" spans="2:6">
      <c r="B1436" s="2913"/>
      <c r="C1436" s="2913"/>
      <c r="D1436" s="2913"/>
      <c r="E1436" s="2913"/>
      <c r="F1436" s="2913"/>
    </row>
    <row r="1437" spans="2:6">
      <c r="B1437" s="2913"/>
      <c r="C1437" s="2913"/>
      <c r="D1437" s="2913"/>
      <c r="E1437" s="2913"/>
      <c r="F1437" s="2913"/>
    </row>
    <row r="1438" spans="2:6">
      <c r="B1438" s="2913"/>
      <c r="C1438" s="2913"/>
      <c r="D1438" s="2913"/>
      <c r="E1438" s="2913"/>
      <c r="F1438" s="2913"/>
    </row>
    <row r="1439" spans="2:6">
      <c r="B1439" s="2913"/>
      <c r="C1439" s="2913"/>
      <c r="D1439" s="2913"/>
      <c r="E1439" s="2913"/>
      <c r="F1439" s="2913"/>
    </row>
    <row r="1440" spans="2:6">
      <c r="B1440" s="2913"/>
      <c r="C1440" s="2913"/>
      <c r="D1440" s="2913"/>
      <c r="E1440" s="2913"/>
      <c r="F1440" s="2913"/>
    </row>
    <row r="1441" spans="2:6">
      <c r="B1441" s="2913"/>
      <c r="C1441" s="2913"/>
      <c r="D1441" s="2913"/>
      <c r="E1441" s="2913"/>
      <c r="F1441" s="2913"/>
    </row>
    <row r="1442" spans="2:6">
      <c r="B1442" s="2913"/>
      <c r="C1442" s="2913"/>
      <c r="D1442" s="2913"/>
      <c r="E1442" s="2913"/>
      <c r="F1442" s="2913"/>
    </row>
    <row r="1443" spans="2:6">
      <c r="B1443" s="2913"/>
      <c r="C1443" s="2913"/>
      <c r="D1443" s="2913"/>
      <c r="E1443" s="2913"/>
      <c r="F1443" s="2913"/>
    </row>
    <row r="1444" spans="2:6">
      <c r="B1444" s="2913"/>
      <c r="C1444" s="2913"/>
      <c r="D1444" s="2913"/>
      <c r="E1444" s="2913"/>
      <c r="F1444" s="2913"/>
    </row>
    <row r="1445" spans="2:6">
      <c r="B1445" s="2913"/>
      <c r="C1445" s="2913"/>
      <c r="D1445" s="2913"/>
      <c r="E1445" s="2913"/>
      <c r="F1445" s="2913"/>
    </row>
    <row r="1446" spans="2:6">
      <c r="B1446" s="2913"/>
      <c r="C1446" s="2913"/>
      <c r="D1446" s="2913"/>
      <c r="E1446" s="2913"/>
      <c r="F1446" s="2913"/>
    </row>
    <row r="1447" spans="2:6">
      <c r="B1447" s="2913"/>
      <c r="C1447" s="2913"/>
      <c r="D1447" s="2913"/>
      <c r="E1447" s="2913"/>
      <c r="F1447" s="2913"/>
    </row>
    <row r="1448" spans="2:6">
      <c r="B1448" s="2913"/>
      <c r="C1448" s="2913"/>
      <c r="D1448" s="2913"/>
      <c r="E1448" s="2913"/>
      <c r="F1448" s="2913"/>
    </row>
    <row r="1449" spans="2:6">
      <c r="B1449" s="2913"/>
      <c r="C1449" s="2913"/>
      <c r="D1449" s="2913"/>
      <c r="E1449" s="2913"/>
      <c r="F1449" s="2913"/>
    </row>
    <row r="1450" spans="2:6">
      <c r="B1450" s="2913"/>
      <c r="C1450" s="2913"/>
      <c r="D1450" s="2913"/>
      <c r="E1450" s="2913"/>
      <c r="F1450" s="2913"/>
    </row>
    <row r="1451" spans="2:6">
      <c r="B1451" s="2913"/>
      <c r="C1451" s="2913"/>
      <c r="D1451" s="2913"/>
      <c r="E1451" s="2913"/>
      <c r="F1451" s="2913"/>
    </row>
    <row r="1452" spans="2:6">
      <c r="B1452" s="2913"/>
      <c r="C1452" s="2913"/>
      <c r="D1452" s="2913"/>
      <c r="E1452" s="2913"/>
      <c r="F1452" s="2913"/>
    </row>
    <row r="1453" spans="2:6">
      <c r="B1453" s="2913"/>
      <c r="C1453" s="2913"/>
      <c r="D1453" s="2913"/>
      <c r="E1453" s="2913"/>
      <c r="F1453" s="2913"/>
    </row>
    <row r="1454" spans="2:6">
      <c r="B1454" s="2913"/>
      <c r="C1454" s="2913"/>
      <c r="D1454" s="2913"/>
      <c r="E1454" s="2913"/>
      <c r="F1454" s="2913"/>
    </row>
    <row r="1455" spans="2:6">
      <c r="B1455" s="2913"/>
      <c r="C1455" s="2913"/>
      <c r="D1455" s="2913"/>
      <c r="E1455" s="2913"/>
      <c r="F1455" s="2913"/>
    </row>
    <row r="1456" spans="2:6">
      <c r="B1456" s="2913"/>
      <c r="C1456" s="2913"/>
      <c r="D1456" s="2913"/>
      <c r="E1456" s="2913"/>
      <c r="F1456" s="2913"/>
    </row>
    <row r="1457" spans="2:6">
      <c r="B1457" s="2913"/>
      <c r="C1457" s="2913"/>
      <c r="D1457" s="2913"/>
      <c r="E1457" s="2913"/>
      <c r="F1457" s="2913"/>
    </row>
    <row r="1458" spans="2:6">
      <c r="B1458" s="2913"/>
      <c r="C1458" s="2913"/>
      <c r="D1458" s="2913"/>
      <c r="E1458" s="2913"/>
      <c r="F1458" s="2913"/>
    </row>
    <row r="1459" spans="2:6">
      <c r="B1459" s="2913"/>
      <c r="C1459" s="2913"/>
      <c r="D1459" s="2913"/>
      <c r="E1459" s="2913"/>
      <c r="F1459" s="2913"/>
    </row>
    <row r="1460" spans="2:6">
      <c r="B1460" s="2913"/>
      <c r="C1460" s="2913"/>
      <c r="D1460" s="2913"/>
      <c r="E1460" s="2913"/>
      <c r="F1460" s="2913"/>
    </row>
    <row r="1461" spans="2:6">
      <c r="B1461" s="2913"/>
      <c r="C1461" s="2913"/>
      <c r="D1461" s="2913"/>
      <c r="E1461" s="2913"/>
      <c r="F1461" s="2913"/>
    </row>
    <row r="1462" spans="2:6">
      <c r="B1462" s="2913"/>
      <c r="C1462" s="2913"/>
      <c r="D1462" s="2913"/>
      <c r="E1462" s="2913"/>
      <c r="F1462" s="2913"/>
    </row>
    <row r="1463" spans="2:6">
      <c r="B1463" s="2913"/>
      <c r="C1463" s="2913"/>
      <c r="D1463" s="2913"/>
      <c r="E1463" s="2913"/>
      <c r="F1463" s="2913"/>
    </row>
    <row r="1464" spans="2:6">
      <c r="B1464" s="2913"/>
      <c r="C1464" s="2913"/>
      <c r="D1464" s="2913"/>
      <c r="E1464" s="2913"/>
      <c r="F1464" s="2913"/>
    </row>
    <row r="1465" spans="2:6">
      <c r="B1465" s="2913"/>
      <c r="C1465" s="2913"/>
      <c r="D1465" s="2913"/>
      <c r="E1465" s="2913"/>
      <c r="F1465" s="2913"/>
    </row>
    <row r="1466" spans="2:6">
      <c r="B1466" s="2913"/>
      <c r="C1466" s="2913"/>
      <c r="D1466" s="2913"/>
      <c r="E1466" s="2913"/>
      <c r="F1466" s="2913"/>
    </row>
    <row r="1467" spans="2:6">
      <c r="B1467" s="2913"/>
      <c r="C1467" s="2913"/>
      <c r="D1467" s="2913"/>
      <c r="E1467" s="2913"/>
      <c r="F1467" s="2913"/>
    </row>
    <row r="1468" spans="2:6">
      <c r="B1468" s="2913"/>
      <c r="C1468" s="2913"/>
      <c r="D1468" s="2913"/>
      <c r="E1468" s="2913"/>
      <c r="F1468" s="2913"/>
    </row>
    <row r="1469" spans="2:6">
      <c r="B1469" s="2913"/>
      <c r="C1469" s="2913"/>
      <c r="D1469" s="2913"/>
      <c r="E1469" s="2913"/>
      <c r="F1469" s="2913"/>
    </row>
    <row r="1470" spans="2:6">
      <c r="B1470" s="2913"/>
      <c r="C1470" s="2913"/>
      <c r="D1470" s="2913"/>
      <c r="E1470" s="2913"/>
      <c r="F1470" s="2913"/>
    </row>
    <row r="1471" spans="2:6">
      <c r="B1471" s="2913"/>
      <c r="C1471" s="2913"/>
      <c r="D1471" s="2913"/>
      <c r="E1471" s="2913"/>
      <c r="F1471" s="2913"/>
    </row>
    <row r="1472" spans="2:6">
      <c r="B1472" s="2913"/>
      <c r="C1472" s="2913"/>
      <c r="D1472" s="2913"/>
      <c r="E1472" s="2913"/>
      <c r="F1472" s="2913"/>
    </row>
    <row r="1473" spans="2:6">
      <c r="B1473" s="2913"/>
      <c r="C1473" s="2913"/>
      <c r="D1473" s="2913"/>
      <c r="E1473" s="2913"/>
      <c r="F1473" s="2913"/>
    </row>
    <row r="1474" spans="2:6">
      <c r="B1474" s="2913"/>
      <c r="C1474" s="2913"/>
      <c r="D1474" s="2913"/>
      <c r="E1474" s="2913"/>
      <c r="F1474" s="2913"/>
    </row>
    <row r="1475" spans="2:6">
      <c r="B1475" s="2913"/>
      <c r="C1475" s="2913"/>
      <c r="D1475" s="2913"/>
      <c r="E1475" s="2913"/>
      <c r="F1475" s="2913"/>
    </row>
    <row r="1476" spans="2:6">
      <c r="B1476" s="2913"/>
      <c r="C1476" s="2913"/>
      <c r="D1476" s="2913"/>
      <c r="E1476" s="2913"/>
      <c r="F1476" s="2913"/>
    </row>
    <row r="1477" spans="2:6">
      <c r="B1477" s="2913"/>
      <c r="C1477" s="2913"/>
      <c r="D1477" s="2913"/>
      <c r="E1477" s="2913"/>
      <c r="F1477" s="2913"/>
    </row>
    <row r="1478" spans="2:6">
      <c r="B1478" s="2913"/>
      <c r="C1478" s="2913"/>
      <c r="D1478" s="2913"/>
      <c r="E1478" s="2913"/>
      <c r="F1478" s="2913"/>
    </row>
    <row r="1479" spans="2:6">
      <c r="B1479" s="2913"/>
      <c r="C1479" s="2913"/>
      <c r="D1479" s="2913"/>
      <c r="E1479" s="2913"/>
      <c r="F1479" s="2913"/>
    </row>
    <row r="1480" spans="2:6">
      <c r="B1480" s="2913"/>
      <c r="C1480" s="2913"/>
      <c r="D1480" s="2913"/>
      <c r="E1480" s="2913"/>
      <c r="F1480" s="2913"/>
    </row>
    <row r="1481" spans="2:6">
      <c r="B1481" s="2913"/>
      <c r="C1481" s="2913"/>
      <c r="D1481" s="2913"/>
      <c r="E1481" s="2913"/>
      <c r="F1481" s="2913"/>
    </row>
    <row r="1482" spans="2:6">
      <c r="B1482" s="2913"/>
      <c r="C1482" s="2913"/>
      <c r="D1482" s="2913"/>
      <c r="E1482" s="2913"/>
      <c r="F1482" s="2913"/>
    </row>
    <row r="1483" spans="2:6">
      <c r="B1483" s="2913"/>
      <c r="C1483" s="2913"/>
      <c r="D1483" s="2913"/>
      <c r="E1483" s="2913"/>
      <c r="F1483" s="2913"/>
    </row>
    <row r="1484" spans="2:6">
      <c r="B1484" s="2913"/>
      <c r="C1484" s="2913"/>
      <c r="D1484" s="2913"/>
      <c r="E1484" s="2913"/>
      <c r="F1484" s="2913"/>
    </row>
    <row r="1485" spans="2:6">
      <c r="B1485" s="2913"/>
      <c r="C1485" s="2913"/>
      <c r="D1485" s="2913"/>
      <c r="E1485" s="2913"/>
      <c r="F1485" s="2913"/>
    </row>
    <row r="1486" spans="2:6">
      <c r="B1486" s="2913"/>
      <c r="C1486" s="2913"/>
      <c r="D1486" s="2913"/>
      <c r="E1486" s="2913"/>
      <c r="F1486" s="2913"/>
    </row>
    <row r="1487" spans="2:6">
      <c r="B1487" s="2913"/>
      <c r="C1487" s="2913"/>
      <c r="D1487" s="2913"/>
      <c r="E1487" s="2913"/>
      <c r="F1487" s="2913"/>
    </row>
    <row r="1488" spans="2:6">
      <c r="B1488" s="2913"/>
      <c r="C1488" s="2913"/>
      <c r="D1488" s="2913"/>
      <c r="E1488" s="2913"/>
      <c r="F1488" s="2913"/>
    </row>
    <row r="1489" spans="2:6">
      <c r="B1489" s="2913"/>
      <c r="C1489" s="2913"/>
      <c r="D1489" s="2913"/>
      <c r="E1489" s="2913"/>
      <c r="F1489" s="2913"/>
    </row>
    <row r="1490" spans="2:6">
      <c r="B1490" s="2913"/>
      <c r="C1490" s="2913"/>
      <c r="D1490" s="2913"/>
      <c r="E1490" s="2913"/>
      <c r="F1490" s="2913"/>
    </row>
    <row r="1491" spans="2:6">
      <c r="B1491" s="2913"/>
      <c r="C1491" s="2913"/>
      <c r="D1491" s="2913"/>
      <c r="E1491" s="2913"/>
      <c r="F1491" s="2913"/>
    </row>
    <row r="1492" spans="2:6">
      <c r="B1492" s="2913"/>
      <c r="C1492" s="2913"/>
      <c r="D1492" s="2913"/>
      <c r="E1492" s="2913"/>
      <c r="F1492" s="2913"/>
    </row>
    <row r="1493" spans="2:6">
      <c r="B1493" s="2913"/>
      <c r="C1493" s="2913"/>
      <c r="D1493" s="2913"/>
      <c r="E1493" s="2913"/>
      <c r="F1493" s="2913"/>
    </row>
    <row r="1494" spans="2:6">
      <c r="B1494" s="2913"/>
      <c r="C1494" s="2913"/>
      <c r="D1494" s="2913"/>
      <c r="E1494" s="2913"/>
      <c r="F1494" s="2913"/>
    </row>
    <row r="1495" spans="2:6">
      <c r="B1495" s="2913"/>
      <c r="C1495" s="2913"/>
      <c r="D1495" s="2913"/>
      <c r="E1495" s="2913"/>
      <c r="F1495" s="2913"/>
    </row>
    <row r="1496" spans="2:6">
      <c r="B1496" s="2913"/>
      <c r="C1496" s="2913"/>
      <c r="D1496" s="2913"/>
      <c r="E1496" s="2913"/>
      <c r="F1496" s="2913"/>
    </row>
    <row r="1497" spans="2:6">
      <c r="B1497" s="2913"/>
      <c r="C1497" s="2913"/>
      <c r="D1497" s="2913"/>
      <c r="E1497" s="2913"/>
      <c r="F1497" s="2913"/>
    </row>
    <row r="1498" spans="2:6">
      <c r="B1498" s="2913"/>
      <c r="C1498" s="2913"/>
      <c r="D1498" s="2913"/>
      <c r="E1498" s="2913"/>
      <c r="F1498" s="2913"/>
    </row>
    <row r="1499" spans="2:6">
      <c r="B1499" s="2913"/>
      <c r="C1499" s="2913"/>
      <c r="D1499" s="2913"/>
      <c r="E1499" s="2913"/>
      <c r="F1499" s="2913"/>
    </row>
    <row r="1500" spans="2:6">
      <c r="B1500" s="2913"/>
      <c r="C1500" s="2913"/>
      <c r="D1500" s="2913"/>
      <c r="E1500" s="2913"/>
      <c r="F1500" s="2913"/>
    </row>
    <row r="1501" spans="2:6">
      <c r="B1501" s="2913"/>
      <c r="C1501" s="2913"/>
      <c r="D1501" s="2913"/>
      <c r="E1501" s="2913"/>
      <c r="F1501" s="2913"/>
    </row>
    <row r="1502" spans="2:6">
      <c r="B1502" s="2913"/>
      <c r="C1502" s="2913"/>
      <c r="D1502" s="2913"/>
      <c r="E1502" s="2913"/>
      <c r="F1502" s="2913"/>
    </row>
    <row r="1503" spans="2:6">
      <c r="B1503" s="2913"/>
      <c r="C1503" s="2913"/>
      <c r="D1503" s="2913"/>
      <c r="E1503" s="2913"/>
      <c r="F1503" s="2913"/>
    </row>
    <row r="1504" spans="2:6">
      <c r="B1504" s="2913"/>
      <c r="C1504" s="2913"/>
      <c r="D1504" s="2913"/>
      <c r="E1504" s="2913"/>
      <c r="F1504" s="2913"/>
    </row>
    <row r="1505" spans="2:6">
      <c r="B1505" s="2913"/>
      <c r="C1505" s="2913"/>
      <c r="D1505" s="2913"/>
      <c r="E1505" s="2913"/>
      <c r="F1505" s="2913"/>
    </row>
    <row r="1506" spans="2:6">
      <c r="B1506" s="2913"/>
      <c r="C1506" s="2913"/>
      <c r="D1506" s="2913"/>
      <c r="E1506" s="2913"/>
      <c r="F1506" s="2913"/>
    </row>
    <row r="1507" spans="2:6">
      <c r="B1507" s="2913"/>
      <c r="C1507" s="2913"/>
      <c r="D1507" s="2913"/>
      <c r="E1507" s="2913"/>
      <c r="F1507" s="2913"/>
    </row>
    <row r="1508" spans="2:6">
      <c r="B1508" s="2913"/>
      <c r="C1508" s="2913"/>
      <c r="D1508" s="2913"/>
      <c r="E1508" s="2913"/>
      <c r="F1508" s="2913"/>
    </row>
    <row r="1509" spans="2:6">
      <c r="B1509" s="2913"/>
      <c r="C1509" s="2913"/>
      <c r="D1509" s="2913"/>
      <c r="E1509" s="2913"/>
      <c r="F1509" s="2913"/>
    </row>
    <row r="1510" spans="2:6">
      <c r="B1510" s="2913"/>
      <c r="C1510" s="2913"/>
      <c r="D1510" s="2913"/>
      <c r="E1510" s="2913"/>
      <c r="F1510" s="2913"/>
    </row>
    <row r="1511" spans="2:6">
      <c r="B1511" s="2913"/>
      <c r="C1511" s="2913"/>
      <c r="D1511" s="2913"/>
      <c r="E1511" s="2913"/>
      <c r="F1511" s="2913"/>
    </row>
    <row r="1512" spans="2:6">
      <c r="B1512" s="2913"/>
      <c r="C1512" s="2913"/>
      <c r="D1512" s="2913"/>
      <c r="E1512" s="2913"/>
      <c r="F1512" s="2913"/>
    </row>
    <row r="1513" spans="2:6">
      <c r="B1513" s="2913"/>
      <c r="C1513" s="2913"/>
      <c r="D1513" s="2913"/>
      <c r="E1513" s="2913"/>
      <c r="F1513" s="2913"/>
    </row>
    <row r="1514" spans="2:6">
      <c r="B1514" s="2913"/>
      <c r="C1514" s="2913"/>
      <c r="D1514" s="2913"/>
      <c r="E1514" s="2913"/>
      <c r="F1514" s="2913"/>
    </row>
    <row r="1515" spans="2:6">
      <c r="B1515" s="2913"/>
      <c r="C1515" s="2913"/>
      <c r="D1515" s="2913"/>
      <c r="E1515" s="2913"/>
      <c r="F1515" s="2913"/>
    </row>
    <row r="1516" spans="2:6">
      <c r="B1516" s="2913"/>
      <c r="C1516" s="2913"/>
      <c r="D1516" s="2913"/>
      <c r="E1516" s="2913"/>
      <c r="F1516" s="2913"/>
    </row>
    <row r="1517" spans="2:6">
      <c r="B1517" s="2913"/>
      <c r="C1517" s="2913"/>
      <c r="D1517" s="2913"/>
      <c r="E1517" s="2913"/>
      <c r="F1517" s="2913"/>
    </row>
    <row r="1518" spans="2:6">
      <c r="B1518" s="2913"/>
      <c r="C1518" s="2913"/>
      <c r="D1518" s="2913"/>
      <c r="E1518" s="2913"/>
      <c r="F1518" s="2913"/>
    </row>
    <row r="1519" spans="2:6">
      <c r="B1519" s="2913"/>
      <c r="C1519" s="2913"/>
      <c r="D1519" s="2913"/>
      <c r="E1519" s="2913"/>
      <c r="F1519" s="2913"/>
    </row>
    <row r="1520" spans="2:6">
      <c r="B1520" s="2913"/>
      <c r="C1520" s="2913"/>
      <c r="D1520" s="2913"/>
      <c r="E1520" s="2913"/>
      <c r="F1520" s="2913"/>
    </row>
    <row r="1521" spans="2:6">
      <c r="B1521" s="2913"/>
      <c r="C1521" s="2913"/>
      <c r="D1521" s="2913"/>
      <c r="E1521" s="2913"/>
      <c r="F1521" s="2913"/>
    </row>
    <row r="1522" spans="2:6">
      <c r="B1522" s="2913"/>
      <c r="C1522" s="2913"/>
      <c r="D1522" s="2913"/>
      <c r="E1522" s="2913"/>
      <c r="F1522" s="2913"/>
    </row>
    <row r="1523" spans="2:6">
      <c r="B1523" s="2913"/>
      <c r="C1523" s="2913"/>
      <c r="D1523" s="2913"/>
      <c r="E1523" s="2913"/>
      <c r="F1523" s="2913"/>
    </row>
    <row r="1524" spans="2:6">
      <c r="B1524" s="2913"/>
      <c r="C1524" s="2913"/>
      <c r="D1524" s="2913"/>
      <c r="E1524" s="2913"/>
      <c r="F1524" s="2913"/>
    </row>
    <row r="1525" spans="2:6">
      <c r="B1525" s="2913"/>
      <c r="C1525" s="2913"/>
      <c r="D1525" s="2913"/>
      <c r="E1525" s="2913"/>
      <c r="F1525" s="2913"/>
    </row>
    <row r="1526" spans="2:6">
      <c r="B1526" s="2913"/>
      <c r="C1526" s="2913"/>
      <c r="D1526" s="2913"/>
      <c r="E1526" s="2913"/>
      <c r="F1526" s="2913"/>
    </row>
    <row r="1527" spans="2:6">
      <c r="B1527" s="2913"/>
      <c r="C1527" s="2913"/>
      <c r="D1527" s="2913"/>
      <c r="E1527" s="2913"/>
      <c r="F1527" s="2913"/>
    </row>
    <row r="1528" spans="2:6">
      <c r="B1528" s="2913"/>
      <c r="C1528" s="2913"/>
      <c r="D1528" s="2913"/>
      <c r="E1528" s="2913"/>
      <c r="F1528" s="2913"/>
    </row>
    <row r="1529" spans="2:6">
      <c r="B1529" s="2913"/>
      <c r="C1529" s="2913"/>
      <c r="D1529" s="2913"/>
      <c r="E1529" s="2913"/>
      <c r="F1529" s="2913"/>
    </row>
    <row r="1530" spans="2:6">
      <c r="B1530" s="2913"/>
      <c r="C1530" s="2913"/>
      <c r="D1530" s="2913"/>
      <c r="E1530" s="2913"/>
      <c r="F1530" s="2913"/>
    </row>
    <row r="1531" spans="2:6">
      <c r="B1531" s="2913"/>
      <c r="C1531" s="2913"/>
      <c r="D1531" s="2913"/>
      <c r="E1531" s="2913"/>
      <c r="F1531" s="2913"/>
    </row>
    <row r="1532" spans="2:6">
      <c r="B1532" s="2913"/>
      <c r="C1532" s="2913"/>
      <c r="D1532" s="2913"/>
      <c r="E1532" s="2913"/>
      <c r="F1532" s="2913"/>
    </row>
    <row r="1533" spans="2:6">
      <c r="B1533" s="2913"/>
      <c r="C1533" s="2913"/>
      <c r="D1533" s="2913"/>
      <c r="E1533" s="2913"/>
      <c r="F1533" s="2913"/>
    </row>
    <row r="1534" spans="2:6">
      <c r="B1534" s="2913"/>
      <c r="C1534" s="2913"/>
      <c r="D1534" s="2913"/>
      <c r="E1534" s="2913"/>
      <c r="F1534" s="2913"/>
    </row>
    <row r="1535" spans="2:6">
      <c r="B1535" s="2913"/>
      <c r="C1535" s="2913"/>
      <c r="D1535" s="2913"/>
      <c r="E1535" s="2913"/>
      <c r="F1535" s="2913"/>
    </row>
    <row r="1536" spans="2:6">
      <c r="B1536" s="2913"/>
      <c r="C1536" s="2913"/>
      <c r="D1536" s="2913"/>
      <c r="E1536" s="2913"/>
      <c r="F1536" s="2913"/>
    </row>
    <row r="1537" spans="2:6">
      <c r="B1537" s="2913"/>
      <c r="C1537" s="2913"/>
      <c r="D1537" s="2913"/>
      <c r="E1537" s="2913"/>
      <c r="F1537" s="2913"/>
    </row>
    <row r="1538" spans="2:6">
      <c r="B1538" s="2913"/>
      <c r="C1538" s="2913"/>
      <c r="D1538" s="2913"/>
      <c r="E1538" s="2913"/>
      <c r="F1538" s="2913"/>
    </row>
    <row r="1539" spans="2:6">
      <c r="B1539" s="2913"/>
      <c r="C1539" s="2913"/>
      <c r="D1539" s="2913"/>
      <c r="E1539" s="2913"/>
      <c r="F1539" s="2913"/>
    </row>
    <row r="1540" spans="2:6">
      <c r="B1540" s="2913"/>
      <c r="C1540" s="2913"/>
      <c r="D1540" s="2913"/>
      <c r="E1540" s="2913"/>
      <c r="F1540" s="2913"/>
    </row>
    <row r="1541" spans="2:6">
      <c r="B1541" s="2913"/>
      <c r="C1541" s="2913"/>
      <c r="D1541" s="2913"/>
      <c r="E1541" s="2913"/>
      <c r="F1541" s="2913"/>
    </row>
    <row r="1542" spans="2:6">
      <c r="B1542" s="2913"/>
      <c r="C1542" s="2913"/>
      <c r="D1542" s="2913"/>
      <c r="E1542" s="2913"/>
      <c r="F1542" s="2913"/>
    </row>
    <row r="1543" spans="2:6">
      <c r="B1543" s="2913"/>
      <c r="C1543" s="2913"/>
      <c r="D1543" s="2913"/>
      <c r="E1543" s="2913"/>
      <c r="F1543" s="2913"/>
    </row>
    <row r="1544" spans="2:6">
      <c r="B1544" s="2913"/>
      <c r="C1544" s="2913"/>
      <c r="D1544" s="2913"/>
      <c r="E1544" s="2913"/>
      <c r="F1544" s="2913"/>
    </row>
    <row r="1545" spans="2:6">
      <c r="B1545" s="2913"/>
      <c r="C1545" s="2913"/>
      <c r="D1545" s="2913"/>
      <c r="E1545" s="2913"/>
      <c r="F1545" s="2913"/>
    </row>
    <row r="1546" spans="2:6">
      <c r="B1546" s="2913"/>
      <c r="C1546" s="2913"/>
      <c r="D1546" s="2913"/>
      <c r="E1546" s="2913"/>
      <c r="F1546" s="2913"/>
    </row>
    <row r="1547" spans="2:6">
      <c r="B1547" s="2913"/>
      <c r="C1547" s="2913"/>
      <c r="D1547" s="2913"/>
      <c r="E1547" s="2913"/>
      <c r="F1547" s="2913"/>
    </row>
    <row r="1548" spans="2:6">
      <c r="B1548" s="2913"/>
      <c r="C1548" s="2913"/>
      <c r="D1548" s="2913"/>
      <c r="E1548" s="2913"/>
      <c r="F1548" s="2913"/>
    </row>
    <row r="1549" spans="2:6">
      <c r="B1549" s="2913"/>
      <c r="C1549" s="2913"/>
      <c r="D1549" s="2913"/>
      <c r="E1549" s="2913"/>
      <c r="F1549" s="2913"/>
    </row>
    <row r="1550" spans="2:6">
      <c r="B1550" s="2913"/>
      <c r="C1550" s="2913"/>
      <c r="D1550" s="2913"/>
      <c r="E1550" s="2913"/>
      <c r="F1550" s="2913"/>
    </row>
    <row r="1551" spans="2:6">
      <c r="B1551" s="2913"/>
      <c r="C1551" s="2913"/>
      <c r="D1551" s="2913"/>
      <c r="E1551" s="2913"/>
      <c r="F1551" s="2913"/>
    </row>
    <row r="1552" spans="2:6">
      <c r="B1552" s="2913"/>
      <c r="C1552" s="2913"/>
      <c r="D1552" s="2913"/>
      <c r="E1552" s="2913"/>
      <c r="F1552" s="2913"/>
    </row>
    <row r="1553" spans="2:6">
      <c r="B1553" s="2913"/>
      <c r="C1553" s="2913"/>
      <c r="D1553" s="2913"/>
      <c r="E1553" s="2913"/>
      <c r="F1553" s="2913"/>
    </row>
    <row r="1554" spans="2:6">
      <c r="B1554" s="2913"/>
      <c r="C1554" s="2913"/>
      <c r="D1554" s="2913"/>
      <c r="E1554" s="2913"/>
      <c r="F1554" s="2913"/>
    </row>
    <row r="1555" spans="2:6">
      <c r="B1555" s="2913"/>
      <c r="C1555" s="2913"/>
      <c r="D1555" s="2913"/>
      <c r="E1555" s="2913"/>
      <c r="F1555" s="2913"/>
    </row>
    <row r="1556" spans="2:6">
      <c r="B1556" s="2913"/>
      <c r="C1556" s="2913"/>
      <c r="D1556" s="2913"/>
      <c r="E1556" s="2913"/>
      <c r="F1556" s="2913"/>
    </row>
    <row r="1557" spans="2:6">
      <c r="B1557" s="2913"/>
      <c r="C1557" s="2913"/>
      <c r="D1557" s="2913"/>
      <c r="E1557" s="2913"/>
      <c r="F1557" s="2913"/>
    </row>
    <row r="1558" spans="2:6">
      <c r="B1558" s="2913"/>
      <c r="C1558" s="2913"/>
      <c r="D1558" s="2913"/>
      <c r="E1558" s="2913"/>
      <c r="F1558" s="2913"/>
    </row>
    <row r="1559" spans="2:6">
      <c r="B1559" s="2913"/>
      <c r="C1559" s="2913"/>
      <c r="D1559" s="2913"/>
      <c r="E1559" s="2913"/>
      <c r="F1559" s="2913"/>
    </row>
    <row r="1560" spans="2:6">
      <c r="B1560" s="2913"/>
      <c r="C1560" s="2913"/>
      <c r="D1560" s="2913"/>
      <c r="E1560" s="2913"/>
      <c r="F1560" s="2913"/>
    </row>
    <row r="1561" spans="2:6">
      <c r="B1561" s="2913"/>
      <c r="C1561" s="2913"/>
      <c r="D1561" s="2913"/>
      <c r="E1561" s="2913"/>
      <c r="F1561" s="2913"/>
    </row>
    <row r="1562" spans="2:6">
      <c r="B1562" s="2913"/>
      <c r="C1562" s="2913"/>
      <c r="D1562" s="2913"/>
      <c r="E1562" s="2913"/>
      <c r="F1562" s="2913"/>
    </row>
    <row r="1563" spans="2:6">
      <c r="B1563" s="2913"/>
      <c r="C1563" s="2913"/>
      <c r="D1563" s="2913"/>
      <c r="E1563" s="2913"/>
      <c r="F1563" s="2913"/>
    </row>
    <row r="1564" spans="2:6">
      <c r="B1564" s="2913"/>
      <c r="C1564" s="2913"/>
      <c r="D1564" s="2913"/>
      <c r="E1564" s="2913"/>
      <c r="F1564" s="2913"/>
    </row>
    <row r="1565" spans="2:6">
      <c r="B1565" s="2913"/>
      <c r="C1565" s="2913"/>
      <c r="D1565" s="2913"/>
      <c r="E1565" s="2913"/>
      <c r="F1565" s="2913"/>
    </row>
    <row r="1566" spans="2:6">
      <c r="B1566" s="2913"/>
      <c r="C1566" s="2913"/>
      <c r="D1566" s="2913"/>
      <c r="E1566" s="2913"/>
      <c r="F1566" s="2913"/>
    </row>
    <row r="1567" spans="2:6">
      <c r="B1567" s="2913"/>
      <c r="C1567" s="2913"/>
      <c r="D1567" s="2913"/>
      <c r="E1567" s="2913"/>
      <c r="F1567" s="2913"/>
    </row>
    <row r="1568" spans="2:6">
      <c r="B1568" s="2913"/>
      <c r="C1568" s="2913"/>
      <c r="D1568" s="2913"/>
      <c r="E1568" s="2913"/>
      <c r="F1568" s="2913"/>
    </row>
    <row r="1569" spans="2:6">
      <c r="B1569" s="2913"/>
      <c r="C1569" s="2913"/>
      <c r="D1569" s="2913"/>
      <c r="E1569" s="2913"/>
      <c r="F1569" s="2913"/>
    </row>
    <row r="1570" spans="2:6">
      <c r="B1570" s="2913"/>
      <c r="C1570" s="2913"/>
      <c r="D1570" s="2913"/>
      <c r="E1570" s="2913"/>
      <c r="F1570" s="2913"/>
    </row>
    <row r="1571" spans="2:6">
      <c r="B1571" s="2913"/>
      <c r="C1571" s="2913"/>
      <c r="D1571" s="2913"/>
      <c r="E1571" s="2913"/>
      <c r="F1571" s="2913"/>
    </row>
    <row r="1572" spans="2:6">
      <c r="B1572" s="2913"/>
      <c r="C1572" s="2913"/>
      <c r="D1572" s="2913"/>
      <c r="E1572" s="2913"/>
      <c r="F1572" s="2913"/>
    </row>
    <row r="1573" spans="2:6">
      <c r="B1573" s="2913"/>
      <c r="C1573" s="2913"/>
      <c r="D1573" s="2913"/>
      <c r="E1573" s="2913"/>
      <c r="F1573" s="2913"/>
    </row>
    <row r="1574" spans="2:6">
      <c r="B1574" s="2913"/>
      <c r="C1574" s="2913"/>
      <c r="D1574" s="2913"/>
      <c r="E1574" s="2913"/>
      <c r="F1574" s="2913"/>
    </row>
    <row r="1575" spans="2:6">
      <c r="B1575" s="2913"/>
      <c r="C1575" s="2913"/>
      <c r="D1575" s="2913"/>
      <c r="E1575" s="2913"/>
      <c r="F1575" s="2913"/>
    </row>
    <row r="1576" spans="2:6">
      <c r="B1576" s="2913"/>
      <c r="C1576" s="2913"/>
      <c r="D1576" s="2913"/>
      <c r="E1576" s="2913"/>
      <c r="F1576" s="2913"/>
    </row>
    <row r="1577" spans="2:6">
      <c r="B1577" s="2913"/>
      <c r="C1577" s="2913"/>
      <c r="D1577" s="2913"/>
      <c r="E1577" s="2913"/>
      <c r="F1577" s="2913"/>
    </row>
    <row r="1578" spans="2:6">
      <c r="B1578" s="2913"/>
      <c r="C1578" s="2913"/>
      <c r="D1578" s="2913"/>
      <c r="E1578" s="2913"/>
      <c r="F1578" s="2913"/>
    </row>
    <row r="1579" spans="2:6">
      <c r="B1579" s="2913"/>
      <c r="C1579" s="2913"/>
      <c r="D1579" s="2913"/>
      <c r="E1579" s="2913"/>
      <c r="F1579" s="2913"/>
    </row>
    <row r="1580" spans="2:6">
      <c r="B1580" s="2913"/>
      <c r="C1580" s="2913"/>
      <c r="D1580" s="2913"/>
      <c r="E1580" s="2913"/>
      <c r="F1580" s="2913"/>
    </row>
    <row r="1581" spans="2:6">
      <c r="B1581" s="2913"/>
      <c r="C1581" s="2913"/>
      <c r="D1581" s="2913"/>
      <c r="E1581" s="2913"/>
      <c r="F1581" s="2913"/>
    </row>
    <row r="1582" spans="2:6">
      <c r="B1582" s="2913"/>
      <c r="C1582" s="2913"/>
      <c r="D1582" s="2913"/>
      <c r="E1582" s="2913"/>
      <c r="F1582" s="2913"/>
    </row>
    <row r="1583" spans="2:6">
      <c r="B1583" s="2913"/>
      <c r="C1583" s="2913"/>
      <c r="D1583" s="2913"/>
      <c r="E1583" s="2913"/>
      <c r="F1583" s="2913"/>
    </row>
    <row r="1584" spans="2:6">
      <c r="B1584" s="2913"/>
      <c r="C1584" s="2913"/>
      <c r="D1584" s="2913"/>
      <c r="E1584" s="2913"/>
      <c r="F1584" s="2913"/>
    </row>
    <row r="1585" spans="2:6">
      <c r="B1585" s="2913"/>
      <c r="C1585" s="2913"/>
      <c r="D1585" s="2913"/>
      <c r="E1585" s="2913"/>
      <c r="F1585" s="2913"/>
    </row>
    <row r="1586" spans="2:6">
      <c r="B1586" s="2913"/>
      <c r="C1586" s="2913"/>
      <c r="D1586" s="2913"/>
      <c r="E1586" s="2913"/>
      <c r="F1586" s="2913"/>
    </row>
    <row r="1587" spans="2:6">
      <c r="B1587" s="2913"/>
      <c r="C1587" s="2913"/>
      <c r="D1587" s="2913"/>
      <c r="E1587" s="2913"/>
      <c r="F1587" s="2913"/>
    </row>
    <row r="1588" spans="2:6">
      <c r="B1588" s="2913"/>
      <c r="C1588" s="2913"/>
      <c r="D1588" s="2913"/>
      <c r="E1588" s="2913"/>
      <c r="F1588" s="2913"/>
    </row>
    <row r="1589" spans="2:6">
      <c r="B1589" s="2913"/>
      <c r="C1589" s="2913"/>
      <c r="D1589" s="2913"/>
      <c r="E1589" s="2913"/>
      <c r="F1589" s="2913"/>
    </row>
    <row r="1590" spans="2:6">
      <c r="B1590" s="2913"/>
      <c r="C1590" s="2913"/>
      <c r="D1590" s="2913"/>
      <c r="E1590" s="2913"/>
      <c r="F1590" s="2913"/>
    </row>
    <row r="1591" spans="2:6">
      <c r="B1591" s="2913"/>
      <c r="C1591" s="2913"/>
      <c r="D1591" s="2913"/>
      <c r="E1591" s="2913"/>
      <c r="F1591" s="2913"/>
    </row>
    <row r="1592" spans="2:6">
      <c r="B1592" s="2913"/>
      <c r="C1592" s="2913"/>
      <c r="D1592" s="2913"/>
      <c r="E1592" s="2913"/>
      <c r="F1592" s="2913"/>
    </row>
    <row r="1593" spans="2:6">
      <c r="B1593" s="2913"/>
      <c r="C1593" s="2913"/>
      <c r="D1593" s="2913"/>
      <c r="E1593" s="2913"/>
      <c r="F1593" s="2913"/>
    </row>
    <row r="1594" spans="2:6">
      <c r="B1594" s="2913"/>
      <c r="C1594" s="2913"/>
      <c r="D1594" s="2913"/>
      <c r="E1594" s="2913"/>
      <c r="F1594" s="2913"/>
    </row>
    <row r="1595" spans="2:6">
      <c r="B1595" s="2913"/>
      <c r="C1595" s="2913"/>
      <c r="D1595" s="2913"/>
      <c r="E1595" s="2913"/>
      <c r="F1595" s="2913"/>
    </row>
    <row r="1596" spans="2:6">
      <c r="B1596" s="2913"/>
      <c r="C1596" s="2913"/>
      <c r="D1596" s="2913"/>
      <c r="E1596" s="2913"/>
      <c r="F1596" s="2913"/>
    </row>
    <row r="1597" spans="2:6">
      <c r="B1597" s="2913"/>
      <c r="C1597" s="2913"/>
      <c r="D1597" s="2913"/>
      <c r="E1597" s="2913"/>
      <c r="F1597" s="2913"/>
    </row>
    <row r="1598" spans="2:6">
      <c r="B1598" s="2913"/>
      <c r="C1598" s="2913"/>
      <c r="D1598" s="2913"/>
      <c r="E1598" s="2913"/>
      <c r="F1598" s="2913"/>
    </row>
    <row r="1599" spans="2:6">
      <c r="B1599" s="2913"/>
      <c r="C1599" s="2913"/>
      <c r="D1599" s="2913"/>
      <c r="E1599" s="2913"/>
      <c r="F1599" s="2913"/>
    </row>
    <row r="1600" spans="2:6">
      <c r="B1600" s="2913"/>
      <c r="C1600" s="2913"/>
      <c r="D1600" s="2913"/>
      <c r="E1600" s="2913"/>
      <c r="F1600" s="2913"/>
    </row>
    <row r="1601" spans="2:6">
      <c r="B1601" s="2913"/>
      <c r="C1601" s="2913"/>
      <c r="D1601" s="2913"/>
      <c r="E1601" s="2913"/>
      <c r="F1601" s="2913"/>
    </row>
    <row r="1602" spans="2:6">
      <c r="B1602" s="2913"/>
      <c r="C1602" s="2913"/>
      <c r="D1602" s="2913"/>
      <c r="E1602" s="2913"/>
      <c r="F1602" s="2913"/>
    </row>
    <row r="1603" spans="2:6">
      <c r="B1603" s="2913"/>
      <c r="C1603" s="2913"/>
      <c r="D1603" s="2913"/>
      <c r="E1603" s="2913"/>
      <c r="F1603" s="2913"/>
    </row>
    <row r="1604" spans="2:6">
      <c r="B1604" s="2913"/>
      <c r="C1604" s="2913"/>
      <c r="D1604" s="2913"/>
      <c r="E1604" s="2913"/>
      <c r="F1604" s="2913"/>
    </row>
    <row r="1605" spans="2:6">
      <c r="B1605" s="2913"/>
      <c r="C1605" s="2913"/>
      <c r="D1605" s="2913"/>
      <c r="E1605" s="2913"/>
      <c r="F1605" s="2913"/>
    </row>
    <row r="1606" spans="2:6">
      <c r="B1606" s="2913"/>
      <c r="C1606" s="2913"/>
      <c r="D1606" s="2913"/>
      <c r="E1606" s="2913"/>
      <c r="F1606" s="2913"/>
    </row>
    <row r="1607" spans="2:6">
      <c r="B1607" s="2913"/>
      <c r="C1607" s="2913"/>
      <c r="D1607" s="2913"/>
      <c r="E1607" s="2913"/>
      <c r="F1607" s="2913"/>
    </row>
    <row r="1608" spans="2:6">
      <c r="B1608" s="2913"/>
      <c r="C1608" s="2913"/>
      <c r="D1608" s="2913"/>
      <c r="E1608" s="2913"/>
      <c r="F1608" s="2913"/>
    </row>
    <row r="1609" spans="2:6">
      <c r="B1609" s="2913"/>
      <c r="C1609" s="2913"/>
      <c r="D1609" s="2913"/>
      <c r="E1609" s="2913"/>
      <c r="F1609" s="2913"/>
    </row>
    <row r="1610" spans="2:6">
      <c r="B1610" s="2913"/>
      <c r="C1610" s="2913"/>
      <c r="D1610" s="2913"/>
      <c r="E1610" s="2913"/>
      <c r="F1610" s="2913"/>
    </row>
    <row r="1611" spans="2:6">
      <c r="B1611" s="2913"/>
      <c r="C1611" s="2913"/>
      <c r="D1611" s="2913"/>
      <c r="E1611" s="2913"/>
      <c r="F1611" s="2913"/>
    </row>
    <row r="1612" spans="2:6">
      <c r="B1612" s="2913"/>
      <c r="C1612" s="2913"/>
      <c r="D1612" s="2913"/>
      <c r="E1612" s="2913"/>
      <c r="F1612" s="2913"/>
    </row>
    <row r="1613" spans="2:6">
      <c r="B1613" s="2913"/>
      <c r="C1613" s="2913"/>
      <c r="D1613" s="2913"/>
      <c r="E1613" s="2913"/>
      <c r="F1613" s="2913"/>
    </row>
    <row r="1614" spans="2:6">
      <c r="B1614" s="2913"/>
      <c r="C1614" s="2913"/>
      <c r="D1614" s="2913"/>
      <c r="E1614" s="2913"/>
      <c r="F1614" s="2913"/>
    </row>
    <row r="1615" spans="2:6">
      <c r="B1615" s="2913"/>
      <c r="C1615" s="2913"/>
      <c r="D1615" s="2913"/>
      <c r="E1615" s="2913"/>
      <c r="F1615" s="2913"/>
    </row>
    <row r="1616" spans="2:6">
      <c r="B1616" s="2913"/>
      <c r="C1616" s="2913"/>
      <c r="D1616" s="2913"/>
      <c r="E1616" s="2913"/>
      <c r="F1616" s="2913"/>
    </row>
    <row r="1617" spans="2:6">
      <c r="B1617" s="2913"/>
      <c r="C1617" s="2913"/>
      <c r="D1617" s="2913"/>
      <c r="E1617" s="2913"/>
      <c r="F1617" s="2913"/>
    </row>
    <row r="1618" spans="2:6">
      <c r="B1618" s="2913"/>
      <c r="C1618" s="2913"/>
      <c r="D1618" s="2913"/>
      <c r="E1618" s="2913"/>
      <c r="F1618" s="2913"/>
    </row>
    <row r="1619" spans="2:6">
      <c r="B1619" s="2913"/>
      <c r="C1619" s="2913"/>
      <c r="D1619" s="2913"/>
      <c r="E1619" s="2913"/>
      <c r="F1619" s="2913"/>
    </row>
    <row r="1620" spans="2:6">
      <c r="B1620" s="2913"/>
      <c r="C1620" s="2913"/>
      <c r="D1620" s="2913"/>
      <c r="E1620" s="2913"/>
      <c r="F1620" s="2913"/>
    </row>
    <row r="1621" spans="2:6">
      <c r="B1621" s="2913"/>
      <c r="C1621" s="2913"/>
      <c r="D1621" s="2913"/>
      <c r="E1621" s="2913"/>
      <c r="F1621" s="2913"/>
    </row>
    <row r="1622" spans="2:6">
      <c r="B1622" s="2913"/>
      <c r="C1622" s="2913"/>
      <c r="D1622" s="2913"/>
      <c r="E1622" s="2913"/>
      <c r="F1622" s="2913"/>
    </row>
    <row r="1623" spans="2:6">
      <c r="B1623" s="2913"/>
      <c r="C1623" s="2913"/>
      <c r="D1623" s="2913"/>
      <c r="E1623" s="2913"/>
      <c r="F1623" s="2913"/>
    </row>
    <row r="1624" spans="2:6">
      <c r="B1624" s="2913"/>
      <c r="C1624" s="2913"/>
      <c r="D1624" s="2913"/>
      <c r="E1624" s="2913"/>
      <c r="F1624" s="2913"/>
    </row>
    <row r="1625" spans="2:6">
      <c r="B1625" s="2913"/>
      <c r="C1625" s="2913"/>
      <c r="D1625" s="2913"/>
      <c r="E1625" s="2913"/>
      <c r="F1625" s="2913"/>
    </row>
    <row r="1626" spans="2:6">
      <c r="B1626" s="2913"/>
      <c r="C1626" s="2913"/>
      <c r="D1626" s="2913"/>
      <c r="E1626" s="2913"/>
      <c r="F1626" s="2913"/>
    </row>
    <row r="1627" spans="2:6">
      <c r="B1627" s="2913"/>
      <c r="C1627" s="2913"/>
      <c r="D1627" s="2913"/>
      <c r="E1627" s="2913"/>
      <c r="F1627" s="2913"/>
    </row>
    <row r="1628" spans="2:6">
      <c r="B1628" s="2913"/>
      <c r="C1628" s="2913"/>
      <c r="D1628" s="2913"/>
      <c r="E1628" s="2913"/>
      <c r="F1628" s="2913"/>
    </row>
    <row r="1629" spans="2:6">
      <c r="B1629" s="2913"/>
      <c r="C1629" s="2913"/>
      <c r="D1629" s="2913"/>
      <c r="E1629" s="2913"/>
      <c r="F1629" s="2913"/>
    </row>
    <row r="1630" spans="2:6">
      <c r="B1630" s="2913"/>
      <c r="C1630" s="2913"/>
      <c r="D1630" s="2913"/>
      <c r="E1630" s="2913"/>
      <c r="F1630" s="2913"/>
    </row>
    <row r="1631" spans="2:6">
      <c r="B1631" s="2913"/>
      <c r="C1631" s="2913"/>
      <c r="D1631" s="2913"/>
      <c r="E1631" s="2913"/>
      <c r="F1631" s="2913"/>
    </row>
    <row r="1632" spans="2:6">
      <c r="B1632" s="2913"/>
      <c r="C1632" s="2913"/>
      <c r="D1632" s="2913"/>
      <c r="E1632" s="2913"/>
      <c r="F1632" s="2913"/>
    </row>
    <row r="1633" spans="2:6">
      <c r="B1633" s="2913"/>
      <c r="C1633" s="2913"/>
      <c r="D1633" s="2913"/>
      <c r="E1633" s="2913"/>
      <c r="F1633" s="2913"/>
    </row>
    <row r="1634" spans="2:6">
      <c r="B1634" s="2913"/>
      <c r="C1634" s="2913"/>
      <c r="D1634" s="2913"/>
      <c r="E1634" s="2913"/>
      <c r="F1634" s="2913"/>
    </row>
    <row r="1635" spans="2:6">
      <c r="B1635" s="2913"/>
      <c r="C1635" s="2913"/>
      <c r="D1635" s="2913"/>
      <c r="E1635" s="2913"/>
      <c r="F1635" s="2913"/>
    </row>
    <row r="1636" spans="2:6">
      <c r="B1636" s="2913"/>
      <c r="C1636" s="2913"/>
      <c r="D1636" s="2913"/>
      <c r="E1636" s="2913"/>
      <c r="F1636" s="2913"/>
    </row>
    <row r="1637" spans="2:6">
      <c r="B1637" s="2913"/>
      <c r="C1637" s="2913"/>
      <c r="D1637" s="2913"/>
      <c r="E1637" s="2913"/>
      <c r="F1637" s="2913"/>
    </row>
    <row r="1638" spans="2:6">
      <c r="B1638" s="2913"/>
      <c r="C1638" s="2913"/>
      <c r="D1638" s="2913"/>
      <c r="E1638" s="2913"/>
      <c r="F1638" s="2913"/>
    </row>
    <row r="1639" spans="2:6">
      <c r="B1639" s="2913"/>
      <c r="C1639" s="2913"/>
      <c r="D1639" s="2913"/>
      <c r="E1639" s="2913"/>
      <c r="F1639" s="2913"/>
    </row>
    <row r="1640" spans="2:6">
      <c r="B1640" s="2913"/>
      <c r="C1640" s="2913"/>
      <c r="D1640" s="2913"/>
      <c r="E1640" s="2913"/>
      <c r="F1640" s="2913"/>
    </row>
    <row r="1641" spans="2:6">
      <c r="B1641" s="2913"/>
      <c r="C1641" s="2913"/>
      <c r="D1641" s="2913"/>
      <c r="E1641" s="2913"/>
      <c r="F1641" s="2913"/>
    </row>
    <row r="1642" spans="2:6">
      <c r="B1642" s="2913"/>
      <c r="C1642" s="2913"/>
      <c r="D1642" s="2913"/>
      <c r="E1642" s="2913"/>
      <c r="F1642" s="2913"/>
    </row>
    <row r="1643" spans="2:6">
      <c r="B1643" s="2913"/>
      <c r="C1643" s="2913"/>
      <c r="D1643" s="2913"/>
      <c r="E1643" s="2913"/>
      <c r="F1643" s="2913"/>
    </row>
    <row r="1644" spans="2:6">
      <c r="B1644" s="2913"/>
      <c r="C1644" s="2913"/>
      <c r="D1644" s="2913"/>
      <c r="E1644" s="2913"/>
      <c r="F1644" s="2913"/>
    </row>
    <row r="1645" spans="2:6">
      <c r="B1645" s="2913"/>
      <c r="C1645" s="2913"/>
      <c r="D1645" s="2913"/>
      <c r="E1645" s="2913"/>
      <c r="F1645" s="2913"/>
    </row>
    <row r="1646" spans="2:6">
      <c r="B1646" s="2913"/>
      <c r="C1646" s="2913"/>
      <c r="D1646" s="2913"/>
      <c r="E1646" s="2913"/>
      <c r="F1646" s="2913"/>
    </row>
    <row r="1647" spans="2:6">
      <c r="B1647" s="2913"/>
      <c r="C1647" s="2913"/>
      <c r="D1647" s="2913"/>
      <c r="E1647" s="2913"/>
      <c r="F1647" s="2913"/>
    </row>
    <row r="1648" spans="2:6">
      <c r="B1648" s="2913"/>
      <c r="C1648" s="2913"/>
      <c r="D1648" s="2913"/>
      <c r="E1648" s="2913"/>
      <c r="F1648" s="2913"/>
    </row>
    <row r="1649" spans="2:6">
      <c r="B1649" s="2913"/>
      <c r="C1649" s="2913"/>
      <c r="D1649" s="2913"/>
      <c r="E1649" s="2913"/>
      <c r="F1649" s="2913"/>
    </row>
    <row r="1650" spans="2:6">
      <c r="B1650" s="2913"/>
      <c r="C1650" s="2913"/>
      <c r="D1650" s="2913"/>
      <c r="E1650" s="2913"/>
      <c r="F1650" s="2913"/>
    </row>
    <row r="1651" spans="2:6">
      <c r="B1651" s="2913"/>
      <c r="C1651" s="2913"/>
      <c r="D1651" s="2913"/>
      <c r="E1651" s="2913"/>
      <c r="F1651" s="2913"/>
    </row>
    <row r="1652" spans="2:6">
      <c r="B1652" s="2913"/>
      <c r="C1652" s="2913"/>
      <c r="D1652" s="2913"/>
      <c r="E1652" s="2913"/>
      <c r="F1652" s="2913"/>
    </row>
    <row r="1653" spans="2:6">
      <c r="B1653" s="2913"/>
      <c r="C1653" s="2913"/>
      <c r="D1653" s="2913"/>
      <c r="E1653" s="2913"/>
      <c r="F1653" s="2913"/>
    </row>
    <row r="1654" spans="2:6">
      <c r="B1654" s="2913"/>
      <c r="C1654" s="2913"/>
      <c r="D1654" s="2913"/>
      <c r="E1654" s="2913"/>
      <c r="F1654" s="2913"/>
    </row>
    <row r="1655" spans="2:6">
      <c r="B1655" s="2913"/>
      <c r="C1655" s="2913"/>
      <c r="D1655" s="2913"/>
      <c r="E1655" s="2913"/>
      <c r="F1655" s="2913"/>
    </row>
    <row r="1656" spans="2:6">
      <c r="B1656" s="2913"/>
      <c r="C1656" s="2913"/>
      <c r="D1656" s="2913"/>
      <c r="E1656" s="2913"/>
      <c r="F1656" s="2913"/>
    </row>
    <row r="1657" spans="2:6">
      <c r="B1657" s="2913"/>
      <c r="C1657" s="2913"/>
      <c r="D1657" s="2913"/>
      <c r="E1657" s="2913"/>
      <c r="F1657" s="2913"/>
    </row>
    <row r="1658" spans="2:6">
      <c r="B1658" s="2913"/>
      <c r="C1658" s="2913"/>
      <c r="D1658" s="2913"/>
      <c r="E1658" s="2913"/>
      <c r="F1658" s="2913"/>
    </row>
    <row r="1659" spans="2:6">
      <c r="B1659" s="2913"/>
      <c r="C1659" s="2913"/>
      <c r="D1659" s="2913"/>
      <c r="E1659" s="2913"/>
      <c r="F1659" s="2913"/>
    </row>
    <row r="1660" spans="2:6">
      <c r="B1660" s="2913"/>
      <c r="C1660" s="2913"/>
      <c r="D1660" s="2913"/>
      <c r="E1660" s="2913"/>
      <c r="F1660" s="2913"/>
    </row>
    <row r="1661" spans="2:6">
      <c r="B1661" s="2913"/>
      <c r="C1661" s="2913"/>
      <c r="D1661" s="2913"/>
      <c r="E1661" s="2913"/>
      <c r="F1661" s="2913"/>
    </row>
    <row r="1662" spans="2:6">
      <c r="B1662" s="2913"/>
      <c r="C1662" s="2913"/>
      <c r="D1662" s="2913"/>
      <c r="E1662" s="2913"/>
      <c r="F1662" s="2913"/>
    </row>
    <row r="1663" spans="2:6">
      <c r="B1663" s="2913"/>
      <c r="C1663" s="2913"/>
      <c r="D1663" s="2913"/>
      <c r="E1663" s="2913"/>
      <c r="F1663" s="2913"/>
    </row>
    <row r="1664" spans="2:6">
      <c r="B1664" s="2913"/>
      <c r="C1664" s="2913"/>
      <c r="D1664" s="2913"/>
      <c r="E1664" s="2913"/>
      <c r="F1664" s="2913"/>
    </row>
    <row r="1665" spans="2:6">
      <c r="B1665" s="2913"/>
      <c r="C1665" s="2913"/>
      <c r="D1665" s="2913"/>
      <c r="E1665" s="2913"/>
      <c r="F1665" s="2913"/>
    </row>
    <row r="1666" spans="2:6">
      <c r="B1666" s="2913"/>
      <c r="C1666" s="2913"/>
      <c r="D1666" s="2913"/>
      <c r="E1666" s="2913"/>
      <c r="F1666" s="2913"/>
    </row>
    <row r="1667" spans="2:6">
      <c r="B1667" s="2913"/>
      <c r="C1667" s="2913"/>
      <c r="D1667" s="2913"/>
      <c r="E1667" s="2913"/>
      <c r="F1667" s="2913"/>
    </row>
    <row r="1668" spans="2:6">
      <c r="B1668" s="2913"/>
      <c r="C1668" s="2913"/>
      <c r="D1668" s="2913"/>
      <c r="E1668" s="2913"/>
      <c r="F1668" s="2913"/>
    </row>
    <row r="1669" spans="2:6">
      <c r="B1669" s="2913"/>
      <c r="C1669" s="2913"/>
      <c r="D1669" s="2913"/>
      <c r="E1669" s="2913"/>
      <c r="F1669" s="2913"/>
    </row>
    <row r="1670" spans="2:6">
      <c r="B1670" s="2913"/>
      <c r="C1670" s="2913"/>
      <c r="D1670" s="2913"/>
      <c r="E1670" s="2913"/>
      <c r="F1670" s="2913"/>
    </row>
    <row r="1671" spans="2:6">
      <c r="B1671" s="2913"/>
      <c r="C1671" s="2913"/>
      <c r="D1671" s="2913"/>
      <c r="E1671" s="2913"/>
      <c r="F1671" s="2913"/>
    </row>
    <row r="1672" spans="2:6">
      <c r="B1672" s="2913"/>
      <c r="C1672" s="2913"/>
      <c r="D1672" s="2913"/>
      <c r="E1672" s="2913"/>
      <c r="F1672" s="2913"/>
    </row>
    <row r="1673" spans="2:6">
      <c r="B1673" s="2913"/>
      <c r="C1673" s="2913"/>
      <c r="D1673" s="2913"/>
      <c r="E1673" s="2913"/>
      <c r="F1673" s="2913"/>
    </row>
    <row r="1674" spans="2:6">
      <c r="B1674" s="2913"/>
      <c r="C1674" s="2913"/>
      <c r="D1674" s="2913"/>
      <c r="E1674" s="2913"/>
      <c r="F1674" s="2913"/>
    </row>
    <row r="1675" spans="2:6">
      <c r="B1675" s="2913"/>
      <c r="C1675" s="2913"/>
      <c r="D1675" s="2913"/>
      <c r="E1675" s="2913"/>
      <c r="F1675" s="2913"/>
    </row>
    <row r="1676" spans="2:6">
      <c r="B1676" s="2913"/>
      <c r="C1676" s="2913"/>
      <c r="D1676" s="2913"/>
      <c r="E1676" s="2913"/>
      <c r="F1676" s="2913"/>
    </row>
    <row r="1677" spans="2:6">
      <c r="B1677" s="2913"/>
      <c r="C1677" s="2913"/>
      <c r="D1677" s="2913"/>
      <c r="E1677" s="2913"/>
      <c r="F1677" s="2913"/>
    </row>
    <row r="1678" spans="2:6">
      <c r="B1678" s="2913"/>
      <c r="C1678" s="2913"/>
      <c r="D1678" s="2913"/>
      <c r="E1678" s="2913"/>
      <c r="F1678" s="2913"/>
    </row>
    <row r="1679" spans="2:6">
      <c r="B1679" s="2913"/>
      <c r="C1679" s="2913"/>
      <c r="D1679" s="2913"/>
      <c r="E1679" s="2913"/>
      <c r="F1679" s="2913"/>
    </row>
    <row r="1680" spans="2:6">
      <c r="B1680" s="2913"/>
      <c r="C1680" s="2913"/>
      <c r="D1680" s="2913"/>
      <c r="E1680" s="2913"/>
      <c r="F1680" s="2913"/>
    </row>
    <row r="1681" spans="2:6">
      <c r="B1681" s="2913"/>
      <c r="C1681" s="2913"/>
      <c r="D1681" s="2913"/>
      <c r="E1681" s="2913"/>
      <c r="F1681" s="2913"/>
    </row>
    <row r="1682" spans="2:6">
      <c r="B1682" s="2913"/>
      <c r="C1682" s="2913"/>
      <c r="D1682" s="2913"/>
      <c r="E1682" s="2913"/>
      <c r="F1682" s="2913"/>
    </row>
    <row r="1683" spans="2:6">
      <c r="B1683" s="2913"/>
      <c r="C1683" s="2913"/>
      <c r="D1683" s="2913"/>
      <c r="E1683" s="2913"/>
      <c r="F1683" s="2913"/>
    </row>
    <row r="1684" spans="2:6">
      <c r="B1684" s="2913"/>
      <c r="C1684" s="2913"/>
      <c r="D1684" s="2913"/>
      <c r="E1684" s="2913"/>
      <c r="F1684" s="2913"/>
    </row>
    <row r="1685" spans="2:6">
      <c r="B1685" s="2913"/>
      <c r="C1685" s="2913"/>
      <c r="D1685" s="2913"/>
      <c r="E1685" s="2913"/>
      <c r="F1685" s="2913"/>
    </row>
    <row r="1686" spans="2:6">
      <c r="B1686" s="2913"/>
      <c r="C1686" s="2913"/>
      <c r="D1686" s="2913"/>
      <c r="E1686" s="2913"/>
      <c r="F1686" s="2913"/>
    </row>
    <row r="1687" spans="2:6">
      <c r="B1687" s="2913"/>
      <c r="C1687" s="2913"/>
      <c r="D1687" s="2913"/>
      <c r="E1687" s="2913"/>
      <c r="F1687" s="2913"/>
    </row>
    <row r="1688" spans="2:6">
      <c r="B1688" s="2913"/>
      <c r="C1688" s="2913"/>
      <c r="D1688" s="2913"/>
      <c r="E1688" s="2913"/>
      <c r="F1688" s="2913"/>
    </row>
    <row r="1689" spans="2:6">
      <c r="B1689" s="2913"/>
      <c r="C1689" s="2913"/>
      <c r="D1689" s="2913"/>
      <c r="E1689" s="2913"/>
      <c r="F1689" s="2913"/>
    </row>
    <row r="1690" spans="2:6">
      <c r="B1690" s="2913"/>
      <c r="C1690" s="2913"/>
      <c r="D1690" s="2913"/>
      <c r="E1690" s="2913"/>
      <c r="F1690" s="2913"/>
    </row>
    <row r="1691" spans="2:6">
      <c r="B1691" s="2913"/>
      <c r="C1691" s="2913"/>
      <c r="D1691" s="2913"/>
      <c r="E1691" s="2913"/>
      <c r="F1691" s="2913"/>
    </row>
    <row r="1692" spans="2:6">
      <c r="B1692" s="2913"/>
      <c r="C1692" s="2913"/>
      <c r="D1692" s="2913"/>
      <c r="E1692" s="2913"/>
      <c r="F1692" s="2913"/>
    </row>
    <row r="1693" spans="2:6">
      <c r="B1693" s="2913"/>
      <c r="C1693" s="2913"/>
      <c r="D1693" s="2913"/>
      <c r="E1693" s="2913"/>
      <c r="F1693" s="2913"/>
    </row>
    <row r="1694" spans="2:6">
      <c r="B1694" s="2913"/>
      <c r="C1694" s="2913"/>
      <c r="D1694" s="2913"/>
      <c r="E1694" s="2913"/>
      <c r="F1694" s="2913"/>
    </row>
    <row r="1695" spans="2:6">
      <c r="B1695" s="2913"/>
      <c r="C1695" s="2913"/>
      <c r="D1695" s="2913"/>
      <c r="E1695" s="2913"/>
      <c r="F1695" s="2913"/>
    </row>
    <row r="1696" spans="2:6">
      <c r="B1696" s="2913"/>
      <c r="C1696" s="2913"/>
      <c r="D1696" s="2913"/>
      <c r="E1696" s="2913"/>
      <c r="F1696" s="2913"/>
    </row>
    <row r="1697" spans="2:6">
      <c r="B1697" s="2913"/>
      <c r="C1697" s="2913"/>
      <c r="D1697" s="2913"/>
      <c r="E1697" s="2913"/>
      <c r="F1697" s="2913"/>
    </row>
    <row r="1698" spans="2:6">
      <c r="B1698" s="2913"/>
      <c r="C1698" s="2913"/>
      <c r="D1698" s="2913"/>
      <c r="E1698" s="2913"/>
      <c r="F1698" s="2913"/>
    </row>
    <row r="1699" spans="2:6">
      <c r="B1699" s="2913"/>
      <c r="C1699" s="2913"/>
      <c r="D1699" s="2913"/>
      <c r="E1699" s="2913"/>
      <c r="F1699" s="2913"/>
    </row>
    <row r="1700" spans="2:6">
      <c r="B1700" s="2913"/>
      <c r="C1700" s="2913"/>
      <c r="D1700" s="2913"/>
      <c r="E1700" s="2913"/>
      <c r="F1700" s="2913"/>
    </row>
    <row r="1701" spans="2:6">
      <c r="B1701" s="2913"/>
      <c r="C1701" s="2913"/>
      <c r="D1701" s="2913"/>
      <c r="E1701" s="2913"/>
      <c r="F1701" s="2913"/>
    </row>
    <row r="1702" spans="2:6">
      <c r="B1702" s="2913"/>
      <c r="C1702" s="2913"/>
      <c r="D1702" s="2913"/>
      <c r="E1702" s="2913"/>
      <c r="F1702" s="2913"/>
    </row>
    <row r="1703" spans="2:6">
      <c r="B1703" s="2913"/>
      <c r="C1703" s="2913"/>
      <c r="D1703" s="2913"/>
      <c r="E1703" s="2913"/>
      <c r="F1703" s="2913"/>
    </row>
    <row r="1704" spans="2:6">
      <c r="B1704" s="2913"/>
      <c r="C1704" s="2913"/>
      <c r="D1704" s="2913"/>
      <c r="E1704" s="2913"/>
      <c r="F1704" s="2913"/>
    </row>
    <row r="1705" spans="2:6">
      <c r="B1705" s="2913"/>
      <c r="C1705" s="2913"/>
      <c r="D1705" s="2913"/>
      <c r="E1705" s="2913"/>
      <c r="F1705" s="2913"/>
    </row>
    <row r="1706" spans="2:6">
      <c r="B1706" s="2913"/>
      <c r="C1706" s="2913"/>
      <c r="D1706" s="2913"/>
      <c r="E1706" s="2913"/>
      <c r="F1706" s="2913"/>
    </row>
    <row r="1707" spans="2:6">
      <c r="B1707" s="2913"/>
      <c r="C1707" s="2913"/>
      <c r="D1707" s="2913"/>
      <c r="E1707" s="2913"/>
      <c r="F1707" s="2913"/>
    </row>
    <row r="1708" spans="2:6">
      <c r="B1708" s="2913"/>
      <c r="C1708" s="2913"/>
      <c r="D1708" s="2913"/>
      <c r="E1708" s="2913"/>
      <c r="F1708" s="2913"/>
    </row>
    <row r="1709" spans="2:6">
      <c r="B1709" s="2913"/>
      <c r="C1709" s="2913"/>
      <c r="D1709" s="2913"/>
      <c r="E1709" s="2913"/>
      <c r="F1709" s="2913"/>
    </row>
    <row r="1710" spans="2:6">
      <c r="B1710" s="2913"/>
      <c r="C1710" s="2913"/>
      <c r="D1710" s="2913"/>
      <c r="E1710" s="2913"/>
      <c r="F1710" s="2913"/>
    </row>
    <row r="1711" spans="2:6">
      <c r="B1711" s="2913"/>
      <c r="C1711" s="2913"/>
      <c r="D1711" s="2913"/>
      <c r="E1711" s="2913"/>
      <c r="F1711" s="2913"/>
    </row>
    <row r="1712" spans="2:6">
      <c r="B1712" s="2913"/>
      <c r="C1712" s="2913"/>
      <c r="D1712" s="2913"/>
      <c r="E1712" s="2913"/>
      <c r="F1712" s="2913"/>
    </row>
    <row r="1713" spans="2:6">
      <c r="B1713" s="2913"/>
      <c r="C1713" s="2913"/>
      <c r="D1713" s="2913"/>
      <c r="E1713" s="2913"/>
      <c r="F1713" s="2913"/>
    </row>
    <row r="1714" spans="2:6">
      <c r="B1714" s="2913"/>
      <c r="C1714" s="2913"/>
      <c r="D1714" s="2913"/>
      <c r="E1714" s="2913"/>
      <c r="F1714" s="2913"/>
    </row>
    <row r="1715" spans="2:6">
      <c r="B1715" s="2913"/>
      <c r="C1715" s="2913"/>
      <c r="D1715" s="2913"/>
      <c r="E1715" s="2913"/>
      <c r="F1715" s="2913"/>
    </row>
    <row r="1716" spans="2:6">
      <c r="B1716" s="2913"/>
      <c r="C1716" s="2913"/>
      <c r="D1716" s="2913"/>
      <c r="E1716" s="2913"/>
      <c r="F1716" s="2913"/>
    </row>
    <row r="1717" spans="2:6">
      <c r="B1717" s="2913"/>
      <c r="C1717" s="2913"/>
      <c r="D1717" s="2913"/>
      <c r="E1717" s="2913"/>
      <c r="F1717" s="2913"/>
    </row>
    <row r="1718" spans="2:6">
      <c r="B1718" s="2913"/>
      <c r="C1718" s="2913"/>
      <c r="D1718" s="2913"/>
      <c r="E1718" s="2913"/>
      <c r="F1718" s="2913"/>
    </row>
    <row r="1719" spans="2:6">
      <c r="B1719" s="2913"/>
      <c r="C1719" s="2913"/>
      <c r="D1719" s="2913"/>
      <c r="E1719" s="2913"/>
      <c r="F1719" s="2913"/>
    </row>
    <row r="1720" spans="2:6">
      <c r="B1720" s="2913"/>
      <c r="C1720" s="2913"/>
      <c r="D1720" s="2913"/>
      <c r="E1720" s="2913"/>
      <c r="F1720" s="2913"/>
    </row>
    <row r="1721" spans="2:6">
      <c r="B1721" s="2913"/>
      <c r="C1721" s="2913"/>
      <c r="D1721" s="2913"/>
      <c r="E1721" s="2913"/>
      <c r="F1721" s="2913"/>
    </row>
    <row r="1722" spans="2:6">
      <c r="B1722" s="2913"/>
      <c r="C1722" s="2913"/>
      <c r="D1722" s="2913"/>
      <c r="E1722" s="2913"/>
      <c r="F1722" s="2913"/>
    </row>
    <row r="1723" spans="2:6">
      <c r="B1723" s="2913"/>
      <c r="C1723" s="2913"/>
      <c r="D1723" s="2913"/>
      <c r="E1723" s="2913"/>
      <c r="F1723" s="2913"/>
    </row>
    <row r="1724" spans="2:6">
      <c r="B1724" s="2913"/>
      <c r="C1724" s="2913"/>
      <c r="D1724" s="2913"/>
      <c r="E1724" s="2913"/>
      <c r="F1724" s="2913"/>
    </row>
    <row r="1725" spans="2:6">
      <c r="B1725" s="2913"/>
      <c r="C1725" s="2913"/>
      <c r="D1725" s="2913"/>
      <c r="E1725" s="2913"/>
      <c r="F1725" s="2913"/>
    </row>
    <row r="1726" spans="2:6">
      <c r="B1726" s="2913"/>
      <c r="C1726" s="2913"/>
      <c r="D1726" s="2913"/>
      <c r="E1726" s="2913"/>
      <c r="F1726" s="2913"/>
    </row>
    <row r="1727" spans="2:6">
      <c r="B1727" s="2913"/>
      <c r="C1727" s="2913"/>
      <c r="D1727" s="2913"/>
      <c r="E1727" s="2913"/>
      <c r="F1727" s="2913"/>
    </row>
    <row r="1728" spans="2:6">
      <c r="B1728" s="2913"/>
      <c r="C1728" s="2913"/>
      <c r="D1728" s="2913"/>
      <c r="E1728" s="2913"/>
      <c r="F1728" s="2913"/>
    </row>
    <row r="1729" spans="2:6">
      <c r="B1729" s="2913"/>
      <c r="C1729" s="2913"/>
      <c r="D1729" s="2913"/>
      <c r="E1729" s="2913"/>
      <c r="F1729" s="2913"/>
    </row>
    <row r="1730" spans="2:6">
      <c r="B1730" s="2913"/>
      <c r="C1730" s="2913"/>
      <c r="D1730" s="2913"/>
      <c r="E1730" s="2913"/>
      <c r="F1730" s="2913"/>
    </row>
    <row r="1731" spans="2:6">
      <c r="B1731" s="2913"/>
      <c r="C1731" s="2913"/>
      <c r="D1731" s="2913"/>
      <c r="E1731" s="2913"/>
      <c r="F1731" s="2913"/>
    </row>
    <row r="1732" spans="2:6">
      <c r="B1732" s="2913"/>
      <c r="C1732" s="2913"/>
      <c r="D1732" s="2913"/>
      <c r="E1732" s="2913"/>
      <c r="F1732" s="2913"/>
    </row>
    <row r="1733" spans="2:6">
      <c r="B1733" s="2913"/>
      <c r="C1733" s="2913"/>
      <c r="D1733" s="2913"/>
      <c r="E1733" s="2913"/>
      <c r="F1733" s="2913"/>
    </row>
    <row r="1734" spans="2:6">
      <c r="B1734" s="2913"/>
      <c r="C1734" s="2913"/>
      <c r="D1734" s="2913"/>
      <c r="E1734" s="2913"/>
      <c r="F1734" s="2913"/>
    </row>
    <row r="1735" spans="2:6">
      <c r="B1735" s="2913"/>
      <c r="C1735" s="2913"/>
      <c r="D1735" s="2913"/>
      <c r="E1735" s="2913"/>
      <c r="F1735" s="2913"/>
    </row>
    <row r="1736" spans="2:6">
      <c r="B1736" s="2913"/>
      <c r="C1736" s="2913"/>
      <c r="D1736" s="2913"/>
      <c r="E1736" s="2913"/>
      <c r="F1736" s="2913"/>
    </row>
    <row r="1737" spans="2:6">
      <c r="B1737" s="2913"/>
      <c r="C1737" s="2913"/>
      <c r="D1737" s="2913"/>
      <c r="E1737" s="2913"/>
      <c r="F1737" s="2913"/>
    </row>
    <row r="1738" spans="2:6">
      <c r="B1738" s="2913"/>
      <c r="C1738" s="2913"/>
      <c r="D1738" s="2913"/>
      <c r="E1738" s="2913"/>
      <c r="F1738" s="2913"/>
    </row>
    <row r="1739" spans="2:6">
      <c r="B1739" s="2913"/>
      <c r="C1739" s="2913"/>
      <c r="D1739" s="2913"/>
      <c r="E1739" s="2913"/>
      <c r="F1739" s="2913"/>
    </row>
    <row r="1740" spans="2:6">
      <c r="B1740" s="2913"/>
      <c r="C1740" s="2913"/>
      <c r="D1740" s="2913"/>
      <c r="E1740" s="2913"/>
      <c r="F1740" s="2913"/>
    </row>
    <row r="1741" spans="2:6">
      <c r="B1741" s="2913"/>
      <c r="C1741" s="2913"/>
      <c r="D1741" s="2913"/>
      <c r="E1741" s="2913"/>
      <c r="F1741" s="2913"/>
    </row>
    <row r="1742" spans="2:6">
      <c r="B1742" s="2913"/>
      <c r="C1742" s="2913"/>
      <c r="D1742" s="2913"/>
      <c r="E1742" s="2913"/>
      <c r="F1742" s="2913"/>
    </row>
    <row r="1743" spans="2:6">
      <c r="B1743" s="2913"/>
      <c r="C1743" s="2913"/>
      <c r="D1743" s="2913"/>
      <c r="E1743" s="2913"/>
      <c r="F1743" s="2913"/>
    </row>
    <row r="1744" spans="2:6">
      <c r="B1744" s="2913"/>
      <c r="C1744" s="2913"/>
      <c r="D1744" s="2913"/>
      <c r="E1744" s="2913"/>
      <c r="F1744" s="2913"/>
    </row>
    <row r="1745" spans="2:6">
      <c r="B1745" s="2913"/>
      <c r="C1745" s="2913"/>
      <c r="D1745" s="2913"/>
      <c r="E1745" s="2913"/>
      <c r="F1745" s="2913"/>
    </row>
    <row r="1746" spans="2:6">
      <c r="B1746" s="2913"/>
      <c r="C1746" s="2913"/>
      <c r="D1746" s="2913"/>
      <c r="E1746" s="2913"/>
      <c r="F1746" s="2913"/>
    </row>
    <row r="1747" spans="2:6">
      <c r="B1747" s="2913"/>
      <c r="C1747" s="2913"/>
      <c r="D1747" s="2913"/>
      <c r="E1747" s="2913"/>
      <c r="F1747" s="2913"/>
    </row>
    <row r="1748" spans="2:6">
      <c r="B1748" s="2913"/>
      <c r="C1748" s="2913"/>
      <c r="D1748" s="2913"/>
      <c r="E1748" s="2913"/>
      <c r="F1748" s="2913"/>
    </row>
    <row r="1749" spans="2:6">
      <c r="B1749" s="2913"/>
      <c r="C1749" s="2913"/>
      <c r="D1749" s="2913"/>
      <c r="E1749" s="2913"/>
      <c r="F1749" s="2913"/>
    </row>
    <row r="1750" spans="2:6">
      <c r="B1750" s="2913"/>
      <c r="C1750" s="2913"/>
      <c r="D1750" s="2913"/>
      <c r="E1750" s="2913"/>
      <c r="F1750" s="2913"/>
    </row>
    <row r="1751" spans="2:6">
      <c r="B1751" s="2913"/>
      <c r="C1751" s="2913"/>
      <c r="D1751" s="2913"/>
      <c r="E1751" s="2913"/>
      <c r="F1751" s="2913"/>
    </row>
    <row r="1752" spans="2:6">
      <c r="B1752" s="2913"/>
      <c r="C1752" s="2913"/>
      <c r="D1752" s="2913"/>
      <c r="E1752" s="2913"/>
      <c r="F1752" s="2913"/>
    </row>
    <row r="1753" spans="2:6">
      <c r="B1753" s="2913"/>
      <c r="C1753" s="2913"/>
      <c r="D1753" s="2913"/>
      <c r="E1753" s="2913"/>
      <c r="F1753" s="2913"/>
    </row>
    <row r="1754" spans="2:6">
      <c r="B1754" s="2913"/>
      <c r="C1754" s="2913"/>
      <c r="D1754" s="2913"/>
      <c r="E1754" s="2913"/>
      <c r="F1754" s="2913"/>
    </row>
    <row r="1755" spans="2:6">
      <c r="B1755" s="2913"/>
      <c r="C1755" s="2913"/>
      <c r="D1755" s="2913"/>
      <c r="E1755" s="2913"/>
      <c r="F1755" s="2913"/>
    </row>
    <row r="1756" spans="2:6">
      <c r="B1756" s="2913"/>
      <c r="C1756" s="2913"/>
      <c r="D1756" s="2913"/>
      <c r="E1756" s="2913"/>
      <c r="F1756" s="2913"/>
    </row>
    <row r="1757" spans="2:6">
      <c r="B1757" s="2913"/>
      <c r="C1757" s="2913"/>
      <c r="D1757" s="2913"/>
      <c r="E1757" s="2913"/>
      <c r="F1757" s="2913"/>
    </row>
    <row r="1758" spans="2:6">
      <c r="B1758" s="2913"/>
      <c r="C1758" s="2913"/>
      <c r="D1758" s="2913"/>
      <c r="E1758" s="2913"/>
      <c r="F1758" s="2913"/>
    </row>
    <row r="1759" spans="2:6">
      <c r="B1759" s="2913"/>
      <c r="C1759" s="2913"/>
      <c r="D1759" s="2913"/>
      <c r="E1759" s="2913"/>
      <c r="F1759" s="2913"/>
    </row>
    <row r="1760" spans="2:6">
      <c r="B1760" s="2913"/>
      <c r="C1760" s="2913"/>
      <c r="D1760" s="2913"/>
      <c r="E1760" s="2913"/>
      <c r="F1760" s="2913"/>
    </row>
    <row r="1761" spans="2:6">
      <c r="B1761" s="2913"/>
      <c r="C1761" s="2913"/>
      <c r="D1761" s="2913"/>
      <c r="E1761" s="2913"/>
      <c r="F1761" s="2913"/>
    </row>
    <row r="1762" spans="2:6">
      <c r="B1762" s="2913"/>
      <c r="C1762" s="2913"/>
      <c r="D1762" s="2913"/>
      <c r="E1762" s="2913"/>
      <c r="F1762" s="2913"/>
    </row>
    <row r="1763" spans="2:6">
      <c r="B1763" s="2913"/>
      <c r="C1763" s="2913"/>
      <c r="D1763" s="2913"/>
      <c r="E1763" s="2913"/>
      <c r="F1763" s="2913"/>
    </row>
    <row r="1764" spans="2:6">
      <c r="B1764" s="2913"/>
      <c r="C1764" s="2913"/>
      <c r="D1764" s="2913"/>
      <c r="E1764" s="2913"/>
      <c r="F1764" s="2913"/>
    </row>
    <row r="1765" spans="2:6">
      <c r="B1765" s="2913"/>
      <c r="C1765" s="2913"/>
      <c r="D1765" s="2913"/>
      <c r="E1765" s="2913"/>
      <c r="F1765" s="2913"/>
    </row>
    <row r="1766" spans="2:6">
      <c r="B1766" s="2913"/>
      <c r="C1766" s="2913"/>
      <c r="D1766" s="2913"/>
      <c r="E1766" s="2913"/>
      <c r="F1766" s="2913"/>
    </row>
    <row r="1767" spans="2:6">
      <c r="B1767" s="2913"/>
      <c r="C1767" s="2913"/>
      <c r="D1767" s="2913"/>
      <c r="E1767" s="2913"/>
      <c r="F1767" s="2913"/>
    </row>
    <row r="1768" spans="2:6">
      <c r="B1768" s="2913"/>
      <c r="C1768" s="2913"/>
      <c r="D1768" s="2913"/>
      <c r="E1768" s="2913"/>
      <c r="F1768" s="2913"/>
    </row>
    <row r="1769" spans="2:6">
      <c r="B1769" s="2913"/>
      <c r="C1769" s="2913"/>
      <c r="D1769" s="2913"/>
      <c r="E1769" s="2913"/>
      <c r="F1769" s="2913"/>
    </row>
    <row r="1770" spans="2:6">
      <c r="B1770" s="2913"/>
      <c r="C1770" s="2913"/>
      <c r="D1770" s="2913"/>
      <c r="E1770" s="2913"/>
      <c r="F1770" s="2913"/>
    </row>
    <row r="1771" spans="2:6">
      <c r="B1771" s="2913"/>
      <c r="C1771" s="2913"/>
      <c r="D1771" s="2913"/>
      <c r="E1771" s="2913"/>
      <c r="F1771" s="2913"/>
    </row>
    <row r="1772" spans="2:6">
      <c r="B1772" s="2913"/>
      <c r="C1772" s="2913"/>
      <c r="D1772" s="2913"/>
      <c r="E1772" s="2913"/>
      <c r="F1772" s="2913"/>
    </row>
    <row r="1773" spans="2:6">
      <c r="B1773" s="2913"/>
      <c r="C1773" s="2913"/>
      <c r="D1773" s="2913"/>
      <c r="E1773" s="2913"/>
      <c r="F1773" s="2913"/>
    </row>
    <row r="1774" spans="2:6">
      <c r="B1774" s="2913"/>
      <c r="C1774" s="2913"/>
      <c r="D1774" s="2913"/>
      <c r="E1774" s="2913"/>
      <c r="F1774" s="2913"/>
    </row>
    <row r="1775" spans="2:6">
      <c r="B1775" s="2913"/>
      <c r="C1775" s="2913"/>
      <c r="D1775" s="2913"/>
      <c r="E1775" s="2913"/>
      <c r="F1775" s="2913"/>
    </row>
    <row r="1776" spans="2:6">
      <c r="B1776" s="2913"/>
      <c r="C1776" s="2913"/>
      <c r="D1776" s="2913"/>
      <c r="E1776" s="2913"/>
      <c r="F1776" s="2913"/>
    </row>
    <row r="1777" spans="2:6">
      <c r="B1777" s="2913"/>
      <c r="C1777" s="2913"/>
      <c r="D1777" s="2913"/>
      <c r="E1777" s="2913"/>
      <c r="F1777" s="2913"/>
    </row>
    <row r="1778" spans="2:6">
      <c r="B1778" s="2913"/>
      <c r="C1778" s="2913"/>
      <c r="D1778" s="2913"/>
      <c r="E1778" s="2913"/>
      <c r="F1778" s="2913"/>
    </row>
    <row r="1779" spans="2:6">
      <c r="B1779" s="2913"/>
      <c r="C1779" s="2913"/>
      <c r="D1779" s="2913"/>
      <c r="E1779" s="2913"/>
      <c r="F1779" s="2913"/>
    </row>
    <row r="1780" spans="2:6">
      <c r="B1780" s="2913"/>
      <c r="C1780" s="2913"/>
      <c r="D1780" s="2913"/>
      <c r="E1780" s="2913"/>
      <c r="F1780" s="2913"/>
    </row>
    <row r="1781" spans="2:6">
      <c r="B1781" s="2913"/>
      <c r="C1781" s="2913"/>
      <c r="D1781" s="2913"/>
      <c r="E1781" s="2913"/>
      <c r="F1781" s="2913"/>
    </row>
    <row r="1782" spans="2:6">
      <c r="B1782" s="2913"/>
      <c r="C1782" s="2913"/>
      <c r="D1782" s="2913"/>
      <c r="E1782" s="2913"/>
      <c r="F1782" s="2913"/>
    </row>
    <row r="1783" spans="2:6">
      <c r="B1783" s="2913"/>
      <c r="C1783" s="2913"/>
      <c r="D1783" s="2913"/>
      <c r="E1783" s="2913"/>
      <c r="F1783" s="2913"/>
    </row>
    <row r="1784" spans="2:6">
      <c r="B1784" s="2913"/>
      <c r="C1784" s="2913"/>
      <c r="D1784" s="2913"/>
      <c r="E1784" s="2913"/>
      <c r="F1784" s="2913"/>
    </row>
    <row r="1785" spans="2:6">
      <c r="B1785" s="2913"/>
      <c r="C1785" s="2913"/>
      <c r="D1785" s="2913"/>
      <c r="E1785" s="2913"/>
      <c r="F1785" s="2913"/>
    </row>
    <row r="1786" spans="2:6">
      <c r="B1786" s="2913"/>
      <c r="C1786" s="2913"/>
      <c r="D1786" s="2913"/>
      <c r="E1786" s="2913"/>
      <c r="F1786" s="2913"/>
    </row>
    <row r="1787" spans="2:6">
      <c r="B1787" s="2913"/>
      <c r="C1787" s="2913"/>
      <c r="D1787" s="2913"/>
      <c r="E1787" s="2913"/>
      <c r="F1787" s="2913"/>
    </row>
    <row r="1788" spans="2:6">
      <c r="B1788" s="2913"/>
      <c r="C1788" s="2913"/>
      <c r="D1788" s="2913"/>
      <c r="E1788" s="2913"/>
      <c r="F1788" s="2913"/>
    </row>
    <row r="1789" spans="2:6">
      <c r="B1789" s="2913"/>
      <c r="C1789" s="2913"/>
      <c r="D1789" s="2913"/>
      <c r="E1789" s="2913"/>
      <c r="F1789" s="2913"/>
    </row>
    <row r="1790" spans="2:6">
      <c r="B1790" s="2913"/>
      <c r="C1790" s="2913"/>
      <c r="D1790" s="2913"/>
      <c r="E1790" s="2913"/>
      <c r="F1790" s="2913"/>
    </row>
    <row r="1791" spans="2:6">
      <c r="B1791" s="2913"/>
      <c r="C1791" s="2913"/>
      <c r="D1791" s="2913"/>
      <c r="E1791" s="2913"/>
      <c r="F1791" s="2913"/>
    </row>
    <row r="1792" spans="2:6">
      <c r="B1792" s="2913"/>
      <c r="C1792" s="2913"/>
      <c r="D1792" s="2913"/>
      <c r="E1792" s="2913"/>
      <c r="F1792" s="2913"/>
    </row>
    <row r="1793" spans="2:6">
      <c r="B1793" s="2913"/>
      <c r="C1793" s="2913"/>
      <c r="D1793" s="2913"/>
      <c r="E1793" s="2913"/>
      <c r="F1793" s="2913"/>
    </row>
    <row r="1794" spans="2:6">
      <c r="B1794" s="2913"/>
      <c r="C1794" s="2913"/>
      <c r="D1794" s="2913"/>
      <c r="E1794" s="2913"/>
      <c r="F1794" s="2913"/>
    </row>
    <row r="1795" spans="2:6">
      <c r="B1795" s="2913"/>
      <c r="C1795" s="2913"/>
      <c r="D1795" s="2913"/>
      <c r="E1795" s="2913"/>
      <c r="F1795" s="2913"/>
    </row>
    <row r="1796" spans="2:6">
      <c r="B1796" s="2913"/>
      <c r="C1796" s="2913"/>
      <c r="D1796" s="2913"/>
      <c r="E1796" s="2913"/>
      <c r="F1796" s="2913"/>
    </row>
    <row r="1797" spans="2:6">
      <c r="B1797" s="2913"/>
      <c r="C1797" s="2913"/>
      <c r="D1797" s="2913"/>
      <c r="E1797" s="2913"/>
      <c r="F1797" s="2913"/>
    </row>
    <row r="1798" spans="2:6">
      <c r="B1798" s="2913"/>
      <c r="C1798" s="2913"/>
      <c r="D1798" s="2913"/>
      <c r="E1798" s="2913"/>
      <c r="F1798" s="2913"/>
    </row>
    <row r="1799" spans="2:6">
      <c r="B1799" s="2913"/>
      <c r="C1799" s="2913"/>
      <c r="D1799" s="2913"/>
      <c r="E1799" s="2913"/>
      <c r="F1799" s="2913"/>
    </row>
    <row r="1800" spans="2:6">
      <c r="B1800" s="2913"/>
      <c r="C1800" s="2913"/>
      <c r="D1800" s="2913"/>
      <c r="E1800" s="2913"/>
      <c r="F1800" s="2913"/>
    </row>
    <row r="1801" spans="2:6">
      <c r="B1801" s="2913"/>
      <c r="C1801" s="2913"/>
      <c r="D1801" s="2913"/>
      <c r="E1801" s="2913"/>
      <c r="F1801" s="2913"/>
    </row>
    <row r="1802" spans="2:6">
      <c r="B1802" s="2913"/>
      <c r="C1802" s="2913"/>
      <c r="D1802" s="2913"/>
      <c r="E1802" s="2913"/>
      <c r="F1802" s="2913"/>
    </row>
    <row r="1803" spans="2:6">
      <c r="B1803" s="2913"/>
      <c r="C1803" s="2913"/>
      <c r="D1803" s="2913"/>
      <c r="E1803" s="2913"/>
      <c r="F1803" s="2913"/>
    </row>
    <row r="1804" spans="2:6">
      <c r="B1804" s="2913"/>
      <c r="C1804" s="2913"/>
      <c r="D1804" s="2913"/>
      <c r="E1804" s="2913"/>
      <c r="F1804" s="2913"/>
    </row>
    <row r="1805" spans="2:6">
      <c r="B1805" s="2913"/>
      <c r="C1805" s="2913"/>
      <c r="D1805" s="2913"/>
      <c r="E1805" s="2913"/>
      <c r="F1805" s="2913"/>
    </row>
    <row r="1806" spans="2:6">
      <c r="B1806" s="2913"/>
      <c r="C1806" s="2913"/>
      <c r="D1806" s="2913"/>
      <c r="E1806" s="2913"/>
      <c r="F1806" s="2913"/>
    </row>
    <row r="1807" spans="2:6">
      <c r="B1807" s="2913"/>
      <c r="C1807" s="2913"/>
      <c r="D1807" s="2913"/>
      <c r="E1807" s="2913"/>
      <c r="F1807" s="2913"/>
    </row>
    <row r="1808" spans="2:6">
      <c r="B1808" s="2913"/>
      <c r="C1808" s="2913"/>
      <c r="D1808" s="2913"/>
      <c r="E1808" s="2913"/>
      <c r="F1808" s="2913"/>
    </row>
    <row r="1809" spans="2:6">
      <c r="B1809" s="2913"/>
      <c r="C1809" s="2913"/>
      <c r="D1809" s="2913"/>
      <c r="E1809" s="2913"/>
      <c r="F1809" s="2913"/>
    </row>
    <row r="1810" spans="2:6">
      <c r="B1810" s="2913"/>
      <c r="C1810" s="2913"/>
      <c r="D1810" s="2913"/>
      <c r="E1810" s="2913"/>
      <c r="F1810" s="2913"/>
    </row>
    <row r="1811" spans="2:6">
      <c r="B1811" s="2913"/>
      <c r="C1811" s="2913"/>
      <c r="D1811" s="2913"/>
      <c r="E1811" s="2913"/>
      <c r="F1811" s="2913"/>
    </row>
    <row r="1812" spans="2:6">
      <c r="B1812" s="2913"/>
      <c r="C1812" s="2913"/>
      <c r="D1812" s="2913"/>
      <c r="E1812" s="2913"/>
      <c r="F1812" s="2913"/>
    </row>
    <row r="1813" spans="2:6">
      <c r="B1813" s="2913"/>
      <c r="C1813" s="2913"/>
      <c r="D1813" s="2913"/>
      <c r="E1813" s="2913"/>
      <c r="F1813" s="2913"/>
    </row>
    <row r="1814" spans="2:6">
      <c r="B1814" s="2913"/>
      <c r="C1814" s="2913"/>
      <c r="D1814" s="2913"/>
      <c r="E1814" s="2913"/>
      <c r="F1814" s="2913"/>
    </row>
    <row r="1815" spans="2:6">
      <c r="B1815" s="2913"/>
      <c r="C1815" s="2913"/>
      <c r="D1815" s="2913"/>
      <c r="E1815" s="2913"/>
      <c r="F1815" s="2913"/>
    </row>
    <row r="1816" spans="2:6">
      <c r="B1816" s="2913"/>
      <c r="C1816" s="2913"/>
      <c r="D1816" s="2913"/>
      <c r="E1816" s="2913"/>
      <c r="F1816" s="2913"/>
    </row>
    <row r="1817" spans="2:6">
      <c r="B1817" s="2913"/>
      <c r="C1817" s="2913"/>
      <c r="D1817" s="2913"/>
      <c r="E1817" s="2913"/>
      <c r="F1817" s="2913"/>
    </row>
    <row r="1818" spans="2:6">
      <c r="B1818" s="2913"/>
      <c r="C1818" s="2913"/>
      <c r="D1818" s="2913"/>
      <c r="E1818" s="2913"/>
      <c r="F1818" s="2913"/>
    </row>
    <row r="1819" spans="2:6">
      <c r="B1819" s="2913"/>
      <c r="C1819" s="2913"/>
      <c r="D1819" s="2913"/>
      <c r="E1819" s="2913"/>
      <c r="F1819" s="2913"/>
    </row>
    <row r="1820" spans="2:6">
      <c r="B1820" s="2913"/>
      <c r="C1820" s="2913"/>
      <c r="D1820" s="2913"/>
      <c r="E1820" s="2913"/>
      <c r="F1820" s="2913"/>
    </row>
    <row r="1821" spans="2:6">
      <c r="B1821" s="2913"/>
      <c r="C1821" s="2913"/>
      <c r="D1821" s="2913"/>
      <c r="E1821" s="2913"/>
      <c r="F1821" s="2913"/>
    </row>
    <row r="1822" spans="2:6">
      <c r="B1822" s="2913"/>
      <c r="C1822" s="2913"/>
      <c r="D1822" s="2913"/>
      <c r="E1822" s="2913"/>
      <c r="F1822" s="2913"/>
    </row>
    <row r="1823" spans="2:6">
      <c r="B1823" s="2913"/>
      <c r="C1823" s="2913"/>
      <c r="D1823" s="2913"/>
      <c r="E1823" s="2913"/>
      <c r="F1823" s="2913"/>
    </row>
    <row r="1824" spans="2:6">
      <c r="B1824" s="2913"/>
      <c r="C1824" s="2913"/>
      <c r="D1824" s="2913"/>
      <c r="E1824" s="2913"/>
      <c r="F1824" s="2913"/>
    </row>
    <row r="1825" spans="2:6">
      <c r="B1825" s="2913"/>
      <c r="C1825" s="2913"/>
      <c r="D1825" s="2913"/>
      <c r="E1825" s="2913"/>
      <c r="F1825" s="2913"/>
    </row>
    <row r="1826" spans="2:6">
      <c r="B1826" s="2913"/>
      <c r="C1826" s="2913"/>
      <c r="D1826" s="2913"/>
      <c r="E1826" s="2913"/>
      <c r="F1826" s="2913"/>
    </row>
    <row r="1827" spans="2:6">
      <c r="B1827" s="2913"/>
      <c r="C1827" s="2913"/>
      <c r="D1827" s="2913"/>
      <c r="E1827" s="2913"/>
      <c r="F1827" s="2913"/>
    </row>
    <row r="1828" spans="2:6">
      <c r="B1828" s="2913"/>
      <c r="C1828" s="2913"/>
      <c r="D1828" s="2913"/>
      <c r="E1828" s="2913"/>
      <c r="F1828" s="2913"/>
    </row>
    <row r="1829" spans="2:6">
      <c r="B1829" s="2913"/>
      <c r="C1829" s="2913"/>
      <c r="D1829" s="2913"/>
      <c r="E1829" s="2913"/>
      <c r="F1829" s="2913"/>
    </row>
    <row r="1830" spans="2:6">
      <c r="B1830" s="2913"/>
      <c r="C1830" s="2913"/>
      <c r="D1830" s="2913"/>
      <c r="E1830" s="2913"/>
      <c r="F1830" s="2913"/>
    </row>
    <row r="1831" spans="2:6">
      <c r="B1831" s="2913"/>
      <c r="C1831" s="2913"/>
      <c r="D1831" s="2913"/>
      <c r="E1831" s="2913"/>
      <c r="F1831" s="2913"/>
    </row>
    <row r="1832" spans="2:6">
      <c r="B1832" s="2913"/>
      <c r="C1832" s="2913"/>
      <c r="D1832" s="2913"/>
      <c r="E1832" s="2913"/>
      <c r="F1832" s="2913"/>
    </row>
    <row r="1833" spans="2:6">
      <c r="B1833" s="2913"/>
      <c r="C1833" s="2913"/>
      <c r="D1833" s="2913"/>
      <c r="E1833" s="2913"/>
      <c r="F1833" s="2913"/>
    </row>
    <row r="1834" spans="2:6">
      <c r="B1834" s="2913"/>
      <c r="C1834" s="2913"/>
      <c r="D1834" s="2913"/>
      <c r="E1834" s="2913"/>
      <c r="F1834" s="2913"/>
    </row>
    <row r="1835" spans="2:6">
      <c r="B1835" s="2913"/>
      <c r="C1835" s="2913"/>
      <c r="D1835" s="2913"/>
      <c r="E1835" s="2913"/>
      <c r="F1835" s="2913"/>
    </row>
    <row r="1836" spans="2:6">
      <c r="B1836" s="2913"/>
      <c r="C1836" s="2913"/>
      <c r="D1836" s="2913"/>
      <c r="E1836" s="2913"/>
      <c r="F1836" s="2913"/>
    </row>
    <row r="1837" spans="2:6">
      <c r="B1837" s="2913"/>
      <c r="C1837" s="2913"/>
      <c r="D1837" s="2913"/>
      <c r="E1837" s="2913"/>
      <c r="F1837" s="2913"/>
    </row>
    <row r="1838" spans="2:6">
      <c r="B1838" s="2913"/>
      <c r="C1838" s="2913"/>
      <c r="D1838" s="2913"/>
      <c r="E1838" s="2913"/>
      <c r="F1838" s="2913"/>
    </row>
    <row r="1839" spans="2:6">
      <c r="B1839" s="2913"/>
      <c r="C1839" s="2913"/>
      <c r="D1839" s="2913"/>
      <c r="E1839" s="2913"/>
      <c r="F1839" s="2913"/>
    </row>
    <row r="1840" spans="2:6">
      <c r="B1840" s="2913"/>
      <c r="C1840" s="2913"/>
      <c r="D1840" s="2913"/>
      <c r="E1840" s="2913"/>
      <c r="F1840" s="2913"/>
    </row>
    <row r="1841" spans="2:6">
      <c r="B1841" s="2913"/>
      <c r="C1841" s="2913"/>
      <c r="D1841" s="2913"/>
      <c r="E1841" s="2913"/>
      <c r="F1841" s="2913"/>
    </row>
    <row r="1842" spans="2:6">
      <c r="B1842" s="2913"/>
      <c r="C1842" s="2913"/>
      <c r="D1842" s="2913"/>
      <c r="E1842" s="2913"/>
      <c r="F1842" s="2913"/>
    </row>
    <row r="1843" spans="2:6">
      <c r="B1843" s="2913"/>
      <c r="C1843" s="2913"/>
      <c r="D1843" s="2913"/>
      <c r="E1843" s="2913"/>
      <c r="F1843" s="2913"/>
    </row>
    <row r="1844" spans="2:6">
      <c r="B1844" s="2913"/>
      <c r="C1844" s="2913"/>
      <c r="D1844" s="2913"/>
      <c r="E1844" s="2913"/>
      <c r="F1844" s="2913"/>
    </row>
    <row r="1845" spans="2:6">
      <c r="B1845" s="2913"/>
      <c r="C1845" s="2913"/>
      <c r="D1845" s="2913"/>
      <c r="E1845" s="2913"/>
      <c r="F1845" s="2913"/>
    </row>
    <row r="1846" spans="2:6">
      <c r="B1846" s="2913"/>
      <c r="C1846" s="2913"/>
      <c r="D1846" s="2913"/>
      <c r="E1846" s="2913"/>
      <c r="F1846" s="2913"/>
    </row>
    <row r="1847" spans="2:6">
      <c r="B1847" s="2913"/>
      <c r="C1847" s="2913"/>
      <c r="D1847" s="2913"/>
      <c r="E1847" s="2913"/>
      <c r="F1847" s="2913"/>
    </row>
    <row r="1848" spans="2:6">
      <c r="B1848" s="2913"/>
      <c r="C1848" s="2913"/>
      <c r="D1848" s="2913"/>
      <c r="E1848" s="2913"/>
      <c r="F1848" s="2913"/>
    </row>
    <row r="1849" spans="2:6">
      <c r="B1849" s="2913"/>
      <c r="C1849" s="2913"/>
      <c r="D1849" s="2913"/>
      <c r="E1849" s="2913"/>
      <c r="F1849" s="2913"/>
    </row>
    <row r="1850" spans="2:6">
      <c r="B1850" s="2913"/>
      <c r="C1850" s="2913"/>
      <c r="D1850" s="2913"/>
      <c r="E1850" s="2913"/>
      <c r="F1850" s="2913"/>
    </row>
    <row r="1851" spans="2:6">
      <c r="B1851" s="2913"/>
      <c r="C1851" s="2913"/>
      <c r="D1851" s="2913"/>
      <c r="E1851" s="2913"/>
      <c r="F1851" s="2913"/>
    </row>
    <row r="1852" spans="2:6">
      <c r="B1852" s="2913"/>
      <c r="C1852" s="2913"/>
      <c r="D1852" s="2913"/>
      <c r="E1852" s="2913"/>
      <c r="F1852" s="2913"/>
    </row>
    <row r="1853" spans="2:6">
      <c r="B1853" s="2913"/>
      <c r="C1853" s="2913"/>
      <c r="D1853" s="2913"/>
      <c r="E1853" s="2913"/>
      <c r="F1853" s="2913"/>
    </row>
    <row r="1854" spans="2:6">
      <c r="B1854" s="2913"/>
      <c r="C1854" s="2913"/>
      <c r="D1854" s="2913"/>
      <c r="E1854" s="2913"/>
      <c r="F1854" s="2913"/>
    </row>
    <row r="1855" spans="2:6">
      <c r="B1855" s="2913"/>
      <c r="C1855" s="2913"/>
      <c r="D1855" s="2913"/>
      <c r="E1855" s="2913"/>
      <c r="F1855" s="2913"/>
    </row>
    <row r="1856" spans="2:6">
      <c r="B1856" s="2913"/>
      <c r="C1856" s="2913"/>
      <c r="D1856" s="2913"/>
      <c r="E1856" s="2913"/>
      <c r="F1856" s="2913"/>
    </row>
    <row r="1857" spans="2:6">
      <c r="B1857" s="2913"/>
      <c r="C1857" s="2913"/>
      <c r="D1857" s="2913"/>
      <c r="E1857" s="2913"/>
      <c r="F1857" s="2913"/>
    </row>
    <row r="1858" spans="2:6">
      <c r="B1858" s="2913"/>
      <c r="C1858" s="2913"/>
      <c r="D1858" s="2913"/>
      <c r="E1858" s="2913"/>
      <c r="F1858" s="2913"/>
    </row>
    <row r="1859" spans="2:6">
      <c r="B1859" s="2913"/>
      <c r="C1859" s="2913"/>
      <c r="D1859" s="2913"/>
      <c r="E1859" s="2913"/>
      <c r="F1859" s="2913"/>
    </row>
    <row r="1860" spans="2:6">
      <c r="B1860" s="2913"/>
      <c r="C1860" s="2913"/>
      <c r="D1860" s="2913"/>
      <c r="E1860" s="2913"/>
      <c r="F1860" s="2913"/>
    </row>
    <row r="1861" spans="2:6">
      <c r="B1861" s="2913"/>
      <c r="C1861" s="2913"/>
      <c r="D1861" s="2913"/>
      <c r="E1861" s="2913"/>
      <c r="F1861" s="2913"/>
    </row>
    <row r="1862" spans="2:6">
      <c r="B1862" s="2913"/>
      <c r="C1862" s="2913"/>
      <c r="D1862" s="2913"/>
      <c r="E1862" s="2913"/>
      <c r="F1862" s="2913"/>
    </row>
    <row r="1863" spans="2:6">
      <c r="B1863" s="2913"/>
      <c r="C1863" s="2913"/>
      <c r="D1863" s="2913"/>
      <c r="E1863" s="2913"/>
      <c r="F1863" s="2913"/>
    </row>
    <row r="1864" spans="2:6">
      <c r="B1864" s="2913"/>
      <c r="C1864" s="2913"/>
      <c r="D1864" s="2913"/>
      <c r="E1864" s="2913"/>
      <c r="F1864" s="2913"/>
    </row>
    <row r="1865" spans="2:6">
      <c r="B1865" s="2913"/>
      <c r="C1865" s="2913"/>
      <c r="D1865" s="2913"/>
      <c r="E1865" s="2913"/>
      <c r="F1865" s="2913"/>
    </row>
    <row r="1866" spans="2:6">
      <c r="B1866" s="2913"/>
      <c r="C1866" s="2913"/>
      <c r="D1866" s="2913"/>
      <c r="E1866" s="2913"/>
      <c r="F1866" s="2913"/>
    </row>
    <row r="1867" spans="2:6">
      <c r="B1867" s="2913"/>
      <c r="C1867" s="2913"/>
      <c r="D1867" s="2913"/>
      <c r="E1867" s="2913"/>
      <c r="F1867" s="2913"/>
    </row>
    <row r="1868" spans="2:6">
      <c r="B1868" s="2913"/>
      <c r="C1868" s="2913"/>
      <c r="D1868" s="2913"/>
      <c r="E1868" s="2913"/>
      <c r="F1868" s="2913"/>
    </row>
    <row r="1869" spans="2:6">
      <c r="B1869" s="2913"/>
      <c r="C1869" s="2913"/>
      <c r="D1869" s="2913"/>
      <c r="E1869" s="2913"/>
      <c r="F1869" s="2913"/>
    </row>
    <row r="1870" spans="2:6">
      <c r="B1870" s="2913"/>
      <c r="C1870" s="2913"/>
      <c r="D1870" s="2913"/>
      <c r="E1870" s="2913"/>
      <c r="F1870" s="2913"/>
    </row>
    <row r="1871" spans="2:6">
      <c r="B1871" s="2913"/>
      <c r="C1871" s="2913"/>
      <c r="D1871" s="2913"/>
      <c r="E1871" s="2913"/>
      <c r="F1871" s="2913"/>
    </row>
    <row r="1872" spans="2:6">
      <c r="B1872" s="2913"/>
      <c r="C1872" s="2913"/>
      <c r="D1872" s="2913"/>
      <c r="E1872" s="2913"/>
      <c r="F1872" s="2913"/>
    </row>
    <row r="1873" spans="2:6">
      <c r="B1873" s="2913"/>
      <c r="C1873" s="2913"/>
      <c r="D1873" s="2913"/>
      <c r="E1873" s="2913"/>
      <c r="F1873" s="2913"/>
    </row>
    <row r="1874" spans="2:6">
      <c r="B1874" s="2913"/>
      <c r="C1874" s="2913"/>
      <c r="D1874" s="2913"/>
      <c r="E1874" s="2913"/>
      <c r="F1874" s="2913"/>
    </row>
    <row r="1875" spans="2:6">
      <c r="B1875" s="2913"/>
      <c r="C1875" s="2913"/>
      <c r="D1875" s="2913"/>
      <c r="E1875" s="2913"/>
      <c r="F1875" s="2913"/>
    </row>
    <row r="1876" spans="2:6">
      <c r="B1876" s="2913"/>
      <c r="C1876" s="2913"/>
      <c r="D1876" s="2913"/>
      <c r="E1876" s="2913"/>
      <c r="F1876" s="2913"/>
    </row>
    <row r="1877" spans="2:6">
      <c r="B1877" s="2913"/>
      <c r="C1877" s="2913"/>
      <c r="D1877" s="2913"/>
      <c r="E1877" s="2913"/>
      <c r="F1877" s="2913"/>
    </row>
    <row r="1878" spans="2:6">
      <c r="B1878" s="2913"/>
      <c r="C1878" s="2913"/>
      <c r="D1878" s="2913"/>
      <c r="E1878" s="2913"/>
      <c r="F1878" s="2913"/>
    </row>
    <row r="1879" spans="2:6">
      <c r="B1879" s="2913"/>
      <c r="C1879" s="2913"/>
      <c r="D1879" s="2913"/>
      <c r="E1879" s="2913"/>
      <c r="F1879" s="2913"/>
    </row>
    <row r="1880" spans="2:6">
      <c r="B1880" s="2913"/>
      <c r="C1880" s="2913"/>
      <c r="D1880" s="2913"/>
      <c r="E1880" s="2913"/>
      <c r="F1880" s="2913"/>
    </row>
    <row r="1881" spans="2:6">
      <c r="B1881" s="2913"/>
      <c r="C1881" s="2913"/>
      <c r="D1881" s="2913"/>
      <c r="E1881" s="2913"/>
      <c r="F1881" s="2913"/>
    </row>
    <row r="1882" spans="2:6">
      <c r="B1882" s="2913"/>
      <c r="C1882" s="2913"/>
      <c r="D1882" s="2913"/>
      <c r="E1882" s="2913"/>
      <c r="F1882" s="2913"/>
    </row>
    <row r="1883" spans="2:6">
      <c r="B1883" s="2913"/>
      <c r="C1883" s="2913"/>
      <c r="D1883" s="2913"/>
      <c r="E1883" s="2913"/>
      <c r="F1883" s="2913"/>
    </row>
    <row r="1884" spans="2:6">
      <c r="B1884" s="2913"/>
      <c r="C1884" s="2913"/>
      <c r="D1884" s="2913"/>
      <c r="E1884" s="2913"/>
      <c r="F1884" s="2913"/>
    </row>
    <row r="1885" spans="2:6">
      <c r="B1885" s="2913"/>
      <c r="C1885" s="2913"/>
      <c r="D1885" s="2913"/>
      <c r="E1885" s="2913"/>
      <c r="F1885" s="2913"/>
    </row>
    <row r="1886" spans="2:6">
      <c r="B1886" s="2913"/>
      <c r="C1886" s="2913"/>
      <c r="D1886" s="2913"/>
      <c r="E1886" s="2913"/>
      <c r="F1886" s="2913"/>
    </row>
    <row r="1887" spans="2:6">
      <c r="B1887" s="2913"/>
      <c r="C1887" s="2913"/>
      <c r="D1887" s="2913"/>
      <c r="E1887" s="2913"/>
      <c r="F1887" s="2913"/>
    </row>
    <row r="1888" spans="2:6">
      <c r="B1888" s="2913"/>
      <c r="C1888" s="2913"/>
      <c r="D1888" s="2913"/>
      <c r="E1888" s="2913"/>
      <c r="F1888" s="2913"/>
    </row>
    <row r="1889" spans="2:6">
      <c r="B1889" s="2913"/>
      <c r="C1889" s="2913"/>
      <c r="D1889" s="2913"/>
      <c r="E1889" s="2913"/>
      <c r="F1889" s="2913"/>
    </row>
    <row r="1890" spans="2:6">
      <c r="B1890" s="2913"/>
      <c r="C1890" s="2913"/>
      <c r="D1890" s="2913"/>
      <c r="E1890" s="2913"/>
      <c r="F1890" s="2913"/>
    </row>
    <row r="1891" spans="2:6">
      <c r="B1891" s="2913"/>
      <c r="C1891" s="2913"/>
      <c r="D1891" s="2913"/>
      <c r="E1891" s="2913"/>
      <c r="F1891" s="2913"/>
    </row>
    <row r="1892" spans="2:6">
      <c r="B1892" s="2913"/>
      <c r="C1892" s="2913"/>
      <c r="D1892" s="2913"/>
      <c r="E1892" s="2913"/>
      <c r="F1892" s="2913"/>
    </row>
    <row r="1893" spans="2:6">
      <c r="B1893" s="2913"/>
      <c r="C1893" s="2913"/>
      <c r="D1893" s="2913"/>
      <c r="E1893" s="2913"/>
      <c r="F1893" s="2913"/>
    </row>
    <row r="1894" spans="2:6">
      <c r="B1894" s="2913"/>
      <c r="C1894" s="2913"/>
      <c r="D1894" s="2913"/>
      <c r="E1894" s="2913"/>
      <c r="F1894" s="2913"/>
    </row>
    <row r="1895" spans="2:6">
      <c r="B1895" s="2913"/>
      <c r="C1895" s="2913"/>
      <c r="D1895" s="2913"/>
      <c r="E1895" s="2913"/>
      <c r="F1895" s="2913"/>
    </row>
    <row r="1896" spans="2:6">
      <c r="B1896" s="2913"/>
      <c r="C1896" s="2913"/>
      <c r="D1896" s="2913"/>
      <c r="E1896" s="2913"/>
      <c r="F1896" s="2913"/>
    </row>
    <row r="1897" spans="2:6">
      <c r="B1897" s="2913"/>
      <c r="C1897" s="2913"/>
      <c r="D1897" s="2913"/>
      <c r="E1897" s="2913"/>
      <c r="F1897" s="2913"/>
    </row>
    <row r="1898" spans="2:6">
      <c r="B1898" s="2913"/>
      <c r="C1898" s="2913"/>
      <c r="D1898" s="2913"/>
      <c r="E1898" s="2913"/>
      <c r="F1898" s="2913"/>
    </row>
    <row r="1899" spans="2:6">
      <c r="B1899" s="2913"/>
      <c r="C1899" s="2913"/>
      <c r="D1899" s="2913"/>
      <c r="E1899" s="2913"/>
      <c r="F1899" s="2913"/>
    </row>
    <row r="1900" spans="2:6">
      <c r="B1900" s="2913"/>
      <c r="C1900" s="2913"/>
      <c r="D1900" s="2913"/>
      <c r="E1900" s="2913"/>
      <c r="F1900" s="2913"/>
    </row>
    <row r="1901" spans="2:6">
      <c r="B1901" s="2913"/>
      <c r="C1901" s="2913"/>
      <c r="D1901" s="2913"/>
      <c r="E1901" s="2913"/>
      <c r="F1901" s="2913"/>
    </row>
    <row r="1902" spans="2:6">
      <c r="B1902" s="2913"/>
      <c r="C1902" s="2913"/>
      <c r="D1902" s="2913"/>
      <c r="E1902" s="2913"/>
      <c r="F1902" s="2913"/>
    </row>
    <row r="1903" spans="2:6">
      <c r="B1903" s="2913"/>
      <c r="C1903" s="2913"/>
      <c r="D1903" s="2913"/>
      <c r="E1903" s="2913"/>
      <c r="F1903" s="2913"/>
    </row>
    <row r="1904" spans="2:6">
      <c r="B1904" s="2913"/>
      <c r="C1904" s="2913"/>
      <c r="D1904" s="2913"/>
      <c r="E1904" s="2913"/>
      <c r="F1904" s="2913"/>
    </row>
    <row r="1905" spans="2:6">
      <c r="B1905" s="2913"/>
      <c r="C1905" s="2913"/>
      <c r="D1905" s="2913"/>
      <c r="E1905" s="2913"/>
      <c r="F1905" s="2913"/>
    </row>
    <row r="1906" spans="2:6">
      <c r="B1906" s="2913"/>
      <c r="C1906" s="2913"/>
      <c r="D1906" s="2913"/>
      <c r="E1906" s="2913"/>
      <c r="F1906" s="2913"/>
    </row>
    <row r="1907" spans="2:6">
      <c r="B1907" s="2913"/>
      <c r="C1907" s="2913"/>
      <c r="D1907" s="2913"/>
      <c r="E1907" s="2913"/>
      <c r="F1907" s="2913"/>
    </row>
    <row r="1908" spans="2:6">
      <c r="B1908" s="2913"/>
      <c r="C1908" s="2913"/>
      <c r="D1908" s="2913"/>
      <c r="E1908" s="2913"/>
      <c r="F1908" s="2913"/>
    </row>
    <row r="1909" spans="2:6">
      <c r="B1909" s="2913"/>
      <c r="C1909" s="2913"/>
      <c r="D1909" s="2913"/>
      <c r="E1909" s="2913"/>
      <c r="F1909" s="2913"/>
    </row>
    <row r="1910" spans="2:6">
      <c r="B1910" s="2913"/>
      <c r="C1910" s="2913"/>
      <c r="D1910" s="2913"/>
      <c r="E1910" s="2913"/>
      <c r="F1910" s="2913"/>
    </row>
    <row r="1911" spans="2:6">
      <c r="B1911" s="2913"/>
      <c r="C1911" s="2913"/>
      <c r="D1911" s="2913"/>
      <c r="E1911" s="2913"/>
      <c r="F1911" s="2913"/>
    </row>
    <row r="1912" spans="2:6">
      <c r="B1912" s="2913"/>
      <c r="C1912" s="2913"/>
      <c r="D1912" s="2913"/>
      <c r="E1912" s="2913"/>
      <c r="F1912" s="2913"/>
    </row>
    <row r="1913" spans="2:6">
      <c r="B1913" s="2913"/>
      <c r="C1913" s="2913"/>
      <c r="D1913" s="2913"/>
      <c r="E1913" s="2913"/>
      <c r="F1913" s="2913"/>
    </row>
    <row r="1914" spans="2:6">
      <c r="B1914" s="2913"/>
      <c r="C1914" s="2913"/>
      <c r="D1914" s="2913"/>
      <c r="E1914" s="2913"/>
      <c r="F1914" s="2913"/>
    </row>
    <row r="1915" spans="2:6">
      <c r="B1915" s="2913"/>
      <c r="C1915" s="2913"/>
      <c r="D1915" s="2913"/>
      <c r="E1915" s="2913"/>
      <c r="F1915" s="2913"/>
    </row>
    <row r="1916" spans="2:6">
      <c r="B1916" s="2913"/>
      <c r="C1916" s="2913"/>
      <c r="D1916" s="2913"/>
      <c r="E1916" s="2913"/>
      <c r="F1916" s="2913"/>
    </row>
    <row r="1917" spans="2:6">
      <c r="B1917" s="2913"/>
      <c r="C1917" s="2913"/>
      <c r="D1917" s="2913"/>
      <c r="E1917" s="2913"/>
      <c r="F1917" s="2913"/>
    </row>
    <row r="1918" spans="2:6">
      <c r="B1918" s="2913"/>
      <c r="C1918" s="2913"/>
      <c r="D1918" s="2913"/>
      <c r="E1918" s="2913"/>
      <c r="F1918" s="2913"/>
    </row>
    <row r="1919" spans="2:6">
      <c r="B1919" s="2913"/>
      <c r="C1919" s="2913"/>
      <c r="D1919" s="2913"/>
      <c r="E1919" s="2913"/>
      <c r="F1919" s="2913"/>
    </row>
    <row r="1920" spans="2:6">
      <c r="B1920" s="2913"/>
      <c r="C1920" s="2913"/>
      <c r="D1920" s="2913"/>
      <c r="E1920" s="2913"/>
      <c r="F1920" s="2913"/>
    </row>
    <row r="1921" spans="2:6">
      <c r="B1921" s="2913"/>
      <c r="C1921" s="2913"/>
      <c r="D1921" s="2913"/>
      <c r="E1921" s="2913"/>
      <c r="F1921" s="2913"/>
    </row>
    <row r="1922" spans="2:6">
      <c r="B1922" s="2913"/>
      <c r="C1922" s="2913"/>
      <c r="D1922" s="2913"/>
      <c r="E1922" s="2913"/>
      <c r="F1922" s="2913"/>
    </row>
    <row r="1923" spans="2:6">
      <c r="B1923" s="2913"/>
      <c r="C1923" s="2913"/>
      <c r="D1923" s="2913"/>
      <c r="E1923" s="2913"/>
      <c r="F1923" s="2913"/>
    </row>
    <row r="1924" spans="2:6">
      <c r="B1924" s="2913"/>
      <c r="C1924" s="2913"/>
      <c r="D1924" s="2913"/>
      <c r="E1924" s="2913"/>
      <c r="F1924" s="2913"/>
    </row>
    <row r="1925" spans="2:6">
      <c r="B1925" s="2913"/>
      <c r="C1925" s="2913"/>
      <c r="D1925" s="2913"/>
      <c r="E1925" s="2913"/>
      <c r="F1925" s="2913"/>
    </row>
    <row r="1926" spans="2:6">
      <c r="B1926" s="2913"/>
      <c r="C1926" s="2913"/>
      <c r="D1926" s="2913"/>
      <c r="E1926" s="2913"/>
      <c r="F1926" s="2913"/>
    </row>
    <row r="1927" spans="2:6">
      <c r="B1927" s="2913"/>
      <c r="C1927" s="2913"/>
      <c r="D1927" s="2913"/>
      <c r="E1927" s="2913"/>
      <c r="F1927" s="2913"/>
    </row>
    <row r="1928" spans="2:6">
      <c r="B1928" s="2913"/>
      <c r="C1928" s="2913"/>
      <c r="D1928" s="2913"/>
      <c r="E1928" s="2913"/>
      <c r="F1928" s="2913"/>
    </row>
    <row r="1929" spans="2:6">
      <c r="B1929" s="2913"/>
      <c r="C1929" s="2913"/>
      <c r="D1929" s="2913"/>
      <c r="E1929" s="2913"/>
      <c r="F1929" s="2913"/>
    </row>
    <row r="1930" spans="2:6">
      <c r="B1930" s="2913"/>
      <c r="C1930" s="2913"/>
      <c r="D1930" s="2913"/>
      <c r="E1930" s="2913"/>
      <c r="F1930" s="2913"/>
    </row>
    <row r="1931" spans="2:6">
      <c r="B1931" s="2913"/>
      <c r="C1931" s="2913"/>
      <c r="D1931" s="2913"/>
      <c r="E1931" s="2913"/>
      <c r="F1931" s="2913"/>
    </row>
    <row r="1932" spans="2:6">
      <c r="B1932" s="2913"/>
      <c r="C1932" s="2913"/>
      <c r="D1932" s="2913"/>
      <c r="E1932" s="2913"/>
      <c r="F1932" s="2913"/>
    </row>
    <row r="1933" spans="2:6">
      <c r="B1933" s="2913"/>
      <c r="C1933" s="2913"/>
      <c r="D1933" s="2913"/>
      <c r="E1933" s="2913"/>
      <c r="F1933" s="2913"/>
    </row>
    <row r="1934" spans="2:6">
      <c r="B1934" s="2913"/>
      <c r="C1934" s="2913"/>
      <c r="D1934" s="2913"/>
      <c r="E1934" s="2913"/>
      <c r="F1934" s="2913"/>
    </row>
    <row r="1935" spans="2:6">
      <c r="B1935" s="2913"/>
      <c r="C1935" s="2913"/>
      <c r="D1935" s="2913"/>
      <c r="E1935" s="2913"/>
      <c r="F1935" s="2913"/>
    </row>
    <row r="1936" spans="2:6">
      <c r="B1936" s="2913"/>
      <c r="C1936" s="2913"/>
      <c r="D1936" s="2913"/>
      <c r="E1936" s="2913"/>
      <c r="F1936" s="2913"/>
    </row>
    <row r="1937" spans="2:6">
      <c r="B1937" s="2913"/>
      <c r="C1937" s="2913"/>
      <c r="D1937" s="2913"/>
      <c r="E1937" s="2913"/>
      <c r="F1937" s="2913"/>
    </row>
    <row r="1938" spans="2:6">
      <c r="B1938" s="2913"/>
      <c r="C1938" s="2913"/>
      <c r="D1938" s="2913"/>
      <c r="E1938" s="2913"/>
      <c r="F1938" s="2913"/>
    </row>
    <row r="1939" spans="2:6">
      <c r="B1939" s="2913"/>
      <c r="C1939" s="2913"/>
      <c r="D1939" s="2913"/>
      <c r="E1939" s="2913"/>
      <c r="F1939" s="2913"/>
    </row>
    <row r="1940" spans="2:6">
      <c r="B1940" s="2913"/>
      <c r="C1940" s="2913"/>
      <c r="D1940" s="2913"/>
      <c r="E1940" s="2913"/>
      <c r="F1940" s="2913"/>
    </row>
    <row r="1941" spans="2:6">
      <c r="B1941" s="2913"/>
      <c r="C1941" s="2913"/>
      <c r="D1941" s="2913"/>
      <c r="E1941" s="2913"/>
      <c r="F1941" s="2913"/>
    </row>
    <row r="1942" spans="2:6">
      <c r="B1942" s="2913"/>
      <c r="C1942" s="2913"/>
      <c r="D1942" s="2913"/>
      <c r="E1942" s="2913"/>
      <c r="F1942" s="2913"/>
    </row>
    <row r="1943" spans="2:6">
      <c r="B1943" s="2913"/>
      <c r="C1943" s="2913"/>
      <c r="D1943" s="2913"/>
      <c r="E1943" s="2913"/>
      <c r="F1943" s="2913"/>
    </row>
    <row r="1944" spans="2:6">
      <c r="B1944" s="2913"/>
      <c r="C1944" s="2913"/>
      <c r="D1944" s="2913"/>
      <c r="E1944" s="2913"/>
      <c r="F1944" s="2913"/>
    </row>
    <row r="1945" spans="2:6">
      <c r="B1945" s="2913"/>
      <c r="C1945" s="2913"/>
      <c r="D1945" s="2913"/>
      <c r="E1945" s="2913"/>
      <c r="F1945" s="2913"/>
    </row>
    <row r="1946" spans="2:6">
      <c r="B1946" s="2913"/>
      <c r="C1946" s="2913"/>
      <c r="D1946" s="2913"/>
      <c r="E1946" s="2913"/>
      <c r="F1946" s="2913"/>
    </row>
    <row r="1947" spans="2:6">
      <c r="B1947" s="2913"/>
      <c r="C1947" s="2913"/>
      <c r="D1947" s="2913"/>
      <c r="E1947" s="2913"/>
      <c r="F1947" s="2913"/>
    </row>
    <row r="1948" spans="2:6">
      <c r="B1948" s="2913"/>
      <c r="C1948" s="2913"/>
      <c r="D1948" s="2913"/>
      <c r="E1948" s="2913"/>
      <c r="F1948" s="2913"/>
    </row>
    <row r="1949" spans="2:6">
      <c r="B1949" s="2913"/>
      <c r="C1949" s="2913"/>
      <c r="D1949" s="2913"/>
      <c r="E1949" s="2913"/>
      <c r="F1949" s="2913"/>
    </row>
    <row r="1950" spans="2:6">
      <c r="B1950" s="2913"/>
      <c r="C1950" s="2913"/>
      <c r="D1950" s="2913"/>
      <c r="E1950" s="2913"/>
      <c r="F1950" s="2913"/>
    </row>
    <row r="1951" spans="2:6">
      <c r="B1951" s="2913"/>
      <c r="C1951" s="2913"/>
      <c r="D1951" s="2913"/>
      <c r="E1951" s="2913"/>
      <c r="F1951" s="2913"/>
    </row>
    <row r="1952" spans="2:6">
      <c r="B1952" s="2913"/>
      <c r="C1952" s="2913"/>
      <c r="D1952" s="2913"/>
      <c r="E1952" s="2913"/>
      <c r="F1952" s="2913"/>
    </row>
    <row r="1953" spans="2:6">
      <c r="B1953" s="2913"/>
      <c r="C1953" s="2913"/>
      <c r="D1953" s="2913"/>
      <c r="E1953" s="2913"/>
      <c r="F1953" s="2913"/>
    </row>
    <row r="1954" spans="2:6">
      <c r="B1954" s="2913"/>
      <c r="C1954" s="2913"/>
      <c r="D1954" s="2913"/>
      <c r="E1954" s="2913"/>
      <c r="F1954" s="2913"/>
    </row>
    <row r="1955" spans="2:6">
      <c r="B1955" s="2913"/>
      <c r="C1955" s="2913"/>
      <c r="D1955" s="2913"/>
      <c r="E1955" s="2913"/>
      <c r="F1955" s="2913"/>
    </row>
    <row r="1956" spans="2:6">
      <c r="B1956" s="2913"/>
      <c r="C1956" s="2913"/>
      <c r="D1956" s="2913"/>
      <c r="E1956" s="2913"/>
      <c r="F1956" s="2913"/>
    </row>
    <row r="1957" spans="2:6">
      <c r="B1957" s="2913"/>
      <c r="C1957" s="2913"/>
      <c r="D1957" s="2913"/>
      <c r="E1957" s="2913"/>
      <c r="F1957" s="2913"/>
    </row>
    <row r="1958" spans="2:6">
      <c r="B1958" s="2913"/>
      <c r="C1958" s="2913"/>
      <c r="D1958" s="2913"/>
      <c r="E1958" s="2913"/>
      <c r="F1958" s="2913"/>
    </row>
    <row r="1959" spans="2:6">
      <c r="B1959" s="2913"/>
      <c r="C1959" s="2913"/>
      <c r="D1959" s="2913"/>
      <c r="E1959" s="2913"/>
      <c r="F1959" s="2913"/>
    </row>
    <row r="1960" spans="2:6">
      <c r="B1960" s="2913"/>
      <c r="C1960" s="2913"/>
      <c r="D1960" s="2913"/>
      <c r="E1960" s="2913"/>
      <c r="F1960" s="2913"/>
    </row>
    <row r="1961" spans="2:6">
      <c r="B1961" s="2913"/>
      <c r="C1961" s="2913"/>
      <c r="D1961" s="2913"/>
      <c r="E1961" s="2913"/>
      <c r="F1961" s="2913"/>
    </row>
    <row r="1962" spans="2:6">
      <c r="B1962" s="2913"/>
      <c r="C1962" s="2913"/>
      <c r="D1962" s="2913"/>
      <c r="E1962" s="2913"/>
      <c r="F1962" s="2913"/>
    </row>
    <row r="1963" spans="2:6">
      <c r="B1963" s="2913"/>
      <c r="C1963" s="2913"/>
      <c r="D1963" s="2913"/>
      <c r="E1963" s="2913"/>
      <c r="F1963" s="2913"/>
    </row>
    <row r="1964" spans="2:6">
      <c r="B1964" s="2913"/>
      <c r="C1964" s="2913"/>
      <c r="D1964" s="2913"/>
      <c r="E1964" s="2913"/>
      <c r="F1964" s="2913"/>
    </row>
    <row r="1965" spans="2:6">
      <c r="B1965" s="2913"/>
      <c r="C1965" s="2913"/>
      <c r="D1965" s="2913"/>
      <c r="E1965" s="2913"/>
      <c r="F1965" s="2913"/>
    </row>
    <row r="1966" spans="2:6">
      <c r="B1966" s="2913"/>
      <c r="C1966" s="2913"/>
      <c r="D1966" s="2913"/>
      <c r="E1966" s="2913"/>
      <c r="F1966" s="2913"/>
    </row>
    <row r="1967" spans="2:6">
      <c r="B1967" s="2913"/>
      <c r="C1967" s="2913"/>
      <c r="D1967" s="2913"/>
      <c r="E1967" s="2913"/>
      <c r="F1967" s="2913"/>
    </row>
    <row r="1968" spans="2:6">
      <c r="B1968" s="2913"/>
      <c r="C1968" s="2913"/>
      <c r="D1968" s="2913"/>
      <c r="E1968" s="2913"/>
      <c r="F1968" s="2913"/>
    </row>
    <row r="1969" spans="2:6">
      <c r="B1969" s="2913"/>
      <c r="C1969" s="2913"/>
      <c r="D1969" s="2913"/>
      <c r="E1969" s="2913"/>
      <c r="F1969" s="2913"/>
    </row>
    <row r="1970" spans="2:6">
      <c r="B1970" s="2913"/>
      <c r="C1970" s="2913"/>
      <c r="D1970" s="2913"/>
      <c r="E1970" s="2913"/>
      <c r="F1970" s="2913"/>
    </row>
    <row r="1971" spans="2:6">
      <c r="B1971" s="2913"/>
      <c r="C1971" s="2913"/>
      <c r="D1971" s="2913"/>
      <c r="E1971" s="2913"/>
      <c r="F1971" s="2913"/>
    </row>
    <row r="1972" spans="2:6">
      <c r="B1972" s="2913"/>
      <c r="C1972" s="2913"/>
      <c r="D1972" s="2913"/>
      <c r="E1972" s="2913"/>
      <c r="F1972" s="2913"/>
    </row>
    <row r="1973" spans="2:6">
      <c r="B1973" s="2913"/>
      <c r="C1973" s="2913"/>
      <c r="D1973" s="2913"/>
      <c r="E1973" s="2913"/>
      <c r="F1973" s="2913"/>
    </row>
    <row r="1974" spans="2:6">
      <c r="B1974" s="2913"/>
      <c r="C1974" s="2913"/>
      <c r="D1974" s="2913"/>
      <c r="E1974" s="2913"/>
      <c r="F1974" s="2913"/>
    </row>
    <row r="1975" spans="2:6">
      <c r="B1975" s="2913"/>
      <c r="C1975" s="2913"/>
      <c r="D1975" s="2913"/>
      <c r="E1975" s="2913"/>
      <c r="F1975" s="2913"/>
    </row>
    <row r="1976" spans="2:6">
      <c r="B1976" s="2913"/>
      <c r="C1976" s="2913"/>
      <c r="D1976" s="2913"/>
      <c r="E1976" s="2913"/>
      <c r="F1976" s="2913"/>
    </row>
    <row r="1977" spans="2:6">
      <c r="B1977" s="2913"/>
      <c r="C1977" s="2913"/>
      <c r="D1977" s="2913"/>
      <c r="E1977" s="2913"/>
      <c r="F1977" s="2913"/>
    </row>
    <row r="1978" spans="2:6">
      <c r="B1978" s="2913"/>
      <c r="C1978" s="2913"/>
      <c r="D1978" s="2913"/>
      <c r="E1978" s="2913"/>
      <c r="F1978" s="2913"/>
    </row>
    <row r="1979" spans="2:6">
      <c r="B1979" s="2913"/>
      <c r="C1979" s="2913"/>
      <c r="D1979" s="2913"/>
      <c r="E1979" s="2913"/>
      <c r="F1979" s="2913"/>
    </row>
    <row r="1980" spans="2:6">
      <c r="B1980" s="2913"/>
      <c r="C1980" s="2913"/>
      <c r="D1980" s="2913"/>
      <c r="E1980" s="2913"/>
      <c r="F1980" s="2913"/>
    </row>
    <row r="1981" spans="2:6">
      <c r="B1981" s="2913"/>
      <c r="C1981" s="2913"/>
      <c r="D1981" s="2913"/>
      <c r="E1981" s="2913"/>
      <c r="F1981" s="2913"/>
    </row>
    <row r="1982" spans="2:6">
      <c r="B1982" s="2913"/>
      <c r="C1982" s="2913"/>
      <c r="D1982" s="2913"/>
      <c r="E1982" s="2913"/>
      <c r="F1982" s="2913"/>
    </row>
    <row r="1983" spans="2:6">
      <c r="B1983" s="2913"/>
      <c r="C1983" s="2913"/>
      <c r="D1983" s="2913"/>
      <c r="E1983" s="2913"/>
      <c r="F1983" s="2913"/>
    </row>
    <row r="1984" spans="2:6">
      <c r="B1984" s="2913"/>
      <c r="C1984" s="2913"/>
      <c r="D1984" s="2913"/>
      <c r="E1984" s="2913"/>
      <c r="F1984" s="2913"/>
    </row>
    <row r="1985" spans="2:6">
      <c r="B1985" s="2913"/>
      <c r="C1985" s="2913"/>
      <c r="D1985" s="2913"/>
      <c r="E1985" s="2913"/>
      <c r="F1985" s="2913"/>
    </row>
    <row r="1986" spans="2:6">
      <c r="B1986" s="2913"/>
      <c r="C1986" s="2913"/>
      <c r="D1986" s="2913"/>
      <c r="E1986" s="2913"/>
      <c r="F1986" s="2913"/>
    </row>
    <row r="1987" spans="2:6">
      <c r="B1987" s="2913"/>
      <c r="C1987" s="2913"/>
      <c r="D1987" s="2913"/>
      <c r="E1987" s="2913"/>
      <c r="F1987" s="2913"/>
    </row>
    <row r="1988" spans="2:6">
      <c r="B1988" s="2913"/>
      <c r="C1988" s="2913"/>
      <c r="D1988" s="2913"/>
      <c r="E1988" s="2913"/>
      <c r="F1988" s="2913"/>
    </row>
    <row r="1989" spans="2:6">
      <c r="B1989" s="2913"/>
      <c r="C1989" s="2913"/>
      <c r="D1989" s="2913"/>
      <c r="E1989" s="2913"/>
      <c r="F1989" s="2913"/>
    </row>
    <row r="1990" spans="2:6">
      <c r="B1990" s="2913"/>
      <c r="C1990" s="2913"/>
      <c r="D1990" s="2913"/>
      <c r="E1990" s="2913"/>
      <c r="F1990" s="2913"/>
    </row>
    <row r="1991" spans="2:6">
      <c r="B1991" s="2913"/>
      <c r="C1991" s="2913"/>
      <c r="D1991" s="2913"/>
      <c r="E1991" s="2913"/>
      <c r="F1991" s="2913"/>
    </row>
    <row r="1992" spans="2:6">
      <c r="B1992" s="2913"/>
      <c r="C1992" s="2913"/>
      <c r="D1992" s="2913"/>
      <c r="E1992" s="2913"/>
      <c r="F1992" s="2913"/>
    </row>
    <row r="1993" spans="2:6">
      <c r="B1993" s="2913"/>
      <c r="C1993" s="2913"/>
      <c r="D1993" s="2913"/>
      <c r="E1993" s="2913"/>
      <c r="F1993" s="2913"/>
    </row>
    <row r="1994" spans="2:6">
      <c r="B1994" s="2913"/>
      <c r="C1994" s="2913"/>
      <c r="D1994" s="2913"/>
      <c r="E1994" s="2913"/>
      <c r="F1994" s="2913"/>
    </row>
    <row r="1995" spans="2:6">
      <c r="B1995" s="2913"/>
      <c r="C1995" s="2913"/>
      <c r="D1995" s="2913"/>
      <c r="E1995" s="2913"/>
      <c r="F1995" s="2913"/>
    </row>
    <row r="1996" spans="2:6">
      <c r="B1996" s="2913"/>
      <c r="C1996" s="2913"/>
      <c r="D1996" s="2913"/>
      <c r="E1996" s="2913"/>
      <c r="F1996" s="2913"/>
    </row>
    <row r="1997" spans="2:6">
      <c r="B1997" s="2913"/>
      <c r="C1997" s="2913"/>
      <c r="D1997" s="2913"/>
      <c r="E1997" s="2913"/>
      <c r="F1997" s="2913"/>
    </row>
    <row r="1998" spans="2:6">
      <c r="B1998" s="2913"/>
      <c r="C1998" s="2913"/>
      <c r="D1998" s="2913"/>
      <c r="E1998" s="2913"/>
      <c r="F1998" s="2913"/>
    </row>
    <row r="1999" spans="2:6">
      <c r="B1999" s="2913"/>
      <c r="C1999" s="2913"/>
      <c r="D1999" s="2913"/>
      <c r="E1999" s="2913"/>
      <c r="F1999" s="2913"/>
    </row>
    <row r="2000" spans="2:6">
      <c r="B2000" s="2913"/>
      <c r="C2000" s="2913"/>
      <c r="D2000" s="2913"/>
      <c r="E2000" s="2913"/>
      <c r="F2000" s="2913"/>
    </row>
    <row r="2001" spans="2:6">
      <c r="B2001" s="2913"/>
      <c r="C2001" s="2913"/>
      <c r="D2001" s="2913"/>
      <c r="E2001" s="2913"/>
      <c r="F2001" s="2913"/>
    </row>
    <row r="2002" spans="2:6">
      <c r="B2002" s="2913"/>
      <c r="C2002" s="2913"/>
      <c r="D2002" s="2913"/>
      <c r="E2002" s="2913"/>
      <c r="F2002" s="2913"/>
    </row>
    <row r="2003" spans="2:6">
      <c r="B2003" s="2913"/>
      <c r="C2003" s="2913"/>
      <c r="D2003" s="2913"/>
      <c r="E2003" s="2913"/>
      <c r="F2003" s="2913"/>
    </row>
    <row r="2004" spans="2:6">
      <c r="B2004" s="2913"/>
      <c r="C2004" s="2913"/>
      <c r="D2004" s="2913"/>
      <c r="E2004" s="2913"/>
      <c r="F2004" s="2913"/>
    </row>
    <row r="2005" spans="2:6">
      <c r="B2005" s="2913"/>
      <c r="C2005" s="2913"/>
      <c r="D2005" s="2913"/>
      <c r="E2005" s="2913"/>
      <c r="F2005" s="2913"/>
    </row>
    <row r="2006" spans="2:6">
      <c r="B2006" s="2913"/>
      <c r="C2006" s="2913"/>
      <c r="D2006" s="2913"/>
      <c r="E2006" s="2913"/>
      <c r="F2006" s="2913"/>
    </row>
    <row r="2007" spans="2:6">
      <c r="B2007" s="2913"/>
      <c r="C2007" s="2913"/>
      <c r="D2007" s="2913"/>
      <c r="E2007" s="2913"/>
      <c r="F2007" s="2913"/>
    </row>
    <row r="2008" spans="2:6">
      <c r="B2008" s="2913"/>
      <c r="C2008" s="2913"/>
      <c r="D2008" s="2913"/>
      <c r="E2008" s="2913"/>
      <c r="F2008" s="2913"/>
    </row>
    <row r="2009" spans="2:6">
      <c r="B2009" s="2913"/>
      <c r="C2009" s="2913"/>
      <c r="D2009" s="2913"/>
      <c r="E2009" s="2913"/>
      <c r="F2009" s="2913"/>
    </row>
    <row r="2010" spans="2:6">
      <c r="B2010" s="2913"/>
      <c r="C2010" s="2913"/>
      <c r="D2010" s="2913"/>
      <c r="E2010" s="2913"/>
      <c r="F2010" s="2913"/>
    </row>
    <row r="2011" spans="2:6">
      <c r="B2011" s="2913"/>
      <c r="C2011" s="2913"/>
      <c r="D2011" s="2913"/>
      <c r="E2011" s="2913"/>
      <c r="F2011" s="2913"/>
    </row>
    <row r="2012" spans="2:6">
      <c r="B2012" s="2913"/>
      <c r="C2012" s="2913"/>
      <c r="D2012" s="2913"/>
      <c r="E2012" s="2913"/>
      <c r="F2012" s="2913"/>
    </row>
    <row r="2013" spans="2:6">
      <c r="B2013" s="2913"/>
      <c r="C2013" s="2913"/>
      <c r="D2013" s="2913"/>
      <c r="E2013" s="2913"/>
      <c r="F2013" s="2913"/>
    </row>
    <row r="2014" spans="2:6">
      <c r="B2014" s="2913"/>
      <c r="C2014" s="2913"/>
      <c r="D2014" s="2913"/>
      <c r="E2014" s="2913"/>
      <c r="F2014" s="2913"/>
    </row>
    <row r="2015" spans="2:6">
      <c r="B2015" s="2913"/>
      <c r="C2015" s="2913"/>
      <c r="D2015" s="2913"/>
      <c r="E2015" s="2913"/>
      <c r="F2015" s="2913"/>
    </row>
    <row r="2016" spans="2:6">
      <c r="B2016" s="2913"/>
      <c r="C2016" s="2913"/>
      <c r="D2016" s="2913"/>
      <c r="E2016" s="2913"/>
      <c r="F2016" s="2913"/>
    </row>
    <row r="2017" spans="2:6">
      <c r="B2017" s="2913"/>
      <c r="C2017" s="2913"/>
      <c r="D2017" s="2913"/>
      <c r="E2017" s="2913"/>
      <c r="F2017" s="2913"/>
    </row>
    <row r="2018" spans="2:6">
      <c r="B2018" s="2913"/>
      <c r="C2018" s="2913"/>
      <c r="D2018" s="2913"/>
      <c r="E2018" s="2913"/>
      <c r="F2018" s="2913"/>
    </row>
    <row r="2019" spans="2:6">
      <c r="B2019" s="2913"/>
      <c r="C2019" s="2913"/>
      <c r="D2019" s="2913"/>
      <c r="E2019" s="2913"/>
      <c r="F2019" s="2913"/>
    </row>
    <row r="2020" spans="2:6">
      <c r="B2020" s="2913"/>
      <c r="C2020" s="2913"/>
      <c r="D2020" s="2913"/>
      <c r="E2020" s="2913"/>
      <c r="F2020" s="2913"/>
    </row>
    <row r="2021" spans="2:6">
      <c r="B2021" s="2913"/>
      <c r="C2021" s="2913"/>
      <c r="D2021" s="2913"/>
      <c r="E2021" s="2913"/>
      <c r="F2021" s="2913"/>
    </row>
    <row r="2022" spans="2:6">
      <c r="B2022" s="2913"/>
      <c r="C2022" s="2913"/>
      <c r="D2022" s="2913"/>
      <c r="E2022" s="2913"/>
      <c r="F2022" s="2913"/>
    </row>
    <row r="2023" spans="2:6">
      <c r="B2023" s="2913"/>
      <c r="C2023" s="2913"/>
      <c r="D2023" s="2913"/>
      <c r="E2023" s="2913"/>
      <c r="F2023" s="2913"/>
    </row>
    <row r="2024" spans="2:6">
      <c r="B2024" s="2913"/>
      <c r="C2024" s="2913"/>
      <c r="D2024" s="2913"/>
      <c r="E2024" s="2913"/>
      <c r="F2024" s="2913"/>
    </row>
    <row r="2025" spans="2:6">
      <c r="B2025" s="2913"/>
      <c r="C2025" s="2913"/>
      <c r="D2025" s="2913"/>
      <c r="E2025" s="2913"/>
      <c r="F2025" s="2913"/>
    </row>
    <row r="2026" spans="2:6">
      <c r="B2026" s="2913"/>
      <c r="C2026" s="2913"/>
      <c r="D2026" s="2913"/>
      <c r="E2026" s="2913"/>
      <c r="F2026" s="2913"/>
    </row>
    <row r="2027" spans="2:6">
      <c r="B2027" s="2913"/>
      <c r="C2027" s="2913"/>
      <c r="D2027" s="2913"/>
      <c r="E2027" s="2913"/>
      <c r="F2027" s="2913"/>
    </row>
    <row r="2028" spans="2:6">
      <c r="B2028" s="2913"/>
      <c r="C2028" s="2913"/>
      <c r="D2028" s="2913"/>
      <c r="E2028" s="2913"/>
      <c r="F2028" s="2913"/>
    </row>
    <row r="2029" spans="2:6">
      <c r="B2029" s="2913"/>
      <c r="C2029" s="2913"/>
      <c r="D2029" s="2913"/>
      <c r="E2029" s="2913"/>
      <c r="F2029" s="2913"/>
    </row>
    <row r="2030" spans="2:6">
      <c r="B2030" s="2913"/>
      <c r="C2030" s="2913"/>
      <c r="D2030" s="2913"/>
      <c r="E2030" s="2913"/>
      <c r="F2030" s="2913"/>
    </row>
    <row r="2031" spans="2:6">
      <c r="B2031" s="2913"/>
      <c r="C2031" s="2913"/>
      <c r="D2031" s="2913"/>
      <c r="E2031" s="2913"/>
      <c r="F2031" s="2913"/>
    </row>
    <row r="2032" spans="2:6">
      <c r="B2032" s="2913"/>
      <c r="C2032" s="2913"/>
      <c r="D2032" s="2913"/>
      <c r="E2032" s="2913"/>
      <c r="F2032" s="2913"/>
    </row>
    <row r="2033" spans="2:6">
      <c r="B2033" s="2913"/>
      <c r="C2033" s="2913"/>
      <c r="D2033" s="2913"/>
      <c r="E2033" s="2913"/>
      <c r="F2033" s="2913"/>
    </row>
    <row r="2034" spans="2:6">
      <c r="B2034" s="2913"/>
      <c r="C2034" s="2913"/>
      <c r="D2034" s="2913"/>
      <c r="E2034" s="2913"/>
      <c r="F2034" s="2913"/>
    </row>
    <row r="2035" spans="2:6">
      <c r="B2035" s="2913"/>
      <c r="C2035" s="2913"/>
      <c r="D2035" s="2913"/>
      <c r="E2035" s="2913"/>
      <c r="F2035" s="2913"/>
    </row>
    <row r="2036" spans="2:6">
      <c r="B2036" s="2913"/>
      <c r="C2036" s="2913"/>
      <c r="D2036" s="2913"/>
      <c r="E2036" s="2913"/>
      <c r="F2036" s="2913"/>
    </row>
    <row r="2037" spans="2:6">
      <c r="B2037" s="2913"/>
      <c r="C2037" s="2913"/>
      <c r="D2037" s="2913"/>
      <c r="E2037" s="2913"/>
      <c r="F2037" s="2913"/>
    </row>
    <row r="2038" spans="2:6">
      <c r="B2038" s="2913"/>
      <c r="C2038" s="2913"/>
      <c r="D2038" s="2913"/>
      <c r="E2038" s="2913"/>
      <c r="F2038" s="2913"/>
    </row>
    <row r="2039" spans="2:6">
      <c r="B2039" s="2913"/>
      <c r="C2039" s="2913"/>
      <c r="D2039" s="2913"/>
      <c r="E2039" s="2913"/>
      <c r="F2039" s="2913"/>
    </row>
    <row r="2040" spans="2:6">
      <c r="B2040" s="2913"/>
      <c r="C2040" s="2913"/>
      <c r="D2040" s="2913"/>
      <c r="E2040" s="2913"/>
      <c r="F2040" s="2913"/>
    </row>
    <row r="2041" spans="2:6">
      <c r="B2041" s="2913"/>
      <c r="C2041" s="2913"/>
      <c r="D2041" s="2913"/>
      <c r="E2041" s="2913"/>
      <c r="F2041" s="2913"/>
    </row>
    <row r="2042" spans="2:6">
      <c r="B2042" s="2913"/>
      <c r="C2042" s="2913"/>
      <c r="D2042" s="2913"/>
      <c r="E2042" s="2913"/>
      <c r="F2042" s="2913"/>
    </row>
    <row r="2043" spans="2:6">
      <c r="B2043" s="2913"/>
      <c r="C2043" s="2913"/>
      <c r="D2043" s="2913"/>
      <c r="E2043" s="2913"/>
      <c r="F2043" s="2913"/>
    </row>
    <row r="2044" spans="2:6">
      <c r="B2044" s="2913"/>
      <c r="C2044" s="2913"/>
      <c r="D2044" s="2913"/>
      <c r="E2044" s="2913"/>
      <c r="F2044" s="2913"/>
    </row>
    <row r="2045" spans="2:6">
      <c r="B2045" s="2913"/>
      <c r="C2045" s="2913"/>
      <c r="D2045" s="2913"/>
      <c r="E2045" s="2913"/>
      <c r="F2045" s="2913"/>
    </row>
    <row r="2046" spans="2:6">
      <c r="B2046" s="2913"/>
      <c r="C2046" s="2913"/>
      <c r="D2046" s="2913"/>
      <c r="E2046" s="2913"/>
      <c r="F2046" s="2913"/>
    </row>
    <row r="2047" spans="2:6">
      <c r="B2047" s="2913"/>
      <c r="C2047" s="2913"/>
      <c r="D2047" s="2913"/>
      <c r="E2047" s="2913"/>
      <c r="F2047" s="2913"/>
    </row>
    <row r="2048" spans="2:6">
      <c r="B2048" s="2913"/>
      <c r="C2048" s="2913"/>
      <c r="D2048" s="2913"/>
      <c r="E2048" s="2913"/>
      <c r="F2048" s="2913"/>
    </row>
    <row r="2049" spans="2:6">
      <c r="B2049" s="2913"/>
      <c r="C2049" s="2913"/>
      <c r="D2049" s="2913"/>
      <c r="E2049" s="2913"/>
      <c r="F2049" s="2913"/>
    </row>
    <row r="2050" spans="2:6">
      <c r="B2050" s="2913"/>
      <c r="C2050" s="2913"/>
      <c r="D2050" s="2913"/>
      <c r="E2050" s="2913"/>
      <c r="F2050" s="2913"/>
    </row>
    <row r="2051" spans="2:6">
      <c r="B2051" s="2913"/>
      <c r="C2051" s="2913"/>
      <c r="D2051" s="2913"/>
      <c r="E2051" s="2913"/>
      <c r="F2051" s="2913"/>
    </row>
    <row r="2052" spans="2:6">
      <c r="B2052" s="2913"/>
      <c r="C2052" s="2913"/>
      <c r="D2052" s="2913"/>
      <c r="E2052" s="2913"/>
      <c r="F2052" s="2913"/>
    </row>
    <row r="2053" spans="2:6">
      <c r="B2053" s="2913"/>
      <c r="C2053" s="2913"/>
      <c r="D2053" s="2913"/>
      <c r="E2053" s="2913"/>
      <c r="F2053" s="2913"/>
    </row>
    <row r="2054" spans="2:6">
      <c r="B2054" s="2913"/>
      <c r="C2054" s="2913"/>
      <c r="D2054" s="2913"/>
      <c r="E2054" s="2913"/>
      <c r="F2054" s="2913"/>
    </row>
    <row r="2055" spans="2:6">
      <c r="B2055" s="2913"/>
      <c r="C2055" s="2913"/>
      <c r="D2055" s="2913"/>
      <c r="E2055" s="2913"/>
      <c r="F2055" s="2913"/>
    </row>
    <row r="2056" spans="2:6">
      <c r="B2056" s="2913"/>
      <c r="C2056" s="2913"/>
      <c r="D2056" s="2913"/>
      <c r="E2056" s="2913"/>
      <c r="F2056" s="2913"/>
    </row>
    <row r="2057" spans="2:6">
      <c r="B2057" s="2913"/>
      <c r="C2057" s="2913"/>
      <c r="D2057" s="2913"/>
      <c r="E2057" s="2913"/>
      <c r="F2057" s="2913"/>
    </row>
    <row r="2058" spans="2:6">
      <c r="B2058" s="2913"/>
      <c r="C2058" s="2913"/>
      <c r="D2058" s="2913"/>
      <c r="E2058" s="2913"/>
      <c r="F2058" s="2913"/>
    </row>
    <row r="2059" spans="2:6">
      <c r="B2059" s="2913"/>
      <c r="C2059" s="2913"/>
      <c r="D2059" s="2913"/>
      <c r="E2059" s="2913"/>
      <c r="F2059" s="2913"/>
    </row>
    <row r="2060" spans="2:6">
      <c r="B2060" s="2913"/>
      <c r="C2060" s="2913"/>
      <c r="D2060" s="2913"/>
      <c r="E2060" s="2913"/>
      <c r="F2060" s="2913"/>
    </row>
    <row r="2061" spans="2:6">
      <c r="B2061" s="2913"/>
      <c r="C2061" s="2913"/>
      <c r="D2061" s="2913"/>
      <c r="E2061" s="2913"/>
      <c r="F2061" s="2913"/>
    </row>
    <row r="2062" spans="2:6">
      <c r="B2062" s="2913"/>
      <c r="C2062" s="2913"/>
      <c r="D2062" s="2913"/>
      <c r="E2062" s="2913"/>
      <c r="F2062" s="2913"/>
    </row>
    <row r="2063" spans="2:6">
      <c r="B2063" s="2913"/>
      <c r="C2063" s="2913"/>
      <c r="D2063" s="2913"/>
      <c r="E2063" s="2913"/>
      <c r="F2063" s="2913"/>
    </row>
    <row r="2064" spans="2:6">
      <c r="B2064" s="2913"/>
      <c r="C2064" s="2913"/>
      <c r="D2064" s="2913"/>
      <c r="E2064" s="2913"/>
      <c r="F2064" s="2913"/>
    </row>
    <row r="2065" spans="2:6">
      <c r="B2065" s="2913"/>
      <c r="C2065" s="2913"/>
      <c r="D2065" s="2913"/>
      <c r="E2065" s="2913"/>
      <c r="F2065" s="2913"/>
    </row>
    <row r="2066" spans="2:6">
      <c r="B2066" s="2913"/>
      <c r="C2066" s="2913"/>
      <c r="D2066" s="2913"/>
      <c r="E2066" s="2913"/>
      <c r="F2066" s="2913"/>
    </row>
    <row r="2067" spans="2:6">
      <c r="B2067" s="2913"/>
      <c r="C2067" s="2913"/>
      <c r="D2067" s="2913"/>
      <c r="E2067" s="2913"/>
      <c r="F2067" s="2913"/>
    </row>
    <row r="2068" spans="2:6">
      <c r="B2068" s="2913"/>
      <c r="C2068" s="2913"/>
      <c r="D2068" s="2913"/>
      <c r="E2068" s="2913"/>
      <c r="F2068" s="2913"/>
    </row>
    <row r="2069" spans="2:6">
      <c r="B2069" s="2913"/>
      <c r="C2069" s="2913"/>
      <c r="D2069" s="2913"/>
      <c r="E2069" s="2913"/>
      <c r="F2069" s="2913"/>
    </row>
    <row r="2070" spans="2:6">
      <c r="B2070" s="2913"/>
      <c r="C2070" s="2913"/>
      <c r="D2070" s="2913"/>
      <c r="E2070" s="2913"/>
      <c r="F2070" s="2913"/>
    </row>
    <row r="2071" spans="2:6">
      <c r="B2071" s="2913"/>
      <c r="C2071" s="2913"/>
      <c r="D2071" s="2913"/>
      <c r="E2071" s="2913"/>
      <c r="F2071" s="2913"/>
    </row>
    <row r="2072" spans="2:6">
      <c r="B2072" s="2913"/>
      <c r="C2072" s="2913"/>
      <c r="D2072" s="2913"/>
      <c r="E2072" s="2913"/>
      <c r="F2072" s="2913"/>
    </row>
    <row r="2073" spans="2:6">
      <c r="B2073" s="2913"/>
      <c r="C2073" s="2913"/>
      <c r="D2073" s="2913"/>
      <c r="E2073" s="2913"/>
      <c r="F2073" s="2913"/>
    </row>
    <row r="2074" spans="2:6">
      <c r="B2074" s="2913"/>
      <c r="C2074" s="2913"/>
      <c r="D2074" s="2913"/>
      <c r="E2074" s="2913"/>
      <c r="F2074" s="2913"/>
    </row>
    <row r="2075" spans="2:6">
      <c r="B2075" s="2913"/>
      <c r="C2075" s="2913"/>
      <c r="D2075" s="2913"/>
      <c r="E2075" s="2913"/>
      <c r="F2075" s="2913"/>
    </row>
    <row r="2076" spans="2:6">
      <c r="B2076" s="2913"/>
      <c r="C2076" s="2913"/>
      <c r="D2076" s="2913"/>
      <c r="E2076" s="2913"/>
      <c r="F2076" s="2913"/>
    </row>
    <row r="2077" spans="2:6">
      <c r="B2077" s="2913"/>
      <c r="C2077" s="2913"/>
      <c r="D2077" s="2913"/>
      <c r="E2077" s="2913"/>
      <c r="F2077" s="2913"/>
    </row>
    <row r="2078" spans="2:6">
      <c r="B2078" s="2913"/>
      <c r="C2078" s="2913"/>
      <c r="D2078" s="2913"/>
      <c r="E2078" s="2913"/>
      <c r="F2078" s="2913"/>
    </row>
    <row r="2079" spans="2:6">
      <c r="B2079" s="2913"/>
      <c r="C2079" s="2913"/>
      <c r="D2079" s="2913"/>
      <c r="E2079" s="2913"/>
      <c r="F2079" s="2913"/>
    </row>
    <row r="2080" spans="2:6">
      <c r="B2080" s="2913"/>
      <c r="C2080" s="2913"/>
      <c r="D2080" s="2913"/>
      <c r="E2080" s="2913"/>
      <c r="F2080" s="2913"/>
    </row>
    <row r="2081" spans="2:6">
      <c r="B2081" s="2913"/>
      <c r="C2081" s="2913"/>
      <c r="D2081" s="2913"/>
      <c r="E2081" s="2913"/>
      <c r="F2081" s="2913"/>
    </row>
    <row r="2082" spans="2:6">
      <c r="B2082" s="2913"/>
      <c r="C2082" s="2913"/>
      <c r="D2082" s="2913"/>
      <c r="E2082" s="2913"/>
      <c r="F2082" s="2913"/>
    </row>
    <row r="2083" spans="2:6">
      <c r="B2083" s="2913"/>
      <c r="C2083" s="2913"/>
      <c r="D2083" s="2913"/>
      <c r="E2083" s="2913"/>
      <c r="F2083" s="2913"/>
    </row>
    <row r="2084" spans="2:6">
      <c r="B2084" s="2913"/>
      <c r="C2084" s="2913"/>
      <c r="D2084" s="2913"/>
      <c r="E2084" s="2913"/>
      <c r="F2084" s="2913"/>
    </row>
    <row r="2085" spans="2:6">
      <c r="B2085" s="2913"/>
      <c r="C2085" s="2913"/>
      <c r="D2085" s="2913"/>
      <c r="E2085" s="2913"/>
      <c r="F2085" s="2913"/>
    </row>
    <row r="2086" spans="2:6">
      <c r="E2086" s="2913"/>
      <c r="F2086" s="2913"/>
    </row>
  </sheetData>
  <mergeCells count="4">
    <mergeCell ref="B607:D607"/>
    <mergeCell ref="B608:D608"/>
    <mergeCell ref="B609:D609"/>
    <mergeCell ref="A1:E1"/>
  </mergeCells>
  <pageMargins left="1.25" right="0.75" top="1.1100000000000001" bottom="1" header="0.5" footer="0.5"/>
  <pageSetup paperSize="9" scale="110" orientation="portrait" r:id="rId1"/>
  <headerFooter alignWithMargins="0"/>
  <ignoredErrors>
    <ignoredError sqref="B165 B216 B257 B312 B365 B469 B522 B589" numberStoredAsText="1"/>
  </ignoredErrors>
</worksheet>
</file>

<file path=xl/worksheets/sheet69.xml><?xml version="1.0" encoding="utf-8"?>
<worksheet xmlns="http://schemas.openxmlformats.org/spreadsheetml/2006/main" xmlns:r="http://schemas.openxmlformats.org/officeDocument/2006/relationships">
  <dimension ref="A1:E19"/>
  <sheetViews>
    <sheetView tabSelected="1" workbookViewId="0">
      <selection activeCell="H11" sqref="H11"/>
    </sheetView>
  </sheetViews>
  <sheetFormatPr defaultRowHeight="12.75"/>
  <cols>
    <col min="1" max="1" width="9.140625" style="2914"/>
    <col min="2" max="2" width="35.5703125" customWidth="1"/>
    <col min="3" max="4" width="14.28515625" customWidth="1"/>
  </cols>
  <sheetData>
    <row r="1" spans="1:5" s="2914" customFormat="1" ht="18">
      <c r="A1" s="3116"/>
      <c r="B1" s="4708" t="s">
        <v>1886</v>
      </c>
      <c r="C1" s="4708"/>
      <c r="D1" s="4708"/>
      <c r="E1" s="3116"/>
    </row>
    <row r="2" spans="1:5" s="2914" customFormat="1">
      <c r="A2" s="3116"/>
      <c r="B2" s="3116"/>
      <c r="C2" s="4899"/>
      <c r="D2" s="4899"/>
      <c r="E2" s="3116"/>
    </row>
    <row r="3" spans="1:5" ht="16.5">
      <c r="A3" s="3116"/>
      <c r="B3" s="3122" t="s">
        <v>1751</v>
      </c>
      <c r="C3" s="3123" t="s">
        <v>1724</v>
      </c>
      <c r="D3" s="3124" t="s">
        <v>1734</v>
      </c>
      <c r="E3" s="3116"/>
    </row>
    <row r="4" spans="1:5" s="302" customFormat="1" ht="23.25" customHeight="1">
      <c r="A4" s="1536"/>
      <c r="B4" s="3119" t="s">
        <v>1725</v>
      </c>
      <c r="C4" s="3126">
        <v>6</v>
      </c>
      <c r="D4" s="3127">
        <v>6.75</v>
      </c>
      <c r="E4" s="1536"/>
    </row>
    <row r="5" spans="1:5" s="302" customFormat="1" ht="23.25" customHeight="1">
      <c r="A5" s="1536"/>
      <c r="B5" s="3119" t="s">
        <v>1726</v>
      </c>
      <c r="C5" s="3128" t="s">
        <v>1782</v>
      </c>
      <c r="D5" s="3127" t="s">
        <v>1826</v>
      </c>
      <c r="E5" s="1536"/>
    </row>
    <row r="6" spans="1:5" s="302" customFormat="1" ht="23.25" customHeight="1">
      <c r="A6" s="1536"/>
      <c r="B6" s="3120" t="s">
        <v>1727</v>
      </c>
      <c r="C6" s="3126">
        <v>7</v>
      </c>
      <c r="D6" s="3127">
        <v>7</v>
      </c>
      <c r="E6" s="1536"/>
    </row>
    <row r="7" spans="1:5" s="302" customFormat="1" ht="23.25" customHeight="1">
      <c r="A7" s="1536"/>
      <c r="B7" s="3119" t="s">
        <v>1728</v>
      </c>
      <c r="C7" s="3126">
        <v>10</v>
      </c>
      <c r="D7" s="3127">
        <v>4</v>
      </c>
      <c r="E7" s="1536"/>
    </row>
    <row r="8" spans="1:5" s="302" customFormat="1" ht="23.25" customHeight="1">
      <c r="A8" s="1536"/>
      <c r="B8" s="3119" t="s">
        <v>1729</v>
      </c>
      <c r="C8" s="3126">
        <v>20</v>
      </c>
      <c r="D8" s="3127">
        <v>21.25</v>
      </c>
      <c r="E8" s="1536"/>
    </row>
    <row r="9" spans="1:5" s="302" customFormat="1" ht="23.25" customHeight="1">
      <c r="A9" s="1536"/>
      <c r="B9" s="3119" t="s">
        <v>1730</v>
      </c>
      <c r="C9" s="3126" t="s">
        <v>779</v>
      </c>
      <c r="D9" s="3127">
        <v>4</v>
      </c>
      <c r="E9" s="1536"/>
    </row>
    <row r="10" spans="1:5" s="302" customFormat="1" ht="23.25" customHeight="1">
      <c r="A10" s="1536"/>
      <c r="B10" s="3119" t="s">
        <v>1731</v>
      </c>
      <c r="C10" s="3126" t="s">
        <v>1775</v>
      </c>
      <c r="D10" s="3129" t="s">
        <v>2100</v>
      </c>
      <c r="E10" s="1536"/>
    </row>
    <row r="11" spans="1:5" s="302" customFormat="1" ht="23.25" customHeight="1">
      <c r="A11" s="1536"/>
      <c r="B11" s="3121" t="s">
        <v>1732</v>
      </c>
      <c r="C11" s="3125">
        <v>1.97</v>
      </c>
      <c r="D11" s="3125">
        <v>7.8121</v>
      </c>
      <c r="E11" s="1536"/>
    </row>
    <row r="12" spans="1:5">
      <c r="A12" s="3116"/>
      <c r="B12" s="4898" t="s">
        <v>1733</v>
      </c>
      <c r="C12" s="4898"/>
      <c r="D12" s="4898"/>
      <c r="E12" s="3116"/>
    </row>
    <row r="13" spans="1:5" ht="23.25" customHeight="1">
      <c r="A13" s="3116"/>
      <c r="B13" s="4898" t="s">
        <v>1783</v>
      </c>
      <c r="C13" s="4898"/>
      <c r="D13" s="4898"/>
      <c r="E13" s="3116"/>
    </row>
    <row r="14" spans="1:5" ht="22.5" customHeight="1">
      <c r="A14" s="3116"/>
      <c r="B14" s="4898"/>
      <c r="C14" s="4898"/>
      <c r="D14" s="4898"/>
      <c r="E14" s="3116"/>
    </row>
    <row r="15" spans="1:5">
      <c r="A15" s="3116"/>
      <c r="B15" s="3116"/>
      <c r="C15" s="3116"/>
      <c r="D15" s="3116"/>
      <c r="E15" s="3116"/>
    </row>
    <row r="16" spans="1:5">
      <c r="A16" s="3116"/>
      <c r="B16" s="3116"/>
      <c r="C16" s="3116"/>
      <c r="D16" s="3116"/>
      <c r="E16" s="3116"/>
    </row>
    <row r="17" spans="1:5">
      <c r="A17" s="3116"/>
      <c r="B17" s="3116"/>
      <c r="C17" s="3116"/>
      <c r="D17" s="3116"/>
      <c r="E17" s="3116"/>
    </row>
    <row r="18" spans="1:5">
      <c r="A18" s="3116"/>
      <c r="B18" s="3116"/>
      <c r="C18" s="3116"/>
      <c r="D18" s="3116"/>
      <c r="E18" s="3116"/>
    </row>
    <row r="19" spans="1:5">
      <c r="A19" s="3116"/>
      <c r="B19" s="3116"/>
      <c r="C19" s="3116"/>
      <c r="D19" s="3116"/>
      <c r="E19" s="3116"/>
    </row>
  </sheetData>
  <mergeCells count="5">
    <mergeCell ref="B12:D12"/>
    <mergeCell ref="B13:D13"/>
    <mergeCell ref="B14:D14"/>
    <mergeCell ref="C2:D2"/>
    <mergeCell ref="B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10" enableFormatConditionsCalculation="0">
    <tabColor indexed="46"/>
    <pageSetUpPr fitToPage="1"/>
  </sheetPr>
  <dimension ref="A1:N68"/>
  <sheetViews>
    <sheetView workbookViewId="0">
      <pane xSplit="1" ySplit="2" topLeftCell="F3" activePane="bottomRight" state="frozen"/>
      <selection pane="topRight" activeCell="B1" sqref="B1"/>
      <selection pane="bottomLeft" activeCell="A3" sqref="A3"/>
      <selection pane="bottomRight" activeCell="I16" sqref="I16"/>
    </sheetView>
  </sheetViews>
  <sheetFormatPr defaultRowHeight="12.75"/>
  <cols>
    <col min="1" max="1" width="21.42578125" customWidth="1"/>
    <col min="2" max="2" width="8.42578125" hidden="1" customWidth="1"/>
    <col min="3" max="4" width="9.7109375" hidden="1" customWidth="1"/>
    <col min="6" max="6" width="7.5703125" customWidth="1"/>
    <col min="7" max="7" width="8.140625" customWidth="1"/>
    <col min="8" max="8" width="8.140625" style="700" customWidth="1"/>
    <col min="9" max="11" width="9.140625" style="700"/>
    <col min="13" max="13" width="34.85546875" customWidth="1"/>
  </cols>
  <sheetData>
    <row r="1" spans="1:14" ht="27.75" customHeight="1">
      <c r="A1" s="959"/>
      <c r="B1" s="960"/>
      <c r="C1" s="960"/>
      <c r="D1" s="960"/>
      <c r="E1" s="960"/>
      <c r="F1" s="4429" t="s">
        <v>1290</v>
      </c>
      <c r="G1" s="4430"/>
      <c r="H1" s="4430"/>
      <c r="I1" s="4430"/>
      <c r="J1" s="4430"/>
      <c r="K1" s="4430"/>
      <c r="L1" s="4430"/>
      <c r="M1" s="4430"/>
    </row>
    <row r="2" spans="1:14" ht="21" customHeight="1">
      <c r="A2" s="893" t="s">
        <v>146</v>
      </c>
      <c r="B2" s="893" t="s">
        <v>240</v>
      </c>
      <c r="C2" s="893" t="s">
        <v>241</v>
      </c>
      <c r="D2" s="893" t="s">
        <v>195</v>
      </c>
      <c r="E2" s="894" t="s">
        <v>452</v>
      </c>
      <c r="F2" s="895" t="s">
        <v>609</v>
      </c>
      <c r="G2" s="895" t="s">
        <v>877</v>
      </c>
      <c r="H2" s="895" t="s">
        <v>1164</v>
      </c>
      <c r="I2" s="895" t="s">
        <v>998</v>
      </c>
      <c r="J2" s="895" t="s">
        <v>805</v>
      </c>
      <c r="K2" s="895" t="s">
        <v>806</v>
      </c>
      <c r="L2" s="896" t="s">
        <v>807</v>
      </c>
      <c r="M2" s="944" t="s">
        <v>358</v>
      </c>
    </row>
    <row r="3" spans="1:14">
      <c r="A3" s="897"/>
      <c r="B3" s="897"/>
      <c r="C3" s="897"/>
      <c r="D3" s="897"/>
      <c r="E3" s="897"/>
      <c r="F3" s="898"/>
      <c r="G3" s="898"/>
      <c r="H3" s="898"/>
      <c r="I3" s="902"/>
      <c r="J3" s="902"/>
      <c r="K3" s="902"/>
      <c r="L3" s="897"/>
      <c r="M3" s="956" t="s">
        <v>362</v>
      </c>
    </row>
    <row r="4" spans="1:14" s="700" customFormat="1">
      <c r="A4" s="897" t="s">
        <v>354</v>
      </c>
      <c r="B4" s="897"/>
      <c r="C4" s="897"/>
      <c r="D4" s="898">
        <f>[7]Reserves!J29</f>
        <v>292.59759600042548</v>
      </c>
      <c r="E4" s="898">
        <v>315.31994853046302</v>
      </c>
      <c r="F4" s="898">
        <v>373.25998544458236</v>
      </c>
      <c r="G4" s="898">
        <v>383.25839980662323</v>
      </c>
      <c r="H4" s="898">
        <v>419.76913334373484</v>
      </c>
      <c r="I4" s="942">
        <f>I13+I14</f>
        <v>482.41652493972043</v>
      </c>
      <c r="J4" s="942">
        <f>J13+J14</f>
        <v>523.37939735420559</v>
      </c>
      <c r="K4" s="942">
        <f>K13+K14</f>
        <v>583.46183673679855</v>
      </c>
      <c r="L4" s="942">
        <f>L13+L14</f>
        <v>641.11113124916039</v>
      </c>
      <c r="M4" s="483"/>
    </row>
    <row r="5" spans="1:14" s="700" customFormat="1" ht="21.75" customHeight="1">
      <c r="A5" s="908" t="s">
        <v>337</v>
      </c>
      <c r="B5" s="897"/>
      <c r="C5" s="897"/>
      <c r="D5" s="897"/>
      <c r="E5" s="897"/>
      <c r="F5" s="898">
        <f t="shared" ref="F5:L5" si="0">((F4-E4)/E4)*100</f>
        <v>18.374998849310593</v>
      </c>
      <c r="G5" s="898">
        <f t="shared" si="0"/>
        <v>2.6786729764595498</v>
      </c>
      <c r="H5" s="898">
        <f t="shared" si="0"/>
        <v>9.526401392776636</v>
      </c>
      <c r="I5" s="904">
        <f t="shared" si="0"/>
        <v>14.924249216934621</v>
      </c>
      <c r="J5" s="904">
        <f t="shared" si="0"/>
        <v>8.4911835098525312</v>
      </c>
      <c r="K5" s="904">
        <f t="shared" si="0"/>
        <v>11.479710452173411</v>
      </c>
      <c r="L5" s="904">
        <f t="shared" si="0"/>
        <v>9.880559598342268</v>
      </c>
      <c r="M5" s="483"/>
    </row>
    <row r="6" spans="1:14" s="700" customFormat="1" ht="23.25" customHeight="1">
      <c r="A6" s="897" t="s">
        <v>336</v>
      </c>
      <c r="B6" s="897"/>
      <c r="C6" s="897"/>
      <c r="D6" s="898">
        <f>D4*D17</f>
        <v>13075.601370067016</v>
      </c>
      <c r="E6" s="898">
        <f>E4*E17</f>
        <v>14821.614180674414</v>
      </c>
      <c r="F6" s="898">
        <f>F4*F17</f>
        <v>18275.182147352196</v>
      </c>
      <c r="G6" s="898">
        <f>G4*G17</f>
        <v>17905.065922165824</v>
      </c>
      <c r="H6" s="898">
        <f>H4*H17</f>
        <v>19015.541740471188</v>
      </c>
      <c r="I6" s="898">
        <f>I10+I15</f>
        <v>21129.843792359752</v>
      </c>
      <c r="J6" s="898">
        <f>J10+J15</f>
        <v>23395.059061732991</v>
      </c>
      <c r="K6" s="898">
        <f>K10+K15</f>
        <v>26664.205938871695</v>
      </c>
      <c r="L6" s="898">
        <f>L10+L15</f>
        <v>29875.778716210873</v>
      </c>
      <c r="M6" s="483"/>
    </row>
    <row r="7" spans="1:14" s="948" customFormat="1" ht="27.75" customHeight="1">
      <c r="A7" s="899" t="s">
        <v>337</v>
      </c>
      <c r="B7" s="900"/>
      <c r="C7" s="900"/>
      <c r="D7" s="900"/>
      <c r="E7" s="901">
        <f>((E6-D6)/D6)*100</f>
        <v>13.353212301228561</v>
      </c>
      <c r="F7" s="901">
        <f t="shared" ref="F7:L7" si="1">((F6-E6)/E6)*100</f>
        <v>23.300889664101597</v>
      </c>
      <c r="G7" s="901">
        <f t="shared" si="1"/>
        <v>-2.0252395965311676</v>
      </c>
      <c r="H7" s="901">
        <f t="shared" si="1"/>
        <v>6.2020202725455187</v>
      </c>
      <c r="I7" s="901">
        <f t="shared" si="1"/>
        <v>11.11881050114207</v>
      </c>
      <c r="J7" s="901">
        <f t="shared" si="1"/>
        <v>10.720454403890614</v>
      </c>
      <c r="K7" s="901">
        <f t="shared" si="1"/>
        <v>13.973663706137026</v>
      </c>
      <c r="L7" s="901">
        <f t="shared" si="1"/>
        <v>12.044509349731927</v>
      </c>
      <c r="M7" s="482"/>
    </row>
    <row r="8" spans="1:14" ht="23.25" customHeight="1">
      <c r="A8" s="943" t="s">
        <v>813</v>
      </c>
      <c r="B8" s="903"/>
      <c r="C8" s="903"/>
      <c r="D8" s="903"/>
      <c r="E8" s="903">
        <v>315.31994853046302</v>
      </c>
      <c r="F8" s="904">
        <v>373.25998544458236</v>
      </c>
      <c r="G8" s="904">
        <v>383.25839980662323</v>
      </c>
      <c r="H8" s="904">
        <v>364.46048513661106</v>
      </c>
      <c r="I8" s="904">
        <v>413.05674558460947</v>
      </c>
      <c r="J8" s="904">
        <f>I8+((20/100)*I8)</f>
        <v>495.66809470153134</v>
      </c>
      <c r="K8" s="904"/>
      <c r="L8" s="897"/>
      <c r="M8" s="11"/>
    </row>
    <row r="9" spans="1:14" ht="21.75" customHeight="1">
      <c r="A9" s="938" t="s">
        <v>355</v>
      </c>
      <c r="B9" s="938"/>
      <c r="C9" s="938"/>
      <c r="D9" s="938"/>
      <c r="E9" s="938"/>
      <c r="F9" s="939">
        <f>((F8-E8)/E8)*100</f>
        <v>18.374998849310593</v>
      </c>
      <c r="G9" s="939">
        <f>((G8-F8)/F8)*100</f>
        <v>2.6786729764595498</v>
      </c>
      <c r="H9" s="939">
        <f>((H8-G8)/G8)*100</f>
        <v>-4.9047626038977485</v>
      </c>
      <c r="I9" s="939">
        <f>((I8-H8)/H8)*100</f>
        <v>13.333752884015132</v>
      </c>
      <c r="J9" s="939">
        <f>((J8-I8)/I8)*100</f>
        <v>19.999999999999996</v>
      </c>
      <c r="K9" s="939"/>
      <c r="L9" s="919"/>
      <c r="M9" s="11"/>
    </row>
    <row r="10" spans="1:14" ht="26.25" customHeight="1">
      <c r="A10" s="897" t="s">
        <v>340</v>
      </c>
      <c r="B10" s="913">
        <v>2519.2600000000002</v>
      </c>
      <c r="C10" s="898">
        <v>3106.55</v>
      </c>
      <c r="D10" s="898">
        <v>3551.92</v>
      </c>
      <c r="E10" s="906">
        <v>3663.88</v>
      </c>
      <c r="F10" s="906">
        <v>3330.15</v>
      </c>
      <c r="G10" s="906">
        <v>4362.83</v>
      </c>
      <c r="H10" s="907">
        <v>3578.26</v>
      </c>
      <c r="I10" s="906">
        <f>H10+(I11/100*H10)</f>
        <v>3844.9530694731629</v>
      </c>
      <c r="J10" s="906">
        <f>I10+(J11/100*I10)</f>
        <v>3863.1325448711441</v>
      </c>
      <c r="K10" s="906">
        <f>J10+(K11/100*J10)</f>
        <v>4593.1289748178042</v>
      </c>
      <c r="L10" s="906">
        <f>K10+(L11/100*K10)</f>
        <v>4935.4617468299784</v>
      </c>
      <c r="M10" s="11"/>
    </row>
    <row r="11" spans="1:14" s="793" customFormat="1" ht="26.25" customHeight="1">
      <c r="A11" s="908" t="s">
        <v>337</v>
      </c>
      <c r="B11" s="937"/>
      <c r="C11" s="953">
        <f t="shared" ref="C11:H11" si="2">((C10-B10)/B10)*100</f>
        <v>23.312004318728512</v>
      </c>
      <c r="D11" s="953">
        <f t="shared" si="2"/>
        <v>14.336482593230429</v>
      </c>
      <c r="E11" s="910">
        <f t="shared" si="2"/>
        <v>3.1520980202256821</v>
      </c>
      <c r="F11" s="910">
        <f t="shared" si="2"/>
        <v>-9.1086498466106978</v>
      </c>
      <c r="G11" s="910">
        <f t="shared" si="2"/>
        <v>31.010014563908527</v>
      </c>
      <c r="H11" s="910">
        <f t="shared" si="2"/>
        <v>-17.983052284870134</v>
      </c>
      <c r="I11" s="910">
        <f>AVERAGE(C11:H11)</f>
        <v>7.4531495607687193</v>
      </c>
      <c r="J11" s="910">
        <f>'[7]Inflow Outflow'!G47</f>
        <v>0.47281397378595713</v>
      </c>
      <c r="K11" s="910">
        <f>'[7]Inflow Outflow'!H47</f>
        <v>18.896489350742929</v>
      </c>
      <c r="L11" s="910">
        <f>I11</f>
        <v>7.4531495607687193</v>
      </c>
      <c r="M11" s="955" t="s">
        <v>361</v>
      </c>
    </row>
    <row r="12" spans="1:14" s="793" customFormat="1" ht="20.25" customHeight="1">
      <c r="A12" s="908" t="s">
        <v>356</v>
      </c>
      <c r="B12" s="903"/>
      <c r="C12" s="904"/>
      <c r="D12" s="904"/>
      <c r="E12" s="941">
        <f t="shared" ref="E12:L12" si="3">(E10/E6)*100</f>
        <v>24.719844649425937</v>
      </c>
      <c r="F12" s="941">
        <f t="shared" si="3"/>
        <v>18.222253398894246</v>
      </c>
      <c r="G12" s="941">
        <f t="shared" si="3"/>
        <v>24.366455945850355</v>
      </c>
      <c r="H12" s="941">
        <f t="shared" si="3"/>
        <v>18.81755486557773</v>
      </c>
      <c r="I12" s="941">
        <f t="shared" si="3"/>
        <v>18.196788898474693</v>
      </c>
      <c r="J12" s="941">
        <f t="shared" si="3"/>
        <v>16.512600095077438</v>
      </c>
      <c r="K12" s="941">
        <f t="shared" si="3"/>
        <v>17.225823207890226</v>
      </c>
      <c r="L12" s="941">
        <f t="shared" si="3"/>
        <v>16.519943442183656</v>
      </c>
      <c r="M12" s="946"/>
    </row>
    <row r="13" spans="1:14" s="62" customFormat="1" ht="19.5" customHeight="1">
      <c r="A13" s="905" t="s">
        <v>816</v>
      </c>
      <c r="B13" s="905"/>
      <c r="C13" s="905"/>
      <c r="D13" s="905"/>
      <c r="E13" s="911">
        <f t="shared" ref="E13:L13" si="4">E10/E17</f>
        <v>77.94660142538028</v>
      </c>
      <c r="F13" s="911">
        <f t="shared" si="4"/>
        <v>68.016380384387574</v>
      </c>
      <c r="G13" s="911">
        <f t="shared" si="4"/>
        <v>93.386489147651858</v>
      </c>
      <c r="H13" s="911">
        <f t="shared" si="4"/>
        <v>78.990286975717453</v>
      </c>
      <c r="I13" s="911">
        <f t="shared" si="4"/>
        <v>87.784316654638431</v>
      </c>
      <c r="J13" s="911">
        <f t="shared" si="4"/>
        <v>86.423546865126255</v>
      </c>
      <c r="K13" s="911">
        <f t="shared" si="4"/>
        <v>100.50610448179002</v>
      </c>
      <c r="L13" s="911">
        <f t="shared" si="4"/>
        <v>105.91119628390511</v>
      </c>
      <c r="M13" s="64"/>
    </row>
    <row r="14" spans="1:14" s="62" customFormat="1" ht="19.5" customHeight="1">
      <c r="A14" s="940" t="s">
        <v>821</v>
      </c>
      <c r="B14" s="905"/>
      <c r="C14" s="905"/>
      <c r="D14" s="911">
        <f>[7]Reserves!J20</f>
        <v>217.03286884374</v>
      </c>
      <c r="E14" s="911">
        <f>[7]Reserves!K20</f>
        <v>240.48732664774005</v>
      </c>
      <c r="F14" s="911">
        <f>[7]Reserves!X20</f>
        <v>298.21674237508108</v>
      </c>
      <c r="G14" s="911">
        <f>[7]Reserves!AI20</f>
        <v>287.38677566088739</v>
      </c>
      <c r="H14" s="911">
        <f>[7]Reserves!AU20</f>
        <v>337.6680678053213</v>
      </c>
      <c r="I14" s="911">
        <f>I15/I17</f>
        <v>394.63220828508202</v>
      </c>
      <c r="J14" s="911">
        <f>J15/J17</f>
        <v>436.95585048907935</v>
      </c>
      <c r="K14" s="911">
        <f>K15/K17</f>
        <v>482.95573225500851</v>
      </c>
      <c r="L14" s="911">
        <f>L15/L17</f>
        <v>535.19993496525524</v>
      </c>
      <c r="M14" s="64"/>
    </row>
    <row r="15" spans="1:14" s="62" customFormat="1" ht="17.25" customHeight="1">
      <c r="A15" s="905" t="s">
        <v>339</v>
      </c>
      <c r="B15" s="905"/>
      <c r="C15" s="905"/>
      <c r="D15" s="913">
        <f>D14*D17</f>
        <v>9698.7648428890534</v>
      </c>
      <c r="E15" s="911">
        <f>E14*E17</f>
        <v>11304.106789077021</v>
      </c>
      <c r="F15" s="911">
        <f>F14*F17</f>
        <v>14600.989923426345</v>
      </c>
      <c r="G15" s="911">
        <f>G14*G17</f>
        <v>13426.135385325339</v>
      </c>
      <c r="H15" s="911">
        <f>H14*H17</f>
        <v>15296.363471581053</v>
      </c>
      <c r="I15" s="911">
        <f>(H15+(I16/100*H15))</f>
        <v>17284.89072288659</v>
      </c>
      <c r="J15" s="911">
        <f>(I15+(J16/100*I15))</f>
        <v>19531.926516861848</v>
      </c>
      <c r="K15" s="911">
        <f>(J15+(K16/100*J15))</f>
        <v>22071.076964053889</v>
      </c>
      <c r="L15" s="911">
        <f>(K15+(L16/100*K15))</f>
        <v>24940.316969380896</v>
      </c>
      <c r="M15" s="64"/>
    </row>
    <row r="16" spans="1:14" s="793" customFormat="1" ht="30.75" customHeight="1">
      <c r="A16" s="908" t="s">
        <v>338</v>
      </c>
      <c r="B16" s="909"/>
      <c r="C16" s="909"/>
      <c r="D16" s="909"/>
      <c r="E16" s="910">
        <f>((E15-D15)/D15)*100</f>
        <v>16.552024636054284</v>
      </c>
      <c r="F16" s="910">
        <f>((F15-E15)/E15)*100</f>
        <v>29.165357297712806</v>
      </c>
      <c r="G16" s="910">
        <f>((G15-F15)/F15)*100</f>
        <v>-8.0464033210243375</v>
      </c>
      <c r="H16" s="910">
        <f>((H15-G15)/G15)*100</f>
        <v>13.929757391690384</v>
      </c>
      <c r="I16" s="910">
        <v>13</v>
      </c>
      <c r="J16" s="910">
        <v>13</v>
      </c>
      <c r="K16" s="910">
        <v>13</v>
      </c>
      <c r="L16" s="910">
        <v>13</v>
      </c>
      <c r="M16" s="947" t="s">
        <v>357</v>
      </c>
      <c r="N16" s="794"/>
    </row>
    <row r="17" spans="1:14" s="793" customFormat="1" ht="13.5" customHeight="1">
      <c r="A17" s="949" t="s">
        <v>822</v>
      </c>
      <c r="B17" s="950"/>
      <c r="C17" s="950"/>
      <c r="D17" s="942">
        <v>44.688000000000002</v>
      </c>
      <c r="E17" s="942">
        <v>47.005000000000003</v>
      </c>
      <c r="F17" s="942">
        <v>48.960999999999999</v>
      </c>
      <c r="G17" s="942">
        <v>46.718000000000004</v>
      </c>
      <c r="H17" s="942">
        <v>45.3</v>
      </c>
      <c r="I17" s="942">
        <v>43.8</v>
      </c>
      <c r="J17" s="942">
        <v>44.7</v>
      </c>
      <c r="K17" s="942">
        <v>45.7</v>
      </c>
      <c r="L17" s="942">
        <v>46.6</v>
      </c>
      <c r="M17" s="945" t="s">
        <v>359</v>
      </c>
      <c r="N17" s="794"/>
    </row>
    <row r="18" spans="1:14" s="793" customFormat="1" ht="30.75" customHeight="1">
      <c r="A18" s="951" t="s">
        <v>1289</v>
      </c>
      <c r="B18" s="951" t="e">
        <f>'[7]Reserves Projection'!B68</f>
        <v>#REF!</v>
      </c>
      <c r="C18" s="951" t="e">
        <f>'[7]Reserves Projection'!C68</f>
        <v>#REF!</v>
      </c>
      <c r="D18" s="951" t="e">
        <f>'[7]Reserves Projection'!D68</f>
        <v>#REF!</v>
      </c>
      <c r="E18" s="952">
        <f>'[7]Reserves Projection'!E68</f>
        <v>7.5</v>
      </c>
      <c r="F18" s="952">
        <f>'[7]Reserves Projection'!F68</f>
        <v>8.9</v>
      </c>
      <c r="G18" s="952">
        <f>'[7]Reserves Projection'!G68</f>
        <v>7.1</v>
      </c>
      <c r="H18" s="952">
        <f>'[7]Reserves Projection'!H68</f>
        <v>7.5</v>
      </c>
      <c r="I18" s="952">
        <f>'[7]Reserves Projection'!I68</f>
        <v>5.8</v>
      </c>
      <c r="J18" s="952">
        <f>'[7]Reserves Projection'!J68</f>
        <v>6.6192414574931799</v>
      </c>
      <c r="K18" s="952">
        <f>'[7]Reserves Projection'!K68</f>
        <v>9.9189429276501926</v>
      </c>
      <c r="L18" s="952">
        <f>'[7]Reserves Projection'!L68</f>
        <v>4.0735088231358461</v>
      </c>
      <c r="M18" s="954" t="s">
        <v>360</v>
      </c>
      <c r="N18" s="794"/>
    </row>
    <row r="19" spans="1:14" s="62" customFormat="1"/>
    <row r="20" spans="1:14" s="62" customFormat="1"/>
    <row r="21" spans="1:14" s="62" customFormat="1"/>
    <row r="22" spans="1:14" s="62" customFormat="1">
      <c r="A22" s="1120" t="s">
        <v>109</v>
      </c>
    </row>
    <row r="23" spans="1:14" s="62" customFormat="1" ht="19.5" customHeight="1">
      <c r="A23" s="1121"/>
      <c r="B23" s="1122"/>
      <c r="C23" s="1122"/>
      <c r="D23" s="1122"/>
      <c r="E23" s="1122"/>
      <c r="F23" s="1123" t="s">
        <v>732</v>
      </c>
      <c r="G23" s="1123" t="s">
        <v>126</v>
      </c>
      <c r="H23" s="1124">
        <v>2008</v>
      </c>
    </row>
    <row r="24" spans="1:14" s="62" customFormat="1" ht="19.5" customHeight="1">
      <c r="A24" s="1125" t="s">
        <v>127</v>
      </c>
      <c r="B24" s="1125"/>
      <c r="C24" s="1125"/>
      <c r="D24" s="1125"/>
      <c r="E24" s="1125"/>
      <c r="F24" s="1126">
        <f t="shared" ref="F24:H25" si="5">J6</f>
        <v>23395.059061732991</v>
      </c>
      <c r="G24" s="1126">
        <f t="shared" si="5"/>
        <v>26664.205938871695</v>
      </c>
      <c r="H24" s="1126">
        <f t="shared" si="5"/>
        <v>29875.778716210873</v>
      </c>
    </row>
    <row r="25" spans="1:14" s="62" customFormat="1" ht="19.5" customHeight="1">
      <c r="A25" s="1127" t="s">
        <v>337</v>
      </c>
      <c r="B25" s="1125"/>
      <c r="C25" s="1125"/>
      <c r="D25" s="1125"/>
      <c r="E25" s="1125"/>
      <c r="F25" s="1128">
        <f t="shared" si="5"/>
        <v>10.720454403890614</v>
      </c>
      <c r="G25" s="1128">
        <f t="shared" si="5"/>
        <v>13.973663706137026</v>
      </c>
      <c r="H25" s="1128">
        <f t="shared" si="5"/>
        <v>12.044509349731927</v>
      </c>
    </row>
    <row r="26" spans="1:14" s="62" customFormat="1" ht="19.5" customHeight="1">
      <c r="A26" s="1125" t="s">
        <v>110</v>
      </c>
      <c r="B26" s="1125"/>
      <c r="C26" s="1125"/>
      <c r="D26" s="1125"/>
      <c r="E26" s="1125"/>
      <c r="F26" s="1126">
        <f t="shared" ref="F26:H27" si="6">J10</f>
        <v>3863.1325448711441</v>
      </c>
      <c r="G26" s="1126">
        <f t="shared" si="6"/>
        <v>4593.1289748178042</v>
      </c>
      <c r="H26" s="1126">
        <f t="shared" si="6"/>
        <v>4935.4617468299784</v>
      </c>
    </row>
    <row r="27" spans="1:14" s="62" customFormat="1" ht="19.5" customHeight="1">
      <c r="A27" s="1127" t="s">
        <v>337</v>
      </c>
      <c r="B27" s="1125"/>
      <c r="C27" s="1125"/>
      <c r="D27" s="1125"/>
      <c r="E27" s="1125"/>
      <c r="F27" s="1128">
        <f t="shared" si="6"/>
        <v>0.47281397378595713</v>
      </c>
      <c r="G27" s="1128">
        <f t="shared" si="6"/>
        <v>18.896489350742929</v>
      </c>
      <c r="H27" s="1128">
        <f t="shared" si="6"/>
        <v>7.4531495607687193</v>
      </c>
    </row>
    <row r="28" spans="1:14" s="62" customFormat="1" ht="30" customHeight="1">
      <c r="A28" s="1129" t="s">
        <v>128</v>
      </c>
      <c r="B28" s="1125"/>
      <c r="C28" s="1125"/>
      <c r="D28" s="1125"/>
      <c r="E28" s="1125"/>
      <c r="F28" s="1126">
        <f t="shared" ref="F28:H29" si="7">J15</f>
        <v>19531.926516861848</v>
      </c>
      <c r="G28" s="1126">
        <f t="shared" si="7"/>
        <v>22071.076964053889</v>
      </c>
      <c r="H28" s="1126">
        <f t="shared" si="7"/>
        <v>24940.316969380896</v>
      </c>
    </row>
    <row r="29" spans="1:14" s="62" customFormat="1" ht="19.5" customHeight="1">
      <c r="A29" s="1130" t="s">
        <v>338</v>
      </c>
      <c r="B29" s="1131"/>
      <c r="C29" s="1131"/>
      <c r="D29" s="1131"/>
      <c r="E29" s="1131"/>
      <c r="F29" s="1132">
        <f t="shared" si="7"/>
        <v>13</v>
      </c>
      <c r="G29" s="1132">
        <f t="shared" si="7"/>
        <v>13</v>
      </c>
      <c r="H29" s="1132">
        <f t="shared" si="7"/>
        <v>13</v>
      </c>
    </row>
    <row r="30" spans="1:14" s="62" customFormat="1"/>
    <row r="31" spans="1:14" s="62" customFormat="1"/>
    <row r="32" spans="1:14">
      <c r="H32" s="957"/>
      <c r="I32" s="958"/>
      <c r="J32" s="958"/>
      <c r="K32" s="958"/>
      <c r="L32" s="958"/>
      <c r="M32" s="958"/>
    </row>
    <row r="35" spans="1:11">
      <c r="A35" t="s">
        <v>823</v>
      </c>
      <c r="E35" s="117"/>
      <c r="F35" s="117"/>
      <c r="G35" s="117"/>
      <c r="H35" s="791">
        <f>H10+H15</f>
        <v>18874.623471581053</v>
      </c>
      <c r="I35" s="791">
        <f>I10+I15</f>
        <v>21129.843792359752</v>
      </c>
      <c r="J35" s="791">
        <f>J10+J15</f>
        <v>23395.059061732991</v>
      </c>
      <c r="K35" s="791">
        <f>K10+K15</f>
        <v>26664.205938871695</v>
      </c>
    </row>
    <row r="36" spans="1:11" s="804" customFormat="1">
      <c r="E36" s="805"/>
      <c r="F36" s="805"/>
      <c r="G36" s="805"/>
      <c r="H36" s="805"/>
      <c r="I36" s="805">
        <f>((I35/H35)-1)*100</f>
        <v>11.948425483423897</v>
      </c>
      <c r="J36" s="805">
        <f>((J35/I35)-1)*100</f>
        <v>10.720454403890622</v>
      </c>
      <c r="K36" s="805">
        <f>((K35/J35)-1)*100</f>
        <v>13.973663706137017</v>
      </c>
    </row>
    <row r="37" spans="1:11">
      <c r="E37" s="117"/>
      <c r="F37" s="117"/>
      <c r="G37" s="117"/>
      <c r="H37" s="791"/>
      <c r="I37" s="791"/>
      <c r="J37" s="791"/>
      <c r="K37" s="791"/>
    </row>
    <row r="39" spans="1:11" s="804" customFormat="1" ht="15" customHeight="1">
      <c r="A39" s="804" t="s">
        <v>824</v>
      </c>
      <c r="F39" s="805"/>
      <c r="G39" s="805"/>
      <c r="H39" s="805"/>
      <c r="I39" s="806">
        <f>I47+I51</f>
        <v>414.94284944572644</v>
      </c>
      <c r="J39" s="806">
        <f>J47+J51</f>
        <v>459.44477383594591</v>
      </c>
      <c r="K39" s="806">
        <f>K47+K51</f>
        <v>512.55840465486801</v>
      </c>
    </row>
    <row r="40" spans="1:11" s="804" customFormat="1">
      <c r="A40" s="804" t="s">
        <v>825</v>
      </c>
      <c r="F40" s="805"/>
      <c r="G40" s="805"/>
      <c r="H40" s="805"/>
      <c r="I40" s="806">
        <f>((I39-H4)/H4)*100</f>
        <v>-1.1497472097492973</v>
      </c>
      <c r="J40" s="806">
        <f>((J39-I39)/I39)*100</f>
        <v>10.724832214765089</v>
      </c>
      <c r="K40" s="806">
        <f>((K39-J39)/J39)*100</f>
        <v>11.560395034091171</v>
      </c>
    </row>
    <row r="41" spans="1:11" s="804" customFormat="1">
      <c r="F41" s="805"/>
      <c r="G41" s="805"/>
      <c r="H41" s="805"/>
      <c r="I41" s="806"/>
      <c r="J41" s="806"/>
      <c r="K41" s="806"/>
    </row>
    <row r="42" spans="1:11" s="804" customFormat="1">
      <c r="A42" s="804" t="s">
        <v>826</v>
      </c>
      <c r="F42" s="805"/>
      <c r="G42" s="805"/>
      <c r="H42" s="805">
        <f>H4*H17</f>
        <v>19015.541740471188</v>
      </c>
      <c r="I42" s="806">
        <f>I45+I49</f>
        <v>18174.496805722818</v>
      </c>
      <c r="J42" s="806">
        <f>J45+J49</f>
        <v>20537.181390466787</v>
      </c>
      <c r="K42" s="806">
        <f>K45+K49</f>
        <v>23423.919092727469</v>
      </c>
    </row>
    <row r="43" spans="1:11" s="804" customFormat="1">
      <c r="A43" s="804" t="s">
        <v>825</v>
      </c>
      <c r="F43" s="805"/>
      <c r="G43" s="805"/>
      <c r="H43" s="805"/>
      <c r="I43" s="806">
        <f>((I42-H42)/H42)*100</f>
        <v>-4.4229343882344194</v>
      </c>
      <c r="J43" s="806">
        <f>((J42-I42)/I42)*100</f>
        <v>13.000000000000014</v>
      </c>
      <c r="K43" s="806">
        <f>((K42-J42)/J42)*100</f>
        <v>14.056153312258735</v>
      </c>
    </row>
    <row r="44" spans="1:11" s="700" customFormat="1"/>
    <row r="45" spans="1:11" s="700" customFormat="1">
      <c r="A45" s="700" t="s">
        <v>814</v>
      </c>
      <c r="E45" s="797">
        <v>3663.88</v>
      </c>
      <c r="F45" s="797">
        <v>3330.15</v>
      </c>
      <c r="G45" s="797">
        <v>4362.83</v>
      </c>
      <c r="H45" s="797">
        <v>3490.01</v>
      </c>
      <c r="I45" s="797">
        <f>H45+(I46/100*H45)</f>
        <v>3839.0110000000004</v>
      </c>
      <c r="J45" s="797">
        <f>I45+(J46/100*I45)</f>
        <v>4338.0824300000004</v>
      </c>
      <c r="K45" s="797">
        <f>J45+(K46/100*J45)</f>
        <v>5118.9372674000006</v>
      </c>
    </row>
    <row r="46" spans="1:11" s="700" customFormat="1">
      <c r="A46" s="700" t="s">
        <v>815</v>
      </c>
      <c r="F46" s="791">
        <f>((F45-E45)/E45)*100</f>
        <v>-9.1086498466106978</v>
      </c>
      <c r="G46" s="791">
        <f>((G45-F45)/F45)*100</f>
        <v>31.010014563908527</v>
      </c>
      <c r="H46" s="791">
        <f>((H45-G45)/G45)*100</f>
        <v>-20.005821909173626</v>
      </c>
      <c r="I46" s="791">
        <v>10</v>
      </c>
      <c r="J46" s="791">
        <v>13</v>
      </c>
      <c r="K46" s="791">
        <v>18</v>
      </c>
    </row>
    <row r="47" spans="1:11" s="700" customFormat="1">
      <c r="A47" s="807" t="s">
        <v>816</v>
      </c>
      <c r="B47" s="807"/>
      <c r="C47" s="807"/>
      <c r="D47" s="807"/>
      <c r="E47" s="792"/>
      <c r="F47" s="792"/>
      <c r="G47" s="792"/>
      <c r="H47" s="792"/>
      <c r="I47" s="792">
        <f>I45/I17</f>
        <v>87.648652968036544</v>
      </c>
      <c r="J47" s="792">
        <f>J45/J17</f>
        <v>97.048823937360183</v>
      </c>
      <c r="K47" s="792">
        <f>K45/K17</f>
        <v>112.01175639824946</v>
      </c>
    </row>
    <row r="48" spans="1:11" s="700" customFormat="1"/>
    <row r="49" spans="1:12" s="700" customFormat="1">
      <c r="A49" s="700" t="s">
        <v>819</v>
      </c>
      <c r="E49" s="700" t="s">
        <v>820</v>
      </c>
      <c r="F49" s="700" t="s">
        <v>820</v>
      </c>
      <c r="G49" s="700" t="s">
        <v>820</v>
      </c>
      <c r="H49" s="797">
        <v>12686.270624533467</v>
      </c>
      <c r="I49" s="797">
        <f>H49+(I50/100*H49)</f>
        <v>14335.485805722818</v>
      </c>
      <c r="J49" s="797">
        <f>I49+(J50/100*I49)</f>
        <v>16199.098960466785</v>
      </c>
      <c r="K49" s="797">
        <f>J49+(K50/100*J49)</f>
        <v>18304.981825327468</v>
      </c>
    </row>
    <row r="50" spans="1:12" s="700" customFormat="1">
      <c r="A50" s="700" t="s">
        <v>815</v>
      </c>
      <c r="F50" s="791"/>
      <c r="G50" s="791"/>
      <c r="H50" s="791"/>
      <c r="I50" s="791">
        <v>13</v>
      </c>
      <c r="J50" s="791">
        <v>13</v>
      </c>
      <c r="K50" s="791">
        <v>13</v>
      </c>
    </row>
    <row r="51" spans="1:12" s="700" customFormat="1">
      <c r="A51" s="807" t="s">
        <v>821</v>
      </c>
      <c r="B51" s="807"/>
      <c r="C51" s="807"/>
      <c r="D51" s="807"/>
      <c r="E51" s="807"/>
      <c r="F51" s="807"/>
      <c r="G51" s="807"/>
      <c r="H51" s="807"/>
      <c r="I51" s="792">
        <f>I49/I17</f>
        <v>327.29419647768992</v>
      </c>
      <c r="J51" s="792">
        <f>J49/J17</f>
        <v>362.39594989858574</v>
      </c>
      <c r="K51" s="792">
        <f>K49/K17</f>
        <v>400.54664825661854</v>
      </c>
    </row>
    <row r="53" spans="1:12">
      <c r="A53" s="912" t="s">
        <v>817</v>
      </c>
    </row>
    <row r="54" spans="1:12">
      <c r="A54" s="912" t="s">
        <v>818</v>
      </c>
    </row>
    <row r="56" spans="1:12">
      <c r="A56" t="s">
        <v>827</v>
      </c>
    </row>
    <row r="57" spans="1:12">
      <c r="A57" t="s">
        <v>828</v>
      </c>
    </row>
    <row r="58" spans="1:12">
      <c r="A58" t="s">
        <v>829</v>
      </c>
    </row>
    <row r="59" spans="1:12">
      <c r="A59" t="s">
        <v>830</v>
      </c>
    </row>
    <row r="60" spans="1:12">
      <c r="A60" t="s">
        <v>199</v>
      </c>
    </row>
    <row r="63" spans="1:12">
      <c r="A63" t="s">
        <v>963</v>
      </c>
    </row>
    <row r="64" spans="1:12">
      <c r="E64">
        <v>2001</v>
      </c>
      <c r="F64">
        <v>2002</v>
      </c>
      <c r="G64">
        <v>2003</v>
      </c>
      <c r="H64" s="700">
        <v>2004</v>
      </c>
      <c r="I64" s="700">
        <v>2005</v>
      </c>
      <c r="J64" s="700">
        <v>2006</v>
      </c>
      <c r="K64" s="700">
        <v>2007</v>
      </c>
      <c r="L64" s="700">
        <v>2008</v>
      </c>
    </row>
    <row r="65" spans="1:12">
      <c r="A65" t="s">
        <v>1201</v>
      </c>
      <c r="E65" s="117">
        <f>E7</f>
        <v>13.353212301228561</v>
      </c>
      <c r="F65" s="117">
        <f t="shared" ref="F65:L65" si="8">F7</f>
        <v>23.300889664101597</v>
      </c>
      <c r="G65" s="117">
        <f t="shared" si="8"/>
        <v>-2.0252395965311676</v>
      </c>
      <c r="H65" s="117">
        <f t="shared" si="8"/>
        <v>6.2020202725455187</v>
      </c>
      <c r="I65" s="117">
        <f t="shared" si="8"/>
        <v>11.11881050114207</v>
      </c>
      <c r="J65" s="117">
        <f t="shared" si="8"/>
        <v>10.720454403890614</v>
      </c>
      <c r="K65" s="117">
        <f t="shared" si="8"/>
        <v>13.973663706137026</v>
      </c>
      <c r="L65" s="117">
        <f t="shared" si="8"/>
        <v>12.044509349731927</v>
      </c>
    </row>
    <row r="66" spans="1:12">
      <c r="A66" t="s">
        <v>964</v>
      </c>
      <c r="E66" s="117">
        <f>E11</f>
        <v>3.1520980202256821</v>
      </c>
      <c r="F66" s="117">
        <f t="shared" ref="F66:L66" si="9">F11</f>
        <v>-9.1086498466106978</v>
      </c>
      <c r="G66" s="117">
        <f t="shared" si="9"/>
        <v>31.010014563908527</v>
      </c>
      <c r="H66" s="117">
        <f t="shared" si="9"/>
        <v>-17.983052284870134</v>
      </c>
      <c r="I66" s="117">
        <f t="shared" si="9"/>
        <v>7.4531495607687193</v>
      </c>
      <c r="J66" s="117">
        <f t="shared" si="9"/>
        <v>0.47281397378595713</v>
      </c>
      <c r="K66" s="117">
        <f t="shared" si="9"/>
        <v>18.896489350742929</v>
      </c>
      <c r="L66" s="117">
        <f t="shared" si="9"/>
        <v>7.4531495607687193</v>
      </c>
    </row>
    <row r="67" spans="1:12">
      <c r="A67" t="s">
        <v>965</v>
      </c>
      <c r="E67" s="117">
        <f>E16</f>
        <v>16.552024636054284</v>
      </c>
      <c r="F67" s="117">
        <f t="shared" ref="F67:L67" si="10">F16</f>
        <v>29.165357297712806</v>
      </c>
      <c r="G67" s="117">
        <f t="shared" si="10"/>
        <v>-8.0464033210243375</v>
      </c>
      <c r="H67" s="117">
        <f t="shared" si="10"/>
        <v>13.929757391690384</v>
      </c>
      <c r="I67" s="117">
        <f t="shared" si="10"/>
        <v>13</v>
      </c>
      <c r="J67" s="117">
        <f t="shared" si="10"/>
        <v>13</v>
      </c>
      <c r="K67" s="117">
        <f t="shared" si="10"/>
        <v>13</v>
      </c>
      <c r="L67" s="117">
        <f t="shared" si="10"/>
        <v>13</v>
      </c>
    </row>
    <row r="68" spans="1:12">
      <c r="A68" t="s">
        <v>1288</v>
      </c>
      <c r="E68" s="117">
        <v>7.5</v>
      </c>
      <c r="F68" s="117">
        <v>8.9</v>
      </c>
      <c r="G68" s="117">
        <v>7.1</v>
      </c>
      <c r="H68" s="791">
        <v>7.5</v>
      </c>
      <c r="I68" s="791">
        <v>5.8</v>
      </c>
      <c r="J68" s="791">
        <f>'[7]Yearly Count'!Z34</f>
        <v>6.6192414574931799</v>
      </c>
      <c r="K68" s="791">
        <f>'[7]Yearly Count'!Z35</f>
        <v>9.9189429276501926</v>
      </c>
      <c r="L68" s="117">
        <f>'[7]Yearly Count'!Z36</f>
        <v>4.0735088231358461</v>
      </c>
    </row>
  </sheetData>
  <mergeCells count="1">
    <mergeCell ref="F1:M1"/>
  </mergeCells>
  <phoneticPr fontId="44" type="noConversion"/>
  <pageMargins left="0.85" right="0.75" top="1.25" bottom="1" header="0.5" footer="0.5"/>
  <pageSetup scale="34" orientation="landscape" r:id="rId1"/>
  <headerFooter alignWithMargins="0">
    <oddFooter>&amp;L&amp;D</oddFooter>
  </headerFooter>
  <drawing r:id="rId2"/>
</worksheet>
</file>

<file path=xl/worksheets/sheet70.xml><?xml version="1.0" encoding="utf-8"?>
<worksheet xmlns="http://schemas.openxmlformats.org/spreadsheetml/2006/main" xmlns:r="http://schemas.openxmlformats.org/officeDocument/2006/relationships">
  <sheetPr codeName="Sheet31"/>
  <dimension ref="A1:K44"/>
  <sheetViews>
    <sheetView workbookViewId="0">
      <selection activeCell="M32" sqref="M32"/>
    </sheetView>
  </sheetViews>
  <sheetFormatPr defaultRowHeight="12.75"/>
  <cols>
    <col min="1" max="1" width="15.7109375" bestFit="1" customWidth="1"/>
    <col min="6" max="6" width="16.28515625" style="4" customWidth="1"/>
    <col min="7" max="7" width="9.140625" style="117"/>
  </cols>
  <sheetData>
    <row r="1" spans="1:10">
      <c r="B1" s="303"/>
      <c r="C1" s="304" t="s">
        <v>279</v>
      </c>
      <c r="D1" s="35" t="s">
        <v>278</v>
      </c>
      <c r="E1" t="s">
        <v>152</v>
      </c>
      <c r="F1" s="4" t="s">
        <v>936</v>
      </c>
      <c r="G1" s="117" t="s">
        <v>937</v>
      </c>
    </row>
    <row r="2" spans="1:10">
      <c r="A2" s="307" t="s">
        <v>172</v>
      </c>
      <c r="B2" s="303">
        <v>37530</v>
      </c>
      <c r="C2">
        <v>918.38</v>
      </c>
      <c r="D2">
        <v>1235.23</v>
      </c>
      <c r="E2">
        <f>C2+D2</f>
        <v>2153.61</v>
      </c>
    </row>
    <row r="3" spans="1:10">
      <c r="B3" s="303">
        <v>37561</v>
      </c>
      <c r="C3">
        <v>943.54</v>
      </c>
      <c r="D3">
        <v>1249.76</v>
      </c>
      <c r="E3">
        <f t="shared" ref="E3:E41" si="0">C3+D3</f>
        <v>2193.3000000000002</v>
      </c>
    </row>
    <row r="4" spans="1:10">
      <c r="B4" s="303">
        <v>37895</v>
      </c>
      <c r="C4">
        <v>1214</v>
      </c>
      <c r="D4">
        <v>1339.18</v>
      </c>
      <c r="E4">
        <f t="shared" si="0"/>
        <v>2553.1800000000003</v>
      </c>
      <c r="F4" s="4">
        <f>E4-E2</f>
        <v>399.57000000000016</v>
      </c>
      <c r="G4" s="117">
        <f>(F4/E2)*100</f>
        <v>18.553498544304688</v>
      </c>
      <c r="I4">
        <f>1020.08+1211.83</f>
        <v>2231.91</v>
      </c>
      <c r="J4">
        <f>(I4/E4)*100</f>
        <v>87.416868375907669</v>
      </c>
    </row>
    <row r="5" spans="1:10">
      <c r="B5" s="305">
        <v>37926</v>
      </c>
      <c r="C5">
        <v>943.54</v>
      </c>
      <c r="D5">
        <v>1420.66</v>
      </c>
      <c r="E5" s="307">
        <f t="shared" si="0"/>
        <v>2364.1999999999998</v>
      </c>
      <c r="F5" s="4">
        <f>E5-E3</f>
        <v>170.89999999999964</v>
      </c>
      <c r="G5" s="306">
        <f>(F5/E3)*100</f>
        <v>7.7919117311813073</v>
      </c>
      <c r="I5">
        <f>(775.95+1211.97)</f>
        <v>1987.92</v>
      </c>
      <c r="J5">
        <f>(I5/E5)*100</f>
        <v>84.084256831063371</v>
      </c>
    </row>
    <row r="6" spans="1:10">
      <c r="A6" s="188" t="s">
        <v>429</v>
      </c>
      <c r="B6" s="303">
        <v>37530</v>
      </c>
      <c r="C6">
        <v>13.48</v>
      </c>
      <c r="D6">
        <v>37.89</v>
      </c>
      <c r="E6">
        <f t="shared" si="0"/>
        <v>51.370000000000005</v>
      </c>
    </row>
    <row r="7" spans="1:10">
      <c r="B7" s="303">
        <v>37561</v>
      </c>
      <c r="C7">
        <v>17.02</v>
      </c>
      <c r="D7">
        <v>33.46</v>
      </c>
      <c r="E7">
        <f t="shared" si="0"/>
        <v>50.480000000000004</v>
      </c>
    </row>
    <row r="8" spans="1:10">
      <c r="B8" s="303">
        <v>37895</v>
      </c>
      <c r="C8">
        <v>38.1</v>
      </c>
      <c r="D8">
        <v>30.65</v>
      </c>
      <c r="E8">
        <f t="shared" si="0"/>
        <v>68.75</v>
      </c>
      <c r="F8" s="4">
        <f>E8-E6</f>
        <v>17.379999999999995</v>
      </c>
      <c r="G8" s="117">
        <f>(F8/E6)*100</f>
        <v>33.832976445396135</v>
      </c>
    </row>
    <row r="9" spans="1:10">
      <c r="B9" s="303">
        <v>37926</v>
      </c>
      <c r="C9">
        <v>17.02</v>
      </c>
      <c r="D9">
        <v>42.62</v>
      </c>
      <c r="E9" s="188">
        <f t="shared" si="0"/>
        <v>59.64</v>
      </c>
      <c r="F9" s="4">
        <f>E9-E7</f>
        <v>9.1599999999999966</v>
      </c>
      <c r="G9" s="306">
        <f>(F9/E7)*100</f>
        <v>18.145800316957203</v>
      </c>
    </row>
    <row r="10" spans="1:10">
      <c r="A10" t="s">
        <v>421</v>
      </c>
      <c r="B10" s="303">
        <v>37530</v>
      </c>
      <c r="C10">
        <v>0</v>
      </c>
      <c r="D10">
        <v>55.71</v>
      </c>
      <c r="E10">
        <f t="shared" si="0"/>
        <v>55.71</v>
      </c>
    </row>
    <row r="11" spans="1:10">
      <c r="B11" s="303">
        <v>37561</v>
      </c>
      <c r="C11">
        <v>0</v>
      </c>
      <c r="D11">
        <v>55.71</v>
      </c>
      <c r="E11">
        <f t="shared" si="0"/>
        <v>55.71</v>
      </c>
    </row>
    <row r="12" spans="1:10">
      <c r="B12" s="303">
        <v>37895</v>
      </c>
      <c r="C12">
        <v>0</v>
      </c>
      <c r="D12">
        <v>3.21</v>
      </c>
      <c r="E12">
        <f t="shared" si="0"/>
        <v>3.21</v>
      </c>
      <c r="F12" s="4">
        <f>E12-E10</f>
        <v>-52.5</v>
      </c>
      <c r="G12" s="117">
        <f>(F12/E10)*100</f>
        <v>-94.238018309100696</v>
      </c>
    </row>
    <row r="13" spans="1:10">
      <c r="B13" s="303">
        <v>37926</v>
      </c>
      <c r="C13">
        <v>0</v>
      </c>
      <c r="D13">
        <v>8.81</v>
      </c>
      <c r="E13">
        <f t="shared" si="0"/>
        <v>8.81</v>
      </c>
      <c r="F13" s="4">
        <f>E13-E11</f>
        <v>-46.9</v>
      </c>
      <c r="G13" s="117">
        <f>(F13/E11)*100</f>
        <v>-84.185963022796614</v>
      </c>
    </row>
    <row r="14" spans="1:10">
      <c r="A14" t="s">
        <v>927</v>
      </c>
      <c r="B14" s="303">
        <v>37530</v>
      </c>
      <c r="C14">
        <v>0</v>
      </c>
      <c r="D14">
        <v>0</v>
      </c>
      <c r="E14">
        <f t="shared" si="0"/>
        <v>0</v>
      </c>
    </row>
    <row r="15" spans="1:10">
      <c r="B15" s="303">
        <v>37561</v>
      </c>
      <c r="C15">
        <v>0</v>
      </c>
      <c r="D15">
        <v>0</v>
      </c>
      <c r="E15">
        <f t="shared" si="0"/>
        <v>0</v>
      </c>
    </row>
    <row r="16" spans="1:10">
      <c r="B16" s="303">
        <v>37895</v>
      </c>
      <c r="C16">
        <v>0</v>
      </c>
      <c r="D16">
        <v>0</v>
      </c>
      <c r="E16">
        <f t="shared" si="0"/>
        <v>0</v>
      </c>
      <c r="F16" s="4">
        <f>E16-E14</f>
        <v>0</v>
      </c>
    </row>
    <row r="17" spans="1:11">
      <c r="B17" s="303">
        <v>37926</v>
      </c>
      <c r="C17">
        <v>0</v>
      </c>
      <c r="D17">
        <v>0</v>
      </c>
      <c r="E17">
        <f t="shared" si="0"/>
        <v>0</v>
      </c>
      <c r="F17" s="4">
        <f>E17-E15</f>
        <v>0</v>
      </c>
    </row>
    <row r="18" spans="1:11">
      <c r="A18" t="s">
        <v>928</v>
      </c>
      <c r="B18" s="303">
        <v>37530</v>
      </c>
      <c r="C18">
        <v>0.88</v>
      </c>
      <c r="D18">
        <v>17.25</v>
      </c>
      <c r="E18">
        <f t="shared" si="0"/>
        <v>18.13</v>
      </c>
    </row>
    <row r="19" spans="1:11">
      <c r="A19" t="s">
        <v>929</v>
      </c>
      <c r="B19" s="303">
        <v>37561</v>
      </c>
      <c r="C19">
        <v>0.88</v>
      </c>
      <c r="D19">
        <v>17.25</v>
      </c>
      <c r="E19">
        <f t="shared" si="0"/>
        <v>18.13</v>
      </c>
    </row>
    <row r="20" spans="1:11">
      <c r="B20" s="303">
        <v>37895</v>
      </c>
      <c r="C20">
        <v>0.88</v>
      </c>
      <c r="D20">
        <v>25.1</v>
      </c>
      <c r="E20">
        <f t="shared" si="0"/>
        <v>25.98</v>
      </c>
      <c r="F20" s="4">
        <f>E20-E18</f>
        <v>7.8500000000000014</v>
      </c>
      <c r="G20" s="117">
        <f>(F20/E18)*100</f>
        <v>43.298400441257598</v>
      </c>
    </row>
    <row r="21" spans="1:11">
      <c r="B21" s="303">
        <v>37926</v>
      </c>
      <c r="C21">
        <v>0.88</v>
      </c>
      <c r="D21">
        <v>25.1</v>
      </c>
      <c r="E21">
        <f t="shared" si="0"/>
        <v>25.98</v>
      </c>
      <c r="F21" s="4">
        <f>E21-E19</f>
        <v>7.8500000000000014</v>
      </c>
      <c r="G21" s="117">
        <f>(F21/E19)*100</f>
        <v>43.298400441257598</v>
      </c>
    </row>
    <row r="22" spans="1:11">
      <c r="A22" t="s">
        <v>930</v>
      </c>
      <c r="B22" s="303">
        <v>37530</v>
      </c>
      <c r="C22">
        <v>0</v>
      </c>
      <c r="D22">
        <v>0</v>
      </c>
      <c r="E22">
        <f t="shared" si="0"/>
        <v>0</v>
      </c>
      <c r="K22" s="2" t="s">
        <v>1346</v>
      </c>
    </row>
    <row r="23" spans="1:11">
      <c r="A23" t="s">
        <v>929</v>
      </c>
      <c r="B23" s="303">
        <v>37561</v>
      </c>
      <c r="C23">
        <v>0</v>
      </c>
      <c r="D23">
        <v>0</v>
      </c>
      <c r="E23">
        <f t="shared" si="0"/>
        <v>0</v>
      </c>
    </row>
    <row r="24" spans="1:11">
      <c r="B24" s="303">
        <v>37895</v>
      </c>
      <c r="C24">
        <v>0</v>
      </c>
      <c r="D24">
        <v>0</v>
      </c>
      <c r="E24">
        <f t="shared" si="0"/>
        <v>0</v>
      </c>
      <c r="F24" s="4">
        <f>E24-E22</f>
        <v>0</v>
      </c>
    </row>
    <row r="25" spans="1:11">
      <c r="B25" s="303">
        <v>37926</v>
      </c>
      <c r="C25">
        <v>0</v>
      </c>
      <c r="D25">
        <v>0</v>
      </c>
      <c r="E25">
        <f t="shared" si="0"/>
        <v>0</v>
      </c>
      <c r="F25" s="4">
        <f>E25-E23</f>
        <v>0</v>
      </c>
    </row>
    <row r="26" spans="1:11">
      <c r="A26" s="188" t="s">
        <v>931</v>
      </c>
      <c r="B26" s="303">
        <v>37530</v>
      </c>
      <c r="C26">
        <v>896.02</v>
      </c>
      <c r="D26">
        <v>1124.3800000000001</v>
      </c>
      <c r="E26">
        <f t="shared" si="0"/>
        <v>2020.4</v>
      </c>
    </row>
    <row r="27" spans="1:11">
      <c r="A27" s="188" t="s">
        <v>182</v>
      </c>
      <c r="B27" s="303">
        <v>37561</v>
      </c>
      <c r="C27">
        <v>917.64</v>
      </c>
      <c r="D27">
        <v>1143.3399999999999</v>
      </c>
      <c r="E27">
        <f t="shared" si="0"/>
        <v>2060.98</v>
      </c>
    </row>
    <row r="28" spans="1:11">
      <c r="B28" s="303">
        <v>37895</v>
      </c>
      <c r="C28">
        <v>1160.02</v>
      </c>
      <c r="D28">
        <v>1240.22</v>
      </c>
      <c r="E28">
        <f t="shared" si="0"/>
        <v>2400.2399999999998</v>
      </c>
      <c r="F28" s="4">
        <f>E28-E26</f>
        <v>379.83999999999969</v>
      </c>
      <c r="G28" s="117">
        <f>(F28/E26)*100</f>
        <v>18.800237576717464</v>
      </c>
    </row>
    <row r="29" spans="1:11">
      <c r="B29" s="303">
        <v>37926</v>
      </c>
      <c r="C29">
        <v>917.64</v>
      </c>
      <c r="D29">
        <v>1244.1300000000001</v>
      </c>
      <c r="E29" s="188">
        <f t="shared" si="0"/>
        <v>2161.77</v>
      </c>
      <c r="F29" s="4">
        <f>E29-E27</f>
        <v>100.78999999999996</v>
      </c>
      <c r="G29" s="306">
        <f>(F29/E27)*100</f>
        <v>4.890391949460934</v>
      </c>
    </row>
    <row r="30" spans="1:11">
      <c r="A30" t="s">
        <v>932</v>
      </c>
      <c r="B30" s="303">
        <v>37530</v>
      </c>
      <c r="C30">
        <v>8</v>
      </c>
      <c r="D30">
        <v>0</v>
      </c>
      <c r="E30">
        <f>C30+D30</f>
        <v>8</v>
      </c>
    </row>
    <row r="31" spans="1:11">
      <c r="A31" t="s">
        <v>933</v>
      </c>
      <c r="B31" s="303">
        <v>37561</v>
      </c>
      <c r="C31">
        <v>8</v>
      </c>
      <c r="D31">
        <v>0</v>
      </c>
      <c r="E31">
        <f t="shared" si="0"/>
        <v>8</v>
      </c>
    </row>
    <row r="32" spans="1:11">
      <c r="B32" s="303">
        <v>37895</v>
      </c>
      <c r="C32">
        <v>15</v>
      </c>
      <c r="D32">
        <v>40</v>
      </c>
      <c r="E32">
        <f t="shared" si="0"/>
        <v>55</v>
      </c>
      <c r="F32" s="4">
        <f>E32-E30</f>
        <v>47</v>
      </c>
      <c r="G32" s="117">
        <f>(F32/E30)*100</f>
        <v>587.5</v>
      </c>
    </row>
    <row r="33" spans="1:7">
      <c r="B33" s="303">
        <v>37926</v>
      </c>
      <c r="C33">
        <v>8</v>
      </c>
      <c r="D33">
        <v>100</v>
      </c>
      <c r="E33">
        <f t="shared" si="0"/>
        <v>108</v>
      </c>
      <c r="F33" s="4">
        <f>E33-E31</f>
        <v>100</v>
      </c>
      <c r="G33" s="117">
        <f>(F33/E31)*100</f>
        <v>1250</v>
      </c>
    </row>
    <row r="34" spans="1:7">
      <c r="A34" t="s">
        <v>934</v>
      </c>
      <c r="B34" s="303">
        <v>37530</v>
      </c>
      <c r="C34">
        <v>0</v>
      </c>
      <c r="D34">
        <v>0</v>
      </c>
      <c r="E34">
        <f t="shared" si="0"/>
        <v>0</v>
      </c>
    </row>
    <row r="35" spans="1:7">
      <c r="A35" t="s">
        <v>935</v>
      </c>
      <c r="B35" s="303">
        <v>37561</v>
      </c>
      <c r="C35">
        <v>0</v>
      </c>
      <c r="D35">
        <v>0</v>
      </c>
      <c r="E35">
        <f t="shared" si="0"/>
        <v>0</v>
      </c>
    </row>
    <row r="36" spans="1:7">
      <c r="B36" s="303">
        <v>37895</v>
      </c>
      <c r="C36">
        <v>0</v>
      </c>
      <c r="D36">
        <v>0</v>
      </c>
      <c r="E36">
        <f t="shared" si="0"/>
        <v>0</v>
      </c>
      <c r="F36" s="4">
        <f>E36-E34</f>
        <v>0</v>
      </c>
    </row>
    <row r="37" spans="1:7">
      <c r="B37" s="303">
        <v>37926</v>
      </c>
      <c r="C37">
        <v>0</v>
      </c>
      <c r="D37">
        <v>0</v>
      </c>
      <c r="E37">
        <f t="shared" si="0"/>
        <v>0</v>
      </c>
      <c r="F37" s="4">
        <f>E37-E35</f>
        <v>0</v>
      </c>
    </row>
    <row r="38" spans="1:7">
      <c r="A38" t="s">
        <v>433</v>
      </c>
      <c r="B38" s="303">
        <v>37530</v>
      </c>
      <c r="C38">
        <v>0</v>
      </c>
      <c r="D38">
        <f>184.99+0+500</f>
        <v>684.99</v>
      </c>
      <c r="E38">
        <f t="shared" si="0"/>
        <v>684.99</v>
      </c>
    </row>
    <row r="39" spans="1:7">
      <c r="B39" s="303">
        <v>37561</v>
      </c>
      <c r="C39">
        <v>0</v>
      </c>
      <c r="D39">
        <f>184.99+500</f>
        <v>684.99</v>
      </c>
      <c r="E39">
        <f t="shared" si="0"/>
        <v>684.99</v>
      </c>
    </row>
    <row r="40" spans="1:7">
      <c r="B40" s="303">
        <v>37895</v>
      </c>
      <c r="C40">
        <f>100+100</f>
        <v>200</v>
      </c>
      <c r="D40">
        <f>186.29+450</f>
        <v>636.29</v>
      </c>
      <c r="E40">
        <f t="shared" si="0"/>
        <v>836.29</v>
      </c>
      <c r="F40" s="4">
        <f>E40-E38</f>
        <v>151.29999999999995</v>
      </c>
      <c r="G40" s="117">
        <f>(F40/E38)*100</f>
        <v>22.087913692170684</v>
      </c>
    </row>
    <row r="41" spans="1:7">
      <c r="B41" s="303">
        <v>37926</v>
      </c>
      <c r="C41">
        <v>0</v>
      </c>
      <c r="D41">
        <f>186.29+450</f>
        <v>636.29</v>
      </c>
      <c r="E41">
        <f t="shared" si="0"/>
        <v>636.29</v>
      </c>
      <c r="F41" s="4">
        <f>E41-E39</f>
        <v>-48.700000000000045</v>
      </c>
      <c r="G41" s="117">
        <f>(F41/E39)*100</f>
        <v>-7.1095928407714046</v>
      </c>
    </row>
    <row r="44" spans="1:7">
      <c r="E44">
        <f>(E40/E2)*100</f>
        <v>38.832007652267585</v>
      </c>
    </row>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Sheet32" enableFormatConditionsCalculation="0">
    <tabColor indexed="44"/>
  </sheetPr>
  <dimension ref="A1:HW117"/>
  <sheetViews>
    <sheetView view="pageBreakPreview" zoomScale="75" zoomScaleSheetLayoutView="75" workbookViewId="0">
      <pane xSplit="2" ySplit="6" topLeftCell="BU22" activePane="bottomRight" state="frozen"/>
      <selection pane="topRight" activeCell="B1" sqref="B1"/>
      <selection pane="bottomLeft" activeCell="A7" sqref="A7"/>
      <selection pane="bottomRight" activeCell="DP26" sqref="DP26"/>
    </sheetView>
  </sheetViews>
  <sheetFormatPr defaultColWidth="12.5703125" defaultRowHeight="14.25"/>
  <cols>
    <col min="1" max="1" width="12.5703125" style="1429"/>
    <col min="2" max="2" width="43.28515625" style="1429" customWidth="1"/>
    <col min="3" max="3" width="5" style="1429" hidden="1" customWidth="1"/>
    <col min="4" max="7" width="9.28515625" style="1429" hidden="1" customWidth="1"/>
    <col min="8" max="8" width="10.28515625" style="1429" hidden="1" customWidth="1"/>
    <col min="9" max="12" width="10" style="1429" hidden="1" customWidth="1"/>
    <col min="13" max="42" width="9.7109375" style="1429" hidden="1" customWidth="1"/>
    <col min="43" max="44" width="9.7109375" style="1425" hidden="1" customWidth="1"/>
    <col min="45" max="53" width="9.7109375" style="1485" hidden="1" customWidth="1"/>
    <col min="54" max="54" width="8.5703125" style="1485" hidden="1" customWidth="1"/>
    <col min="55" max="59" width="9.7109375" style="1485" hidden="1" customWidth="1"/>
    <col min="60" max="60" width="9" style="1485" hidden="1" customWidth="1"/>
    <col min="61" max="61" width="8.42578125" style="1485" hidden="1" customWidth="1"/>
    <col min="62" max="62" width="9.140625" style="1485" hidden="1" customWidth="1"/>
    <col min="63" max="64" width="7.42578125" style="1485" hidden="1" customWidth="1"/>
    <col min="65" max="65" width="8.5703125" style="1485" hidden="1" customWidth="1"/>
    <col min="66" max="66" width="8.42578125" style="1485" hidden="1" customWidth="1"/>
    <col min="67" max="72" width="8" style="1485" hidden="1" customWidth="1"/>
    <col min="73" max="73" width="7.85546875" style="1485" hidden="1" customWidth="1"/>
    <col min="74" max="75" width="9.140625" style="1485" hidden="1" customWidth="1"/>
    <col min="76" max="76" width="11.140625" style="1485" hidden="1" customWidth="1"/>
    <col min="77" max="77" width="9.140625" style="1485" hidden="1" customWidth="1"/>
    <col min="78" max="78" width="16.140625" style="1485" bestFit="1" customWidth="1"/>
    <col min="79" max="79" width="7.85546875" style="1485" hidden="1" customWidth="1"/>
    <col min="80" max="81" width="8" style="1429" hidden="1" customWidth="1"/>
    <col min="82" max="82" width="8.140625" style="1429" hidden="1" customWidth="1"/>
    <col min="83" max="83" width="12.140625" style="1429" hidden="1" customWidth="1"/>
    <col min="84" max="84" width="10.140625" style="1461" hidden="1" customWidth="1"/>
    <col min="85" max="85" width="10.5703125" style="1461" hidden="1" customWidth="1"/>
    <col min="86" max="86" width="11.28515625" style="1461" hidden="1" customWidth="1"/>
    <col min="87" max="87" width="11.42578125" style="1461" hidden="1" customWidth="1"/>
    <col min="88" max="89" width="8.42578125" style="1429" hidden="1" customWidth="1"/>
    <col min="90" max="90" width="8.5703125" style="1429" bestFit="1" customWidth="1"/>
    <col min="91" max="91" width="8.5703125" style="1429" hidden="1" customWidth="1"/>
    <col min="92" max="92" width="8" style="1429" hidden="1" customWidth="1"/>
    <col min="93" max="93" width="8.28515625" style="1429" hidden="1" customWidth="1"/>
    <col min="94" max="94" width="8.140625" style="1429" hidden="1" customWidth="1"/>
    <col min="95" max="95" width="14.85546875" style="1429" hidden="1" customWidth="1"/>
    <col min="96" max="96" width="8.5703125" style="1429" hidden="1" customWidth="1"/>
    <col min="97" max="98" width="9.28515625" style="1429" hidden="1" customWidth="1"/>
    <col min="99" max="99" width="14.85546875" style="1429" hidden="1" customWidth="1"/>
    <col min="100" max="101" width="9" style="1429" hidden="1" customWidth="1"/>
    <col min="102" max="102" width="8.5703125" style="1429" bestFit="1" customWidth="1"/>
    <col min="103" max="103" width="8.140625" style="1429" hidden="1" customWidth="1"/>
    <col min="104" max="106" width="8.5703125" style="1429" hidden="1" customWidth="1"/>
    <col min="107" max="107" width="8.42578125" style="1429" hidden="1" customWidth="1"/>
    <col min="108" max="108" width="10.28515625" style="1429" hidden="1" customWidth="1"/>
    <col min="109" max="109" width="11.42578125" style="1429" hidden="1" customWidth="1"/>
    <col min="110" max="110" width="9" style="1429" hidden="1" customWidth="1"/>
    <col min="111" max="111" width="11.85546875" style="1429" hidden="1" customWidth="1"/>
    <col min="112" max="112" width="10.42578125" style="1429" hidden="1" customWidth="1"/>
    <col min="113" max="113" width="9.5703125" style="1429" hidden="1" customWidth="1"/>
    <col min="114" max="114" width="8.5703125" style="1429" bestFit="1" customWidth="1"/>
    <col min="115" max="115" width="8.7109375" style="1429" customWidth="1"/>
    <col min="116" max="116" width="9.7109375" style="1429" customWidth="1"/>
    <col min="117" max="117" width="11.42578125" style="1429" customWidth="1"/>
    <col min="118" max="118" width="9.28515625" style="1429" bestFit="1" customWidth="1"/>
    <col min="119" max="119" width="10" style="1429" customWidth="1"/>
    <col min="120" max="120" width="10.5703125" style="1429" customWidth="1"/>
    <col min="121" max="121" width="8.85546875" style="1429" customWidth="1"/>
    <col min="122" max="122" width="12.5703125" style="1429" customWidth="1"/>
    <col min="123" max="16384" width="12.5703125" style="1429"/>
  </cols>
  <sheetData>
    <row r="1" spans="1:230" ht="15">
      <c r="A1" s="1670"/>
      <c r="B1" s="1667" t="s">
        <v>403</v>
      </c>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69"/>
      <c r="AT1" s="1669"/>
      <c r="AU1" s="1669"/>
      <c r="AV1" s="1669"/>
      <c r="AW1" s="1669"/>
      <c r="AX1" s="1669"/>
      <c r="AY1" s="1669"/>
      <c r="AZ1" s="1669"/>
      <c r="BA1" s="1669"/>
      <c r="BB1" s="1669"/>
      <c r="BC1" s="1669"/>
      <c r="BD1" s="1669"/>
      <c r="BE1" s="1669"/>
      <c r="BF1" s="1669"/>
      <c r="BG1" s="1669"/>
      <c r="BH1" s="1669"/>
      <c r="BI1" s="1669"/>
      <c r="BJ1" s="1669"/>
      <c r="BK1" s="1669"/>
      <c r="BL1" s="1669"/>
      <c r="BM1" s="1669"/>
      <c r="BN1" s="1669"/>
      <c r="BO1" s="1669"/>
      <c r="BP1" s="1669"/>
      <c r="BQ1" s="1669"/>
      <c r="BR1" s="1669"/>
      <c r="BS1" s="1669"/>
      <c r="BT1" s="1669"/>
      <c r="BU1" s="1669"/>
      <c r="BV1" s="1669"/>
      <c r="BW1" s="1669"/>
      <c r="BX1" s="1669"/>
      <c r="BY1" s="1669"/>
      <c r="BZ1" s="1669"/>
      <c r="CA1" s="1669"/>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841"/>
      <c r="DQ1" s="1918"/>
    </row>
    <row r="2" spans="1:230" ht="11.25" customHeight="1">
      <c r="A2" s="1670"/>
      <c r="B2" s="1673"/>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69"/>
      <c r="AT2" s="1669"/>
      <c r="AU2" s="1669"/>
      <c r="AV2" s="1669"/>
      <c r="AW2" s="1669"/>
      <c r="AX2" s="1669"/>
      <c r="AY2" s="1669"/>
      <c r="AZ2" s="1669"/>
      <c r="BA2" s="1669"/>
      <c r="BB2" s="1669"/>
      <c r="BC2" s="1669"/>
      <c r="BD2" s="1669"/>
      <c r="BE2" s="1669"/>
      <c r="BF2" s="1669"/>
      <c r="BG2" s="1669"/>
      <c r="BH2" s="1669"/>
      <c r="BI2" s="1669"/>
      <c r="BJ2" s="1669"/>
      <c r="BK2" s="1669"/>
      <c r="BL2" s="1669"/>
      <c r="BM2" s="1669"/>
      <c r="BN2" s="1669"/>
      <c r="BO2" s="1669"/>
      <c r="BP2" s="1669"/>
      <c r="BQ2" s="1669"/>
      <c r="BR2" s="1669"/>
      <c r="BS2" s="1669"/>
      <c r="BT2" s="1669"/>
      <c r="BU2" s="1669"/>
      <c r="BV2" s="1669"/>
      <c r="BW2" s="1669"/>
      <c r="BX2" s="1669"/>
      <c r="BY2" s="1669"/>
      <c r="BZ2" s="1669"/>
      <c r="CA2" s="1669"/>
      <c r="CB2" s="1670"/>
      <c r="CC2" s="1670"/>
      <c r="CD2" s="1670"/>
      <c r="CE2" s="1670"/>
      <c r="CF2" s="1670"/>
      <c r="CG2" s="1670"/>
      <c r="CH2" s="1670"/>
      <c r="CI2" s="1670"/>
      <c r="CJ2" s="1670"/>
      <c r="CK2" s="1670"/>
      <c r="CL2" s="1670"/>
      <c r="CM2" s="1674"/>
      <c r="CN2" s="1675"/>
      <c r="CO2" s="1675"/>
      <c r="CP2" s="1675"/>
      <c r="CQ2" s="1675"/>
      <c r="CR2" s="1675"/>
      <c r="CS2" s="1675"/>
      <c r="CT2" s="1675"/>
      <c r="CU2" s="1675"/>
      <c r="CV2" s="1669"/>
      <c r="CW2" s="1669"/>
      <c r="CX2" s="1670"/>
      <c r="CY2" s="1670"/>
      <c r="CZ2" s="1670"/>
      <c r="DA2" s="1670"/>
      <c r="DB2" s="1670"/>
      <c r="DC2" s="1670"/>
      <c r="DD2" s="1670"/>
      <c r="DE2" s="1670"/>
      <c r="DF2" s="1670"/>
      <c r="DG2" s="1670"/>
      <c r="DH2" s="1670"/>
      <c r="DI2" s="1670"/>
      <c r="DJ2" s="1670"/>
      <c r="DK2" s="1670"/>
      <c r="DL2" s="1670"/>
      <c r="DM2" s="1670"/>
      <c r="DN2" s="1670"/>
      <c r="DO2" s="1670"/>
      <c r="DP2" s="1841"/>
      <c r="DQ2" s="1918"/>
      <c r="DR2" s="1670"/>
      <c r="DS2" s="1670"/>
      <c r="DT2" s="1670"/>
      <c r="DU2" s="1670"/>
      <c r="DV2" s="1670"/>
      <c r="DW2" s="1670"/>
      <c r="DX2" s="1670"/>
      <c r="DY2" s="1670"/>
      <c r="DZ2" s="1670"/>
      <c r="EA2" s="1670"/>
      <c r="EB2" s="1670"/>
      <c r="EC2" s="1670"/>
      <c r="ED2" s="1670"/>
      <c r="EE2" s="1670"/>
      <c r="EF2" s="1670"/>
      <c r="EG2" s="1670"/>
      <c r="EH2" s="1670"/>
      <c r="EI2" s="1670"/>
      <c r="EJ2" s="1670"/>
      <c r="EK2" s="1670"/>
      <c r="EL2" s="1670"/>
      <c r="EM2" s="1670"/>
      <c r="EN2" s="1670"/>
      <c r="EO2" s="1670"/>
      <c r="EP2" s="1670"/>
      <c r="EQ2" s="1670"/>
      <c r="ER2" s="1670"/>
      <c r="ES2" s="1670"/>
      <c r="ET2" s="1670"/>
      <c r="EU2" s="1670"/>
      <c r="EV2" s="1670"/>
      <c r="EW2" s="1670"/>
      <c r="EX2" s="1670"/>
      <c r="EY2" s="1670"/>
      <c r="EZ2" s="1670"/>
      <c r="FA2" s="1670"/>
      <c r="FB2" s="1670"/>
      <c r="FC2" s="1670"/>
      <c r="FD2" s="1670"/>
      <c r="FE2" s="1670"/>
      <c r="FF2" s="1670"/>
      <c r="FG2" s="1670"/>
      <c r="FH2" s="1670"/>
      <c r="FI2" s="1670"/>
      <c r="FJ2" s="1670"/>
      <c r="FK2" s="1670"/>
      <c r="FL2" s="1670"/>
      <c r="FM2" s="1670"/>
      <c r="FN2" s="1670"/>
      <c r="FO2" s="1670"/>
      <c r="FP2" s="1670"/>
      <c r="FQ2" s="1670"/>
      <c r="FR2" s="1670"/>
      <c r="FS2" s="1670"/>
      <c r="FT2" s="1670"/>
      <c r="FU2" s="1670"/>
      <c r="FV2" s="1670"/>
      <c r="FW2" s="1670"/>
      <c r="FX2" s="1670"/>
      <c r="FY2" s="1670"/>
      <c r="FZ2" s="1670"/>
      <c r="GA2" s="1670"/>
      <c r="GB2" s="1670"/>
      <c r="GC2" s="1670"/>
      <c r="GD2" s="1670"/>
      <c r="GE2" s="1670"/>
      <c r="GF2" s="1670"/>
      <c r="GG2" s="1670"/>
      <c r="GH2" s="1670"/>
      <c r="GI2" s="1670"/>
      <c r="GJ2" s="1670"/>
      <c r="GK2" s="1670"/>
      <c r="GL2" s="1670"/>
      <c r="GM2" s="1670"/>
      <c r="GN2" s="1670"/>
      <c r="GO2" s="1670"/>
      <c r="GP2" s="1670"/>
      <c r="GQ2" s="1670"/>
      <c r="GR2" s="1670"/>
      <c r="GS2" s="1670"/>
      <c r="GT2" s="1670"/>
      <c r="GU2" s="1670"/>
      <c r="GV2" s="1670"/>
      <c r="GW2" s="1670"/>
      <c r="GX2" s="1670"/>
      <c r="GY2" s="1670"/>
      <c r="GZ2" s="1670"/>
      <c r="HA2" s="1670"/>
      <c r="HB2" s="1670"/>
      <c r="HC2" s="1670"/>
      <c r="HD2" s="1670"/>
      <c r="HE2" s="1670"/>
      <c r="HF2" s="1670"/>
      <c r="HG2" s="1670"/>
      <c r="HH2" s="1670"/>
      <c r="HI2" s="1670"/>
      <c r="HJ2" s="1670"/>
      <c r="HK2" s="1670"/>
      <c r="HL2" s="1670"/>
      <c r="HM2" s="1670"/>
      <c r="HN2" s="1670"/>
      <c r="HO2" s="1670"/>
      <c r="HP2" s="1670"/>
      <c r="HQ2" s="1670"/>
      <c r="HR2" s="1670"/>
      <c r="HS2" s="1670"/>
      <c r="HT2" s="1670"/>
      <c r="HU2" s="1670"/>
      <c r="HV2" s="1670"/>
    </row>
    <row r="3" spans="1:230" ht="5.25" customHeight="1">
      <c r="A3" s="1670"/>
      <c r="B3" s="1673"/>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1670"/>
      <c r="AS3" s="1669"/>
      <c r="AT3" s="1669"/>
      <c r="AU3" s="1669"/>
      <c r="AV3" s="1669"/>
      <c r="AW3" s="1669"/>
      <c r="AX3" s="1669"/>
      <c r="AY3" s="1669"/>
      <c r="AZ3" s="1669"/>
      <c r="BA3" s="1669"/>
      <c r="BB3" s="1669"/>
      <c r="BC3" s="1669"/>
      <c r="BD3" s="1669"/>
      <c r="BE3" s="1669"/>
      <c r="BF3" s="1669"/>
      <c r="BG3" s="1669"/>
      <c r="BH3" s="1669"/>
      <c r="BI3" s="1669"/>
      <c r="BJ3" s="1669"/>
      <c r="BK3" s="1669"/>
      <c r="BL3" s="1669"/>
      <c r="BM3" s="1669"/>
      <c r="BN3" s="1669"/>
      <c r="BO3" s="1669"/>
      <c r="BP3" s="1669"/>
      <c r="BQ3" s="1669"/>
      <c r="BR3" s="1669"/>
      <c r="BS3" s="1669"/>
      <c r="BT3" s="1669"/>
      <c r="BU3" s="1669"/>
      <c r="BV3" s="1669"/>
      <c r="BW3" s="1669"/>
      <c r="BX3" s="1669"/>
      <c r="BY3" s="1669"/>
      <c r="BZ3" s="1669"/>
      <c r="CA3" s="1669"/>
      <c r="CB3" s="1670"/>
      <c r="CC3" s="1670"/>
      <c r="CD3" s="1670"/>
      <c r="CE3" s="1670"/>
      <c r="CF3" s="1670"/>
      <c r="CG3" s="1670"/>
      <c r="CH3" s="1670"/>
      <c r="CI3" s="1670"/>
      <c r="CJ3" s="1670"/>
      <c r="CK3" s="1670"/>
      <c r="CL3" s="1670"/>
      <c r="CM3" s="1676"/>
      <c r="CN3" s="1669"/>
      <c r="CO3" s="1669"/>
      <c r="CP3" s="1669"/>
      <c r="CQ3" s="1669"/>
      <c r="CR3" s="1669"/>
      <c r="CS3" s="1669"/>
      <c r="CT3" s="1669"/>
      <c r="CU3" s="1669"/>
      <c r="CV3" s="1669"/>
      <c r="CW3" s="1669"/>
      <c r="CX3" s="1670"/>
      <c r="CY3" s="1670"/>
      <c r="CZ3" s="1670"/>
      <c r="DA3" s="1670"/>
      <c r="DB3" s="1670"/>
      <c r="DC3" s="1670"/>
      <c r="DD3" s="1670"/>
      <c r="DE3" s="1670"/>
      <c r="DF3" s="1670"/>
      <c r="DG3" s="1670"/>
      <c r="DH3" s="1670"/>
      <c r="DI3" s="1670"/>
      <c r="DJ3" s="1670"/>
      <c r="DK3" s="1670"/>
      <c r="DL3" s="1670"/>
      <c r="DM3" s="1670"/>
      <c r="DN3" s="1670"/>
      <c r="DO3" s="1670"/>
      <c r="DP3" s="1841"/>
      <c r="DQ3" s="1918"/>
      <c r="DR3" s="1670"/>
      <c r="DS3" s="1670"/>
      <c r="DT3" s="1670"/>
      <c r="DU3" s="1670"/>
      <c r="DV3" s="1670"/>
      <c r="DW3" s="1670"/>
      <c r="DX3" s="1670"/>
      <c r="DY3" s="1670"/>
      <c r="DZ3" s="1670"/>
      <c r="EA3" s="1670"/>
      <c r="EB3" s="1670"/>
      <c r="EC3" s="1670"/>
      <c r="ED3" s="1670"/>
      <c r="EE3" s="1670"/>
      <c r="EF3" s="1670"/>
      <c r="EG3" s="1670"/>
      <c r="EH3" s="1670"/>
      <c r="EI3" s="1670"/>
      <c r="EJ3" s="1670"/>
      <c r="EK3" s="1670"/>
      <c r="EL3" s="1670"/>
      <c r="EM3" s="1670"/>
      <c r="EN3" s="1670"/>
      <c r="EO3" s="1670"/>
      <c r="EP3" s="1670"/>
      <c r="EQ3" s="1670"/>
      <c r="ER3" s="1670"/>
      <c r="ES3" s="1670"/>
      <c r="ET3" s="1670"/>
      <c r="EU3" s="1670"/>
      <c r="EV3" s="1670"/>
      <c r="EW3" s="1670"/>
      <c r="EX3" s="1670"/>
      <c r="EY3" s="1670"/>
      <c r="EZ3" s="1670"/>
      <c r="FA3" s="1670"/>
      <c r="FB3" s="1670"/>
      <c r="FC3" s="1670"/>
      <c r="FD3" s="1670"/>
      <c r="FE3" s="1670"/>
      <c r="FF3" s="1670"/>
      <c r="FG3" s="1670"/>
      <c r="FH3" s="1670"/>
      <c r="FI3" s="1670"/>
      <c r="FJ3" s="1670"/>
      <c r="FK3" s="1670"/>
      <c r="FL3" s="1670"/>
      <c r="FM3" s="1670"/>
      <c r="FN3" s="1670"/>
      <c r="FO3" s="1670"/>
      <c r="FP3" s="1670"/>
      <c r="FQ3" s="1670"/>
      <c r="FR3" s="1670"/>
      <c r="FS3" s="1670"/>
      <c r="FT3" s="1670"/>
      <c r="FU3" s="1670"/>
      <c r="FV3" s="1670"/>
      <c r="FW3" s="1670"/>
      <c r="FX3" s="1670"/>
      <c r="FY3" s="1670"/>
      <c r="FZ3" s="1670"/>
      <c r="GA3" s="1670"/>
      <c r="GB3" s="1670"/>
      <c r="GC3" s="1670"/>
      <c r="GD3" s="1670"/>
      <c r="GE3" s="1670"/>
      <c r="GF3" s="1670"/>
      <c r="GG3" s="1670"/>
      <c r="GH3" s="1670"/>
      <c r="GI3" s="1670"/>
      <c r="GJ3" s="1670"/>
      <c r="GK3" s="1670"/>
      <c r="GL3" s="1670"/>
      <c r="GM3" s="1670"/>
      <c r="GN3" s="1670"/>
      <c r="GO3" s="1670"/>
      <c r="GP3" s="1670"/>
      <c r="GQ3" s="1670"/>
      <c r="GR3" s="1670"/>
      <c r="GS3" s="1670"/>
      <c r="GT3" s="1670"/>
      <c r="GU3" s="1670"/>
      <c r="GV3" s="1670"/>
      <c r="GW3" s="1670"/>
      <c r="GX3" s="1670"/>
      <c r="GY3" s="1670"/>
      <c r="GZ3" s="1670"/>
      <c r="HA3" s="1670"/>
      <c r="HB3" s="1670"/>
      <c r="HC3" s="1670"/>
      <c r="HD3" s="1670"/>
      <c r="HE3" s="1670"/>
      <c r="HF3" s="1670"/>
      <c r="HG3" s="1670"/>
      <c r="HH3" s="1670"/>
      <c r="HI3" s="1670"/>
      <c r="HJ3" s="1670"/>
      <c r="HK3" s="1670"/>
      <c r="HL3" s="1670"/>
      <c r="HM3" s="1670"/>
      <c r="HN3" s="1670"/>
      <c r="HO3" s="1670"/>
      <c r="HP3" s="1670"/>
      <c r="HQ3" s="1670"/>
      <c r="HR3" s="1670"/>
      <c r="HS3" s="1670"/>
      <c r="HT3" s="1670"/>
      <c r="HU3" s="1670"/>
      <c r="HV3" s="1670"/>
    </row>
    <row r="4" spans="1:230" ht="15" customHeight="1">
      <c r="A4" s="1670"/>
      <c r="B4" s="1686" t="s">
        <v>227</v>
      </c>
      <c r="C4" s="1617"/>
      <c r="D4" s="1617"/>
      <c r="E4" s="1617" t="s">
        <v>142</v>
      </c>
      <c r="F4" s="1617" t="s">
        <v>142</v>
      </c>
      <c r="G4" s="1617"/>
      <c r="H4" s="1617"/>
      <c r="I4" s="1617" t="s">
        <v>464</v>
      </c>
      <c r="J4" s="1687"/>
      <c r="K4" s="1687"/>
      <c r="L4" s="1617"/>
      <c r="M4" s="1617"/>
      <c r="N4" s="1617"/>
      <c r="O4" s="1617"/>
      <c r="P4" s="1617"/>
      <c r="Q4" s="1617"/>
      <c r="R4" s="1617"/>
      <c r="S4" s="1617"/>
      <c r="T4" s="1617"/>
      <c r="U4" s="1617"/>
      <c r="V4" s="1617"/>
      <c r="W4" s="1617"/>
      <c r="X4" s="1617"/>
      <c r="Y4" s="1617"/>
      <c r="Z4" s="1617"/>
      <c r="AA4" s="1617"/>
      <c r="AB4" s="1617"/>
      <c r="AC4" s="1671"/>
      <c r="AD4" s="1671"/>
      <c r="AE4" s="1671"/>
      <c r="AF4" s="1671"/>
      <c r="AG4" s="1671"/>
      <c r="AH4" s="1671"/>
      <c r="AI4" s="1671"/>
      <c r="AJ4" s="1671"/>
      <c r="AK4" s="1671"/>
      <c r="AL4" s="1671"/>
      <c r="AM4" s="1671"/>
      <c r="AN4" s="1671"/>
      <c r="AO4" s="1671"/>
      <c r="AP4" s="1671"/>
      <c r="AQ4" s="1671"/>
      <c r="AR4" s="1671"/>
      <c r="AS4" s="1671"/>
      <c r="AT4" s="1671"/>
      <c r="AU4" s="1671"/>
      <c r="AV4" s="1671"/>
      <c r="AW4" s="1671"/>
      <c r="AX4" s="1671"/>
      <c r="AY4" s="1671"/>
      <c r="AZ4" s="1671"/>
      <c r="BA4" s="1671"/>
      <c r="BB4" s="1671"/>
      <c r="BC4" s="1671"/>
      <c r="BD4" s="1688"/>
      <c r="BE4" s="1617"/>
      <c r="BF4" s="1617"/>
      <c r="BG4" s="1671"/>
      <c r="BH4" s="1671"/>
      <c r="BI4" s="1671"/>
      <c r="BJ4" s="1671"/>
      <c r="BK4" s="1671"/>
      <c r="BL4" s="1671"/>
      <c r="BM4" s="1671"/>
      <c r="BN4" s="1671"/>
      <c r="BO4" s="1671"/>
      <c r="BP4" s="1671"/>
      <c r="BQ4" s="1671"/>
      <c r="BR4" s="1671"/>
      <c r="BS4" s="1671"/>
      <c r="BT4" s="1671"/>
      <c r="BU4" s="1671"/>
      <c r="BV4" s="1671"/>
      <c r="BW4" s="1688"/>
      <c r="BX4" s="1688"/>
      <c r="BY4" s="1688"/>
      <c r="BZ4" s="1688"/>
      <c r="CA4" s="1688"/>
      <c r="CB4" s="1619"/>
      <c r="CC4" s="1619"/>
      <c r="CD4" s="1619"/>
      <c r="CE4" s="1619"/>
      <c r="CF4" s="1619"/>
      <c r="CG4" s="1619"/>
      <c r="CH4" s="1619"/>
      <c r="CI4" s="1619"/>
      <c r="CJ4" s="1619"/>
      <c r="CK4" s="1619"/>
      <c r="CL4" s="1619"/>
      <c r="CM4" s="1689"/>
      <c r="CN4" s="1617"/>
      <c r="CO4" s="1617"/>
      <c r="CP4" s="1617"/>
      <c r="CQ4" s="1617"/>
      <c r="CR4" s="1617"/>
      <c r="CS4" s="1617"/>
      <c r="CT4" s="1617"/>
      <c r="CU4" s="1617"/>
      <c r="CV4" s="1617"/>
      <c r="CW4" s="1617"/>
      <c r="CX4" s="1619"/>
      <c r="CY4" s="1619"/>
      <c r="CZ4" s="1619"/>
      <c r="DA4" s="1619"/>
      <c r="DB4" s="1619"/>
      <c r="DC4" s="1619"/>
      <c r="DD4" s="1619"/>
      <c r="DE4" s="1619"/>
      <c r="DF4" s="1619"/>
      <c r="DG4" s="1619"/>
      <c r="DH4" s="1619"/>
      <c r="DI4" s="1619"/>
      <c r="DJ4" s="1619"/>
      <c r="DK4" s="1619"/>
      <c r="DL4" s="1619"/>
      <c r="DM4" s="1619"/>
      <c r="DN4" s="1619"/>
      <c r="DO4" s="1619"/>
      <c r="DP4" s="1619"/>
      <c r="DQ4" s="1619"/>
      <c r="DR4" s="1670"/>
      <c r="DS4" s="1670"/>
      <c r="DT4" s="1670"/>
      <c r="DU4" s="1670"/>
      <c r="DV4" s="1670"/>
      <c r="DW4" s="1670"/>
      <c r="DX4" s="1670"/>
      <c r="DY4" s="1670"/>
      <c r="DZ4" s="1670"/>
      <c r="EA4" s="1670"/>
      <c r="EB4" s="1670"/>
      <c r="EC4" s="1670"/>
      <c r="ED4" s="1670"/>
      <c r="EE4" s="1670"/>
      <c r="EF4" s="1670"/>
      <c r="EG4" s="1670"/>
      <c r="EH4" s="1670"/>
      <c r="EI4" s="1670"/>
      <c r="EJ4" s="1670"/>
      <c r="EK4" s="1670"/>
      <c r="EL4" s="1670"/>
      <c r="EM4" s="1670"/>
      <c r="EN4" s="1670"/>
      <c r="EO4" s="1670"/>
      <c r="EP4" s="1670"/>
      <c r="EQ4" s="1670"/>
      <c r="ER4" s="1670"/>
      <c r="ES4" s="1670"/>
      <c r="ET4" s="1670"/>
      <c r="EU4" s="1670"/>
      <c r="EV4" s="1670"/>
      <c r="EW4" s="1670"/>
      <c r="EX4" s="1670"/>
      <c r="EY4" s="1670"/>
      <c r="EZ4" s="1670"/>
      <c r="FA4" s="1670"/>
      <c r="FB4" s="1670"/>
      <c r="FC4" s="1670"/>
      <c r="FD4" s="1670"/>
      <c r="FE4" s="1670"/>
      <c r="FF4" s="1670"/>
      <c r="FG4" s="1670"/>
      <c r="FH4" s="1670"/>
      <c r="FI4" s="1670"/>
      <c r="FJ4" s="1670"/>
      <c r="FK4" s="1670"/>
      <c r="FL4" s="1670"/>
      <c r="FM4" s="1670"/>
      <c r="FN4" s="1670"/>
      <c r="FO4" s="1670"/>
      <c r="FP4" s="1670"/>
      <c r="FQ4" s="1670"/>
      <c r="FR4" s="1670"/>
      <c r="FS4" s="1670"/>
      <c r="FT4" s="1670"/>
      <c r="FU4" s="1670"/>
      <c r="FV4" s="1670"/>
      <c r="FW4" s="1670"/>
      <c r="FX4" s="1670"/>
      <c r="FY4" s="1670"/>
      <c r="FZ4" s="1670"/>
      <c r="GA4" s="1670"/>
      <c r="GB4" s="1670"/>
      <c r="GC4" s="1670"/>
      <c r="GD4" s="1670"/>
      <c r="GE4" s="1670"/>
      <c r="GF4" s="1670"/>
      <c r="GG4" s="1670"/>
      <c r="GH4" s="1670"/>
      <c r="GI4" s="1670"/>
      <c r="GJ4" s="1670"/>
      <c r="GK4" s="1670"/>
      <c r="GL4" s="1670"/>
      <c r="GM4" s="1670"/>
      <c r="GN4" s="1670"/>
      <c r="GO4" s="1670"/>
      <c r="GP4" s="1670"/>
      <c r="GQ4" s="1670"/>
      <c r="GR4" s="1670"/>
      <c r="GS4" s="1670"/>
      <c r="GT4" s="1670"/>
      <c r="GU4" s="1670"/>
      <c r="GV4" s="1670"/>
      <c r="GW4" s="1670"/>
      <c r="GX4" s="1670"/>
      <c r="GY4" s="1670"/>
      <c r="GZ4" s="1670"/>
      <c r="HA4" s="1670"/>
      <c r="HB4" s="1670"/>
      <c r="HC4" s="1670"/>
      <c r="HD4" s="1670"/>
      <c r="HE4" s="1670"/>
      <c r="HF4" s="1670"/>
      <c r="HG4" s="1670"/>
      <c r="HH4" s="1670"/>
      <c r="HI4" s="1670"/>
      <c r="HJ4" s="1670"/>
      <c r="HK4" s="1670"/>
      <c r="HL4" s="1670"/>
      <c r="HM4" s="1670"/>
      <c r="HN4" s="1670"/>
      <c r="HO4" s="1670"/>
      <c r="HP4" s="1670"/>
      <c r="HQ4" s="1670"/>
      <c r="HR4" s="1670"/>
      <c r="HS4" s="1670"/>
      <c r="HT4" s="1670"/>
      <c r="HU4" s="1670"/>
      <c r="HV4" s="1670"/>
    </row>
    <row r="5" spans="1:230" s="1430" customFormat="1" ht="12.75" customHeight="1">
      <c r="A5" s="1667"/>
      <c r="B5" s="4923" t="s">
        <v>146</v>
      </c>
      <c r="C5" s="1690" t="s">
        <v>234</v>
      </c>
      <c r="D5" s="1691" t="s">
        <v>235</v>
      </c>
      <c r="E5" s="1692" t="s">
        <v>236</v>
      </c>
      <c r="F5" s="1690" t="s">
        <v>237</v>
      </c>
      <c r="G5" s="1693" t="s">
        <v>238</v>
      </c>
      <c r="H5" s="1694" t="s">
        <v>239</v>
      </c>
      <c r="I5" s="1695" t="s">
        <v>240</v>
      </c>
      <c r="J5" s="1696" t="s">
        <v>241</v>
      </c>
      <c r="K5" s="1697" t="s">
        <v>195</v>
      </c>
      <c r="L5" s="1698" t="s">
        <v>452</v>
      </c>
      <c r="M5" s="4910">
        <v>2002</v>
      </c>
      <c r="N5" s="4910"/>
      <c r="O5" s="4910"/>
      <c r="P5" s="4910"/>
      <c r="Q5" s="4910"/>
      <c r="R5" s="4910">
        <v>2002</v>
      </c>
      <c r="S5" s="4910">
        <v>2003</v>
      </c>
      <c r="T5" s="4910"/>
      <c r="U5" s="4910"/>
      <c r="V5" s="4910"/>
      <c r="W5" s="4910"/>
      <c r="X5" s="1699" t="s">
        <v>609</v>
      </c>
      <c r="Y5" s="4910">
        <v>2003</v>
      </c>
      <c r="Z5" s="4910"/>
      <c r="AA5" s="4910"/>
      <c r="AB5" s="4910"/>
      <c r="AC5" s="4910"/>
      <c r="AD5" s="4910">
        <v>2003</v>
      </c>
      <c r="AE5" s="4910">
        <v>2004</v>
      </c>
      <c r="AF5" s="4910"/>
      <c r="AG5" s="4910"/>
      <c r="AH5" s="4910"/>
      <c r="AI5" s="4910"/>
      <c r="AJ5" s="1699" t="s">
        <v>877</v>
      </c>
      <c r="AK5" s="4910">
        <v>2004</v>
      </c>
      <c r="AL5" s="4910"/>
      <c r="AM5" s="4910"/>
      <c r="AN5" s="4910"/>
      <c r="AO5" s="4910"/>
      <c r="AP5" s="4910">
        <v>2004</v>
      </c>
      <c r="AQ5" s="4910">
        <v>2005</v>
      </c>
      <c r="AR5" s="4910"/>
      <c r="AS5" s="4910"/>
      <c r="AT5" s="4910"/>
      <c r="AU5" s="4910"/>
      <c r="AV5" s="1699" t="s">
        <v>1164</v>
      </c>
      <c r="AW5" s="4910">
        <v>2005</v>
      </c>
      <c r="AX5" s="4910"/>
      <c r="AY5" s="4910"/>
      <c r="AZ5" s="4910"/>
      <c r="BA5" s="4910"/>
      <c r="BB5" s="4910">
        <v>2005</v>
      </c>
      <c r="BC5" s="4910" t="s">
        <v>728</v>
      </c>
      <c r="BD5" s="4910" t="s">
        <v>162</v>
      </c>
      <c r="BE5" s="4910" t="s">
        <v>163</v>
      </c>
      <c r="BF5" s="4910" t="s">
        <v>164</v>
      </c>
      <c r="BG5" s="4910" t="s">
        <v>165</v>
      </c>
      <c r="BH5" s="1699" t="s">
        <v>998</v>
      </c>
      <c r="BI5" s="4910" t="s">
        <v>167</v>
      </c>
      <c r="BJ5" s="4910" t="s">
        <v>168</v>
      </c>
      <c r="BK5" s="4910" t="s">
        <v>169</v>
      </c>
      <c r="BL5" s="4910" t="s">
        <v>170</v>
      </c>
      <c r="BM5" s="4910" t="s">
        <v>171</v>
      </c>
      <c r="BN5" s="4910">
        <v>2006</v>
      </c>
      <c r="BO5" s="4910" t="s">
        <v>126</v>
      </c>
      <c r="BP5" s="4910"/>
      <c r="BQ5" s="4910"/>
      <c r="BR5" s="4910"/>
      <c r="BS5" s="4910"/>
      <c r="BT5" s="4910"/>
      <c r="BU5" s="4910"/>
      <c r="BV5" s="4910"/>
      <c r="BW5" s="4910"/>
      <c r="BX5" s="4910"/>
      <c r="BY5" s="4919"/>
      <c r="BZ5" s="4917">
        <v>2007</v>
      </c>
      <c r="CA5" s="4909" t="s">
        <v>480</v>
      </c>
      <c r="CB5" s="4909"/>
      <c r="CC5" s="4909"/>
      <c r="CD5" s="4909"/>
      <c r="CE5" s="4909"/>
      <c r="CF5" s="4909"/>
      <c r="CG5" s="4909"/>
      <c r="CH5" s="4909"/>
      <c r="CI5" s="4909"/>
      <c r="CJ5" s="4909"/>
      <c r="CK5" s="4909"/>
      <c r="CL5" s="4909" t="s">
        <v>480</v>
      </c>
      <c r="CM5" s="4909">
        <v>2009</v>
      </c>
      <c r="CN5" s="4909"/>
      <c r="CO5" s="4909"/>
      <c r="CP5" s="4909"/>
      <c r="CQ5" s="4909"/>
      <c r="CR5" s="4909"/>
      <c r="CS5" s="4909"/>
      <c r="CT5" s="4909"/>
      <c r="CU5" s="4909"/>
      <c r="CV5" s="4909"/>
      <c r="CW5" s="4909"/>
      <c r="CX5" s="4912">
        <v>2009</v>
      </c>
      <c r="CY5" s="1850">
        <v>2010</v>
      </c>
      <c r="CZ5" s="1850"/>
      <c r="DA5" s="1850"/>
      <c r="DB5" s="1850"/>
      <c r="DC5" s="1850"/>
      <c r="DD5" s="1850"/>
      <c r="DE5" s="1850"/>
      <c r="DF5" s="1850"/>
      <c r="DG5" s="1850"/>
      <c r="DH5" s="1850"/>
      <c r="DI5" s="1850"/>
      <c r="DJ5" s="4914">
        <v>2010</v>
      </c>
      <c r="DK5" s="4900">
        <v>2011</v>
      </c>
      <c r="DL5" s="4901"/>
      <c r="DM5" s="4901"/>
      <c r="DN5" s="4901"/>
      <c r="DO5" s="4901"/>
      <c r="DP5" s="4901"/>
      <c r="DQ5" s="4902"/>
      <c r="DR5" s="1829"/>
      <c r="DS5" s="1667"/>
      <c r="DT5" s="1667"/>
      <c r="DU5" s="1667"/>
      <c r="DV5" s="1667"/>
      <c r="DW5" s="1667"/>
      <c r="DX5" s="1667"/>
      <c r="DY5" s="1667"/>
      <c r="DZ5" s="1667"/>
      <c r="EA5" s="1667"/>
      <c r="EB5" s="1667"/>
      <c r="EC5" s="1667"/>
      <c r="ED5" s="1667"/>
      <c r="EE5" s="1667"/>
      <c r="EF5" s="1667"/>
      <c r="EG5" s="1667"/>
      <c r="EH5" s="1667"/>
      <c r="EI5" s="1667"/>
      <c r="EJ5" s="1667"/>
      <c r="EK5" s="1667"/>
      <c r="EL5" s="1667"/>
      <c r="EM5" s="1667"/>
      <c r="EN5" s="1667"/>
      <c r="EO5" s="1667"/>
      <c r="EP5" s="1667"/>
      <c r="EQ5" s="1667"/>
      <c r="ER5" s="1667"/>
      <c r="ES5" s="1667"/>
      <c r="ET5" s="1667"/>
      <c r="EU5" s="1667"/>
      <c r="EV5" s="1667"/>
      <c r="EW5" s="1667"/>
      <c r="EX5" s="1667"/>
      <c r="EY5" s="1667"/>
      <c r="EZ5" s="1667"/>
      <c r="FA5" s="1667"/>
      <c r="FB5" s="1667"/>
      <c r="FC5" s="1667"/>
      <c r="FD5" s="1667"/>
      <c r="FE5" s="1667"/>
      <c r="FF5" s="1667"/>
      <c r="FG5" s="1667"/>
      <c r="FH5" s="1667"/>
      <c r="FI5" s="1667"/>
      <c r="FJ5" s="1667"/>
      <c r="FK5" s="1667"/>
      <c r="FL5" s="1667"/>
      <c r="FM5" s="1667"/>
      <c r="FN5" s="1667"/>
      <c r="FO5" s="1667"/>
      <c r="FP5" s="1667"/>
      <c r="FQ5" s="1667"/>
      <c r="FR5" s="1667"/>
      <c r="FS5" s="1667"/>
      <c r="FT5" s="1667"/>
      <c r="FU5" s="1667"/>
      <c r="FV5" s="1667"/>
      <c r="FW5" s="1667"/>
      <c r="FX5" s="1667"/>
      <c r="FY5" s="1667"/>
      <c r="FZ5" s="1667"/>
      <c r="GA5" s="1667"/>
      <c r="GB5" s="1667"/>
      <c r="GC5" s="1667"/>
      <c r="GD5" s="1667"/>
      <c r="GE5" s="1667"/>
      <c r="GF5" s="1667"/>
      <c r="GG5" s="1667"/>
      <c r="GH5" s="1667"/>
      <c r="GI5" s="1667"/>
      <c r="GJ5" s="1667"/>
      <c r="GK5" s="1667"/>
      <c r="GL5" s="1667"/>
      <c r="GM5" s="1667"/>
      <c r="GN5" s="1667"/>
      <c r="GO5" s="1667"/>
      <c r="GP5" s="1667"/>
      <c r="GQ5" s="1667"/>
      <c r="GR5" s="1667"/>
      <c r="GS5" s="1667"/>
      <c r="GT5" s="1667"/>
      <c r="GU5" s="1667"/>
      <c r="GV5" s="1667"/>
      <c r="GW5" s="1667"/>
      <c r="GX5" s="1667"/>
      <c r="GY5" s="1667"/>
      <c r="GZ5" s="1667"/>
      <c r="HA5" s="1667"/>
      <c r="HB5" s="1667"/>
      <c r="HC5" s="1667"/>
      <c r="HD5" s="1667"/>
      <c r="HE5" s="1667"/>
      <c r="HF5" s="1667"/>
      <c r="HG5" s="1667"/>
      <c r="HH5" s="1667"/>
      <c r="HI5" s="1667"/>
      <c r="HJ5" s="1667"/>
      <c r="HK5" s="1667"/>
      <c r="HL5" s="1667"/>
      <c r="HM5" s="1667"/>
      <c r="HN5" s="1667"/>
      <c r="HO5" s="1667"/>
      <c r="HP5" s="1667"/>
      <c r="HQ5" s="1667"/>
      <c r="HR5" s="1667"/>
      <c r="HS5" s="1667"/>
      <c r="HT5" s="1667"/>
      <c r="HU5" s="1667"/>
      <c r="HV5" s="1667"/>
    </row>
    <row r="6" spans="1:230" s="1430" customFormat="1" ht="15.75">
      <c r="A6" s="1667"/>
      <c r="B6" s="4924"/>
      <c r="C6" s="1700"/>
      <c r="D6" s="1701"/>
      <c r="E6" s="1700"/>
      <c r="F6" s="1700"/>
      <c r="G6" s="1702"/>
      <c r="H6" s="1701"/>
      <c r="I6" s="1703"/>
      <c r="J6" s="1704"/>
      <c r="K6" s="1705"/>
      <c r="L6" s="1706" t="s">
        <v>201</v>
      </c>
      <c r="M6" s="1617" t="s">
        <v>167</v>
      </c>
      <c r="N6" s="1617" t="s">
        <v>168</v>
      </c>
      <c r="O6" s="1617" t="s">
        <v>169</v>
      </c>
      <c r="P6" s="1617" t="s">
        <v>170</v>
      </c>
      <c r="Q6" s="1617" t="s">
        <v>171</v>
      </c>
      <c r="R6" s="4911"/>
      <c r="S6" s="1617" t="s">
        <v>773</v>
      </c>
      <c r="T6" s="1617" t="s">
        <v>162</v>
      </c>
      <c r="U6" s="1617" t="s">
        <v>163</v>
      </c>
      <c r="V6" s="1617" t="s">
        <v>164</v>
      </c>
      <c r="W6" s="1617" t="s">
        <v>165</v>
      </c>
      <c r="X6" s="1617" t="s">
        <v>780</v>
      </c>
      <c r="Y6" s="1617" t="s">
        <v>832</v>
      </c>
      <c r="Z6" s="1617" t="s">
        <v>168</v>
      </c>
      <c r="AA6" s="1617" t="s">
        <v>169</v>
      </c>
      <c r="AB6" s="1617" t="s">
        <v>170</v>
      </c>
      <c r="AC6" s="1617" t="s">
        <v>171</v>
      </c>
      <c r="AD6" s="4911"/>
      <c r="AE6" s="1617" t="s">
        <v>967</v>
      </c>
      <c r="AF6" s="1617" t="s">
        <v>162</v>
      </c>
      <c r="AG6" s="1617" t="s">
        <v>163</v>
      </c>
      <c r="AH6" s="1617" t="s">
        <v>164</v>
      </c>
      <c r="AI6" s="1617" t="s">
        <v>165</v>
      </c>
      <c r="AJ6" s="1617" t="s">
        <v>210</v>
      </c>
      <c r="AK6" s="1617" t="s">
        <v>1251</v>
      </c>
      <c r="AL6" s="1617" t="s">
        <v>168</v>
      </c>
      <c r="AM6" s="1617" t="s">
        <v>169</v>
      </c>
      <c r="AN6" s="1617" t="s">
        <v>170</v>
      </c>
      <c r="AO6" s="1617" t="s">
        <v>171</v>
      </c>
      <c r="AP6" s="4911"/>
      <c r="AQ6" s="1617" t="s">
        <v>1272</v>
      </c>
      <c r="AR6" s="1617" t="s">
        <v>162</v>
      </c>
      <c r="AS6" s="1617" t="s">
        <v>163</v>
      </c>
      <c r="AT6" s="1617" t="s">
        <v>164</v>
      </c>
      <c r="AU6" s="1617" t="s">
        <v>165</v>
      </c>
      <c r="AV6" s="1617" t="s">
        <v>1366</v>
      </c>
      <c r="AW6" s="1617" t="s">
        <v>211</v>
      </c>
      <c r="AX6" s="1617" t="s">
        <v>168</v>
      </c>
      <c r="AY6" s="1617" t="s">
        <v>169</v>
      </c>
      <c r="AZ6" s="1617" t="s">
        <v>673</v>
      </c>
      <c r="BA6" s="1617" t="s">
        <v>171</v>
      </c>
      <c r="BB6" s="4911"/>
      <c r="BC6" s="4911"/>
      <c r="BD6" s="4911"/>
      <c r="BE6" s="4911"/>
      <c r="BF6" s="4911"/>
      <c r="BG6" s="4911"/>
      <c r="BH6" s="1617" t="s">
        <v>1225</v>
      </c>
      <c r="BI6" s="4911"/>
      <c r="BJ6" s="4911"/>
      <c r="BK6" s="4911"/>
      <c r="BL6" s="4911"/>
      <c r="BM6" s="4911"/>
      <c r="BN6" s="4911"/>
      <c r="BO6" s="1617" t="s">
        <v>161</v>
      </c>
      <c r="BP6" s="1617" t="s">
        <v>162</v>
      </c>
      <c r="BQ6" s="1617" t="s">
        <v>163</v>
      </c>
      <c r="BR6" s="1617" t="s">
        <v>164</v>
      </c>
      <c r="BS6" s="1617" t="s">
        <v>165</v>
      </c>
      <c r="BT6" s="1617" t="s">
        <v>166</v>
      </c>
      <c r="BU6" s="1617" t="s">
        <v>167</v>
      </c>
      <c r="BV6" s="1617" t="s">
        <v>168</v>
      </c>
      <c r="BW6" s="1617" t="s">
        <v>169</v>
      </c>
      <c r="BX6" s="1617" t="s">
        <v>170</v>
      </c>
      <c r="BY6" s="1617" t="s">
        <v>171</v>
      </c>
      <c r="BZ6" s="4918">
        <v>2007</v>
      </c>
      <c r="CA6" s="1826" t="s">
        <v>161</v>
      </c>
      <c r="CB6" s="1826" t="s">
        <v>162</v>
      </c>
      <c r="CC6" s="1826" t="s">
        <v>163</v>
      </c>
      <c r="CD6" s="1826" t="s">
        <v>164</v>
      </c>
      <c r="CE6" s="1826" t="s">
        <v>165</v>
      </c>
      <c r="CF6" s="1826" t="s">
        <v>166</v>
      </c>
      <c r="CG6" s="1826" t="s">
        <v>167</v>
      </c>
      <c r="CH6" s="1826" t="s">
        <v>168</v>
      </c>
      <c r="CI6" s="1826" t="s">
        <v>169</v>
      </c>
      <c r="CJ6" s="1826" t="s">
        <v>170</v>
      </c>
      <c r="CK6" s="1826" t="s">
        <v>171</v>
      </c>
      <c r="CL6" s="4916"/>
      <c r="CM6" s="1826" t="s">
        <v>161</v>
      </c>
      <c r="CN6" s="1826" t="s">
        <v>162</v>
      </c>
      <c r="CO6" s="1826" t="s">
        <v>163</v>
      </c>
      <c r="CP6" s="1826" t="s">
        <v>164</v>
      </c>
      <c r="CQ6" s="1826" t="s">
        <v>165</v>
      </c>
      <c r="CR6" s="1826" t="s">
        <v>147</v>
      </c>
      <c r="CS6" s="1826" t="s">
        <v>184</v>
      </c>
      <c r="CT6" s="1826" t="s">
        <v>168</v>
      </c>
      <c r="CU6" s="1826" t="s">
        <v>169</v>
      </c>
      <c r="CV6" s="1826" t="s">
        <v>170</v>
      </c>
      <c r="CW6" s="1826" t="s">
        <v>171</v>
      </c>
      <c r="CX6" s="4913"/>
      <c r="CY6" s="1911" t="s">
        <v>161</v>
      </c>
      <c r="CZ6" s="1911" t="s">
        <v>162</v>
      </c>
      <c r="DA6" s="1707" t="s">
        <v>163</v>
      </c>
      <c r="DB6" s="1707" t="s">
        <v>164</v>
      </c>
      <c r="DC6" s="1707" t="s">
        <v>165</v>
      </c>
      <c r="DD6" s="1707" t="s">
        <v>166</v>
      </c>
      <c r="DE6" s="1911" t="s">
        <v>167</v>
      </c>
      <c r="DF6" s="1707" t="s">
        <v>168</v>
      </c>
      <c r="DG6" s="1707" t="s">
        <v>169</v>
      </c>
      <c r="DH6" s="1707" t="s">
        <v>170</v>
      </c>
      <c r="DI6" s="1707" t="s">
        <v>171</v>
      </c>
      <c r="DJ6" s="4915"/>
      <c r="DK6" s="1922" t="s">
        <v>161</v>
      </c>
      <c r="DL6" s="1912" t="s">
        <v>162</v>
      </c>
      <c r="DM6" s="1912" t="s">
        <v>163</v>
      </c>
      <c r="DN6" s="1912" t="s">
        <v>164</v>
      </c>
      <c r="DO6" s="1912" t="s">
        <v>165</v>
      </c>
      <c r="DP6" s="1912" t="s">
        <v>166</v>
      </c>
      <c r="DQ6" s="1912" t="s">
        <v>167</v>
      </c>
      <c r="DR6" s="1829"/>
      <c r="DS6" s="1829"/>
      <c r="DT6" s="1829"/>
      <c r="DU6" s="1829"/>
      <c r="DV6" s="1829"/>
      <c r="DW6" s="1667"/>
      <c r="DX6" s="1667"/>
      <c r="DY6" s="1667"/>
      <c r="DZ6" s="1667"/>
      <c r="EA6" s="1667"/>
      <c r="EB6" s="1667"/>
      <c r="EC6" s="1667"/>
      <c r="ED6" s="1667"/>
      <c r="EE6" s="1667"/>
      <c r="EF6" s="1667"/>
      <c r="EG6" s="1667"/>
      <c r="EH6" s="1667"/>
      <c r="EI6" s="1667"/>
      <c r="EJ6" s="1667"/>
      <c r="EK6" s="1667"/>
      <c r="EL6" s="1667"/>
      <c r="EM6" s="1667"/>
      <c r="EN6" s="1667"/>
      <c r="EO6" s="1667"/>
      <c r="EP6" s="1667"/>
      <c r="EQ6" s="1667"/>
      <c r="ER6" s="1667"/>
      <c r="ES6" s="1667"/>
      <c r="ET6" s="1667"/>
      <c r="EU6" s="1667"/>
      <c r="EV6" s="1667"/>
      <c r="EW6" s="1667"/>
      <c r="EX6" s="1667"/>
      <c r="EY6" s="1667"/>
      <c r="EZ6" s="1667"/>
      <c r="FA6" s="1667"/>
      <c r="FB6" s="1667"/>
      <c r="FC6" s="1667"/>
      <c r="FD6" s="1667"/>
      <c r="FE6" s="1667"/>
      <c r="FF6" s="1667"/>
      <c r="FG6" s="1667"/>
      <c r="FH6" s="1667"/>
      <c r="FI6" s="1667"/>
      <c r="FJ6" s="1667"/>
      <c r="FK6" s="1667"/>
      <c r="FL6" s="1667"/>
      <c r="FM6" s="1667"/>
      <c r="FN6" s="1667"/>
      <c r="FO6" s="1667"/>
      <c r="FP6" s="1667"/>
      <c r="FQ6" s="1667"/>
      <c r="FR6" s="1667"/>
      <c r="FS6" s="1667"/>
      <c r="FT6" s="1667"/>
      <c r="FU6" s="1667"/>
      <c r="FV6" s="1667"/>
      <c r="FW6" s="1667"/>
      <c r="FX6" s="1667"/>
      <c r="FY6" s="1667"/>
      <c r="FZ6" s="1667"/>
      <c r="GA6" s="1667"/>
      <c r="GB6" s="1667"/>
      <c r="GC6" s="1667"/>
      <c r="GD6" s="1667"/>
      <c r="GE6" s="1667"/>
      <c r="GF6" s="1667"/>
      <c r="GG6" s="1667"/>
      <c r="GH6" s="1667"/>
      <c r="GI6" s="1667"/>
      <c r="GJ6" s="1667"/>
      <c r="GK6" s="1667"/>
      <c r="GL6" s="1667"/>
      <c r="GM6" s="1667"/>
      <c r="GN6" s="1667"/>
      <c r="GO6" s="1667"/>
      <c r="GP6" s="1667"/>
      <c r="GQ6" s="1667"/>
      <c r="GR6" s="1667"/>
      <c r="GS6" s="1667"/>
      <c r="GT6" s="1667"/>
      <c r="GU6" s="1667"/>
      <c r="GV6" s="1667"/>
      <c r="GW6" s="1667"/>
      <c r="GX6" s="1667"/>
      <c r="GY6" s="1667"/>
      <c r="GZ6" s="1667"/>
      <c r="HA6" s="1667"/>
      <c r="HB6" s="1667"/>
      <c r="HC6" s="1667"/>
      <c r="HD6" s="1667"/>
      <c r="HE6" s="1667"/>
      <c r="HF6" s="1667"/>
      <c r="HG6" s="1667"/>
      <c r="HH6" s="1667"/>
      <c r="HI6" s="1667"/>
      <c r="HJ6" s="1667"/>
      <c r="HK6" s="1667"/>
      <c r="HL6" s="1667"/>
      <c r="HM6" s="1667"/>
      <c r="HN6" s="1667"/>
      <c r="HO6" s="1667"/>
      <c r="HP6" s="1667"/>
      <c r="HQ6" s="1667"/>
      <c r="HR6" s="1667"/>
      <c r="HS6" s="1667"/>
      <c r="HT6" s="1667"/>
      <c r="HU6" s="1667"/>
      <c r="HV6" s="1667"/>
    </row>
    <row r="7" spans="1:230" ht="30.75" customHeight="1">
      <c r="A7" s="1670"/>
      <c r="B7" s="1708" t="s">
        <v>142</v>
      </c>
      <c r="C7" s="1617"/>
      <c r="D7" s="1709"/>
      <c r="E7" s="1710"/>
      <c r="F7" s="1710"/>
      <c r="G7" s="1617"/>
      <c r="H7" s="1711"/>
      <c r="I7" s="1712" t="s">
        <v>242</v>
      </c>
      <c r="J7" s="1713"/>
      <c r="K7" s="1714"/>
      <c r="L7" s="1715" t="s">
        <v>242</v>
      </c>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1716"/>
      <c r="AV7" s="1716"/>
      <c r="AW7" s="1716"/>
      <c r="AX7" s="1716"/>
      <c r="AY7" s="1716"/>
      <c r="AZ7" s="1716"/>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7"/>
      <c r="BZ7" s="4905" t="s">
        <v>242</v>
      </c>
      <c r="CA7" s="4906"/>
      <c r="CB7" s="4906"/>
      <c r="CC7" s="4906"/>
      <c r="CD7" s="4906"/>
      <c r="CE7" s="4906"/>
      <c r="CF7" s="4906"/>
      <c r="CG7" s="4906"/>
      <c r="CH7" s="4906"/>
      <c r="CI7" s="4906"/>
      <c r="CJ7" s="4906"/>
      <c r="CK7" s="4906"/>
      <c r="CL7" s="4906"/>
      <c r="CM7" s="4906"/>
      <c r="CN7" s="4906"/>
      <c r="CO7" s="4906"/>
      <c r="CP7" s="4906"/>
      <c r="CQ7" s="4906"/>
      <c r="CR7" s="4906"/>
      <c r="CS7" s="4906"/>
      <c r="CT7" s="4906"/>
      <c r="CU7" s="4906"/>
      <c r="CV7" s="4906"/>
      <c r="CW7" s="4906"/>
      <c r="CX7" s="4906"/>
      <c r="CY7" s="4906"/>
      <c r="CZ7" s="4906"/>
      <c r="DA7" s="4906"/>
      <c r="DB7" s="4906"/>
      <c r="DC7" s="4906"/>
      <c r="DD7" s="4906"/>
      <c r="DE7" s="4906"/>
      <c r="DF7" s="4906"/>
      <c r="DG7" s="4906"/>
      <c r="DH7" s="4906"/>
      <c r="DI7" s="4906"/>
      <c r="DJ7" s="4906"/>
      <c r="DK7" s="4906"/>
      <c r="DL7" s="4906"/>
      <c r="DM7" s="4906"/>
      <c r="DN7" s="4906"/>
      <c r="DO7" s="4906"/>
      <c r="DP7" s="4906"/>
      <c r="DQ7" s="4907"/>
      <c r="DR7" s="1903"/>
      <c r="DS7" s="1669"/>
      <c r="DT7" s="1669"/>
      <c r="DU7" s="1669"/>
      <c r="DV7" s="1669"/>
      <c r="DW7" s="1670"/>
      <c r="DX7" s="1670"/>
      <c r="DY7" s="1670"/>
      <c r="DZ7" s="1670"/>
      <c r="EA7" s="1670"/>
      <c r="EB7" s="1670"/>
      <c r="EC7" s="1670"/>
      <c r="ED7" s="1670"/>
      <c r="EE7" s="1670"/>
      <c r="EF7" s="1670"/>
      <c r="EG7" s="1670"/>
      <c r="EH7" s="1670"/>
      <c r="EI7" s="1670"/>
      <c r="EJ7" s="1670"/>
      <c r="EK7" s="1670"/>
      <c r="EL7" s="1670"/>
      <c r="EM7" s="1670"/>
      <c r="EN7" s="1670"/>
      <c r="EO7" s="1670"/>
      <c r="EP7" s="1670"/>
      <c r="EQ7" s="1670"/>
      <c r="ER7" s="1670"/>
      <c r="ES7" s="1670"/>
      <c r="ET7" s="1670"/>
      <c r="EU7" s="1670"/>
      <c r="EV7" s="1670"/>
      <c r="EW7" s="1670"/>
      <c r="EX7" s="1670"/>
      <c r="EY7" s="1670"/>
      <c r="EZ7" s="1670"/>
      <c r="FA7" s="1670"/>
      <c r="FB7" s="1670"/>
      <c r="FC7" s="1670"/>
      <c r="FD7" s="1670"/>
      <c r="FE7" s="1670"/>
      <c r="FF7" s="1670"/>
      <c r="FG7" s="1670"/>
      <c r="FH7" s="1670"/>
      <c r="FI7" s="1670"/>
      <c r="FJ7" s="1670"/>
      <c r="FK7" s="1670"/>
      <c r="FL7" s="1670"/>
      <c r="FM7" s="1670"/>
      <c r="FN7" s="1670"/>
      <c r="FO7" s="1670"/>
      <c r="FP7" s="1670"/>
      <c r="FQ7" s="1670"/>
      <c r="FR7" s="1670"/>
      <c r="FS7" s="1670"/>
      <c r="FT7" s="1670"/>
      <c r="FU7" s="1670"/>
      <c r="FV7" s="1670"/>
      <c r="FW7" s="1670"/>
      <c r="FX7" s="1670"/>
      <c r="FY7" s="1670"/>
      <c r="FZ7" s="1670"/>
      <c r="GA7" s="1670"/>
      <c r="GB7" s="1670"/>
      <c r="GC7" s="1670"/>
      <c r="GD7" s="1670"/>
      <c r="GE7" s="1670"/>
      <c r="GF7" s="1670"/>
      <c r="GG7" s="1670"/>
      <c r="GH7" s="1670"/>
      <c r="GI7" s="1670"/>
      <c r="GJ7" s="1670"/>
      <c r="GK7" s="1670"/>
      <c r="GL7" s="1670"/>
      <c r="GM7" s="1670"/>
      <c r="GN7" s="1670"/>
      <c r="GO7" s="1670"/>
      <c r="GP7" s="1670"/>
      <c r="GQ7" s="1670"/>
      <c r="GR7" s="1670"/>
      <c r="GS7" s="1670"/>
      <c r="GT7" s="1670"/>
      <c r="GU7" s="1670"/>
      <c r="GV7" s="1670"/>
      <c r="GW7" s="1670"/>
      <c r="GX7" s="1670"/>
      <c r="GY7" s="1670"/>
      <c r="GZ7" s="1670"/>
      <c r="HA7" s="1670"/>
      <c r="HB7" s="1670"/>
      <c r="HC7" s="1670"/>
      <c r="HD7" s="1670"/>
      <c r="HE7" s="1670"/>
      <c r="HF7" s="1670"/>
      <c r="HG7" s="1670"/>
      <c r="HH7" s="1670"/>
      <c r="HI7" s="1670"/>
      <c r="HJ7" s="1670"/>
      <c r="HK7" s="1670"/>
      <c r="HL7" s="1670"/>
      <c r="HM7" s="1670"/>
      <c r="HN7" s="1670"/>
      <c r="HO7" s="1670"/>
      <c r="HP7" s="1670"/>
      <c r="HQ7" s="1670"/>
      <c r="HR7" s="1670"/>
      <c r="HS7" s="1670"/>
      <c r="HT7" s="1670"/>
      <c r="HU7" s="1670"/>
      <c r="HV7" s="1670"/>
    </row>
    <row r="8" spans="1:230" ht="15" hidden="1">
      <c r="A8" s="1670"/>
      <c r="B8" s="1708" t="s">
        <v>142</v>
      </c>
      <c r="C8" s="1617"/>
      <c r="D8" s="1617"/>
      <c r="E8" s="1617"/>
      <c r="F8" s="1617"/>
      <c r="G8" s="1718"/>
      <c r="H8" s="1617"/>
      <c r="I8" s="1719"/>
      <c r="J8" s="1618"/>
      <c r="K8" s="1618"/>
      <c r="L8" s="1706"/>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c r="AT8" s="1617"/>
      <c r="AU8" s="1617"/>
      <c r="AV8" s="1617"/>
      <c r="AW8" s="1617"/>
      <c r="AX8" s="1617"/>
      <c r="AY8" s="1617"/>
      <c r="AZ8" s="1617"/>
      <c r="BA8" s="1617"/>
      <c r="BB8" s="1617"/>
      <c r="BC8" s="1617"/>
      <c r="BD8" s="1617"/>
      <c r="BE8" s="1617"/>
      <c r="BF8" s="1617"/>
      <c r="BG8" s="1617"/>
      <c r="BH8" s="1617"/>
      <c r="BI8" s="1617"/>
      <c r="BJ8" s="1617"/>
      <c r="BK8" s="1617"/>
      <c r="BL8" s="1617"/>
      <c r="BM8" s="1617"/>
      <c r="BN8" s="1617"/>
      <c r="BO8" s="1617"/>
      <c r="BP8" s="1617"/>
      <c r="BQ8" s="1617"/>
      <c r="BR8" s="1617"/>
      <c r="BS8" s="1617"/>
      <c r="BT8" s="1617"/>
      <c r="BU8" s="1617"/>
      <c r="BV8" s="1617"/>
      <c r="BW8" s="1617"/>
      <c r="BX8" s="1617"/>
      <c r="BY8" s="1617"/>
      <c r="BZ8" s="4903" t="s">
        <v>242</v>
      </c>
      <c r="CA8" s="4904"/>
      <c r="CB8" s="4904"/>
      <c r="CC8" s="4904"/>
      <c r="CD8" s="4904"/>
      <c r="CE8" s="4904"/>
      <c r="CF8" s="4904"/>
      <c r="CG8" s="4904"/>
      <c r="CH8" s="4904"/>
      <c r="CI8" s="4904"/>
      <c r="CJ8" s="4904"/>
      <c r="CK8" s="4904"/>
      <c r="CL8" s="4904"/>
      <c r="CM8" s="4904"/>
      <c r="CN8" s="4904"/>
      <c r="CO8" s="4904"/>
      <c r="CP8" s="4904"/>
      <c r="CQ8" s="4904"/>
      <c r="CR8" s="4904"/>
      <c r="CS8" s="4904"/>
      <c r="CT8" s="4904"/>
      <c r="CU8" s="4904"/>
      <c r="CV8" s="4904"/>
      <c r="CW8" s="4904"/>
      <c r="CX8" s="4904"/>
      <c r="CY8" s="4904"/>
      <c r="CZ8" s="4904"/>
      <c r="DA8" s="4904"/>
      <c r="DB8" s="4904"/>
      <c r="DC8" s="4904"/>
      <c r="DD8" s="4904"/>
      <c r="DE8" s="4904"/>
      <c r="DF8" s="4904"/>
      <c r="DG8" s="4904"/>
      <c r="DH8" s="4904"/>
      <c r="DI8" s="4904"/>
      <c r="DJ8" s="4904"/>
      <c r="DK8" s="4904"/>
      <c r="DL8" s="4904"/>
      <c r="DM8" s="4904"/>
      <c r="DN8" s="4904"/>
      <c r="DO8" s="4904"/>
      <c r="DP8" s="4904"/>
      <c r="DQ8" s="1911"/>
      <c r="DR8" s="1670"/>
      <c r="DS8" s="1669"/>
      <c r="DT8" s="1669"/>
      <c r="DU8" s="1669"/>
      <c r="DV8" s="1669"/>
      <c r="DW8" s="1670"/>
      <c r="DX8" s="1670"/>
      <c r="DY8" s="1670"/>
      <c r="DZ8" s="1670"/>
      <c r="EA8" s="1670"/>
      <c r="EB8" s="1670"/>
      <c r="EC8" s="1670"/>
      <c r="ED8" s="1670"/>
      <c r="EE8" s="1670"/>
      <c r="EF8" s="1670"/>
      <c r="EG8" s="1670"/>
      <c r="EH8" s="1670"/>
      <c r="EI8" s="1670"/>
      <c r="EJ8" s="1670"/>
      <c r="EK8" s="1670"/>
      <c r="EL8" s="1670"/>
      <c r="EM8" s="1670"/>
      <c r="EN8" s="1670"/>
      <c r="EO8" s="1670"/>
      <c r="EP8" s="1670"/>
      <c r="EQ8" s="1670"/>
      <c r="ER8" s="1670"/>
      <c r="ES8" s="1670"/>
      <c r="ET8" s="1670"/>
      <c r="EU8" s="1670"/>
      <c r="EV8" s="1670"/>
      <c r="EW8" s="1670"/>
      <c r="EX8" s="1670"/>
      <c r="EY8" s="1670"/>
      <c r="EZ8" s="1670"/>
      <c r="FA8" s="1670"/>
      <c r="FB8" s="1670"/>
      <c r="FC8" s="1670"/>
      <c r="FD8" s="1670"/>
      <c r="FE8" s="1670"/>
      <c r="FF8" s="1670"/>
      <c r="FG8" s="1670"/>
      <c r="FH8" s="1670"/>
      <c r="FI8" s="1670"/>
      <c r="FJ8" s="1670"/>
      <c r="FK8" s="1670"/>
      <c r="FL8" s="1670"/>
      <c r="FM8" s="1670"/>
      <c r="FN8" s="1670"/>
      <c r="FO8" s="1670"/>
      <c r="FP8" s="1670"/>
      <c r="FQ8" s="1670"/>
      <c r="FR8" s="1670"/>
      <c r="FS8" s="1670"/>
      <c r="FT8" s="1670"/>
      <c r="FU8" s="1670"/>
      <c r="FV8" s="1670"/>
      <c r="FW8" s="1670"/>
      <c r="FX8" s="1670"/>
      <c r="FY8" s="1670"/>
      <c r="FZ8" s="1670"/>
      <c r="GA8" s="1670"/>
      <c r="GB8" s="1670"/>
      <c r="GC8" s="1670"/>
      <c r="GD8" s="1670"/>
      <c r="GE8" s="1670"/>
      <c r="GF8" s="1670"/>
      <c r="GG8" s="1670"/>
      <c r="GH8" s="1670"/>
      <c r="GI8" s="1670"/>
      <c r="GJ8" s="1670"/>
      <c r="GK8" s="1670"/>
      <c r="GL8" s="1670"/>
      <c r="GM8" s="1670"/>
      <c r="GN8" s="1670"/>
      <c r="GO8" s="1670"/>
      <c r="GP8" s="1670"/>
      <c r="GQ8" s="1670"/>
      <c r="GR8" s="1670"/>
      <c r="GS8" s="1670"/>
      <c r="GT8" s="1670"/>
      <c r="GU8" s="1670"/>
      <c r="GV8" s="1670"/>
      <c r="GW8" s="1670"/>
      <c r="GX8" s="1670"/>
      <c r="GY8" s="1670"/>
      <c r="GZ8" s="1670"/>
      <c r="HA8" s="1670"/>
      <c r="HB8" s="1670"/>
      <c r="HC8" s="1670"/>
      <c r="HD8" s="1670"/>
      <c r="HE8" s="1670"/>
      <c r="HF8" s="1670"/>
      <c r="HG8" s="1670"/>
      <c r="HH8" s="1670"/>
      <c r="HI8" s="1670"/>
      <c r="HJ8" s="1670"/>
      <c r="HK8" s="1670"/>
      <c r="HL8" s="1670"/>
      <c r="HM8" s="1670"/>
      <c r="HN8" s="1670"/>
      <c r="HO8" s="1670"/>
      <c r="HP8" s="1670"/>
      <c r="HQ8" s="1670"/>
      <c r="HR8" s="1670"/>
      <c r="HS8" s="1670"/>
      <c r="HT8" s="1670"/>
      <c r="HU8" s="1670"/>
      <c r="HV8" s="1670"/>
    </row>
    <row r="9" spans="1:230" ht="23.25" customHeight="1">
      <c r="A9" s="1670"/>
      <c r="B9" s="1724" t="s">
        <v>243</v>
      </c>
      <c r="C9" s="1725">
        <f t="shared" ref="C9:L9" si="0">SUM(C10:C15)</f>
        <v>79.81</v>
      </c>
      <c r="D9" s="1726">
        <f t="shared" si="0"/>
        <v>125.25</v>
      </c>
      <c r="E9" s="1726">
        <f t="shared" si="0"/>
        <v>70.95</v>
      </c>
      <c r="F9" s="1727">
        <f t="shared" si="0"/>
        <v>150.54</v>
      </c>
      <c r="G9" s="1728">
        <f t="shared" si="0"/>
        <v>958.64</v>
      </c>
      <c r="H9" s="1729">
        <f t="shared" si="0"/>
        <v>1517.7600000000002</v>
      </c>
      <c r="I9" s="1730">
        <f t="shared" si="0"/>
        <v>2519.2600000000002</v>
      </c>
      <c r="J9" s="1731">
        <f t="shared" si="0"/>
        <v>3106.55</v>
      </c>
      <c r="K9" s="1732">
        <f t="shared" si="0"/>
        <v>3551.92</v>
      </c>
      <c r="L9" s="1706">
        <f t="shared" si="0"/>
        <v>3663.88</v>
      </c>
      <c r="M9" s="1617">
        <f t="shared" ref="M9:AA9" si="1">SUM(M10:M15)</f>
        <v>3651.25</v>
      </c>
      <c r="N9" s="1617">
        <f t="shared" si="1"/>
        <v>3723.15</v>
      </c>
      <c r="O9" s="1617">
        <f t="shared" si="1"/>
        <v>2963.33</v>
      </c>
      <c r="P9" s="1617">
        <f t="shared" si="1"/>
        <v>3488.5699999999997</v>
      </c>
      <c r="Q9" s="1617">
        <f t="shared" si="1"/>
        <v>3283.69</v>
      </c>
      <c r="R9" s="1617">
        <f t="shared" si="1"/>
        <v>4555.9800000000005</v>
      </c>
      <c r="S9" s="1617">
        <f t="shared" si="1"/>
        <v>3937.2999999999997</v>
      </c>
      <c r="T9" s="1617">
        <f t="shared" si="1"/>
        <v>3397.04</v>
      </c>
      <c r="U9" s="1617">
        <f t="shared" si="1"/>
        <v>3544.9300000000003</v>
      </c>
      <c r="V9" s="1617">
        <f t="shared" si="1"/>
        <v>4212.76</v>
      </c>
      <c r="W9" s="1617">
        <f t="shared" si="1"/>
        <v>3642.72</v>
      </c>
      <c r="X9" s="1617">
        <f t="shared" si="1"/>
        <v>3330.15</v>
      </c>
      <c r="Y9" s="1617">
        <f t="shared" si="1"/>
        <v>3353.93</v>
      </c>
      <c r="Z9" s="1617">
        <f t="shared" si="1"/>
        <v>3358.3399999999997</v>
      </c>
      <c r="AA9" s="1617">
        <f t="shared" si="1"/>
        <v>3627.25</v>
      </c>
      <c r="AB9" s="1617">
        <f t="shared" ref="AB9:AG9" si="2">SUM(AB10:AB15)</f>
        <v>3040.7200000000003</v>
      </c>
      <c r="AC9" s="1617">
        <f t="shared" si="2"/>
        <v>3455.95</v>
      </c>
      <c r="AD9" s="1617">
        <f t="shared" si="2"/>
        <v>3554.9900000000002</v>
      </c>
      <c r="AE9" s="1617">
        <f t="shared" si="2"/>
        <v>4168.38</v>
      </c>
      <c r="AF9" s="1617">
        <f t="shared" si="2"/>
        <v>4184.4800000000005</v>
      </c>
      <c r="AG9" s="1617">
        <f t="shared" si="2"/>
        <v>4200.2</v>
      </c>
      <c r="AH9" s="1617">
        <f t="shared" ref="AH9:AM9" si="3">SUM(AH10:AH15)</f>
        <v>5371.82</v>
      </c>
      <c r="AI9" s="1617">
        <f t="shared" si="3"/>
        <v>3975.35</v>
      </c>
      <c r="AJ9" s="1617">
        <f t="shared" si="3"/>
        <v>4362.83</v>
      </c>
      <c r="AK9" s="1617">
        <f t="shared" si="3"/>
        <v>3302.7</v>
      </c>
      <c r="AL9" s="1617">
        <f t="shared" si="3"/>
        <v>2977.1800000000003</v>
      </c>
      <c r="AM9" s="1617">
        <f t="shared" si="3"/>
        <v>2886.04</v>
      </c>
      <c r="AN9" s="1617">
        <f t="shared" ref="AN9:AT9" si="4">SUM(AN10:AN15)</f>
        <v>4674.8</v>
      </c>
      <c r="AO9" s="1617">
        <f t="shared" si="4"/>
        <v>6105.37</v>
      </c>
      <c r="AP9" s="1617">
        <f t="shared" si="4"/>
        <v>5431.99</v>
      </c>
      <c r="AQ9" s="1617">
        <f t="shared" si="4"/>
        <v>5528.6599999999989</v>
      </c>
      <c r="AR9" s="1617">
        <f t="shared" si="4"/>
        <v>5198.8599999999997</v>
      </c>
      <c r="AS9" s="1617">
        <f t="shared" si="4"/>
        <v>5555.97</v>
      </c>
      <c r="AT9" s="1617">
        <f t="shared" si="4"/>
        <v>4152.45</v>
      </c>
      <c r="AU9" s="1617">
        <f t="shared" ref="AU9:BE9" si="5">SUM(AU10:AU15)</f>
        <v>4581.46</v>
      </c>
      <c r="AV9" s="1617">
        <f t="shared" si="5"/>
        <v>3578.2599999999998</v>
      </c>
      <c r="AW9" s="1617">
        <f t="shared" si="5"/>
        <v>2993.9007844600001</v>
      </c>
      <c r="AX9" s="1617">
        <f t="shared" si="5"/>
        <v>2799.2146397699998</v>
      </c>
      <c r="AY9" s="1617">
        <f t="shared" si="5"/>
        <v>2515.8716840299999</v>
      </c>
      <c r="AZ9" s="1617">
        <f t="shared" si="5"/>
        <v>3072.9112871799998</v>
      </c>
      <c r="BA9" s="1617">
        <f t="shared" si="5"/>
        <v>5435.3851241299999</v>
      </c>
      <c r="BB9" s="1617">
        <f t="shared" si="5"/>
        <v>4737.3443555599997</v>
      </c>
      <c r="BC9" s="1617">
        <f t="shared" si="5"/>
        <v>5290.0269797999999</v>
      </c>
      <c r="BD9" s="1617">
        <f t="shared" si="5"/>
        <v>4546.3216580299995</v>
      </c>
      <c r="BE9" s="1617">
        <f t="shared" si="5"/>
        <v>4008.84887493</v>
      </c>
      <c r="BF9" s="1617">
        <f t="shared" ref="BF9:BX9" si="6">SUM(BF10:BF15)</f>
        <v>5732.5840343</v>
      </c>
      <c r="BG9" s="1617">
        <f t="shared" si="6"/>
        <v>3895.4335707099999</v>
      </c>
      <c r="BH9" s="1617">
        <f t="shared" si="6"/>
        <v>3127.6998914300002</v>
      </c>
      <c r="BI9" s="1617">
        <f t="shared" si="6"/>
        <v>2607.1665536700002</v>
      </c>
      <c r="BJ9" s="1617">
        <f t="shared" si="6"/>
        <v>2006.3332910300001</v>
      </c>
      <c r="BK9" s="1617">
        <f t="shared" si="6"/>
        <v>1802.7724886699998</v>
      </c>
      <c r="BL9" s="1617">
        <f t="shared" si="6"/>
        <v>2225.0168996699999</v>
      </c>
      <c r="BM9" s="1617">
        <f t="shared" si="6"/>
        <v>3308.1438032800002</v>
      </c>
      <c r="BN9" s="1617">
        <f>SUM(BN10:BN15)</f>
        <v>3768.4866715500002</v>
      </c>
      <c r="BO9" s="1617">
        <f t="shared" si="6"/>
        <v>3251.0948770100003</v>
      </c>
      <c r="BP9" s="1617">
        <f t="shared" si="6"/>
        <v>2973.4220959899999</v>
      </c>
      <c r="BQ9" s="1617">
        <f t="shared" si="6"/>
        <v>2354.2249818</v>
      </c>
      <c r="BR9" s="1617">
        <f t="shared" si="6"/>
        <v>1110.25187177</v>
      </c>
      <c r="BS9" s="1617">
        <f t="shared" si="6"/>
        <v>1010.8947175600001</v>
      </c>
      <c r="BT9" s="1617">
        <f t="shared" si="6"/>
        <v>769.58624621000001</v>
      </c>
      <c r="BU9" s="1617">
        <f t="shared" si="6"/>
        <v>619.78224788</v>
      </c>
      <c r="BV9" s="1617">
        <f t="shared" si="6"/>
        <v>1706.67396495</v>
      </c>
      <c r="BW9" s="1617">
        <f t="shared" si="6"/>
        <v>1543.7846111899999</v>
      </c>
      <c r="BX9" s="1628">
        <f t="shared" si="6"/>
        <v>2135.5553086300001</v>
      </c>
      <c r="BY9" s="1628">
        <f t="shared" ref="BY9:CY9" si="7">SUM(BY10:BY15)</f>
        <v>3584.5524214799998</v>
      </c>
      <c r="BZ9" s="1832">
        <f t="shared" si="7"/>
        <v>4000.0460260699992</v>
      </c>
      <c r="CA9" s="1733">
        <f t="shared" si="7"/>
        <v>782.62035053999989</v>
      </c>
      <c r="CB9" s="1733">
        <f t="shared" si="7"/>
        <v>782.62035053999989</v>
      </c>
      <c r="CC9" s="1733">
        <f t="shared" si="7"/>
        <v>986.58396472000004</v>
      </c>
      <c r="CD9" s="1733">
        <f t="shared" si="7"/>
        <v>975.63163785999996</v>
      </c>
      <c r="CE9" s="1733">
        <f t="shared" si="7"/>
        <v>970.12200825000002</v>
      </c>
      <c r="CF9" s="1733">
        <f t="shared" si="7"/>
        <v>858.20576038000002</v>
      </c>
      <c r="CG9" s="1733">
        <f t="shared" si="7"/>
        <v>788.18963357999996</v>
      </c>
      <c r="CH9" s="1733">
        <f t="shared" si="7"/>
        <v>644.32600644000001</v>
      </c>
      <c r="CI9" s="1733">
        <f t="shared" si="7"/>
        <v>2093.91579159</v>
      </c>
      <c r="CJ9" s="1733">
        <f t="shared" si="7"/>
        <v>2329.9385103299996</v>
      </c>
      <c r="CK9" s="1733">
        <f t="shared" si="7"/>
        <v>3775.0547124100003</v>
      </c>
      <c r="CL9" s="1833">
        <f t="shared" si="7"/>
        <v>3407.8861669000003</v>
      </c>
      <c r="CM9" s="1733">
        <f t="shared" si="7"/>
        <v>2290.92904198</v>
      </c>
      <c r="CN9" s="1733">
        <f t="shared" si="7"/>
        <v>896.75335174000008</v>
      </c>
      <c r="CO9" s="1733">
        <f t="shared" si="7"/>
        <v>906.75753095999994</v>
      </c>
      <c r="CP9" s="1733">
        <f t="shared" si="7"/>
        <v>2136.9484276100002</v>
      </c>
      <c r="CQ9" s="1733">
        <f t="shared" si="7"/>
        <v>2070.70724204</v>
      </c>
      <c r="CR9" s="1733">
        <f t="shared" si="7"/>
        <v>628.05977479000001</v>
      </c>
      <c r="CS9" s="1733">
        <f t="shared" si="7"/>
        <v>1748.0999770299995</v>
      </c>
      <c r="CT9" s="1733">
        <f t="shared" si="7"/>
        <v>2473.5935595600004</v>
      </c>
      <c r="CU9" s="1733">
        <f t="shared" si="7"/>
        <v>2912.7674293099999</v>
      </c>
      <c r="CV9" s="1733">
        <f t="shared" si="7"/>
        <v>2431.7092317299998</v>
      </c>
      <c r="CW9" s="1733">
        <f t="shared" si="7"/>
        <v>5269.4466589800004</v>
      </c>
      <c r="CX9" s="1853">
        <f t="shared" si="7"/>
        <v>5519.3487934099994</v>
      </c>
      <c r="CY9" s="1854">
        <f t="shared" si="7"/>
        <v>1844.1993181600003</v>
      </c>
      <c r="CZ9" s="1854">
        <f>SUM(CZ10:CZ15)</f>
        <v>4754.1935628399988</v>
      </c>
      <c r="DA9" s="1854">
        <f>SUM(DA10:DA15)</f>
        <v>2957.1339460700001</v>
      </c>
      <c r="DB9" s="1854">
        <f t="shared" ref="DB9:DQ9" si="8">SUM(DB10:DB21)</f>
        <v>1780.9777097000001</v>
      </c>
      <c r="DC9" s="1854">
        <f t="shared" si="8"/>
        <v>1843.98696399</v>
      </c>
      <c r="DD9" s="1854">
        <f t="shared" si="8"/>
        <v>1378.55935965</v>
      </c>
      <c r="DE9" s="1854">
        <f t="shared" si="8"/>
        <v>1620.7033266400001</v>
      </c>
      <c r="DF9" s="1854">
        <f t="shared" si="8"/>
        <v>6723.3296231000004</v>
      </c>
      <c r="DG9" s="1854">
        <f t="shared" si="8"/>
        <v>5453.1756056699996</v>
      </c>
      <c r="DH9" s="1854">
        <f t="shared" si="8"/>
        <v>4021.9580445399997</v>
      </c>
      <c r="DI9" s="1854">
        <f t="shared" si="8"/>
        <v>5735.9914301600002</v>
      </c>
      <c r="DJ9" s="1854">
        <f t="shared" si="8"/>
        <v>6035.1563509399994</v>
      </c>
      <c r="DK9" s="1854">
        <f t="shared" si="8"/>
        <v>1283.8390489400001</v>
      </c>
      <c r="DL9" s="1854">
        <f t="shared" si="8"/>
        <v>788.31888477999996</v>
      </c>
      <c r="DM9" s="1854">
        <f t="shared" si="8"/>
        <v>1135.07709718</v>
      </c>
      <c r="DN9" s="1854">
        <f t="shared" si="8"/>
        <v>1269.60568792</v>
      </c>
      <c r="DO9" s="1854">
        <f t="shared" si="8"/>
        <v>717.88371719999986</v>
      </c>
      <c r="DP9" s="1920">
        <f t="shared" si="8"/>
        <v>774.57534202000011</v>
      </c>
      <c r="DQ9" s="1920">
        <f t="shared" si="8"/>
        <v>826.9604615400001</v>
      </c>
      <c r="DR9" s="1830"/>
      <c r="DS9" s="1669"/>
      <c r="DT9" s="1669"/>
      <c r="DU9" s="1669"/>
      <c r="DV9" s="1669"/>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row>
    <row r="10" spans="1:230" ht="15">
      <c r="A10" s="1670"/>
      <c r="B10" s="1734" t="s">
        <v>142</v>
      </c>
      <c r="C10" s="1735"/>
      <c r="D10" s="1735"/>
      <c r="E10" s="1735"/>
      <c r="F10" s="1736"/>
      <c r="G10" s="1737"/>
      <c r="H10" s="1738"/>
      <c r="I10" s="1739"/>
      <c r="J10" s="1740"/>
      <c r="K10" s="1741"/>
      <c r="L10" s="1706"/>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c r="AT10" s="1617"/>
      <c r="AU10" s="1617"/>
      <c r="AV10" s="1617"/>
      <c r="AW10" s="1617"/>
      <c r="AX10" s="1617"/>
      <c r="AY10" s="1617"/>
      <c r="AZ10" s="1617"/>
      <c r="BA10" s="1617"/>
      <c r="BB10" s="1617"/>
      <c r="BC10" s="1617"/>
      <c r="BD10" s="1617"/>
      <c r="BE10" s="1617"/>
      <c r="BF10" s="1617"/>
      <c r="BG10" s="1617"/>
      <c r="BH10" s="1617"/>
      <c r="BI10" s="1617"/>
      <c r="BJ10" s="1617"/>
      <c r="BK10" s="1617"/>
      <c r="BL10" s="1617"/>
      <c r="BM10" s="1617"/>
      <c r="BN10" s="1617"/>
      <c r="BO10" s="1617"/>
      <c r="BP10" s="1617"/>
      <c r="BQ10" s="1617"/>
      <c r="BR10" s="1617"/>
      <c r="BS10" s="1617"/>
      <c r="BT10" s="1617"/>
      <c r="BU10" s="1617"/>
      <c r="BV10" s="1617"/>
      <c r="BW10" s="1617"/>
      <c r="BX10" s="1628"/>
      <c r="BY10" s="1628"/>
      <c r="BZ10" s="1834"/>
      <c r="CA10" s="1742"/>
      <c r="CB10" s="1742"/>
      <c r="CC10" s="1742"/>
      <c r="CD10" s="1742"/>
      <c r="CE10" s="1742"/>
      <c r="CF10" s="1742"/>
      <c r="CG10" s="1742"/>
      <c r="CH10" s="1742"/>
      <c r="CI10" s="1742"/>
      <c r="CJ10" s="1742"/>
      <c r="CK10" s="1742"/>
      <c r="CL10" s="1835"/>
      <c r="CM10" s="1742"/>
      <c r="CN10" s="1742"/>
      <c r="CO10" s="1742"/>
      <c r="CP10" s="1742"/>
      <c r="CQ10" s="1742"/>
      <c r="CR10" s="1742"/>
      <c r="CS10" s="1742"/>
      <c r="CT10" s="1742"/>
      <c r="CU10" s="1742"/>
      <c r="CV10" s="1742"/>
      <c r="CW10" s="1742"/>
      <c r="CX10" s="1846"/>
      <c r="CY10" s="1742"/>
      <c r="CZ10" s="1742"/>
      <c r="DA10" s="1742"/>
      <c r="DB10" s="1742"/>
      <c r="DC10" s="1742"/>
      <c r="DD10" s="1742"/>
      <c r="DE10" s="1742"/>
      <c r="DF10" s="1742"/>
      <c r="DG10" s="1742"/>
      <c r="DH10" s="1742"/>
      <c r="DI10" s="1742"/>
      <c r="DJ10" s="1742"/>
      <c r="DK10" s="1742"/>
      <c r="DL10" s="1843"/>
      <c r="DM10" s="1843"/>
      <c r="DN10" s="1843"/>
      <c r="DO10" s="1843"/>
      <c r="DP10" s="1911"/>
      <c r="DQ10" s="1911"/>
      <c r="DR10" s="1669"/>
      <c r="DS10" s="1669"/>
      <c r="DT10" s="1669"/>
      <c r="DU10" s="1669"/>
      <c r="DV10" s="1669"/>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row>
    <row r="11" spans="1:230" ht="15">
      <c r="A11" s="1670"/>
      <c r="B11" s="1744" t="s">
        <v>1438</v>
      </c>
      <c r="C11" s="1735">
        <v>30.07</v>
      </c>
      <c r="D11" s="1735">
        <v>33.450000000000003</v>
      </c>
      <c r="E11" s="1735">
        <v>33.380000000000003</v>
      </c>
      <c r="F11" s="1736">
        <v>33.96</v>
      </c>
      <c r="G11" s="1737">
        <v>39.15</v>
      </c>
      <c r="H11" s="1738">
        <v>41.38</v>
      </c>
      <c r="I11" s="1739">
        <v>95.26</v>
      </c>
      <c r="J11" s="1740">
        <v>102.02</v>
      </c>
      <c r="K11" s="1741">
        <v>89.35</v>
      </c>
      <c r="L11" s="1706">
        <v>635.65</v>
      </c>
      <c r="M11" s="1617">
        <v>767.75</v>
      </c>
      <c r="N11" s="1617">
        <v>926.55</v>
      </c>
      <c r="O11" s="1617">
        <v>107.04</v>
      </c>
      <c r="P11" s="1617">
        <v>158.69999999999999</v>
      </c>
      <c r="Q11" s="1617">
        <v>569.5</v>
      </c>
      <c r="R11" s="1617">
        <v>913.41</v>
      </c>
      <c r="S11" s="1617">
        <v>945.1</v>
      </c>
      <c r="T11" s="1617">
        <v>936.41</v>
      </c>
      <c r="U11" s="1617">
        <v>946.05</v>
      </c>
      <c r="V11" s="1617">
        <v>1640.78</v>
      </c>
      <c r="W11" s="1617">
        <v>1156.1099999999999</v>
      </c>
      <c r="X11" s="1617">
        <v>863.64</v>
      </c>
      <c r="Y11" s="1617">
        <v>889.44</v>
      </c>
      <c r="Z11" s="1617">
        <v>913.52</v>
      </c>
      <c r="AA11" s="1617">
        <v>679.1</v>
      </c>
      <c r="AB11" s="1617">
        <v>600.64</v>
      </c>
      <c r="AC11" s="1617">
        <v>610.64</v>
      </c>
      <c r="AD11" s="1617">
        <v>987.25</v>
      </c>
      <c r="AE11" s="1617">
        <v>1703.1</v>
      </c>
      <c r="AF11" s="1617">
        <v>1701.31</v>
      </c>
      <c r="AG11" s="1617">
        <v>1722.3</v>
      </c>
      <c r="AH11" s="1617">
        <v>2901.34</v>
      </c>
      <c r="AI11" s="1617">
        <v>1465.95</v>
      </c>
      <c r="AJ11" s="1617">
        <v>1822.38</v>
      </c>
      <c r="AK11" s="1617">
        <v>833.79</v>
      </c>
      <c r="AL11" s="1617">
        <v>809.98</v>
      </c>
      <c r="AM11" s="1617">
        <v>765.26</v>
      </c>
      <c r="AN11" s="1617">
        <v>1998.22</v>
      </c>
      <c r="AO11" s="1617">
        <v>2715.44</v>
      </c>
      <c r="AP11" s="1617">
        <v>2709.6</v>
      </c>
      <c r="AQ11" s="1617">
        <v>2578.6999999999998</v>
      </c>
      <c r="AR11" s="1617">
        <v>2615.1</v>
      </c>
      <c r="AS11" s="1617">
        <v>2421.1799999999998</v>
      </c>
      <c r="AT11" s="1617">
        <v>1909.11</v>
      </c>
      <c r="AU11" s="1617">
        <v>2086.41</v>
      </c>
      <c r="AV11" s="1617">
        <v>2069.69</v>
      </c>
      <c r="AW11" s="1617">
        <f>'[11]RMA Assets'!D44</f>
        <v>1411.57</v>
      </c>
      <c r="AX11" s="1617">
        <f>'[11]RMA Assets'!D45</f>
        <v>891.31</v>
      </c>
      <c r="AY11" s="1617">
        <f>'[11]RMA Assets'!D46</f>
        <v>612.85</v>
      </c>
      <c r="AZ11" s="1617">
        <f>'[11]RMA Assets'!D47</f>
        <v>605.22</v>
      </c>
      <c r="BA11" s="1617">
        <f>'[11]RMA Assets'!D48</f>
        <v>2601.16</v>
      </c>
      <c r="BB11" s="1617">
        <f>'[11]RMA Assets'!D49</f>
        <v>2539.6799999999998</v>
      </c>
      <c r="BC11" s="1617">
        <f>'[11]RMA Assets'!D50</f>
        <v>3000.23</v>
      </c>
      <c r="BD11" s="1617">
        <f>'[11]RMA Assets'!D51</f>
        <v>2587.39</v>
      </c>
      <c r="BE11" s="1617">
        <f>'[11]RMA Assets'!D52</f>
        <v>1368.45</v>
      </c>
      <c r="BF11" s="1617">
        <f>'[11]RMA Assets'!D53</f>
        <v>2513.37</v>
      </c>
      <c r="BG11" s="1617">
        <f>'[11]RMA Assets'!D54</f>
        <v>2337.96</v>
      </c>
      <c r="BH11" s="1617">
        <f>'[11]RMA Assets'!D55</f>
        <v>1507.42</v>
      </c>
      <c r="BI11" s="1617">
        <f>'[11]RMA Assets'!D56</f>
        <v>1302.29</v>
      </c>
      <c r="BJ11" s="1617">
        <f>'[11]RMA Assets'!D57</f>
        <v>632.55999999999995</v>
      </c>
      <c r="BK11" s="1617">
        <f>'[11]RMA Assets'!D58</f>
        <v>241.58</v>
      </c>
      <c r="BL11" s="1617">
        <f>'[11]RMA Assets'!D59</f>
        <v>222.44</v>
      </c>
      <c r="BM11" s="1617">
        <f>'[11]RMA Assets'!D60</f>
        <v>252.6</v>
      </c>
      <c r="BN11" s="1617">
        <f>'[11]RMA Assets'!D61</f>
        <v>200.76476244999998</v>
      </c>
      <c r="BO11" s="1617">
        <f>'[11]RMA Assets'!D62</f>
        <v>1664.22342845</v>
      </c>
      <c r="BP11" s="1617">
        <f>'[11]RMA Assets'!D63</f>
        <v>1563.7422294999999</v>
      </c>
      <c r="BQ11" s="1617">
        <f>'[11]RMA Assets'!D64</f>
        <v>1080.2006414500001</v>
      </c>
      <c r="BR11" s="1617">
        <f>'[11]RMA Assets'!D65</f>
        <v>144.88931062</v>
      </c>
      <c r="BS11" s="1617">
        <f>'[11]RMA Assets'!D66</f>
        <v>153.20400000000001</v>
      </c>
      <c r="BT11" s="1617">
        <v>136.30000000000001</v>
      </c>
      <c r="BU11" s="1617">
        <f>'[11]RMA Assets'!$D$68</f>
        <v>98.405750620000006</v>
      </c>
      <c r="BV11" s="1617">
        <f>'[11]RMA Assets'!$D$69</f>
        <v>150.20829062000001</v>
      </c>
      <c r="BW11" s="1617">
        <f>'[11]RMA Assets'!$D$70</f>
        <v>93.521536339999997</v>
      </c>
      <c r="BX11" s="1628">
        <f>'[11]RMA Assets'!$D$71</f>
        <v>614.55654261999996</v>
      </c>
      <c r="BY11" s="1628">
        <f>'[11]RMA Assets'!$D$72</f>
        <v>2276.1510646199999</v>
      </c>
      <c r="BZ11" s="1834">
        <f>'[11]RMA Assets'!$D$73</f>
        <v>2588.8025506199997</v>
      </c>
      <c r="CA11" s="1742">
        <f>'[11]RMA Assets'!$D$74</f>
        <v>223.53849762000002</v>
      </c>
      <c r="CB11" s="1742">
        <f>'[11]RMA Assets'!$D$74</f>
        <v>223.53849762000002</v>
      </c>
      <c r="CC11" s="1742">
        <f>'[11]RMA Assets'!$D$76</f>
        <v>120.00538762000001</v>
      </c>
      <c r="CD11" s="1742">
        <f>'[11]RMA Assets'!$D$77</f>
        <v>146.63452762</v>
      </c>
      <c r="CE11" s="1742">
        <f>'[11]RMA Assets'!$D$78</f>
        <v>100.40750174999999</v>
      </c>
      <c r="CF11" s="1742">
        <f>'[11]RMA Assets'!$D$79</f>
        <v>135.11288830000001</v>
      </c>
      <c r="CG11" s="1742">
        <f>'[11]RMA Assets'!$D$80</f>
        <v>83.887388299999998</v>
      </c>
      <c r="CH11" s="1742">
        <f>'[11]RMA Assets'!$D$81</f>
        <v>51.257826979999997</v>
      </c>
      <c r="CI11" s="1742">
        <f>'[11]RMA Assets'!$D$82</f>
        <v>1195.6360830399999</v>
      </c>
      <c r="CJ11" s="1742">
        <f>'[11]RMA Assets'!$D$83</f>
        <v>1688.6143387699999</v>
      </c>
      <c r="CK11" s="1742">
        <f>'[11]RMA Assets'!$D$84</f>
        <v>2755.74152177</v>
      </c>
      <c r="CL11" s="1835">
        <f>'[11]RMA Assets'!$D$85</f>
        <v>2291.8736927700002</v>
      </c>
      <c r="CM11" s="1742">
        <f>'[11]RMA Assets'!$D$86</f>
        <v>1455.20073677</v>
      </c>
      <c r="CN11" s="1742">
        <f>'[11]RMA Assets'!$D$87</f>
        <v>134.08991074000002</v>
      </c>
      <c r="CO11" s="1742">
        <f>'[11]RMA Assets'!$D$88</f>
        <v>177.22025074000001</v>
      </c>
      <c r="CP11" s="1742">
        <f>'[11]RMA Assets'!$D$89</f>
        <v>1242.9521733800002</v>
      </c>
      <c r="CQ11" s="1742">
        <f>'[11]RMA Assets'!$D$90</f>
        <v>1242.9521733800002</v>
      </c>
      <c r="CR11" s="1742">
        <f>'[11]RMA Assets'!$D$91</f>
        <v>118.40260841</v>
      </c>
      <c r="CS11" s="1742">
        <f>'[11]RMA Assets'!$D$92</f>
        <v>426.85795040999994</v>
      </c>
      <c r="CT11" s="1742">
        <f>'[11]RMA Assets'!$D$93</f>
        <v>142.29372559000001</v>
      </c>
      <c r="CU11" s="1742">
        <f>'[11]RMA Assets'!$D$94</f>
        <v>1630.6314775200001</v>
      </c>
      <c r="CV11" s="1742">
        <f>'[11]RMA Assets'!$D$95</f>
        <v>1181.5424954100001</v>
      </c>
      <c r="CW11" s="1742">
        <f>'[11]RMA Assets'!$D$96</f>
        <v>3416.3865420000002</v>
      </c>
      <c r="CX11" s="1846">
        <f>'[11]RMA Assets'!$D$97</f>
        <v>3830.40531741</v>
      </c>
      <c r="CY11" s="1742">
        <f>'[11]RMA Assets'!$D$98</f>
        <v>47.335575409999997</v>
      </c>
      <c r="CZ11" s="1742">
        <f>'[11]RMA Assets'!$D$99</f>
        <v>111.57020881999999</v>
      </c>
      <c r="DA11" s="1742">
        <f>'[11]RMA Assets'!$D$100</f>
        <v>1085.29496182</v>
      </c>
      <c r="DB11" s="1742">
        <f>'[11]RMA Assets'!$D$101</f>
        <v>121.75284687</v>
      </c>
      <c r="DC11" s="1742">
        <f>'[11]RMA Assets'!$D$102</f>
        <v>115.68867187000001</v>
      </c>
      <c r="DD11" s="1742">
        <f>'[11]RMA Assets'!$D$103</f>
        <v>137.25040540999998</v>
      </c>
      <c r="DE11" s="1742">
        <f>'[11]RMA Assets'!$D$104</f>
        <v>138.84720540999999</v>
      </c>
      <c r="DF11" s="1742">
        <f>'[11]RMA Assets'!$D$105</f>
        <v>145.16970541000001</v>
      </c>
      <c r="DG11" s="1742">
        <f>'[11]RMA Assets'!$D$106</f>
        <v>4483.9360864999999</v>
      </c>
      <c r="DH11" s="1742">
        <f>'[11]RMA Assets'!$D$107</f>
        <v>3126.9205264099996</v>
      </c>
      <c r="DI11" s="1742">
        <f>'[11]RMA Assets'!$D$108</f>
        <v>4388.3884664099996</v>
      </c>
      <c r="DJ11" s="1742">
        <f>'[11]RMA Assets'!$D$109</f>
        <v>4919.3477864099996</v>
      </c>
      <c r="DK11" s="1742">
        <f>'[11]RMA Assets'!$D$110</f>
        <v>371.53856540999999</v>
      </c>
      <c r="DL11" s="1742">
        <f>'[11]RMA Assets'!$D$111</f>
        <v>150.50000641</v>
      </c>
      <c r="DM11" s="1742">
        <f>'[11]RMA Assets'!$D$112</f>
        <v>172.56190641000001</v>
      </c>
      <c r="DN11" s="1742">
        <f>'[11]RMA Assets'!$D$113</f>
        <v>220.24625541</v>
      </c>
      <c r="DO11" s="1742">
        <f>'[11]RMA Assets'!$D$114</f>
        <v>102.06970640999999</v>
      </c>
      <c r="DP11" s="1742">
        <f>'[11]RMA Assets'!$D$115</f>
        <v>91.16480541</v>
      </c>
      <c r="DQ11" s="1742">
        <f>'[11]RMA Assets'!$D$116</f>
        <v>174.66210000000001</v>
      </c>
      <c r="DR11" s="1669"/>
      <c r="DS11" s="1669"/>
      <c r="DT11" s="1669"/>
      <c r="DU11" s="1669"/>
      <c r="DV11" s="1669"/>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row>
    <row r="12" spans="1:230" ht="15">
      <c r="A12" s="1670"/>
      <c r="B12" s="1744" t="s">
        <v>142</v>
      </c>
      <c r="C12" s="1735"/>
      <c r="D12" s="1735"/>
      <c r="E12" s="1735"/>
      <c r="F12" s="1736"/>
      <c r="G12" s="1737"/>
      <c r="H12" s="1738"/>
      <c r="I12" s="1739"/>
      <c r="J12" s="1740"/>
      <c r="K12" s="1741"/>
      <c r="L12" s="1706"/>
      <c r="M12" s="1617"/>
      <c r="N12" s="1617"/>
      <c r="O12" s="1617"/>
      <c r="P12" s="1617"/>
      <c r="Q12" s="1617"/>
      <c r="R12" s="1617"/>
      <c r="S12" s="1617"/>
      <c r="T12" s="1617"/>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c r="AT12" s="1617"/>
      <c r="AU12" s="1617"/>
      <c r="AV12" s="1617"/>
      <c r="AW12" s="1617"/>
      <c r="AX12" s="1617"/>
      <c r="AY12" s="1617"/>
      <c r="AZ12" s="1617"/>
      <c r="BA12" s="1617"/>
      <c r="BB12" s="1617"/>
      <c r="BC12" s="1617"/>
      <c r="BD12" s="1617"/>
      <c r="BE12" s="1617"/>
      <c r="BF12" s="1617"/>
      <c r="BG12" s="1617"/>
      <c r="BH12" s="1617"/>
      <c r="BI12" s="1617"/>
      <c r="BJ12" s="1617"/>
      <c r="BK12" s="1617"/>
      <c r="BL12" s="1617"/>
      <c r="BM12" s="1617"/>
      <c r="BN12" s="1617"/>
      <c r="BO12" s="1617"/>
      <c r="BP12" s="1617"/>
      <c r="BQ12" s="1617"/>
      <c r="BR12" s="1617"/>
      <c r="BS12" s="1617"/>
      <c r="BT12" s="1617"/>
      <c r="BU12" s="1617"/>
      <c r="BV12" s="1617"/>
      <c r="BW12" s="1617"/>
      <c r="BX12" s="1628"/>
      <c r="BY12" s="1628"/>
      <c r="BZ12" s="1834"/>
      <c r="CA12" s="1742"/>
      <c r="CB12" s="1742"/>
      <c r="CC12" s="1742"/>
      <c r="CD12" s="1742"/>
      <c r="CE12" s="1742"/>
      <c r="CF12" s="1742"/>
      <c r="CG12" s="1742"/>
      <c r="CH12" s="1742"/>
      <c r="CI12" s="1742"/>
      <c r="CJ12" s="1742"/>
      <c r="CK12" s="1742"/>
      <c r="CL12" s="1835"/>
      <c r="CM12" s="1742"/>
      <c r="CN12" s="1742"/>
      <c r="CO12" s="1742"/>
      <c r="CP12" s="1742"/>
      <c r="CQ12" s="1742"/>
      <c r="CR12" s="1742"/>
      <c r="CS12" s="1742"/>
      <c r="CT12" s="1742"/>
      <c r="CU12" s="1742"/>
      <c r="CV12" s="1742"/>
      <c r="CW12" s="1742"/>
      <c r="CX12" s="1846"/>
      <c r="CY12" s="1742"/>
      <c r="CZ12" s="1742"/>
      <c r="DA12" s="1742"/>
      <c r="DB12" s="1742"/>
      <c r="DC12" s="1742"/>
      <c r="DD12" s="1742"/>
      <c r="DE12" s="1742"/>
      <c r="DF12" s="1742"/>
      <c r="DG12" s="1742"/>
      <c r="DH12" s="1742"/>
      <c r="DI12" s="1742"/>
      <c r="DJ12" s="1742"/>
      <c r="DK12" s="1742"/>
      <c r="DL12" s="1843"/>
      <c r="DM12" s="1843"/>
      <c r="DN12" s="1843"/>
      <c r="DO12" s="1843"/>
      <c r="DP12" s="1911"/>
      <c r="DQ12" s="1911"/>
      <c r="DR12" s="1669"/>
      <c r="DS12" s="1669"/>
      <c r="DT12" s="1669"/>
      <c r="DU12" s="1669"/>
      <c r="DV12" s="1669"/>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row>
    <row r="13" spans="1:230" ht="15">
      <c r="A13" s="1670"/>
      <c r="B13" s="1744" t="s">
        <v>1437</v>
      </c>
      <c r="C13" s="1735">
        <v>49.74</v>
      </c>
      <c r="D13" s="1735">
        <v>91.8</v>
      </c>
      <c r="E13" s="1735">
        <v>37.57</v>
      </c>
      <c r="F13" s="1736">
        <v>116.58</v>
      </c>
      <c r="G13" s="1737">
        <v>913.82</v>
      </c>
      <c r="H13" s="1738">
        <v>1404.39</v>
      </c>
      <c r="I13" s="1739">
        <f>1863.69-18.02</f>
        <v>1845.67</v>
      </c>
      <c r="J13" s="1740">
        <f>1819.54-6.52</f>
        <v>1813.02</v>
      </c>
      <c r="K13" s="1741">
        <f>2149.69-15.1</f>
        <v>2134.59</v>
      </c>
      <c r="L13" s="1706">
        <f>1980.92-16.24</f>
        <v>1964.68</v>
      </c>
      <c r="M13" s="1617">
        <f>1960.63-13.85</f>
        <v>1946.7800000000002</v>
      </c>
      <c r="N13" s="1617">
        <f>2021.33-16.88</f>
        <v>2004.4499999999998</v>
      </c>
      <c r="O13" s="1617">
        <f>1948.44-14.98</f>
        <v>1933.46</v>
      </c>
      <c r="P13" s="1617">
        <f>2206.09-20.26</f>
        <v>2185.83</v>
      </c>
      <c r="Q13" s="1617">
        <f>1740.39-17.18</f>
        <v>1723.21</v>
      </c>
      <c r="R13" s="1617">
        <f>3002.63-10.97</f>
        <v>2991.6600000000003</v>
      </c>
      <c r="S13" s="1617">
        <f>2321.06-10.28</f>
        <v>2310.7799999999997</v>
      </c>
      <c r="T13" s="1617">
        <f>1852.6-80.64</f>
        <v>1771.9599999999998</v>
      </c>
      <c r="U13" s="1617">
        <f>1958.89-98.02</f>
        <v>1860.8700000000001</v>
      </c>
      <c r="V13" s="1617">
        <f>1848-15.64</f>
        <v>1832.36</v>
      </c>
      <c r="W13" s="1617">
        <f>1795.13-12.97</f>
        <v>1782.16</v>
      </c>
      <c r="X13" s="1617">
        <f>1755.78-21.36</f>
        <v>1734.42</v>
      </c>
      <c r="Y13" s="1617">
        <f>1849.57-89.8</f>
        <v>1759.77</v>
      </c>
      <c r="Z13" s="1617">
        <f>1793.25-17.78</f>
        <v>1775.47</v>
      </c>
      <c r="AA13" s="1617">
        <f>2328.03-19.77</f>
        <v>2308.2600000000002</v>
      </c>
      <c r="AB13" s="1617">
        <f>1847.14-12.87</f>
        <v>1834.2700000000002</v>
      </c>
      <c r="AC13" s="1617">
        <f>2283.5-17.37</f>
        <v>2266.13</v>
      </c>
      <c r="AD13" s="1617">
        <f>1978.83-20.82</f>
        <v>1958.01</v>
      </c>
      <c r="AE13" s="1617">
        <f>1872.98-12.11</f>
        <v>1860.8700000000001</v>
      </c>
      <c r="AF13" s="1617">
        <f>1902.15-11.11</f>
        <v>1891.0400000000002</v>
      </c>
      <c r="AG13" s="1617">
        <f>2004.27-21.28</f>
        <v>1982.99</v>
      </c>
      <c r="AH13" s="1617">
        <f>1955.98-14.94</f>
        <v>1941.04</v>
      </c>
      <c r="AI13" s="1617">
        <f>2027.54-9.09</f>
        <v>2018.45</v>
      </c>
      <c r="AJ13" s="1617">
        <f>2001.41-13.09</f>
        <v>1988.3200000000002</v>
      </c>
      <c r="AK13" s="1617">
        <f>1994.96-13.75</f>
        <v>1981.21</v>
      </c>
      <c r="AL13" s="1617">
        <f>1781.58-18.09</f>
        <v>1763.49</v>
      </c>
      <c r="AM13" s="1617">
        <f>1699.71-17.6</f>
        <v>1682.1100000000001</v>
      </c>
      <c r="AN13" s="1617">
        <f>2119.4-19.39</f>
        <v>2100.0100000000002</v>
      </c>
      <c r="AO13" s="1617">
        <f>2826.1-16.03</f>
        <v>2810.0699999999997</v>
      </c>
      <c r="AP13" s="1617">
        <f>2196.55-14.58</f>
        <v>2181.9700000000003</v>
      </c>
      <c r="AQ13" s="1617">
        <f>2503.89-17.21</f>
        <v>2486.6799999999998</v>
      </c>
      <c r="AR13" s="1617">
        <f>2308-135.93</f>
        <v>2172.0700000000002</v>
      </c>
      <c r="AS13" s="1617">
        <f>2640.06-8.23</f>
        <v>2631.83</v>
      </c>
      <c r="AT13" s="1617">
        <f>1687-10.76</f>
        <v>1676.24</v>
      </c>
      <c r="AU13" s="1617">
        <f>1991.79-10.33</f>
        <v>1981.46</v>
      </c>
      <c r="AV13" s="1617">
        <f>1087.28-7.85</f>
        <v>1079.43</v>
      </c>
      <c r="AW13" s="1617">
        <f>'[11]BoB Assets'!J40-'[11]BoB Assets'!K40</f>
        <v>1151.66706447</v>
      </c>
      <c r="AX13" s="1617">
        <f>'[11]BoB Assets'!J41-'[11]BoB Assets'!K41</f>
        <v>1545.94229451</v>
      </c>
      <c r="AY13" s="1617">
        <f>'[11]BoB Assets'!J42-'[11]BoB Assets'!K42</f>
        <v>1500.90256503</v>
      </c>
      <c r="AZ13" s="1617">
        <f>'[11]BoB Assets'!J43-'[11]BoB Assets'!K43</f>
        <v>2075.8135792500002</v>
      </c>
      <c r="BA13" s="1617">
        <f>'[11]BoB Assets'!J44-'[11]BoB Assets'!K44</f>
        <v>2475.0001050599999</v>
      </c>
      <c r="BB13" s="1617">
        <f>'[11]BoB Assets'!J45-'[11]BoB Assets'!K45</f>
        <v>1833.6287178099999</v>
      </c>
      <c r="BC13" s="1617">
        <f>'[11]BoB Assets'!J46-'[11]BoB Assets'!K46</f>
        <v>1796.24927022</v>
      </c>
      <c r="BD13" s="1617">
        <f>'[11]BoB Assets'!J47-'[11]BoB Assets'!K47</f>
        <v>1362.44722073</v>
      </c>
      <c r="BE13" s="1617">
        <f>'[11]BoB Assets'!J48-'[11]BoB Assets'!K48</f>
        <v>2124.7128965000002</v>
      </c>
      <c r="BF13" s="1617">
        <f>'[11]BoB Assets'!J49-'[11]BoB Assets'!K49</f>
        <v>2687.9825288500001</v>
      </c>
      <c r="BG13" s="1617">
        <f>'[11]BoB Assets'!J50-'[11]BoB Assets'!K50</f>
        <v>985.63631905</v>
      </c>
      <c r="BH13" s="1617">
        <f>'[11]BoB Assets'!J51-'[11]BoB Assets'!K51</f>
        <v>938.87803496000004</v>
      </c>
      <c r="BI13" s="1617">
        <f>'[11]BoB Assets'!J52-'[11]BoB Assets'!K52</f>
        <v>791.77687646000004</v>
      </c>
      <c r="BJ13" s="1617">
        <f>'[11]BoB Assets'!J53-'[11]BoB Assets'!K53</f>
        <v>888.05982048999999</v>
      </c>
      <c r="BK13" s="1617">
        <f>'[11]BoB Assets'!J54-'[11]BoB Assets'!K54</f>
        <v>979.55658992999997</v>
      </c>
      <c r="BL13" s="1617">
        <f>'[11]BoB Assets'!J55-'[11]BoB Assets'!K55</f>
        <v>1533.4247822499999</v>
      </c>
      <c r="BM13" s="1617">
        <f>'[11]BoB Assets'!J56-'[11]BoB Assets'!K56</f>
        <v>2706.6439774200003</v>
      </c>
      <c r="BN13" s="1617">
        <f>'[11]BoB Assets'!J57-'[11]BoB Assets'!K57</f>
        <v>3120.5219123000002</v>
      </c>
      <c r="BO13" s="1617">
        <f>'[11]BoB Assets'!J58-'[11]BoB Assets'!K58</f>
        <v>1078.2677824800001</v>
      </c>
      <c r="BP13" s="1617">
        <f>'[11]BoB Assets'!J59-'[11]BoB Assets'!K59</f>
        <v>933.01183448999996</v>
      </c>
      <c r="BQ13" s="1617">
        <f>'[11]BoB Assets'!J60-'[11]BoB Assets'!K60</f>
        <v>609.38339154999994</v>
      </c>
      <c r="BR13" s="1617">
        <f>'[11]BoB Assets'!J61-'[11]BoB Assets'!K61</f>
        <v>390.55166156999996</v>
      </c>
      <c r="BS13" s="1617">
        <f>'[11]BoB Assets'!J62-'[11]BoB Assets'!K62</f>
        <v>455.01373900999999</v>
      </c>
      <c r="BT13" s="1617">
        <f>'[11]BoB Assets'!J63-'[11]BoB Assets'!K63</f>
        <v>387.39237833999999</v>
      </c>
      <c r="BU13" s="1617">
        <f>'[11]BoB Assets'!J64-'[11]BoB Assets'!K64</f>
        <v>357.13842667</v>
      </c>
      <c r="BV13" s="1617">
        <f>'[11]BoB Assets'!$J65-'[11]BoB Assets'!$K65</f>
        <v>1377.4662403699999</v>
      </c>
      <c r="BW13" s="1617">
        <f>'[11]BoB Assets'!$J66-'[11]BoB Assets'!$K66</f>
        <v>1225.3649461099999</v>
      </c>
      <c r="BX13" s="1628">
        <f>'[11]BoB Assets'!$J67-'[11]BoB Assets'!$K67</f>
        <v>1357.79456183</v>
      </c>
      <c r="BY13" s="1628">
        <f>'[11]BoB Assets'!$J68-'[11]BoB Assets'!$K68</f>
        <v>1092.55089774</v>
      </c>
      <c r="BZ13" s="1834">
        <f>'[11]BoB Assets'!$J69-'[11]BoB Assets'!$K69</f>
        <v>1148.8098845299999</v>
      </c>
      <c r="CA13" s="1742">
        <f>'[11]BoB Assets'!$J70-'[11]BoB Assets'!$K70</f>
        <v>313.92313827999993</v>
      </c>
      <c r="CB13" s="1742">
        <f>'[11]BoB Assets'!$J70-'[11]BoB Assets'!$K70</f>
        <v>313.92313827999993</v>
      </c>
      <c r="CC13" s="1742">
        <f>'[11]BoB Assets'!$J72-'[11]BoB Assets'!$K72</f>
        <v>439.16237249000005</v>
      </c>
      <c r="CD13" s="1742">
        <f>'[11]BoB Assets'!$J73-'[11]BoB Assets'!$K73</f>
        <v>443.57589648999999</v>
      </c>
      <c r="CE13" s="1742">
        <f>'[11]BoB Assets'!$J74-'[11]BoB Assets'!$K74</f>
        <v>547.85120144000007</v>
      </c>
      <c r="CF13" s="1742">
        <f>'[11]BoB Assets'!$J75-'[11]BoB Assets'!$K75</f>
        <v>435.78880968999999</v>
      </c>
      <c r="CG13" s="1742">
        <f>'[11]BoB Assets'!$J76-'[11]BoB Assets'!$K76</f>
        <v>389.60725339999999</v>
      </c>
      <c r="CH13" s="1742">
        <f>'[11]BoB Assets'!$J77-'[11]BoB Assets'!$K77</f>
        <v>326.55605398</v>
      </c>
      <c r="CI13" s="1742">
        <f>'[11]BoB Assets'!$J78-'[11]BoB Assets'!$K78</f>
        <v>790.12175229000002</v>
      </c>
      <c r="CJ13" s="1742">
        <f>'[11]BoB Assets'!$J79-'[11]BoB Assets'!$K79</f>
        <v>528.24094167999988</v>
      </c>
      <c r="CK13" s="1742">
        <f>'[11]BoB Assets'!$J80-'[11]BoB Assets'!$K80</f>
        <v>737.66612582000005</v>
      </c>
      <c r="CL13" s="1835">
        <f>'[11]BoB Assets'!$J81-'[11]BoB Assets'!$K81</f>
        <v>847.93635730999995</v>
      </c>
      <c r="CM13" s="1742">
        <f>'[11]BoB Assets'!$J82-'[11]BoB Assets'!$K82</f>
        <v>605.20697170000005</v>
      </c>
      <c r="CN13" s="1742">
        <f>'[11]BoB Assets'!$J83-'[11]BoB Assets'!$K83</f>
        <v>446.88365045</v>
      </c>
      <c r="CO13" s="1742">
        <f>'[11]BoB Assets'!$J84-'[11]BoB Assets'!$K84</f>
        <v>437.01250497000001</v>
      </c>
      <c r="CP13" s="1742">
        <f>'[11]BoB Assets'!$J85-'[11]BoB Assets'!$K85</f>
        <v>698.4094718099999</v>
      </c>
      <c r="CQ13" s="1742">
        <f>'[11]BoB Assets'!$J86-'[11]BoB Assets'!$K86</f>
        <v>777.96009002999995</v>
      </c>
      <c r="CR13" s="1742">
        <f>'[11]BoB Assets'!$J87-'[11]BoB Assets'!$K87</f>
        <v>372.97595189999998</v>
      </c>
      <c r="CS13" s="1742">
        <f>'[11]BoB Assets'!$J88-'[11]BoB Assets'!$K88</f>
        <v>1134.5867236099998</v>
      </c>
      <c r="CT13" s="1742">
        <f>'[11]BoB Assets'!$J89-'[11]BoB Assets'!$K89</f>
        <v>2094.4938605500001</v>
      </c>
      <c r="CU13" s="1742">
        <f>'[11]BoB Assets'!$J90-'[11]BoB Assets'!$K90</f>
        <v>993.35869782999998</v>
      </c>
      <c r="CV13" s="1742">
        <f>'[11]BoB Assets'!$J91-'[11]BoB Assets'!$K91</f>
        <v>993.35869782999998</v>
      </c>
      <c r="CW13" s="1742">
        <f>'[11]BoB Assets'!$J92-'[11]BoB Assets'!$K92</f>
        <v>1454.6090713900001</v>
      </c>
      <c r="CX13" s="1846">
        <f>'[11]BoB Assets'!$J93-'[11]BoB Assets'!$K93</f>
        <v>1222.3111063800002</v>
      </c>
      <c r="CY13" s="1742">
        <f>'[11]BoB Assets'!$J94-'[11]BoB Assets'!$K94</f>
        <v>1599.6784826300002</v>
      </c>
      <c r="CZ13" s="1742">
        <f>'[11]BoB Assets'!$J95-'[11]BoB Assets'!$K95</f>
        <v>4484.5155818999992</v>
      </c>
      <c r="DA13" s="1742">
        <f>'[11]BoB Assets'!$J96-'[11]BoB Assets'!$K96</f>
        <v>1717.4361171300002</v>
      </c>
      <c r="DB13" s="1742">
        <f>'[11]BoB Assets'!$J97-'[11]BoB Assets'!$K97</f>
        <v>1410.1775219000001</v>
      </c>
      <c r="DC13" s="1742">
        <f>'[11]BoB Assets'!$J98-'[11]BoB Assets'!$K98</f>
        <v>1620.99144473</v>
      </c>
      <c r="DD13" s="1742">
        <f>'[11]BoB Assets'!$J99-'[11]BoB Assets'!$K99</f>
        <v>922.97869889000003</v>
      </c>
      <c r="DE13" s="1742">
        <f>'[11]BoB Assets'!$J100-'[11]BoB Assets'!$K100</f>
        <v>1290.88848031</v>
      </c>
      <c r="DF13" s="1742">
        <f>'[11]BoB Assets'!$J101-'[11]BoB Assets'!$K101</f>
        <v>1909.02975896</v>
      </c>
      <c r="DG13" s="1742">
        <f>'[11]BoB Assets'!$J102-'[11]BoB Assets'!$K102</f>
        <v>371.45607261999999</v>
      </c>
      <c r="DH13" s="1742">
        <f>'[11]BoB Assets'!$J103-'[11]BoB Assets'!$K103</f>
        <v>391.87706844000002</v>
      </c>
      <c r="DI13" s="1742">
        <f>'[11]BoB Assets'!$J104-'[11]BoB Assets'!$K104</f>
        <v>452.04248082999999</v>
      </c>
      <c r="DJ13" s="1742">
        <f>'[11]BoB Assets'!$J105-'[11]BoB Assets'!$K105</f>
        <v>423.99485613999991</v>
      </c>
      <c r="DK13" s="1742">
        <f>'[11]BoB Assets'!$J106-'[11]BoB Assets'!$K106</f>
        <v>388.86821642000001</v>
      </c>
      <c r="DL13" s="1742">
        <f>'[11]BoB Assets'!$J107-'[11]BoB Assets'!$K107</f>
        <v>260.79663438</v>
      </c>
      <c r="DM13" s="1742">
        <f>'[11]BoB Assets'!$J108-'[11]BoB Assets'!$K108</f>
        <v>541.95105623000006</v>
      </c>
      <c r="DN13" s="1742">
        <f>'[11]BoB Assets'!$J109-'[11]BoB Assets'!$K109</f>
        <v>642.37405315000001</v>
      </c>
      <c r="DO13" s="1742">
        <f>'[11]BoB Assets'!$J110-'[11]BoB Assets'!$K110</f>
        <v>227.87406141999998</v>
      </c>
      <c r="DP13" s="1742">
        <f>'[11]BoB Assets'!$J111-'[11]BoB Assets'!$K111</f>
        <v>329.40445267000001</v>
      </c>
      <c r="DQ13" s="1742">
        <f>'[11]BoB Assets'!$J111-'[11]BoB Assets'!$K112</f>
        <v>317.70333360000006</v>
      </c>
      <c r="DR13" s="1669"/>
      <c r="DS13" s="1669"/>
      <c r="DT13" s="1669"/>
      <c r="DU13" s="1669"/>
      <c r="DV13" s="1669"/>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row>
    <row r="14" spans="1:230" ht="15">
      <c r="A14" s="1670"/>
      <c r="B14" s="1744"/>
      <c r="C14" s="1735"/>
      <c r="D14" s="1735"/>
      <c r="E14" s="1735"/>
      <c r="F14" s="1736"/>
      <c r="G14" s="1737"/>
      <c r="H14" s="1738"/>
      <c r="I14" s="1739"/>
      <c r="J14" s="1740"/>
      <c r="K14" s="1741"/>
      <c r="L14" s="1706"/>
      <c r="M14" s="1617"/>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c r="AT14" s="1617"/>
      <c r="AU14" s="1617"/>
      <c r="AV14" s="1617"/>
      <c r="AW14" s="1617"/>
      <c r="AX14" s="1617"/>
      <c r="AY14" s="1617"/>
      <c r="AZ14" s="1617"/>
      <c r="BA14" s="1617"/>
      <c r="BB14" s="1617"/>
      <c r="BC14" s="1617"/>
      <c r="BD14" s="1617"/>
      <c r="BE14" s="1617"/>
      <c r="BF14" s="1617"/>
      <c r="BG14" s="1617"/>
      <c r="BH14" s="1617"/>
      <c r="BI14" s="1617"/>
      <c r="BJ14" s="1617"/>
      <c r="BK14" s="1617"/>
      <c r="BL14" s="1617"/>
      <c r="BM14" s="1617"/>
      <c r="BN14" s="1617"/>
      <c r="BO14" s="1617"/>
      <c r="BP14" s="1617"/>
      <c r="BQ14" s="1617"/>
      <c r="BR14" s="1617"/>
      <c r="BS14" s="1617"/>
      <c r="BT14" s="1617"/>
      <c r="BU14" s="1617"/>
      <c r="BV14" s="1617"/>
      <c r="BW14" s="1617"/>
      <c r="BX14" s="1628"/>
      <c r="BY14" s="1628"/>
      <c r="BZ14" s="1834"/>
      <c r="CA14" s="1742"/>
      <c r="CB14" s="1742"/>
      <c r="CC14" s="1742"/>
      <c r="CD14" s="1742"/>
      <c r="CE14" s="1742"/>
      <c r="CF14" s="1742"/>
      <c r="CG14" s="1742"/>
      <c r="CH14" s="1742"/>
      <c r="CI14" s="1742"/>
      <c r="CJ14" s="1742"/>
      <c r="CK14" s="1742"/>
      <c r="CL14" s="1835"/>
      <c r="CM14" s="1742"/>
      <c r="CN14" s="1742"/>
      <c r="CO14" s="1742"/>
      <c r="CP14" s="1742"/>
      <c r="CQ14" s="1742"/>
      <c r="CR14" s="1742"/>
      <c r="CS14" s="1742"/>
      <c r="CT14" s="1742"/>
      <c r="CU14" s="1742"/>
      <c r="CV14" s="1742"/>
      <c r="CW14" s="1742"/>
      <c r="CX14" s="1846"/>
      <c r="CY14" s="1742"/>
      <c r="CZ14" s="1742"/>
      <c r="DA14" s="1742"/>
      <c r="DB14" s="1742"/>
      <c r="DC14" s="1742"/>
      <c r="DD14" s="1742"/>
      <c r="DE14" s="1742"/>
      <c r="DF14" s="1742"/>
      <c r="DG14" s="1742"/>
      <c r="DH14" s="1742"/>
      <c r="DI14" s="1742"/>
      <c r="DJ14" s="1742"/>
      <c r="DK14" s="1742"/>
      <c r="DL14" s="1843"/>
      <c r="DM14" s="1628"/>
      <c r="DN14" s="1843"/>
      <c r="DO14" s="1843"/>
      <c r="DP14" s="1911"/>
      <c r="DQ14" s="1911"/>
      <c r="DR14" s="1684" t="s">
        <v>764</v>
      </c>
      <c r="DS14" s="1669"/>
      <c r="DT14" s="1669"/>
      <c r="DU14" s="1669"/>
      <c r="DV14" s="1669"/>
      <c r="DW14" s="1670"/>
      <c r="DX14" s="1670"/>
      <c r="DY14" s="1670"/>
      <c r="DZ14" s="1670"/>
      <c r="EA14" s="1670"/>
      <c r="EB14" s="1670"/>
      <c r="EC14" s="1670"/>
      <c r="ED14" s="1670"/>
      <c r="EE14" s="1670"/>
      <c r="EF14" s="1670"/>
      <c r="EG14" s="1670"/>
      <c r="EH14" s="1670"/>
      <c r="EI14" s="1670"/>
      <c r="EJ14" s="1670"/>
      <c r="EK14" s="1670"/>
      <c r="EL14" s="1670"/>
      <c r="EM14" s="1670"/>
      <c r="EN14" s="1670"/>
      <c r="EO14" s="1670"/>
      <c r="EP14" s="1670"/>
      <c r="EQ14" s="1670"/>
      <c r="ER14" s="1670"/>
      <c r="ES14" s="1670"/>
      <c r="ET14" s="1670"/>
      <c r="EU14" s="1670"/>
      <c r="EV14" s="1670"/>
      <c r="EW14" s="1670"/>
      <c r="EX14" s="1670"/>
      <c r="EY14" s="1670"/>
      <c r="EZ14" s="1670"/>
      <c r="FA14" s="1670"/>
      <c r="FB14" s="1670"/>
      <c r="FC14" s="1670"/>
      <c r="FD14" s="1670"/>
      <c r="FE14" s="1670"/>
      <c r="FF14" s="1670"/>
      <c r="FG14" s="1670"/>
      <c r="FH14" s="1670"/>
      <c r="FI14" s="1670"/>
      <c r="FJ14" s="1670"/>
      <c r="FK14" s="1670"/>
      <c r="FL14" s="1670"/>
      <c r="FM14" s="1670"/>
      <c r="FN14" s="1670"/>
      <c r="FO14" s="1670"/>
      <c r="FP14" s="1670"/>
      <c r="FQ14" s="1670"/>
      <c r="FR14" s="1670"/>
      <c r="FS14" s="1670"/>
      <c r="FT14" s="1670"/>
      <c r="FU14" s="1670"/>
      <c r="FV14" s="1670"/>
      <c r="FW14" s="1670"/>
      <c r="FX14" s="1670"/>
      <c r="FY14" s="1670"/>
      <c r="FZ14" s="1670"/>
      <c r="GA14" s="1670"/>
      <c r="GB14" s="1670"/>
      <c r="GC14" s="1670"/>
      <c r="GD14" s="1670"/>
      <c r="GE14" s="1670"/>
      <c r="GF14" s="1670"/>
      <c r="GG14" s="1670"/>
      <c r="GH14" s="1670"/>
      <c r="GI14" s="1670"/>
      <c r="GJ14" s="1670"/>
      <c r="GK14" s="1670"/>
      <c r="GL14" s="1670"/>
      <c r="GM14" s="1670"/>
      <c r="GN14" s="1670"/>
      <c r="GO14" s="1670"/>
      <c r="GP14" s="1670"/>
      <c r="GQ14" s="1670"/>
      <c r="GR14" s="1670"/>
      <c r="GS14" s="1670"/>
      <c r="GT14" s="1670"/>
      <c r="GU14" s="1670"/>
      <c r="GV14" s="1670"/>
      <c r="GW14" s="1670"/>
      <c r="GX14" s="1670"/>
      <c r="GY14" s="1670"/>
      <c r="GZ14" s="1670"/>
      <c r="HA14" s="1670"/>
      <c r="HB14" s="1670"/>
      <c r="HC14" s="1670"/>
      <c r="HD14" s="1670"/>
      <c r="HE14" s="1670"/>
      <c r="HF14" s="1670"/>
      <c r="HG14" s="1670"/>
      <c r="HH14" s="1670"/>
      <c r="HI14" s="1670"/>
      <c r="HJ14" s="1670"/>
      <c r="HK14" s="1670"/>
      <c r="HL14" s="1670"/>
      <c r="HM14" s="1670"/>
      <c r="HN14" s="1670"/>
      <c r="HO14" s="1670"/>
      <c r="HP14" s="1670"/>
      <c r="HQ14" s="1670"/>
      <c r="HR14" s="1670"/>
      <c r="HS14" s="1670"/>
      <c r="HT14" s="1670"/>
      <c r="HU14" s="1670"/>
      <c r="HV14" s="1670"/>
    </row>
    <row r="15" spans="1:230" ht="15">
      <c r="A15" s="1670"/>
      <c r="B15" s="1744" t="s">
        <v>1436</v>
      </c>
      <c r="C15" s="1746" t="s">
        <v>244</v>
      </c>
      <c r="D15" s="1747" t="s">
        <v>244</v>
      </c>
      <c r="E15" s="1747" t="s">
        <v>244</v>
      </c>
      <c r="F15" s="1748" t="s">
        <v>244</v>
      </c>
      <c r="G15" s="1737">
        <v>5.67</v>
      </c>
      <c r="H15" s="1738">
        <v>71.989999999999995</v>
      </c>
      <c r="I15" s="1739">
        <f>583.3-4.97</f>
        <v>578.32999999999993</v>
      </c>
      <c r="J15" s="1740">
        <f>1191.86-0.35</f>
        <v>1191.51</v>
      </c>
      <c r="K15" s="1741">
        <f>1328.26-0.28</f>
        <v>1327.98</v>
      </c>
      <c r="L15" s="1706">
        <f>1064.05-0.5</f>
        <v>1063.55</v>
      </c>
      <c r="M15" s="1617">
        <f>936.92-0.2</f>
        <v>936.71999999999991</v>
      </c>
      <c r="N15" s="1617">
        <f>792.36-0.21</f>
        <v>792.15</v>
      </c>
      <c r="O15" s="1617">
        <f>923.53-0.7</f>
        <v>922.82999999999993</v>
      </c>
      <c r="P15" s="1617">
        <f>1144.25-0.21</f>
        <v>1144.04</v>
      </c>
      <c r="Q15" s="1617">
        <f>991.1-0.12</f>
        <v>990.98</v>
      </c>
      <c r="R15" s="1617">
        <f>650.97-0.06</f>
        <v>650.91000000000008</v>
      </c>
      <c r="S15" s="1617">
        <f>681.64-0.22</f>
        <v>681.42</v>
      </c>
      <c r="T15" s="1617">
        <f>688.85-0.18</f>
        <v>688.67000000000007</v>
      </c>
      <c r="U15" s="1617">
        <f>738.14-0.13</f>
        <v>738.01</v>
      </c>
      <c r="V15" s="1617">
        <f>739.79-0.17</f>
        <v>739.62</v>
      </c>
      <c r="W15" s="1617">
        <f>704.54-0.09</f>
        <v>704.44999999999993</v>
      </c>
      <c r="X15" s="1617">
        <f>732.2-0.11</f>
        <v>732.09</v>
      </c>
      <c r="Y15" s="1617">
        <f>704.92-0.2</f>
        <v>704.71999999999991</v>
      </c>
      <c r="Z15" s="1617">
        <f>669.37-0.02</f>
        <v>669.35</v>
      </c>
      <c r="AA15" s="1617">
        <f>639.96-0.07</f>
        <v>639.89</v>
      </c>
      <c r="AB15" s="1617">
        <f>605.9-0.09</f>
        <v>605.80999999999995</v>
      </c>
      <c r="AC15" s="1617">
        <f>579.49-0.31</f>
        <v>579.18000000000006</v>
      </c>
      <c r="AD15" s="1617">
        <f>609.78-0.05</f>
        <v>609.73</v>
      </c>
      <c r="AE15" s="1617">
        <f>604.52-0.11</f>
        <v>604.41</v>
      </c>
      <c r="AF15" s="1617">
        <f>592.3-0.17</f>
        <v>592.13</v>
      </c>
      <c r="AG15" s="1617">
        <f>495.08-0.17</f>
        <v>494.90999999999997</v>
      </c>
      <c r="AH15" s="1617">
        <f>529.49-0.05</f>
        <v>529.44000000000005</v>
      </c>
      <c r="AI15" s="1617">
        <f>491.01-0.06</f>
        <v>490.95</v>
      </c>
      <c r="AJ15" s="1617">
        <f>552.16-0.03</f>
        <v>552.13</v>
      </c>
      <c r="AK15" s="1617">
        <f>488.17-0.47</f>
        <v>487.7</v>
      </c>
      <c r="AL15" s="1617">
        <f>403.99-0.28</f>
        <v>403.71000000000004</v>
      </c>
      <c r="AM15" s="1617">
        <f>439.23-0.56</f>
        <v>438.67</v>
      </c>
      <c r="AN15" s="1617">
        <f>586.35-9.78</f>
        <v>576.57000000000005</v>
      </c>
      <c r="AO15" s="1617">
        <f>580.07-0.21</f>
        <v>579.86</v>
      </c>
      <c r="AP15" s="1617">
        <f>540.44-0.02</f>
        <v>540.42000000000007</v>
      </c>
      <c r="AQ15" s="1617">
        <f>463.37-0.09</f>
        <v>463.28000000000003</v>
      </c>
      <c r="AR15" s="1617">
        <f>411.8-0.11</f>
        <v>411.69</v>
      </c>
      <c r="AS15" s="1617">
        <f>503.2-0.24</f>
        <v>502.96</v>
      </c>
      <c r="AT15" s="1617">
        <f>567.4-0.3</f>
        <v>567.1</v>
      </c>
      <c r="AU15" s="1617">
        <f>515.08-1.49</f>
        <v>513.59</v>
      </c>
      <c r="AV15" s="1617">
        <f>438.06-8.92</f>
        <v>429.14</v>
      </c>
      <c r="AW15" s="1617">
        <f>'[11]BNB Assets'!$J40-'[11]BNB Assets'!$K40</f>
        <v>430.66371999</v>
      </c>
      <c r="AX15" s="1617">
        <f>'[11]BNB Assets'!$J41-'[11]BNB Assets'!$K41</f>
        <v>361.96234526000001</v>
      </c>
      <c r="AY15" s="1617">
        <f>'[11]BNB Assets'!$J42-'[11]BNB Assets'!$K42</f>
        <v>402.11911899999996</v>
      </c>
      <c r="AZ15" s="1617">
        <f>'[11]BNB Assets'!$J43-'[11]BNB Assets'!$K43</f>
        <v>391.87770792999999</v>
      </c>
      <c r="BA15" s="1617">
        <f>'[11]BNB Assets'!$J44-'[11]BNB Assets'!$K44</f>
        <v>359.22501907000003</v>
      </c>
      <c r="BB15" s="1617">
        <f>'[11]BNB Assets'!$J45-'[11]BNB Assets'!$K45</f>
        <v>364.03563775000003</v>
      </c>
      <c r="BC15" s="1617">
        <f>'[11]BNB Assets'!$J46-'[11]BNB Assets'!$K46</f>
        <v>493.54770958000006</v>
      </c>
      <c r="BD15" s="1617">
        <f>'[11]BNB Assets'!$J47-'[11]BNB Assets'!$K47</f>
        <v>596.48443729999997</v>
      </c>
      <c r="BE15" s="1617">
        <f>'[11]BNB Assets'!$J48-'[11]BNB Assets'!$K48</f>
        <v>515.68597842999998</v>
      </c>
      <c r="BF15" s="1617">
        <f>'[11]BNB Assets'!$J49-'[11]BNB Assets'!$K49</f>
        <v>531.23150544999999</v>
      </c>
      <c r="BG15" s="1617">
        <f>'[11]BNB Assets'!$J50-'[11]BNB Assets'!$K50</f>
        <v>571.83725165999999</v>
      </c>
      <c r="BH15" s="1617">
        <f>'[11]BNB Assets'!$J51-'[11]BNB Assets'!$K51</f>
        <v>681.40185646999987</v>
      </c>
      <c r="BI15" s="1617">
        <f>'[11]BNB Assets'!$J52-'[11]BNB Assets'!$K52</f>
        <v>513.0996772100001</v>
      </c>
      <c r="BJ15" s="1617">
        <f>'[11]BNB Assets'!$J53-'[11]BNB Assets'!$K53</f>
        <v>485.71347054</v>
      </c>
      <c r="BK15" s="1617">
        <f>'[11]BNB Assets'!$J54-'[11]BNB Assets'!$K54</f>
        <v>581.63589874000002</v>
      </c>
      <c r="BL15" s="1617">
        <f>'[11]BNB Assets'!$J55-'[11]BNB Assets'!$K55</f>
        <v>469.15211742000002</v>
      </c>
      <c r="BM15" s="1617">
        <f>'[11]BNB Assets'!$J56-'[11]BNB Assets'!$K56</f>
        <v>348.89982586000002</v>
      </c>
      <c r="BN15" s="1617">
        <f>'[11]BNB Assets'!$J57-'[11]BNB Assets'!$K57</f>
        <v>447.19999680000001</v>
      </c>
      <c r="BO15" s="1617">
        <f>'[11]BNB Assets'!$J58-'[11]BNB Assets'!$K58</f>
        <v>508.6036660800001</v>
      </c>
      <c r="BP15" s="1617">
        <f>'[11]BNB Assets'!$J59-'[11]BNB Assets'!$K59</f>
        <v>476.66803199999998</v>
      </c>
      <c r="BQ15" s="1617">
        <f>'[11]BNB Assets'!$J60-'[11]BNB Assets'!$K60</f>
        <v>664.64094880000005</v>
      </c>
      <c r="BR15" s="1617">
        <f>'[11]BNB Assets'!$J61-'[11]BNB Assets'!$K61</f>
        <v>574.81089957999995</v>
      </c>
      <c r="BS15" s="1617">
        <f>'[11]BNB Assets'!$J62-'[11]BNB Assets'!$K62</f>
        <v>402.67697855</v>
      </c>
      <c r="BT15" s="1617">
        <f>'[11]BNB Assets'!$J63-'[11]BNB Assets'!$K63</f>
        <v>245.89386786999998</v>
      </c>
      <c r="BU15" s="1617">
        <f>'[11]BNB Assets'!$J64-'[11]BNB Assets'!$K64</f>
        <v>164.23807059000001</v>
      </c>
      <c r="BV15" s="1617">
        <f>'[11]BNB Assets'!$J65-'[11]BNB Assets'!$K65</f>
        <v>178.99943396</v>
      </c>
      <c r="BW15" s="1617">
        <f>'[11]BNB Assets'!$J66-'[11]BNB Assets'!$K66</f>
        <v>224.89812874</v>
      </c>
      <c r="BX15" s="1628">
        <f>'[11]BNB Assets'!$J67-'[11]BNB Assets'!$K67</f>
        <v>163.20420418</v>
      </c>
      <c r="BY15" s="1628">
        <f>'[11]BNB Assets'!$J68-'[11]BNB Assets'!$K68</f>
        <v>215.85045912000001</v>
      </c>
      <c r="BZ15" s="1834">
        <f>'[11]BNB Assets'!$J69-'[11]BNB Assets'!$K69</f>
        <v>262.43359092000003</v>
      </c>
      <c r="CA15" s="1742">
        <f>'[11]BNB Assets'!$J70-'[11]BNB Assets'!$K70</f>
        <v>245.15871464</v>
      </c>
      <c r="CB15" s="1742">
        <f>'[11]BNB Assets'!$J70-'[11]BNB Assets'!$K70</f>
        <v>245.15871464</v>
      </c>
      <c r="CC15" s="1742">
        <f>'[11]BNB Assets'!$J72-'[11]BNB Assets'!$K72</f>
        <v>427.41620461000002</v>
      </c>
      <c r="CD15" s="1742">
        <f>'[11]BNB Assets'!$J73-'[11]BNB Assets'!$K73</f>
        <v>385.42121374999999</v>
      </c>
      <c r="CE15" s="1742">
        <f>'[11]BNB Assets'!$J74-'[11]BNB Assets'!$K74</f>
        <v>321.86330506000002</v>
      </c>
      <c r="CF15" s="1742">
        <f>'[11]BNB Assets'!$J75-'[11]BNB Assets'!$K75</f>
        <v>287.30406239000001</v>
      </c>
      <c r="CG15" s="1742">
        <f>'[11]BNB Assets'!$J76-'[11]BNB Assets'!$K76</f>
        <v>314.69499187999998</v>
      </c>
      <c r="CH15" s="1742">
        <f>'[11]BNB Assets'!$J77-'[11]BNB Assets'!$K77</f>
        <v>266.51212548000001</v>
      </c>
      <c r="CI15" s="1742">
        <f>'[11]BNB Assets'!$J78-'[11]BNB Assets'!$K78</f>
        <v>108.15795626000001</v>
      </c>
      <c r="CJ15" s="1742">
        <f>'[11]BNB Assets'!$J79-'[11]BNB Assets'!$K79</f>
        <v>113.08322987999998</v>
      </c>
      <c r="CK15" s="1742">
        <f>'[11]BNB Assets'!$J80-'[11]BNB Assets'!$K80</f>
        <v>281.64706481999997</v>
      </c>
      <c r="CL15" s="1835">
        <f>'[11]BNB Assets'!$J81-'[11]BNB Assets'!$K81</f>
        <v>268.07611681999998</v>
      </c>
      <c r="CM15" s="1742">
        <f>'[11]BNB Assets'!$J82-'[11]BNB Assets'!$K82</f>
        <v>230.52133350999998</v>
      </c>
      <c r="CN15" s="1742">
        <f>'[11]BNB Assets'!$J83-'[11]BNB Assets'!$K83</f>
        <v>315.77979055000003</v>
      </c>
      <c r="CO15" s="1742">
        <f>'[11]BNB Assets'!$J84-'[11]BNB Assets'!$K84</f>
        <v>292.52477525</v>
      </c>
      <c r="CP15" s="1742">
        <f>'[11]BNB Assets'!$J85-'[11]BNB Assets'!$K85</f>
        <v>195.58678241999999</v>
      </c>
      <c r="CQ15" s="1742">
        <f>'[11]BNB Assets'!$J86-'[11]BNB Assets'!$K86</f>
        <v>49.794978630000003</v>
      </c>
      <c r="CR15" s="1742">
        <f>'[11]BNB Assets'!$J87-'[11]BNB Assets'!$K87</f>
        <v>136.68121447999999</v>
      </c>
      <c r="CS15" s="1742">
        <f>'[11]BNB Assets'!$J88-'[11]BNB Assets'!$K88</f>
        <v>186.65530300999998</v>
      </c>
      <c r="CT15" s="1742">
        <f>'[11]BNB Assets'!$J89-'[11]BNB Assets'!$K89</f>
        <v>236.80597341999999</v>
      </c>
      <c r="CU15" s="1742">
        <f>'[11]BNB Assets'!$J90-'[11]BNB Assets'!$K90</f>
        <v>288.77725396</v>
      </c>
      <c r="CV15" s="1742">
        <f>'[11]BNB Assets'!$J91-'[11]BNB Assets'!$K91</f>
        <v>256.80803849</v>
      </c>
      <c r="CW15" s="1742">
        <f>'[11]BNB Assets'!$J92-'[11]BNB Assets'!$K92</f>
        <v>398.45104559000004</v>
      </c>
      <c r="CX15" s="1846">
        <f>'[11]BNB Assets'!$J93-'[11]BNB Assets'!$K93</f>
        <v>466.63236962000002</v>
      </c>
      <c r="CY15" s="1742">
        <f>'[11]BNB Assets'!$J94-'[11]BNB Assets'!$K94</f>
        <v>197.18526012000001</v>
      </c>
      <c r="CZ15" s="1742">
        <f>'[11]BNB Assets'!$J95-'[11]BNB Assets'!$K95</f>
        <v>158.10777211999999</v>
      </c>
      <c r="DA15" s="1742">
        <f>'[11]BNB Assets'!$J96-'[11]BNB Assets'!$K96</f>
        <v>154.40286712</v>
      </c>
      <c r="DB15" s="1742">
        <f>'[11]BNB Assets'!$J97-'[11]BNB Assets'!$K97</f>
        <v>140.47554063999999</v>
      </c>
      <c r="DC15" s="1742">
        <f>'[11]BNB Assets'!$J98-'[11]BNB Assets'!$K98</f>
        <v>27.619505680000003</v>
      </c>
      <c r="DD15" s="1742">
        <f>'[11]BNB Assets'!$J99-'[11]BNB Assets'!$K99</f>
        <v>196.26197336000001</v>
      </c>
      <c r="DE15" s="1742">
        <f>'[11]BNB Assets'!$J100-'[11]BNB Assets'!$K100</f>
        <v>62.754264419999991</v>
      </c>
      <c r="DF15" s="1742">
        <f>'[11]BNB Assets'!$J101-'[11]BNB Assets'!$K101</f>
        <v>317.36292141999996</v>
      </c>
      <c r="DG15" s="1742">
        <f>'[11]BNB Assets'!$J102-'[11]BNB Assets'!$K102</f>
        <v>278.99842959999995</v>
      </c>
      <c r="DH15" s="1742">
        <f>'[11]BNB Assets'!$J103-'[11]BNB Assets'!$K103</f>
        <v>177.94756899000001</v>
      </c>
      <c r="DI15" s="1742">
        <f>'[11]BNB Assets'!$J104-'[11]BNB Assets'!$K104</f>
        <v>218.70513853999998</v>
      </c>
      <c r="DJ15" s="1742">
        <f>'[11]BNB Assets'!$J105-'[11]BNB Assets'!$K105</f>
        <v>172.34087756</v>
      </c>
      <c r="DK15" s="1742">
        <f>'[11]BNB Assets'!$J106-'[11]BNB Assets'!$K106</f>
        <v>190.47447550999999</v>
      </c>
      <c r="DL15" s="1742">
        <f>'[11]BNB Assets'!$J107-'[11]BNB Assets'!$K107</f>
        <v>120.35242725000001</v>
      </c>
      <c r="DM15" s="1742">
        <f>'[11]BNB Assets'!$J108-'[11]BNB Assets'!$K108</f>
        <v>166.28469422000001</v>
      </c>
      <c r="DN15" s="1742">
        <f>'[11]BNB Assets'!$J109-'[11]BNB Assets'!$K109</f>
        <v>42.119079440000007</v>
      </c>
      <c r="DO15" s="1742">
        <f>'[11]BNB Assets'!$J110-'[11]BNB Assets'!$K110</f>
        <v>112.7285095</v>
      </c>
      <c r="DP15" s="1742">
        <f>'[11]BNB Assets'!$J111-'[11]BNB Assets'!$K111</f>
        <v>99.462977199999997</v>
      </c>
      <c r="DQ15" s="1742">
        <f>'[11]BNB Assets'!$J111-'[11]BNB Assets'!$K112</f>
        <v>103.16258219999999</v>
      </c>
      <c r="DR15" s="1669"/>
      <c r="DS15" s="1669"/>
      <c r="DT15" s="1669"/>
      <c r="DU15" s="1669"/>
      <c r="DV15" s="1669"/>
      <c r="DW15" s="1670"/>
      <c r="DX15" s="1670"/>
      <c r="DY15" s="1670"/>
      <c r="DZ15" s="1670"/>
      <c r="EA15" s="1670"/>
      <c r="EB15" s="1670"/>
      <c r="EC15" s="1670"/>
      <c r="ED15" s="1670"/>
      <c r="EE15" s="1670"/>
      <c r="EF15" s="1670"/>
      <c r="EG15" s="1670"/>
      <c r="EH15" s="1670"/>
      <c r="EI15" s="1670"/>
      <c r="EJ15" s="1670"/>
      <c r="EK15" s="1670"/>
      <c r="EL15" s="1670"/>
      <c r="EM15" s="1670"/>
      <c r="EN15" s="1670"/>
      <c r="EO15" s="1670"/>
      <c r="EP15" s="1670"/>
      <c r="EQ15" s="1670"/>
      <c r="ER15" s="1670"/>
      <c r="ES15" s="1670"/>
      <c r="ET15" s="1670"/>
      <c r="EU15" s="1670"/>
      <c r="EV15" s="1670"/>
      <c r="EW15" s="1670"/>
      <c r="EX15" s="1670"/>
      <c r="EY15" s="1670"/>
      <c r="EZ15" s="1670"/>
      <c r="FA15" s="1670"/>
      <c r="FB15" s="1670"/>
      <c r="FC15" s="1670"/>
      <c r="FD15" s="1670"/>
      <c r="FE15" s="1670"/>
      <c r="FF15" s="1670"/>
      <c r="FG15" s="1670"/>
      <c r="FH15" s="1670"/>
      <c r="FI15" s="1670"/>
      <c r="FJ15" s="1670"/>
      <c r="FK15" s="1670"/>
      <c r="FL15" s="1670"/>
      <c r="FM15" s="1670"/>
      <c r="FN15" s="1670"/>
      <c r="FO15" s="1670"/>
      <c r="FP15" s="1670"/>
      <c r="FQ15" s="1670"/>
      <c r="FR15" s="1670"/>
      <c r="FS15" s="1670"/>
      <c r="FT15" s="1670"/>
      <c r="FU15" s="1670"/>
      <c r="FV15" s="1670"/>
      <c r="FW15" s="1670"/>
      <c r="FX15" s="1670"/>
      <c r="FY15" s="1670"/>
      <c r="FZ15" s="1670"/>
      <c r="GA15" s="1670"/>
      <c r="GB15" s="1670"/>
      <c r="GC15" s="1670"/>
      <c r="GD15" s="1670"/>
      <c r="GE15" s="1670"/>
      <c r="GF15" s="1670"/>
      <c r="GG15" s="1670"/>
      <c r="GH15" s="1670"/>
      <c r="GI15" s="1670"/>
      <c r="GJ15" s="1670"/>
      <c r="GK15" s="1670"/>
      <c r="GL15" s="1670"/>
      <c r="GM15" s="1670"/>
      <c r="GN15" s="1670"/>
      <c r="GO15" s="1670"/>
      <c r="GP15" s="1670"/>
      <c r="GQ15" s="1670"/>
      <c r="GR15" s="1670"/>
      <c r="GS15" s="1670"/>
      <c r="GT15" s="1670"/>
      <c r="GU15" s="1670"/>
      <c r="GV15" s="1670"/>
      <c r="GW15" s="1670"/>
      <c r="GX15" s="1670"/>
      <c r="GY15" s="1670"/>
      <c r="GZ15" s="1670"/>
      <c r="HA15" s="1670"/>
      <c r="HB15" s="1670"/>
      <c r="HC15" s="1670"/>
      <c r="HD15" s="1670"/>
      <c r="HE15" s="1670"/>
      <c r="HF15" s="1670"/>
      <c r="HG15" s="1670"/>
      <c r="HH15" s="1670"/>
      <c r="HI15" s="1670"/>
      <c r="HJ15" s="1670"/>
      <c r="HK15" s="1670"/>
      <c r="HL15" s="1670"/>
      <c r="HM15" s="1670"/>
      <c r="HN15" s="1670"/>
      <c r="HO15" s="1670"/>
      <c r="HP15" s="1670"/>
      <c r="HQ15" s="1670"/>
      <c r="HR15" s="1670"/>
      <c r="HS15" s="1670"/>
      <c r="HT15" s="1670"/>
      <c r="HU15" s="1670"/>
      <c r="HV15" s="1670"/>
    </row>
    <row r="16" spans="1:230" ht="15">
      <c r="A16" s="1670"/>
      <c r="B16" s="1749"/>
      <c r="C16" s="1746"/>
      <c r="D16" s="1747"/>
      <c r="E16" s="1747"/>
      <c r="F16" s="1748"/>
      <c r="G16" s="1737"/>
      <c r="H16" s="1738"/>
      <c r="I16" s="1739"/>
      <c r="J16" s="1740"/>
      <c r="K16" s="1741"/>
      <c r="L16" s="1706"/>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D16" s="1617"/>
      <c r="BE16" s="1617"/>
      <c r="BF16" s="1617"/>
      <c r="BG16" s="1617"/>
      <c r="BH16" s="1617"/>
      <c r="BI16" s="1617"/>
      <c r="BJ16" s="1617"/>
      <c r="BK16" s="1617"/>
      <c r="BL16" s="1617"/>
      <c r="BM16" s="1617"/>
      <c r="BN16" s="1617"/>
      <c r="BO16" s="1617"/>
      <c r="BP16" s="1617"/>
      <c r="BQ16" s="1617"/>
      <c r="BR16" s="1617"/>
      <c r="BS16" s="1617"/>
      <c r="BT16" s="1617"/>
      <c r="BU16" s="1617"/>
      <c r="BV16" s="1617"/>
      <c r="BW16" s="1617"/>
      <c r="BX16" s="1628"/>
      <c r="BY16" s="1628"/>
      <c r="BZ16" s="1834"/>
      <c r="CA16" s="1742"/>
      <c r="CB16" s="1742"/>
      <c r="CC16" s="1742"/>
      <c r="CD16" s="1742"/>
      <c r="CE16" s="1742"/>
      <c r="CF16" s="1742"/>
      <c r="CG16" s="1742"/>
      <c r="CH16" s="1742"/>
      <c r="CI16" s="1742"/>
      <c r="CJ16" s="1742"/>
      <c r="CK16" s="1742"/>
      <c r="CL16" s="1835"/>
      <c r="CM16" s="1742"/>
      <c r="CN16" s="1742"/>
      <c r="CO16" s="1742"/>
      <c r="CP16" s="1742"/>
      <c r="CQ16" s="1742"/>
      <c r="CR16" s="1742"/>
      <c r="CS16" s="1742"/>
      <c r="CT16" s="1742"/>
      <c r="CU16" s="1742"/>
      <c r="CV16" s="1742"/>
      <c r="CW16" s="1742"/>
      <c r="CX16" s="1846"/>
      <c r="CY16" s="1742"/>
      <c r="CZ16" s="1742"/>
      <c r="DA16" s="1742"/>
      <c r="DB16" s="1742"/>
      <c r="DC16" s="1742"/>
      <c r="DD16" s="1742"/>
      <c r="DE16" s="1742"/>
      <c r="DF16" s="1742"/>
      <c r="DG16" s="1742"/>
      <c r="DH16" s="1742"/>
      <c r="DI16" s="1742"/>
      <c r="DJ16" s="1742"/>
      <c r="DK16" s="1742"/>
      <c r="DL16" s="1843"/>
      <c r="DM16" s="1843"/>
      <c r="DN16" s="1843"/>
      <c r="DO16" s="1843"/>
      <c r="DP16" s="1911"/>
      <c r="DQ16" s="1911"/>
      <c r="DR16" s="1669"/>
      <c r="DS16" s="1669"/>
      <c r="DT16" s="1669"/>
      <c r="DU16" s="1669"/>
      <c r="DV16" s="1669"/>
      <c r="DW16" s="1670"/>
      <c r="DX16" s="1670"/>
      <c r="DY16" s="1670"/>
      <c r="DZ16" s="1670"/>
      <c r="EA16" s="1670"/>
      <c r="EB16" s="1670"/>
      <c r="EC16" s="1670"/>
      <c r="ED16" s="1670"/>
      <c r="EE16" s="1670"/>
      <c r="EF16" s="1670"/>
      <c r="EG16" s="1670"/>
      <c r="EH16" s="1670"/>
      <c r="EI16" s="1670"/>
      <c r="EJ16" s="1670"/>
      <c r="EK16" s="1670"/>
      <c r="EL16" s="1670"/>
      <c r="EM16" s="1670"/>
      <c r="EN16" s="1670"/>
      <c r="EO16" s="1670"/>
      <c r="EP16" s="1670"/>
      <c r="EQ16" s="1670"/>
      <c r="ER16" s="1670"/>
      <c r="ES16" s="1670"/>
      <c r="ET16" s="1670"/>
      <c r="EU16" s="1670"/>
      <c r="EV16" s="1670"/>
      <c r="EW16" s="1670"/>
      <c r="EX16" s="1670"/>
      <c r="EY16" s="1670"/>
      <c r="EZ16" s="1670"/>
      <c r="FA16" s="1670"/>
      <c r="FB16" s="1670"/>
      <c r="FC16" s="1670"/>
      <c r="FD16" s="1670"/>
      <c r="FE16" s="1670"/>
      <c r="FF16" s="1670"/>
      <c r="FG16" s="1670"/>
      <c r="FH16" s="1670"/>
      <c r="FI16" s="1670"/>
      <c r="FJ16" s="1670"/>
      <c r="FK16" s="1670"/>
      <c r="FL16" s="1670"/>
      <c r="FM16" s="1670"/>
      <c r="FN16" s="1670"/>
      <c r="FO16" s="1670"/>
      <c r="FP16" s="1670"/>
      <c r="FQ16" s="1670"/>
      <c r="FR16" s="1670"/>
      <c r="FS16" s="1670"/>
      <c r="FT16" s="1670"/>
      <c r="FU16" s="1670"/>
      <c r="FV16" s="1670"/>
      <c r="FW16" s="1670"/>
      <c r="FX16" s="1670"/>
      <c r="FY16" s="1670"/>
      <c r="FZ16" s="1670"/>
      <c r="GA16" s="1670"/>
      <c r="GB16" s="1670"/>
      <c r="GC16" s="1670"/>
      <c r="GD16" s="1670"/>
      <c r="GE16" s="1670"/>
      <c r="GF16" s="1670"/>
      <c r="GG16" s="1670"/>
      <c r="GH16" s="1670"/>
      <c r="GI16" s="1670"/>
      <c r="GJ16" s="1670"/>
      <c r="GK16" s="1670"/>
      <c r="GL16" s="1670"/>
      <c r="GM16" s="1670"/>
      <c r="GN16" s="1670"/>
      <c r="GO16" s="1670"/>
      <c r="GP16" s="1670"/>
      <c r="GQ16" s="1670"/>
      <c r="GR16" s="1670"/>
      <c r="GS16" s="1670"/>
      <c r="GT16" s="1670"/>
      <c r="GU16" s="1670"/>
      <c r="GV16" s="1670"/>
      <c r="GW16" s="1670"/>
      <c r="GX16" s="1670"/>
      <c r="GY16" s="1670"/>
      <c r="GZ16" s="1670"/>
      <c r="HA16" s="1670"/>
      <c r="HB16" s="1670"/>
      <c r="HC16" s="1670"/>
      <c r="HD16" s="1670"/>
      <c r="HE16" s="1670"/>
      <c r="HF16" s="1670"/>
      <c r="HG16" s="1670"/>
      <c r="HH16" s="1670"/>
      <c r="HI16" s="1670"/>
      <c r="HJ16" s="1670"/>
      <c r="HK16" s="1670"/>
      <c r="HL16" s="1670"/>
      <c r="HM16" s="1670"/>
      <c r="HN16" s="1670"/>
      <c r="HO16" s="1670"/>
      <c r="HP16" s="1670"/>
      <c r="HQ16" s="1670"/>
      <c r="HR16" s="1670"/>
      <c r="HS16" s="1670"/>
      <c r="HT16" s="1670"/>
      <c r="HU16" s="1670"/>
      <c r="HV16" s="1670"/>
    </row>
    <row r="17" spans="1:230" ht="15">
      <c r="A17" s="1670"/>
      <c r="B17" s="1744" t="s">
        <v>1435</v>
      </c>
      <c r="C17" s="1746"/>
      <c r="D17" s="1747"/>
      <c r="E17" s="1747"/>
      <c r="F17" s="1748"/>
      <c r="G17" s="1737"/>
      <c r="H17" s="1738"/>
      <c r="I17" s="1739"/>
      <c r="J17" s="1740"/>
      <c r="K17" s="1741"/>
      <c r="L17" s="1706"/>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834" t="s">
        <v>474</v>
      </c>
      <c r="CA17" s="1742" t="s">
        <v>474</v>
      </c>
      <c r="CB17" s="1742" t="s">
        <v>474</v>
      </c>
      <c r="CC17" s="1742" t="s">
        <v>474</v>
      </c>
      <c r="CD17" s="1742" t="s">
        <v>474</v>
      </c>
      <c r="CE17" s="1742" t="s">
        <v>474</v>
      </c>
      <c r="CF17" s="1742" t="s">
        <v>474</v>
      </c>
      <c r="CG17" s="1742" t="s">
        <v>474</v>
      </c>
      <c r="CH17" s="1742" t="s">
        <v>474</v>
      </c>
      <c r="CI17" s="1742" t="s">
        <v>474</v>
      </c>
      <c r="CJ17" s="1742" t="s">
        <v>474</v>
      </c>
      <c r="CK17" s="1742" t="s">
        <v>474</v>
      </c>
      <c r="CL17" s="1750" t="s">
        <v>474</v>
      </c>
      <c r="CM17" s="1742" t="s">
        <v>474</v>
      </c>
      <c r="CN17" s="1742" t="s">
        <v>474</v>
      </c>
      <c r="CO17" s="1742" t="s">
        <v>474</v>
      </c>
      <c r="CP17" s="1742" t="s">
        <v>474</v>
      </c>
      <c r="CQ17" s="1742" t="s">
        <v>474</v>
      </c>
      <c r="CR17" s="1742" t="s">
        <v>474</v>
      </c>
      <c r="CS17" s="1742" t="s">
        <v>474</v>
      </c>
      <c r="CT17" s="1742" t="s">
        <v>474</v>
      </c>
      <c r="CU17" s="1742" t="s">
        <v>474</v>
      </c>
      <c r="CV17" s="1742" t="s">
        <v>474</v>
      </c>
      <c r="CW17" s="1742" t="s">
        <v>474</v>
      </c>
      <c r="CX17" s="1846" t="s">
        <v>474</v>
      </c>
      <c r="CY17" s="1742"/>
      <c r="CZ17" s="1742"/>
      <c r="DA17" s="1742"/>
      <c r="DB17" s="1742">
        <f>'[11]TBank Assets'!$J$10-'[11]TBank Assets'!$K$10</f>
        <v>0</v>
      </c>
      <c r="DC17" s="1742">
        <f>'[11]TBank Assets'!$J$11-'[11]TBank Assets'!$K$11</f>
        <v>0</v>
      </c>
      <c r="DD17" s="1742">
        <f>'[11]TBank Assets'!$J$12-'[11]TBank Assets'!$K$12</f>
        <v>50</v>
      </c>
      <c r="DE17" s="1742">
        <f>'[11]TBank Assets'!$J$13-'[11]TBank Assets'!$K$13</f>
        <v>63.965102929999993</v>
      </c>
      <c r="DF17" s="1742">
        <f>'[11]TBank Assets'!$J$14-'[11]TBank Assets'!$K$14</f>
        <v>47.303611409999995</v>
      </c>
      <c r="DG17" s="1742">
        <f>'[11]TBank Assets'!$J$15-'[11]TBank Assets'!$K$15</f>
        <v>63.480410909999996</v>
      </c>
      <c r="DH17" s="1742">
        <f>'[11]TBank Assets'!$J$16-'[11]TBank Assets'!$K$16</f>
        <v>86.756513359999985</v>
      </c>
      <c r="DI17" s="1742">
        <f>'[11]TBank Assets'!$J$17-'[11]TBank Assets'!$K$17</f>
        <v>68.126569920000009</v>
      </c>
      <c r="DJ17" s="1742">
        <f>'[11]TBank Assets'!$J$18-'[11]TBank Assets'!$K$18</f>
        <v>89.505824770000004</v>
      </c>
      <c r="DK17" s="1742">
        <f>'[11]TBank Assets'!$J$19-'[11]TBank Assets'!$K$19</f>
        <v>64.571366420000004</v>
      </c>
      <c r="DL17" s="1742">
        <f>'[11]TBank Assets'!$J$20-'[11]TBank Assets'!$K$20</f>
        <v>43.561754890000003</v>
      </c>
      <c r="DM17" s="1742">
        <f>'[11]TBank Assets'!$J$21-'[11]TBank Assets'!$K$21</f>
        <v>46.840173230000005</v>
      </c>
      <c r="DN17" s="1742">
        <f>'[11]TBank Assets'!$J$22-'[11]TBank Assets'!$K$22</f>
        <v>25.117155219999997</v>
      </c>
      <c r="DO17" s="1742">
        <f>'[11]TBank Assets'!$J$23-'[11]TBank Assets'!$K$23</f>
        <v>31.175225370000003</v>
      </c>
      <c r="DP17" s="1742">
        <f>'[11]TBank Assets'!$J$24-'[11]TBank Assets'!$K$24</f>
        <v>39.816364409999998</v>
      </c>
      <c r="DQ17" s="1742">
        <f>'[11]TBank Assets'!$J$24-'[11]TBank Assets'!$K$25</f>
        <v>40.356137410000002</v>
      </c>
      <c r="DR17" s="1669"/>
      <c r="DS17" s="1669"/>
      <c r="DT17" s="1669"/>
      <c r="DU17" s="1669"/>
      <c r="DV17" s="1669"/>
      <c r="DW17" s="1670"/>
      <c r="DX17" s="1670"/>
      <c r="DY17" s="1670"/>
      <c r="DZ17" s="1670"/>
      <c r="EA17" s="1670"/>
      <c r="EB17" s="1670"/>
      <c r="EC17" s="1670"/>
      <c r="ED17" s="1670"/>
      <c r="EE17" s="1670"/>
      <c r="EF17" s="1670"/>
      <c r="EG17" s="1670"/>
      <c r="EH17" s="1670"/>
      <c r="EI17" s="1670"/>
      <c r="EJ17" s="1670"/>
      <c r="EK17" s="1670"/>
      <c r="EL17" s="1670"/>
      <c r="EM17" s="1670"/>
      <c r="EN17" s="1670"/>
      <c r="EO17" s="1670"/>
      <c r="EP17" s="1670"/>
      <c r="EQ17" s="1670"/>
      <c r="ER17" s="1670"/>
      <c r="ES17" s="1670"/>
      <c r="ET17" s="1670"/>
      <c r="EU17" s="1670"/>
      <c r="EV17" s="1670"/>
      <c r="EW17" s="1670"/>
      <c r="EX17" s="1670"/>
      <c r="EY17" s="1670"/>
      <c r="EZ17" s="1670"/>
      <c r="FA17" s="1670"/>
      <c r="FB17" s="1670"/>
      <c r="FC17" s="1670"/>
      <c r="FD17" s="1670"/>
      <c r="FE17" s="1670"/>
      <c r="FF17" s="1670"/>
      <c r="FG17" s="1670"/>
      <c r="FH17" s="1670"/>
      <c r="FI17" s="1670"/>
      <c r="FJ17" s="1670"/>
      <c r="FK17" s="1670"/>
      <c r="FL17" s="1670"/>
      <c r="FM17" s="1670"/>
      <c r="FN17" s="1670"/>
      <c r="FO17" s="1670"/>
      <c r="FP17" s="1670"/>
      <c r="FQ17" s="1670"/>
      <c r="FR17" s="1670"/>
      <c r="FS17" s="1670"/>
      <c r="FT17" s="1670"/>
      <c r="FU17" s="1670"/>
      <c r="FV17" s="1670"/>
      <c r="FW17" s="1670"/>
      <c r="FX17" s="1670"/>
      <c r="FY17" s="1670"/>
      <c r="FZ17" s="1670"/>
      <c r="GA17" s="1670"/>
      <c r="GB17" s="1670"/>
      <c r="GC17" s="1670"/>
      <c r="GD17" s="1670"/>
      <c r="GE17" s="1670"/>
      <c r="GF17" s="1670"/>
      <c r="GG17" s="1670"/>
      <c r="GH17" s="1670"/>
      <c r="GI17" s="1670"/>
      <c r="GJ17" s="1670"/>
      <c r="GK17" s="1670"/>
      <c r="GL17" s="1670"/>
      <c r="GM17" s="1670"/>
      <c r="GN17" s="1670"/>
      <c r="GO17" s="1670"/>
      <c r="GP17" s="1670"/>
      <c r="GQ17" s="1670"/>
      <c r="GR17" s="1670"/>
      <c r="GS17" s="1670"/>
      <c r="GT17" s="1670"/>
      <c r="GU17" s="1670"/>
      <c r="GV17" s="1670"/>
      <c r="GW17" s="1670"/>
      <c r="GX17" s="1670"/>
      <c r="GY17" s="1670"/>
      <c r="GZ17" s="1670"/>
      <c r="HA17" s="1670"/>
      <c r="HB17" s="1670"/>
      <c r="HC17" s="1670"/>
      <c r="HD17" s="1670"/>
      <c r="HE17" s="1670"/>
      <c r="HF17" s="1670"/>
      <c r="HG17" s="1670"/>
      <c r="HH17" s="1670"/>
      <c r="HI17" s="1670"/>
      <c r="HJ17" s="1670"/>
      <c r="HK17" s="1670"/>
      <c r="HL17" s="1670"/>
      <c r="HM17" s="1670"/>
      <c r="HN17" s="1670"/>
      <c r="HO17" s="1670"/>
      <c r="HP17" s="1670"/>
      <c r="HQ17" s="1670"/>
      <c r="HR17" s="1670"/>
      <c r="HS17" s="1670"/>
      <c r="HT17" s="1670"/>
      <c r="HU17" s="1670"/>
      <c r="HV17" s="1670"/>
    </row>
    <row r="18" spans="1:230" ht="15">
      <c r="A18" s="1670"/>
      <c r="B18" s="1744"/>
      <c r="C18" s="1746"/>
      <c r="D18" s="1747"/>
      <c r="E18" s="1747"/>
      <c r="F18" s="1748"/>
      <c r="G18" s="1737"/>
      <c r="H18" s="1738"/>
      <c r="I18" s="1739"/>
      <c r="J18" s="1740"/>
      <c r="K18" s="1741"/>
      <c r="L18" s="1706"/>
      <c r="M18" s="1617"/>
      <c r="N18" s="1617"/>
      <c r="O18" s="1617"/>
      <c r="P18" s="1617"/>
      <c r="Q18" s="1617"/>
      <c r="R18" s="1617"/>
      <c r="S18" s="1617"/>
      <c r="T18" s="1617"/>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D18" s="1617"/>
      <c r="BE18" s="1617"/>
      <c r="BF18" s="1617"/>
      <c r="BG18" s="1617"/>
      <c r="BH18" s="1617"/>
      <c r="BI18" s="1617"/>
      <c r="BJ18" s="1617"/>
      <c r="BK18" s="1617"/>
      <c r="BL18" s="1617"/>
      <c r="BM18" s="1617"/>
      <c r="BN18" s="1617"/>
      <c r="BO18" s="1617"/>
      <c r="BP18" s="1617"/>
      <c r="BQ18" s="1617"/>
      <c r="BR18" s="1617"/>
      <c r="BS18" s="1617"/>
      <c r="BT18" s="1617"/>
      <c r="BU18" s="1617"/>
      <c r="BV18" s="1617"/>
      <c r="BW18" s="1617"/>
      <c r="BX18" s="1617"/>
      <c r="BY18" s="1617"/>
      <c r="BZ18" s="1834"/>
      <c r="CA18" s="1742"/>
      <c r="CB18" s="1742"/>
      <c r="CC18" s="1742"/>
      <c r="CD18" s="1742"/>
      <c r="CE18" s="1742"/>
      <c r="CF18" s="1742"/>
      <c r="CG18" s="1742"/>
      <c r="CH18" s="1742"/>
      <c r="CI18" s="1742"/>
      <c r="CJ18" s="1742"/>
      <c r="CK18" s="1742"/>
      <c r="CL18" s="1750"/>
      <c r="CM18" s="1742"/>
      <c r="CN18" s="1742"/>
      <c r="CO18" s="1742"/>
      <c r="CP18" s="1742"/>
      <c r="CQ18" s="1742"/>
      <c r="CR18" s="1742"/>
      <c r="CS18" s="1742"/>
      <c r="CT18" s="1742"/>
      <c r="CU18" s="1742"/>
      <c r="CV18" s="1742"/>
      <c r="CW18" s="1742"/>
      <c r="CX18" s="1846"/>
      <c r="CY18" s="1742"/>
      <c r="CZ18" s="1742"/>
      <c r="DA18" s="1742"/>
      <c r="DB18" s="1742"/>
      <c r="DC18" s="1742"/>
      <c r="DD18" s="1742"/>
      <c r="DE18" s="1742"/>
      <c r="DF18" s="1742"/>
      <c r="DG18" s="1742"/>
      <c r="DH18" s="1742"/>
      <c r="DI18" s="1742"/>
      <c r="DJ18" s="1742"/>
      <c r="DK18" s="1742"/>
      <c r="DL18" s="1843"/>
      <c r="DM18" s="1843"/>
      <c r="DN18" s="1843"/>
      <c r="DO18" s="1843"/>
      <c r="DP18" s="1911"/>
      <c r="DQ18" s="1911"/>
      <c r="DR18" s="1669"/>
      <c r="DS18" s="1669"/>
      <c r="DT18" s="1669"/>
      <c r="DU18" s="1669"/>
      <c r="DV18" s="1669"/>
      <c r="DW18" s="1670"/>
      <c r="DX18" s="1670"/>
      <c r="DY18" s="1670"/>
      <c r="DZ18" s="1670"/>
      <c r="EA18" s="1670"/>
      <c r="EB18" s="1670"/>
      <c r="EC18" s="1670"/>
      <c r="ED18" s="1670"/>
      <c r="EE18" s="1670"/>
      <c r="EF18" s="1670"/>
      <c r="EG18" s="1670"/>
      <c r="EH18" s="1670"/>
      <c r="EI18" s="1670"/>
      <c r="EJ18" s="1670"/>
      <c r="EK18" s="1670"/>
      <c r="EL18" s="1670"/>
      <c r="EM18" s="1670"/>
      <c r="EN18" s="1670"/>
      <c r="EO18" s="1670"/>
      <c r="EP18" s="1670"/>
      <c r="EQ18" s="1670"/>
      <c r="ER18" s="1670"/>
      <c r="ES18" s="1670"/>
      <c r="ET18" s="1670"/>
      <c r="EU18" s="1670"/>
      <c r="EV18" s="1670"/>
      <c r="EW18" s="1670"/>
      <c r="EX18" s="1670"/>
      <c r="EY18" s="1670"/>
      <c r="EZ18" s="1670"/>
      <c r="FA18" s="1670"/>
      <c r="FB18" s="1670"/>
      <c r="FC18" s="1670"/>
      <c r="FD18" s="1670"/>
      <c r="FE18" s="1670"/>
      <c r="FF18" s="1670"/>
      <c r="FG18" s="1670"/>
      <c r="FH18" s="1670"/>
      <c r="FI18" s="1670"/>
      <c r="FJ18" s="1670"/>
      <c r="FK18" s="1670"/>
      <c r="FL18" s="1670"/>
      <c r="FM18" s="1670"/>
      <c r="FN18" s="1670"/>
      <c r="FO18" s="1670"/>
      <c r="FP18" s="1670"/>
      <c r="FQ18" s="1670"/>
      <c r="FR18" s="1670"/>
      <c r="FS18" s="1670"/>
      <c r="FT18" s="1670"/>
      <c r="FU18" s="1670"/>
      <c r="FV18" s="1670"/>
      <c r="FW18" s="1670"/>
      <c r="FX18" s="1670"/>
      <c r="FY18" s="1670"/>
      <c r="FZ18" s="1670"/>
      <c r="GA18" s="1670"/>
      <c r="GB18" s="1670"/>
      <c r="GC18" s="1670"/>
      <c r="GD18" s="1670"/>
      <c r="GE18" s="1670"/>
      <c r="GF18" s="1670"/>
      <c r="GG18" s="1670"/>
      <c r="GH18" s="1670"/>
      <c r="GI18" s="1670"/>
      <c r="GJ18" s="1670"/>
      <c r="GK18" s="1670"/>
      <c r="GL18" s="1670"/>
      <c r="GM18" s="1670"/>
      <c r="GN18" s="1670"/>
      <c r="GO18" s="1670"/>
      <c r="GP18" s="1670"/>
      <c r="GQ18" s="1670"/>
      <c r="GR18" s="1670"/>
      <c r="GS18" s="1670"/>
      <c r="GT18" s="1670"/>
      <c r="GU18" s="1670"/>
      <c r="GV18" s="1670"/>
      <c r="GW18" s="1670"/>
      <c r="GX18" s="1670"/>
      <c r="GY18" s="1670"/>
      <c r="GZ18" s="1670"/>
      <c r="HA18" s="1670"/>
      <c r="HB18" s="1670"/>
      <c r="HC18" s="1670"/>
      <c r="HD18" s="1670"/>
      <c r="HE18" s="1670"/>
      <c r="HF18" s="1670"/>
      <c r="HG18" s="1670"/>
      <c r="HH18" s="1670"/>
      <c r="HI18" s="1670"/>
      <c r="HJ18" s="1670"/>
      <c r="HK18" s="1670"/>
      <c r="HL18" s="1670"/>
      <c r="HM18" s="1670"/>
      <c r="HN18" s="1670"/>
      <c r="HO18" s="1670"/>
      <c r="HP18" s="1670"/>
      <c r="HQ18" s="1670"/>
      <c r="HR18" s="1670"/>
      <c r="HS18" s="1670"/>
      <c r="HT18" s="1670"/>
      <c r="HU18" s="1670"/>
      <c r="HV18" s="1670"/>
    </row>
    <row r="19" spans="1:230" ht="15">
      <c r="A19" s="1670"/>
      <c r="B19" s="1744" t="s">
        <v>1434</v>
      </c>
      <c r="C19" s="1746"/>
      <c r="D19" s="1747"/>
      <c r="E19" s="1747"/>
      <c r="F19" s="1748"/>
      <c r="G19" s="1737"/>
      <c r="H19" s="1738"/>
      <c r="I19" s="1739"/>
      <c r="J19" s="1740"/>
      <c r="K19" s="1741"/>
      <c r="L19" s="1706"/>
      <c r="M19" s="1617"/>
      <c r="N19" s="1617"/>
      <c r="O19" s="1617"/>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7"/>
      <c r="AL19" s="1617"/>
      <c r="AM19" s="1617"/>
      <c r="AN19" s="1617"/>
      <c r="AO19" s="1617"/>
      <c r="AP19" s="1617"/>
      <c r="AQ19" s="1617"/>
      <c r="AR19" s="1617"/>
      <c r="AS19" s="1617"/>
      <c r="AT19" s="1617"/>
      <c r="AU19" s="1617"/>
      <c r="AV19" s="1617"/>
      <c r="AW19" s="1617"/>
      <c r="AX19" s="1617"/>
      <c r="AY19" s="1617"/>
      <c r="AZ19" s="1617"/>
      <c r="BA19" s="1617"/>
      <c r="BB19" s="1617"/>
      <c r="BC19" s="1617"/>
      <c r="BD19" s="1617"/>
      <c r="BE19" s="1617"/>
      <c r="BF19" s="1617"/>
      <c r="BG19" s="1617"/>
      <c r="BH19" s="1617"/>
      <c r="BI19" s="1617"/>
      <c r="BJ19" s="1617"/>
      <c r="BK19" s="1617"/>
      <c r="BL19" s="1617"/>
      <c r="BM19" s="1617"/>
      <c r="BN19" s="1617"/>
      <c r="BO19" s="1617"/>
      <c r="BP19" s="1617"/>
      <c r="BQ19" s="1617"/>
      <c r="BR19" s="1617"/>
      <c r="BS19" s="1617"/>
      <c r="BT19" s="1617"/>
      <c r="BU19" s="1617"/>
      <c r="BV19" s="1617"/>
      <c r="BW19" s="1617"/>
      <c r="BX19" s="1617"/>
      <c r="BY19" s="1617"/>
      <c r="BZ19" s="1834" t="s">
        <v>474</v>
      </c>
      <c r="CA19" s="1742" t="s">
        <v>474</v>
      </c>
      <c r="CB19" s="1742" t="s">
        <v>474</v>
      </c>
      <c r="CC19" s="1742" t="s">
        <v>474</v>
      </c>
      <c r="CD19" s="1742" t="s">
        <v>474</v>
      </c>
      <c r="CE19" s="1742" t="s">
        <v>474</v>
      </c>
      <c r="CF19" s="1742" t="s">
        <v>474</v>
      </c>
      <c r="CG19" s="1742" t="s">
        <v>474</v>
      </c>
      <c r="CH19" s="1742" t="s">
        <v>474</v>
      </c>
      <c r="CI19" s="1742" t="s">
        <v>474</v>
      </c>
      <c r="CJ19" s="1742" t="s">
        <v>474</v>
      </c>
      <c r="CK19" s="1742" t="s">
        <v>474</v>
      </c>
      <c r="CL19" s="1750" t="s">
        <v>474</v>
      </c>
      <c r="CM19" s="1742" t="s">
        <v>474</v>
      </c>
      <c r="CN19" s="1742" t="s">
        <v>474</v>
      </c>
      <c r="CO19" s="1742" t="s">
        <v>474</v>
      </c>
      <c r="CP19" s="1742" t="s">
        <v>474</v>
      </c>
      <c r="CQ19" s="1742" t="s">
        <v>474</v>
      </c>
      <c r="CR19" s="1742" t="s">
        <v>474</v>
      </c>
      <c r="CS19" s="1742" t="s">
        <v>474</v>
      </c>
      <c r="CT19" s="1742" t="s">
        <v>474</v>
      </c>
      <c r="CU19" s="1742" t="s">
        <v>474</v>
      </c>
      <c r="CV19" s="1742" t="s">
        <v>474</v>
      </c>
      <c r="CW19" s="1742" t="s">
        <v>474</v>
      </c>
      <c r="CX19" s="1846" t="s">
        <v>474</v>
      </c>
      <c r="CY19" s="1843"/>
      <c r="CZ19" s="1742"/>
      <c r="DA19" s="1742"/>
      <c r="DB19" s="1742">
        <f>'[11]DPNB Assets'!$J$10-'[11]DPNB Assets'!$K$10</f>
        <v>108.57180029000001</v>
      </c>
      <c r="DC19" s="1742">
        <f>'[11]DPNB Assets'!$J$11-'[11]DPNB Assets'!$K$11</f>
        <v>79.687341709999998</v>
      </c>
      <c r="DD19" s="1742">
        <f>'[11]DPNB Assets'!$J$12-'[11]DPNB Assets'!$K$12</f>
        <v>72.068281989999988</v>
      </c>
      <c r="DE19" s="1742">
        <f>'[11]DPNB Assets'!$J$13-'[11]DPNB Assets'!$K$13</f>
        <v>64.248273569999995</v>
      </c>
      <c r="DF19" s="1742">
        <f>'[11]DPNB Assets'!$J$14-'[11]DPNB Assets'!$K$14</f>
        <v>4304.4636258999999</v>
      </c>
      <c r="DG19" s="1742">
        <f>'[11]DPNB Assets'!$J$15-'[11]DPNB Assets'!$K$15</f>
        <v>255.30460603999998</v>
      </c>
      <c r="DH19" s="1742">
        <f>'[11]DPNB Assets'!$J$16-'[11]DPNB Assets'!$K$16</f>
        <v>238.45636734000001</v>
      </c>
      <c r="DI19" s="1742">
        <f>'[11]DPNB Assets'!$J$17-'[11]DPNB Assets'!$K$17</f>
        <v>608.72877446000007</v>
      </c>
      <c r="DJ19" s="1742">
        <f>'[11]DPNB Assets'!$J$18-'[11]DPNB Assets'!$K$18</f>
        <v>429.96700606000002</v>
      </c>
      <c r="DK19" s="1742">
        <f>'[11]DPNB Assets'!$J$19-'[11]DPNB Assets'!$K$19</f>
        <v>268.38642518</v>
      </c>
      <c r="DL19" s="1742">
        <f>'[11]DPNB Assets'!$J$20-'[11]DPNB Assets'!$K$20</f>
        <v>213.10806184999998</v>
      </c>
      <c r="DM19" s="1742">
        <f>'[11]DPNB Assets'!$J$21-'[11]DPNB Assets'!$K$21</f>
        <v>207.43926709000002</v>
      </c>
      <c r="DN19" s="1742">
        <f>'[11]DPNB Assets'!$J$22-'[11]DPNB Assets'!$K$22</f>
        <v>339.74914469999999</v>
      </c>
      <c r="DO19" s="1742">
        <f>'[11]DPNB Assets'!$J$23-'[11]DPNB Assets'!$K$23</f>
        <v>244.03621449999997</v>
      </c>
      <c r="DP19" s="1742">
        <f>'[11]DPNB Assets'!$J$24-'[11]DPNB Assets'!$K$24</f>
        <v>214.72674233000004</v>
      </c>
      <c r="DQ19" s="1742">
        <f>'[11]DPNB Assets'!$J$24-'[11]DPNB Assets'!$K$25</f>
        <v>191.07630833000002</v>
      </c>
      <c r="DR19" s="1669"/>
      <c r="DS19" s="1669"/>
      <c r="DT19" s="1669"/>
      <c r="DU19" s="1669"/>
      <c r="DV19" s="1669"/>
      <c r="DW19" s="1670"/>
      <c r="DX19" s="1670"/>
      <c r="DY19" s="1670"/>
      <c r="DZ19" s="1670"/>
      <c r="EA19" s="1670"/>
      <c r="EB19" s="1670"/>
      <c r="EC19" s="1670"/>
      <c r="ED19" s="1670"/>
      <c r="EE19" s="1670"/>
      <c r="EF19" s="1670"/>
      <c r="EG19" s="1670"/>
      <c r="EH19" s="1670"/>
      <c r="EI19" s="1670"/>
      <c r="EJ19" s="1670"/>
      <c r="EK19" s="1670"/>
      <c r="EL19" s="1670"/>
      <c r="EM19" s="1670"/>
      <c r="EN19" s="1670"/>
      <c r="EO19" s="1670"/>
      <c r="EP19" s="1670"/>
      <c r="EQ19" s="1670"/>
      <c r="ER19" s="1670"/>
      <c r="ES19" s="1670"/>
      <c r="ET19" s="1670"/>
      <c r="EU19" s="1670"/>
      <c r="EV19" s="1670"/>
      <c r="EW19" s="1670"/>
      <c r="EX19" s="1670"/>
      <c r="EY19" s="1670"/>
      <c r="EZ19" s="1670"/>
      <c r="FA19" s="1670"/>
      <c r="FB19" s="1670"/>
      <c r="FC19" s="1670"/>
      <c r="FD19" s="1670"/>
      <c r="FE19" s="1670"/>
      <c r="FF19" s="1670"/>
      <c r="FG19" s="1670"/>
      <c r="FH19" s="1670"/>
      <c r="FI19" s="1670"/>
      <c r="FJ19" s="1670"/>
      <c r="FK19" s="1670"/>
      <c r="FL19" s="1670"/>
      <c r="FM19" s="1670"/>
      <c r="FN19" s="1670"/>
      <c r="FO19" s="1670"/>
      <c r="FP19" s="1670"/>
      <c r="FQ19" s="1670"/>
      <c r="FR19" s="1670"/>
      <c r="FS19" s="1670"/>
      <c r="FT19" s="1670"/>
      <c r="FU19" s="1670"/>
      <c r="FV19" s="1670"/>
      <c r="FW19" s="1670"/>
      <c r="FX19" s="1670"/>
      <c r="FY19" s="1670"/>
      <c r="FZ19" s="1670"/>
      <c r="GA19" s="1670"/>
      <c r="GB19" s="1670"/>
      <c r="GC19" s="1670"/>
      <c r="GD19" s="1670"/>
      <c r="GE19" s="1670"/>
      <c r="GF19" s="1670"/>
      <c r="GG19" s="1670"/>
      <c r="GH19" s="1670"/>
      <c r="GI19" s="1670"/>
      <c r="GJ19" s="1670"/>
      <c r="GK19" s="1670"/>
      <c r="GL19" s="1670"/>
      <c r="GM19" s="1670"/>
      <c r="GN19" s="1670"/>
      <c r="GO19" s="1670"/>
      <c r="GP19" s="1670"/>
      <c r="GQ19" s="1670"/>
      <c r="GR19" s="1670"/>
      <c r="GS19" s="1670"/>
      <c r="GT19" s="1670"/>
      <c r="GU19" s="1670"/>
      <c r="GV19" s="1670"/>
      <c r="GW19" s="1670"/>
      <c r="GX19" s="1670"/>
      <c r="GY19" s="1670"/>
      <c r="GZ19" s="1670"/>
      <c r="HA19" s="1670"/>
      <c r="HB19" s="1670"/>
      <c r="HC19" s="1670"/>
      <c r="HD19" s="1670"/>
      <c r="HE19" s="1670"/>
      <c r="HF19" s="1670"/>
      <c r="HG19" s="1670"/>
      <c r="HH19" s="1670"/>
      <c r="HI19" s="1670"/>
      <c r="HJ19" s="1670"/>
      <c r="HK19" s="1670"/>
      <c r="HL19" s="1670"/>
      <c r="HM19" s="1670"/>
      <c r="HN19" s="1670"/>
      <c r="HO19" s="1670"/>
      <c r="HP19" s="1670"/>
      <c r="HQ19" s="1670"/>
      <c r="HR19" s="1670"/>
      <c r="HS19" s="1670"/>
      <c r="HT19" s="1670"/>
      <c r="HU19" s="1670"/>
      <c r="HV19" s="1670"/>
    </row>
    <row r="20" spans="1:230" ht="15">
      <c r="A20" s="1670"/>
      <c r="B20" s="1744" t="s">
        <v>142</v>
      </c>
      <c r="C20" s="1751"/>
      <c r="D20" s="1752"/>
      <c r="E20" s="1752"/>
      <c r="F20" s="1753"/>
      <c r="G20" s="1754"/>
      <c r="H20" s="1753"/>
      <c r="I20" s="1755"/>
      <c r="J20" s="1756"/>
      <c r="K20" s="1757"/>
      <c r="L20" s="1758"/>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1759"/>
      <c r="AV20" s="1759"/>
      <c r="AW20" s="1759"/>
      <c r="AX20" s="1759"/>
      <c r="AY20" s="1759"/>
      <c r="AZ20" s="1759"/>
      <c r="BA20" s="1759"/>
      <c r="BB20" s="1759"/>
      <c r="BC20" s="1759"/>
      <c r="BD20" s="1759"/>
      <c r="BE20" s="1759"/>
      <c r="BF20" s="1759"/>
      <c r="BG20" s="1759"/>
      <c r="BH20" s="1759"/>
      <c r="BI20" s="1759"/>
      <c r="BJ20" s="1759"/>
      <c r="BK20" s="1759"/>
      <c r="BL20" s="1759"/>
      <c r="BM20" s="1759"/>
      <c r="BN20" s="1759"/>
      <c r="BO20" s="1759"/>
      <c r="BP20" s="1759"/>
      <c r="BQ20" s="1759"/>
      <c r="BR20" s="1759"/>
      <c r="BS20" s="1759"/>
      <c r="BT20" s="1759"/>
      <c r="BU20" s="1759"/>
      <c r="BV20" s="1759"/>
      <c r="BW20" s="1759"/>
      <c r="BX20" s="1759"/>
      <c r="BY20" s="1759"/>
      <c r="BZ20" s="1760"/>
      <c r="CA20" s="1761"/>
      <c r="CB20" s="1761"/>
      <c r="CC20" s="1761"/>
      <c r="CD20" s="1761"/>
      <c r="CE20" s="1761"/>
      <c r="CF20" s="1761"/>
      <c r="CG20" s="1761"/>
      <c r="CH20" s="1761"/>
      <c r="CI20" s="1761"/>
      <c r="CJ20" s="1761"/>
      <c r="CK20" s="1761"/>
      <c r="CL20" s="1762"/>
      <c r="CM20" s="1761"/>
      <c r="CN20" s="1761"/>
      <c r="CO20" s="1761"/>
      <c r="CP20" s="1761"/>
      <c r="CQ20" s="1761"/>
      <c r="CR20" s="1761"/>
      <c r="CS20" s="1761"/>
      <c r="CT20" s="1761"/>
      <c r="CU20" s="1761"/>
      <c r="CV20" s="1761"/>
      <c r="CW20" s="1761"/>
      <c r="CX20" s="1852"/>
      <c r="CY20" s="1851"/>
      <c r="CZ20" s="1851"/>
      <c r="DA20" s="1851"/>
      <c r="DB20" s="1851"/>
      <c r="DC20" s="1851"/>
      <c r="DD20" s="1851"/>
      <c r="DE20" s="1851"/>
      <c r="DF20" s="1851"/>
      <c r="DG20" s="1851"/>
      <c r="DH20" s="1851"/>
      <c r="DI20" s="1851"/>
      <c r="DJ20" s="1851"/>
      <c r="DK20" s="1851"/>
      <c r="DL20" s="1651"/>
      <c r="DM20" s="1651"/>
      <c r="DN20" s="1651"/>
      <c r="DO20" s="1651"/>
      <c r="DP20" s="1651"/>
      <c r="DQ20" s="1911"/>
      <c r="DR20" s="1669"/>
      <c r="DS20" s="1669"/>
      <c r="DT20" s="1669"/>
      <c r="DU20" s="1669"/>
      <c r="DV20" s="1669"/>
      <c r="DW20" s="1670"/>
      <c r="DX20" s="1670"/>
      <c r="DY20" s="1670"/>
      <c r="DZ20" s="1670"/>
      <c r="EA20" s="1670"/>
      <c r="EB20" s="1670"/>
      <c r="EC20" s="1670"/>
      <c r="ED20" s="1670"/>
      <c r="EE20" s="1670"/>
      <c r="EF20" s="1670"/>
      <c r="EG20" s="1670"/>
      <c r="EH20" s="1670"/>
      <c r="EI20" s="1670"/>
      <c r="EJ20" s="1670"/>
      <c r="EK20" s="1670"/>
      <c r="EL20" s="1670"/>
      <c r="EM20" s="1670"/>
      <c r="EN20" s="1670"/>
      <c r="EO20" s="1670"/>
      <c r="EP20" s="1670"/>
      <c r="EQ20" s="1670"/>
      <c r="ER20" s="1670"/>
      <c r="ES20" s="1670"/>
      <c r="ET20" s="1670"/>
      <c r="EU20" s="1670"/>
      <c r="EV20" s="1670"/>
      <c r="EW20" s="1670"/>
      <c r="EX20" s="1670"/>
      <c r="EY20" s="1670"/>
      <c r="EZ20" s="1670"/>
      <c r="FA20" s="1670"/>
      <c r="FB20" s="1670"/>
      <c r="FC20" s="1670"/>
      <c r="FD20" s="1670"/>
      <c r="FE20" s="1670"/>
      <c r="FF20" s="1670"/>
      <c r="FG20" s="1670"/>
      <c r="FH20" s="1670"/>
      <c r="FI20" s="1670"/>
      <c r="FJ20" s="1670"/>
      <c r="FK20" s="1670"/>
      <c r="FL20" s="1670"/>
      <c r="FM20" s="1670"/>
      <c r="FN20" s="1670"/>
      <c r="FO20" s="1670"/>
      <c r="FP20" s="1670"/>
      <c r="FQ20" s="1670"/>
      <c r="FR20" s="1670"/>
      <c r="FS20" s="1670"/>
      <c r="FT20" s="1670"/>
      <c r="FU20" s="1670"/>
      <c r="FV20" s="1670"/>
      <c r="FW20" s="1670"/>
      <c r="FX20" s="1670"/>
      <c r="FY20" s="1670"/>
      <c r="FZ20" s="1670"/>
      <c r="GA20" s="1670"/>
      <c r="GB20" s="1670"/>
      <c r="GC20" s="1670"/>
      <c r="GD20" s="1670"/>
      <c r="GE20" s="1670"/>
      <c r="GF20" s="1670"/>
      <c r="GG20" s="1670"/>
      <c r="GH20" s="1670"/>
      <c r="GI20" s="1670"/>
      <c r="GJ20" s="1670"/>
      <c r="GK20" s="1670"/>
      <c r="GL20" s="1670"/>
      <c r="GM20" s="1670"/>
      <c r="GN20" s="1670"/>
      <c r="GO20" s="1670"/>
      <c r="GP20" s="1670"/>
      <c r="GQ20" s="1670"/>
      <c r="GR20" s="1670"/>
      <c r="GS20" s="1670"/>
      <c r="GT20" s="1670"/>
      <c r="GU20" s="1670"/>
      <c r="GV20" s="1670"/>
      <c r="GW20" s="1670"/>
      <c r="GX20" s="1670"/>
      <c r="GY20" s="1670"/>
      <c r="GZ20" s="1670"/>
      <c r="HA20" s="1670"/>
      <c r="HB20" s="1670"/>
      <c r="HC20" s="1670"/>
      <c r="HD20" s="1670"/>
      <c r="HE20" s="1670"/>
      <c r="HF20" s="1670"/>
      <c r="HG20" s="1670"/>
      <c r="HH20" s="1670"/>
      <c r="HI20" s="1670"/>
      <c r="HJ20" s="1670"/>
      <c r="HK20" s="1670"/>
      <c r="HL20" s="1670"/>
      <c r="HM20" s="1670"/>
      <c r="HN20" s="1670"/>
      <c r="HO20" s="1670"/>
      <c r="HP20" s="1670"/>
      <c r="HQ20" s="1670"/>
      <c r="HR20" s="1670"/>
      <c r="HS20" s="1670"/>
      <c r="HT20" s="1670"/>
      <c r="HU20" s="1670"/>
      <c r="HV20" s="1670"/>
    </row>
    <row r="21" spans="1:230" ht="15" hidden="1" customHeight="1">
      <c r="A21" s="1670"/>
      <c r="B21" s="1763" t="s">
        <v>1433</v>
      </c>
      <c r="C21" s="1764"/>
      <c r="D21" s="1617"/>
      <c r="E21" s="1617"/>
      <c r="F21" s="1617"/>
      <c r="G21" s="1718"/>
      <c r="H21" s="1617"/>
      <c r="I21" s="1739"/>
      <c r="J21" s="1765"/>
      <c r="K21" s="1765"/>
      <c r="L21" s="1766"/>
      <c r="M21" s="1629"/>
      <c r="N21" s="1766"/>
      <c r="O21" s="1766"/>
      <c r="P21" s="1766"/>
      <c r="Q21" s="1766"/>
      <c r="R21" s="1766"/>
      <c r="S21" s="1766"/>
      <c r="T21" s="1766"/>
      <c r="U21" s="1629"/>
      <c r="V21" s="162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17"/>
      <c r="BY21" s="1617"/>
      <c r="BZ21" s="1767"/>
      <c r="CA21" s="1617"/>
      <c r="CB21" s="1628"/>
      <c r="CC21" s="1628"/>
      <c r="CD21" s="1628"/>
      <c r="CE21" s="1628"/>
      <c r="CF21" s="1628"/>
      <c r="CG21" s="1642"/>
      <c r="CH21" s="1628"/>
      <c r="CI21" s="1768"/>
      <c r="CJ21" s="1628"/>
      <c r="CK21" s="1722"/>
      <c r="CL21" s="1722"/>
      <c r="CM21" s="1617"/>
      <c r="CN21" s="1617"/>
      <c r="CO21" s="1617"/>
      <c r="CP21" s="1722"/>
      <c r="CQ21" s="1617"/>
      <c r="CR21" s="1617"/>
      <c r="CS21" s="1617"/>
      <c r="CT21" s="1722"/>
      <c r="CU21" s="1769"/>
      <c r="CV21" s="1722"/>
      <c r="CW21" s="1770"/>
      <c r="CX21" s="1770"/>
      <c r="CY21" s="1770"/>
      <c r="CZ21" s="1770"/>
      <c r="DA21" s="1617">
        <f>'[11]BDBL Assets'!$J$11-'[11]BDBL Assets'!$K$11</f>
        <v>0</v>
      </c>
      <c r="DB21" s="1617">
        <f>'[11]BDBL Assets'!$J$12-'[11]BDBL Assets'!$K$12</f>
        <v>0</v>
      </c>
      <c r="DC21" s="1721">
        <f>'[11]BDBL Assets'!$J$13-'[11]BDBL Assets'!$K$13</f>
        <v>0</v>
      </c>
      <c r="DD21" s="1771">
        <f>'[11]BDBL Assets'!$J$14-'[11]BDBL Assets'!$K$14</f>
        <v>0</v>
      </c>
      <c r="DE21" s="1617"/>
      <c r="DF21" s="1617"/>
      <c r="DG21" s="1772"/>
      <c r="DH21" s="1773"/>
      <c r="DI21" s="1774"/>
      <c r="DJ21" s="1617"/>
      <c r="DK21" s="1617"/>
      <c r="DL21" s="1722"/>
      <c r="DM21" s="1617"/>
      <c r="DN21" s="1723"/>
      <c r="DO21" s="1774"/>
      <c r="DP21" s="1839"/>
      <c r="DQ21" s="1911"/>
      <c r="DR21" s="1669"/>
      <c r="DS21" s="1669"/>
      <c r="DT21" s="1669"/>
      <c r="DU21" s="1669"/>
      <c r="DV21" s="1669"/>
      <c r="DW21" s="1670"/>
      <c r="DX21" s="1670"/>
      <c r="DY21" s="1670"/>
      <c r="DZ21" s="1670"/>
      <c r="EA21" s="1670"/>
      <c r="EB21" s="1670"/>
      <c r="EC21" s="1670"/>
      <c r="ED21" s="1670"/>
      <c r="EE21" s="1670"/>
      <c r="EF21" s="1670"/>
      <c r="EG21" s="1670"/>
      <c r="EH21" s="1670"/>
      <c r="EI21" s="1670"/>
      <c r="EJ21" s="1670"/>
      <c r="EK21" s="1670"/>
      <c r="EL21" s="1670"/>
      <c r="EM21" s="1670"/>
      <c r="EN21" s="1670"/>
      <c r="EO21" s="1670"/>
      <c r="EP21" s="1670"/>
      <c r="EQ21" s="1670"/>
      <c r="ER21" s="1670"/>
      <c r="ES21" s="1670"/>
      <c r="ET21" s="1670"/>
      <c r="EU21" s="1670"/>
      <c r="EV21" s="1670"/>
      <c r="EW21" s="1670"/>
      <c r="EX21" s="1670"/>
      <c r="EY21" s="1670"/>
      <c r="EZ21" s="1670"/>
      <c r="FA21" s="1670"/>
      <c r="FB21" s="1670"/>
      <c r="FC21" s="1670"/>
      <c r="FD21" s="1670"/>
      <c r="FE21" s="1670"/>
      <c r="FF21" s="1670"/>
      <c r="FG21" s="1670"/>
      <c r="FH21" s="1670"/>
      <c r="FI21" s="1670"/>
      <c r="FJ21" s="1670"/>
      <c r="FK21" s="1670"/>
      <c r="FL21" s="1670"/>
      <c r="FM21" s="1670"/>
      <c r="FN21" s="1670"/>
      <c r="FO21" s="1670"/>
      <c r="FP21" s="1670"/>
      <c r="FQ21" s="1670"/>
      <c r="FR21" s="1670"/>
      <c r="FS21" s="1670"/>
      <c r="FT21" s="1670"/>
      <c r="FU21" s="1670"/>
      <c r="FV21" s="1670"/>
      <c r="FW21" s="1670"/>
      <c r="FX21" s="1670"/>
      <c r="FY21" s="1670"/>
      <c r="FZ21" s="1670"/>
      <c r="GA21" s="1670"/>
      <c r="GB21" s="1670"/>
      <c r="GC21" s="1670"/>
      <c r="GD21" s="1670"/>
      <c r="GE21" s="1670"/>
      <c r="GF21" s="1670"/>
      <c r="GG21" s="1670"/>
      <c r="GH21" s="1670"/>
      <c r="GI21" s="1670"/>
      <c r="GJ21" s="1670"/>
      <c r="GK21" s="1670"/>
      <c r="GL21" s="1670"/>
      <c r="GM21" s="1670"/>
      <c r="GN21" s="1670"/>
      <c r="GO21" s="1670"/>
      <c r="GP21" s="1670"/>
      <c r="GQ21" s="1670"/>
      <c r="GR21" s="1670"/>
      <c r="GS21" s="1670"/>
      <c r="GT21" s="1670"/>
      <c r="GU21" s="1670"/>
      <c r="GV21" s="1670"/>
      <c r="GW21" s="1670"/>
      <c r="GX21" s="1670"/>
      <c r="GY21" s="1670"/>
      <c r="GZ21" s="1670"/>
      <c r="HA21" s="1670"/>
      <c r="HB21" s="1670"/>
      <c r="HC21" s="1670"/>
      <c r="HD21" s="1670"/>
      <c r="HE21" s="1670"/>
      <c r="HF21" s="1670"/>
      <c r="HG21" s="1670"/>
      <c r="HH21" s="1670"/>
      <c r="HI21" s="1670"/>
      <c r="HJ21" s="1670"/>
      <c r="HK21" s="1670"/>
      <c r="HL21" s="1670"/>
      <c r="HM21" s="1670"/>
      <c r="HN21" s="1670"/>
      <c r="HO21" s="1670"/>
      <c r="HP21" s="1670"/>
      <c r="HQ21" s="1670"/>
      <c r="HR21" s="1670"/>
      <c r="HS21" s="1670"/>
      <c r="HT21" s="1670"/>
      <c r="HU21" s="1670"/>
      <c r="HV21" s="1670"/>
    </row>
    <row r="22" spans="1:230" s="1436" customFormat="1" ht="29.25" customHeight="1">
      <c r="A22" s="1678"/>
      <c r="B22" s="1775" t="s">
        <v>142</v>
      </c>
      <c r="C22" s="1701"/>
      <c r="D22" s="1776"/>
      <c r="E22" s="1776"/>
      <c r="F22" s="1701"/>
      <c r="G22" s="1701"/>
      <c r="H22" s="1777"/>
      <c r="I22" s="1712"/>
      <c r="J22" s="1714"/>
      <c r="K22" s="1714"/>
      <c r="L22" s="1778" t="s">
        <v>777</v>
      </c>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c r="AW22" s="1779"/>
      <c r="AX22" s="1779"/>
      <c r="AY22" s="1779"/>
      <c r="AZ22" s="1779"/>
      <c r="BA22" s="1779"/>
      <c r="BB22" s="1779"/>
      <c r="BC22" s="1779"/>
      <c r="BD22" s="1779"/>
      <c r="BE22" s="1779"/>
      <c r="BF22" s="1779"/>
      <c r="BG22" s="1779"/>
      <c r="BH22" s="1779"/>
      <c r="BI22" s="1779"/>
      <c r="BJ22" s="1779"/>
      <c r="BK22" s="1779"/>
      <c r="BL22" s="1779"/>
      <c r="BM22" s="1779"/>
      <c r="BN22" s="1779"/>
      <c r="BO22" s="1779"/>
      <c r="BP22" s="1779"/>
      <c r="BQ22" s="1779"/>
      <c r="BR22" s="1779"/>
      <c r="BS22" s="1779"/>
      <c r="BT22" s="1779"/>
      <c r="BU22" s="1779"/>
      <c r="BV22" s="1779"/>
      <c r="BW22" s="1779"/>
      <c r="BX22" s="1779"/>
      <c r="BY22" s="1780"/>
      <c r="BZ22" s="4905" t="s">
        <v>777</v>
      </c>
      <c r="CA22" s="4906"/>
      <c r="CB22" s="4906"/>
      <c r="CC22" s="4906"/>
      <c r="CD22" s="4906"/>
      <c r="CE22" s="4906"/>
      <c r="CF22" s="4906"/>
      <c r="CG22" s="4906"/>
      <c r="CH22" s="4906"/>
      <c r="CI22" s="4906"/>
      <c r="CJ22" s="4906"/>
      <c r="CK22" s="4906"/>
      <c r="CL22" s="4906"/>
      <c r="CM22" s="4906"/>
      <c r="CN22" s="4906"/>
      <c r="CO22" s="4906"/>
      <c r="CP22" s="4906"/>
      <c r="CQ22" s="4906"/>
      <c r="CR22" s="4906"/>
      <c r="CS22" s="4906"/>
      <c r="CT22" s="4906"/>
      <c r="CU22" s="4906"/>
      <c r="CV22" s="4906"/>
      <c r="CW22" s="4906"/>
      <c r="CX22" s="4906"/>
      <c r="CY22" s="4906"/>
      <c r="CZ22" s="4906"/>
      <c r="DA22" s="4906"/>
      <c r="DB22" s="4906"/>
      <c r="DC22" s="4906"/>
      <c r="DD22" s="4906"/>
      <c r="DE22" s="4906"/>
      <c r="DF22" s="4906"/>
      <c r="DG22" s="4906"/>
      <c r="DH22" s="4906"/>
      <c r="DI22" s="4906"/>
      <c r="DJ22" s="4906"/>
      <c r="DK22" s="4906"/>
      <c r="DL22" s="4906"/>
      <c r="DM22" s="4906"/>
      <c r="DN22" s="4906"/>
      <c r="DO22" s="4906"/>
      <c r="DP22" s="4906"/>
      <c r="DQ22" s="4907"/>
      <c r="DR22" s="1916"/>
      <c r="DS22" s="1903"/>
      <c r="DT22" s="1677"/>
      <c r="DU22" s="1677"/>
      <c r="DV22" s="1677"/>
      <c r="DW22" s="1678"/>
      <c r="DX22" s="1678"/>
      <c r="DY22" s="1678"/>
      <c r="DZ22" s="1678"/>
      <c r="EA22" s="1678"/>
      <c r="EB22" s="1678"/>
      <c r="EC22" s="1678"/>
      <c r="ED22" s="1678"/>
      <c r="EE22" s="1678"/>
      <c r="EF22" s="1678"/>
      <c r="EG22" s="1678"/>
      <c r="EH22" s="1678"/>
      <c r="EI22" s="1678"/>
      <c r="EJ22" s="1678"/>
      <c r="EK22" s="1678"/>
      <c r="EL22" s="1678"/>
      <c r="EM22" s="1678"/>
      <c r="EN22" s="1678"/>
      <c r="EO22" s="1678"/>
      <c r="EP22" s="1678"/>
      <c r="EQ22" s="1678"/>
      <c r="ER22" s="1678"/>
      <c r="ES22" s="1678"/>
      <c r="ET22" s="1678"/>
      <c r="EU22" s="1678"/>
      <c r="EV22" s="1678"/>
      <c r="EW22" s="1678"/>
      <c r="EX22" s="1678"/>
      <c r="EY22" s="1678"/>
      <c r="EZ22" s="1678"/>
      <c r="FA22" s="1678"/>
      <c r="FB22" s="1678"/>
      <c r="FC22" s="1678"/>
      <c r="FD22" s="1678"/>
      <c r="FE22" s="1678"/>
      <c r="FF22" s="1678"/>
      <c r="FG22" s="1678"/>
      <c r="FH22" s="1678"/>
      <c r="FI22" s="1678"/>
      <c r="FJ22" s="1678"/>
      <c r="FK22" s="1678"/>
      <c r="FL22" s="1678"/>
      <c r="FM22" s="1678"/>
      <c r="FN22" s="1678"/>
      <c r="FO22" s="1678"/>
      <c r="FP22" s="1678"/>
      <c r="FQ22" s="1678"/>
      <c r="FR22" s="1678"/>
      <c r="FS22" s="1678"/>
      <c r="FT22" s="1678"/>
      <c r="FU22" s="1678"/>
      <c r="FV22" s="1678"/>
      <c r="FW22" s="1678"/>
      <c r="FX22" s="1678"/>
      <c r="FY22" s="1678"/>
      <c r="FZ22" s="1678"/>
      <c r="GA22" s="1678"/>
      <c r="GB22" s="1678"/>
      <c r="GC22" s="1678"/>
      <c r="GD22" s="1678"/>
      <c r="GE22" s="1678"/>
      <c r="GF22" s="1678"/>
      <c r="GG22" s="1678"/>
      <c r="GH22" s="1678"/>
      <c r="GI22" s="1678"/>
      <c r="GJ22" s="1678"/>
      <c r="GK22" s="1678"/>
      <c r="GL22" s="1678"/>
      <c r="GM22" s="1678"/>
      <c r="GN22" s="1678"/>
      <c r="GO22" s="1678"/>
      <c r="GP22" s="1678"/>
      <c r="GQ22" s="1678"/>
      <c r="GR22" s="1678"/>
      <c r="GS22" s="1678"/>
      <c r="GT22" s="1678"/>
      <c r="GU22" s="1678"/>
      <c r="GV22" s="1678"/>
      <c r="GW22" s="1678"/>
      <c r="GX22" s="1678"/>
      <c r="GY22" s="1678"/>
      <c r="GZ22" s="1678"/>
      <c r="HA22" s="1678"/>
      <c r="HB22" s="1678"/>
      <c r="HC22" s="1678"/>
      <c r="HD22" s="1678"/>
      <c r="HE22" s="1678"/>
      <c r="HF22" s="1678"/>
      <c r="HG22" s="1678"/>
      <c r="HH22" s="1678"/>
      <c r="HI22" s="1678"/>
      <c r="HJ22" s="1678"/>
      <c r="HK22" s="1678"/>
      <c r="HL22" s="1678"/>
      <c r="HM22" s="1678"/>
      <c r="HN22" s="1678"/>
      <c r="HO22" s="1678"/>
      <c r="HP22" s="1678"/>
      <c r="HQ22" s="1678"/>
      <c r="HR22" s="1678"/>
      <c r="HS22" s="1678"/>
      <c r="HT22" s="1678"/>
      <c r="HU22" s="1678"/>
      <c r="HV22" s="1678"/>
    </row>
    <row r="23" spans="1:230" ht="15" hidden="1">
      <c r="A23" s="1670"/>
      <c r="B23" s="1734" t="s">
        <v>142</v>
      </c>
      <c r="C23" s="1781"/>
      <c r="D23" s="1617"/>
      <c r="E23" s="1617"/>
      <c r="F23" s="1617"/>
      <c r="G23" s="1718"/>
      <c r="H23" s="1617"/>
      <c r="I23" s="1782"/>
      <c r="J23" s="1783"/>
      <c r="K23" s="1783"/>
      <c r="L23" s="1766"/>
      <c r="M23" s="1629"/>
      <c r="N23" s="1766"/>
      <c r="O23" s="1766"/>
      <c r="P23" s="1766"/>
      <c r="Q23" s="1766"/>
      <c r="R23" s="1766"/>
      <c r="S23" s="1766"/>
      <c r="T23" s="1766"/>
      <c r="U23" s="1629"/>
      <c r="V23" s="162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c r="AT23" s="1639"/>
      <c r="AU23" s="1639"/>
      <c r="AV23" s="1639"/>
      <c r="AW23" s="1639"/>
      <c r="AX23" s="1639"/>
      <c r="AY23" s="1639"/>
      <c r="AZ23" s="1639"/>
      <c r="BA23" s="1639"/>
      <c r="BB23" s="1639"/>
      <c r="BC23" s="1639"/>
      <c r="BD23" s="1639"/>
      <c r="BE23" s="1639"/>
      <c r="BF23" s="1639"/>
      <c r="BG23" s="1639"/>
      <c r="BH23" s="1639"/>
      <c r="BI23" s="1639"/>
      <c r="BJ23" s="1639"/>
      <c r="BK23" s="1639"/>
      <c r="BL23" s="1639"/>
      <c r="BM23" s="1639"/>
      <c r="BN23" s="1639"/>
      <c r="BO23" s="1639"/>
      <c r="BP23" s="1639"/>
      <c r="BQ23" s="1639"/>
      <c r="BR23" s="1639"/>
      <c r="BS23" s="1639"/>
      <c r="BT23" s="1639"/>
      <c r="BU23" s="1639"/>
      <c r="BV23" s="1639"/>
      <c r="BW23" s="1639"/>
      <c r="BX23" s="1617"/>
      <c r="BY23" s="1617"/>
      <c r="BZ23" s="1772"/>
      <c r="CA23" s="1617"/>
      <c r="CB23" s="1628"/>
      <c r="CC23" s="1628"/>
      <c r="CD23" s="1628"/>
      <c r="CE23" s="1628"/>
      <c r="CF23" s="1628"/>
      <c r="CG23" s="1642"/>
      <c r="CH23" s="1628"/>
      <c r="CI23" s="1768"/>
      <c r="CJ23" s="1768"/>
      <c r="CK23" s="1722"/>
      <c r="CL23" s="1722"/>
      <c r="CM23" s="1617"/>
      <c r="CN23" s="1617"/>
      <c r="CO23" s="1617"/>
      <c r="CP23" s="1722"/>
      <c r="CQ23" s="1617"/>
      <c r="CR23" s="1617"/>
      <c r="CS23" s="1617"/>
      <c r="CT23" s="1722"/>
      <c r="CU23" s="1769"/>
      <c r="CV23" s="1722"/>
      <c r="CW23" s="1774"/>
      <c r="CX23" s="1847"/>
      <c r="CY23" s="1722"/>
      <c r="CZ23" s="1848"/>
      <c r="DA23" s="1722"/>
      <c r="DB23" s="1722"/>
      <c r="DC23" s="1722"/>
      <c r="DD23" s="1722"/>
      <c r="DE23" s="1721"/>
      <c r="DF23" s="1831"/>
      <c r="DG23" s="1803"/>
      <c r="DH23" s="1831"/>
      <c r="DI23" s="1639"/>
      <c r="DJ23" s="1617"/>
      <c r="DK23" s="1617"/>
      <c r="DL23" s="1722"/>
      <c r="DM23" s="1617"/>
      <c r="DN23" s="1723"/>
      <c r="DO23" s="1639"/>
      <c r="DP23" s="1839"/>
      <c r="DQ23" s="1911"/>
      <c r="DR23" s="1669"/>
      <c r="DS23" s="1669"/>
      <c r="DT23" s="1669"/>
      <c r="DU23" s="1669"/>
      <c r="DV23" s="1669"/>
      <c r="DW23" s="1670"/>
      <c r="DX23" s="1670"/>
      <c r="DY23" s="1670"/>
      <c r="DZ23" s="1670"/>
      <c r="EA23" s="1670"/>
      <c r="EB23" s="1670"/>
      <c r="EC23" s="1670"/>
      <c r="ED23" s="1670"/>
      <c r="EE23" s="1670"/>
      <c r="EF23" s="1670"/>
      <c r="EG23" s="1670"/>
      <c r="EH23" s="1670"/>
      <c r="EI23" s="1670"/>
      <c r="EJ23" s="1670"/>
      <c r="EK23" s="1670"/>
      <c r="EL23" s="1670"/>
      <c r="EM23" s="1670"/>
      <c r="EN23" s="1670"/>
      <c r="EO23" s="1670"/>
      <c r="EP23" s="1670"/>
      <c r="EQ23" s="1670"/>
      <c r="ER23" s="1670"/>
      <c r="ES23" s="1670"/>
      <c r="ET23" s="1670"/>
      <c r="EU23" s="1670"/>
      <c r="EV23" s="1670"/>
      <c r="EW23" s="1670"/>
      <c r="EX23" s="1670"/>
      <c r="EY23" s="1670"/>
      <c r="EZ23" s="1670"/>
      <c r="FA23" s="1670"/>
      <c r="FB23" s="1670"/>
      <c r="FC23" s="1670"/>
      <c r="FD23" s="1670"/>
      <c r="FE23" s="1670"/>
      <c r="FF23" s="1670"/>
      <c r="FG23" s="1670"/>
      <c r="FH23" s="1670"/>
      <c r="FI23" s="1670"/>
      <c r="FJ23" s="1670"/>
      <c r="FK23" s="1670"/>
      <c r="FL23" s="1670"/>
      <c r="FM23" s="1670"/>
      <c r="FN23" s="1670"/>
      <c r="FO23" s="1670"/>
      <c r="FP23" s="1670"/>
      <c r="FQ23" s="1670"/>
      <c r="FR23" s="1670"/>
      <c r="FS23" s="1670"/>
      <c r="FT23" s="1670"/>
      <c r="FU23" s="1670"/>
      <c r="FV23" s="1670"/>
      <c r="FW23" s="1670"/>
      <c r="FX23" s="1670"/>
      <c r="FY23" s="1670"/>
      <c r="FZ23" s="1670"/>
      <c r="GA23" s="1670"/>
      <c r="GB23" s="1670"/>
      <c r="GC23" s="1670"/>
      <c r="GD23" s="1670"/>
      <c r="GE23" s="1670"/>
      <c r="GF23" s="1670"/>
      <c r="GG23" s="1670"/>
      <c r="GH23" s="1670"/>
      <c r="GI23" s="1670"/>
      <c r="GJ23" s="1670"/>
      <c r="GK23" s="1670"/>
      <c r="GL23" s="1670"/>
      <c r="GM23" s="1670"/>
      <c r="GN23" s="1670"/>
      <c r="GO23" s="1670"/>
      <c r="GP23" s="1670"/>
      <c r="GQ23" s="1670"/>
      <c r="GR23" s="1670"/>
      <c r="GS23" s="1670"/>
      <c r="GT23" s="1670"/>
      <c r="GU23" s="1670"/>
      <c r="GV23" s="1670"/>
      <c r="GW23" s="1670"/>
      <c r="GX23" s="1670"/>
      <c r="GY23" s="1670"/>
      <c r="GZ23" s="1670"/>
      <c r="HA23" s="1670"/>
      <c r="HB23" s="1670"/>
      <c r="HC23" s="1670"/>
      <c r="HD23" s="1670"/>
      <c r="HE23" s="1670"/>
      <c r="HF23" s="1670"/>
      <c r="HG23" s="1670"/>
      <c r="HH23" s="1670"/>
      <c r="HI23" s="1670"/>
      <c r="HJ23" s="1670"/>
      <c r="HK23" s="1670"/>
      <c r="HL23" s="1670"/>
      <c r="HM23" s="1670"/>
      <c r="HN23" s="1670"/>
      <c r="HO23" s="1670"/>
      <c r="HP23" s="1670"/>
      <c r="HQ23" s="1670"/>
      <c r="HR23" s="1670"/>
      <c r="HS23" s="1670"/>
      <c r="HT23" s="1670"/>
      <c r="HU23" s="1670"/>
      <c r="HV23" s="1670"/>
    </row>
    <row r="24" spans="1:230" ht="21.75" customHeight="1">
      <c r="A24" s="1670"/>
      <c r="B24" s="1784" t="s">
        <v>245</v>
      </c>
      <c r="C24" s="1725">
        <f t="shared" ref="C24:AH24" si="9">SUM(C26:C32)</f>
        <v>91.850000000000009</v>
      </c>
      <c r="D24" s="1725">
        <f t="shared" si="9"/>
        <v>102.92</v>
      </c>
      <c r="E24" s="1725">
        <f t="shared" si="9"/>
        <v>118.66</v>
      </c>
      <c r="F24" s="1725">
        <f t="shared" si="9"/>
        <v>140.78</v>
      </c>
      <c r="G24" s="1725">
        <f t="shared" si="9"/>
        <v>149.26640603183466</v>
      </c>
      <c r="H24" s="1725">
        <f t="shared" si="9"/>
        <v>180.71151297102821</v>
      </c>
      <c r="I24" s="1725" t="e">
        <f t="shared" si="9"/>
        <v>#REF!</v>
      </c>
      <c r="J24" s="1725" t="e">
        <f t="shared" si="9"/>
        <v>#REF!</v>
      </c>
      <c r="K24" s="1785" t="e">
        <f t="shared" si="9"/>
        <v>#REF!</v>
      </c>
      <c r="L24" s="1629" t="e">
        <f t="shared" si="9"/>
        <v>#REF!</v>
      </c>
      <c r="M24" s="1629">
        <f t="shared" si="9"/>
        <v>242.58633418095312</v>
      </c>
      <c r="N24" s="1629">
        <f t="shared" si="9"/>
        <v>244.8829933932945</v>
      </c>
      <c r="O24" s="1629">
        <f t="shared" si="9"/>
        <v>251.75499619239713</v>
      </c>
      <c r="P24" s="1629" t="e">
        <f t="shared" si="9"/>
        <v>#REF!</v>
      </c>
      <c r="Q24" s="1629" t="e">
        <f t="shared" si="9"/>
        <v>#REF!</v>
      </c>
      <c r="R24" s="1641">
        <f t="shared" si="9"/>
        <v>259.03548132452534</v>
      </c>
      <c r="S24" s="1641" t="e">
        <f t="shared" si="9"/>
        <v>#REF!</v>
      </c>
      <c r="T24" s="1641" t="e">
        <f t="shared" si="9"/>
        <v>#REF!</v>
      </c>
      <c r="U24" s="1641" t="e">
        <f t="shared" si="9"/>
        <v>#REF!</v>
      </c>
      <c r="V24" s="1641" t="e">
        <f t="shared" si="9"/>
        <v>#REF!</v>
      </c>
      <c r="W24" s="1641" t="e">
        <f t="shared" si="9"/>
        <v>#REF!</v>
      </c>
      <c r="X24" s="1641" t="e">
        <f t="shared" si="9"/>
        <v>#REF!</v>
      </c>
      <c r="Y24" s="1641" t="e">
        <f t="shared" si="9"/>
        <v>#REF!</v>
      </c>
      <c r="Z24" s="1641" t="e">
        <f t="shared" si="9"/>
        <v>#REF!</v>
      </c>
      <c r="AA24" s="1641" t="e">
        <f t="shared" si="9"/>
        <v>#REF!</v>
      </c>
      <c r="AB24" s="1641" t="e">
        <f t="shared" si="9"/>
        <v>#REF!</v>
      </c>
      <c r="AC24" s="1641" t="e">
        <f t="shared" si="9"/>
        <v>#REF!</v>
      </c>
      <c r="AD24" s="1641" t="e">
        <f t="shared" si="9"/>
        <v>#REF!</v>
      </c>
      <c r="AE24" s="1641" t="e">
        <f t="shared" si="9"/>
        <v>#REF!</v>
      </c>
      <c r="AF24" s="1641" t="e">
        <f t="shared" si="9"/>
        <v>#REF!</v>
      </c>
      <c r="AG24" s="1641" t="e">
        <f t="shared" si="9"/>
        <v>#REF!</v>
      </c>
      <c r="AH24" s="1641" t="e">
        <f t="shared" si="9"/>
        <v>#REF!</v>
      </c>
      <c r="AI24" s="1641" t="e">
        <f t="shared" ref="AI24:BN24" si="10">SUM(AI26:AI32)</f>
        <v>#REF!</v>
      </c>
      <c r="AJ24" s="1641" t="e">
        <f t="shared" si="10"/>
        <v>#REF!</v>
      </c>
      <c r="AK24" s="1641" t="e">
        <f t="shared" si="10"/>
        <v>#REF!</v>
      </c>
      <c r="AL24" s="1641" t="e">
        <f t="shared" si="10"/>
        <v>#REF!</v>
      </c>
      <c r="AM24" s="1641" t="e">
        <f t="shared" si="10"/>
        <v>#REF!</v>
      </c>
      <c r="AN24" s="1641" t="e">
        <f t="shared" si="10"/>
        <v>#REF!</v>
      </c>
      <c r="AO24" s="1641" t="e">
        <f t="shared" si="10"/>
        <v>#REF!</v>
      </c>
      <c r="AP24" s="1641" t="e">
        <f t="shared" si="10"/>
        <v>#REF!</v>
      </c>
      <c r="AQ24" s="1641" t="e">
        <f t="shared" si="10"/>
        <v>#REF!</v>
      </c>
      <c r="AR24" s="1641" t="e">
        <f t="shared" si="10"/>
        <v>#REF!</v>
      </c>
      <c r="AS24" s="1641" t="e">
        <f t="shared" si="10"/>
        <v>#REF!</v>
      </c>
      <c r="AT24" s="1641" t="e">
        <f t="shared" si="10"/>
        <v>#REF!</v>
      </c>
      <c r="AU24" s="1641" t="e">
        <f t="shared" si="10"/>
        <v>#REF!</v>
      </c>
      <c r="AV24" s="1641" t="e">
        <f t="shared" si="10"/>
        <v>#REF!</v>
      </c>
      <c r="AW24" s="1641" t="e">
        <f t="shared" si="10"/>
        <v>#REF!</v>
      </c>
      <c r="AX24" s="1641" t="e">
        <f t="shared" si="10"/>
        <v>#REF!</v>
      </c>
      <c r="AY24" s="1641" t="e">
        <f t="shared" si="10"/>
        <v>#REF!</v>
      </c>
      <c r="AZ24" s="1641" t="e">
        <f t="shared" si="10"/>
        <v>#REF!</v>
      </c>
      <c r="BA24" s="1641" t="e">
        <f t="shared" si="10"/>
        <v>#REF!</v>
      </c>
      <c r="BB24" s="1786" t="e">
        <f t="shared" si="10"/>
        <v>#REF!</v>
      </c>
      <c r="BC24" s="1786" t="e">
        <f t="shared" si="10"/>
        <v>#REF!</v>
      </c>
      <c r="BD24" s="1786" t="e">
        <f t="shared" si="10"/>
        <v>#REF!</v>
      </c>
      <c r="BE24" s="1786" t="e">
        <f t="shared" si="10"/>
        <v>#REF!</v>
      </c>
      <c r="BF24" s="1786" t="e">
        <f t="shared" si="10"/>
        <v>#REF!</v>
      </c>
      <c r="BG24" s="1786" t="e">
        <f t="shared" si="10"/>
        <v>#REF!</v>
      </c>
      <c r="BH24" s="1786" t="e">
        <f t="shared" si="10"/>
        <v>#REF!</v>
      </c>
      <c r="BI24" s="1786" t="e">
        <f t="shared" si="10"/>
        <v>#REF!</v>
      </c>
      <c r="BJ24" s="1786" t="e">
        <f t="shared" si="10"/>
        <v>#REF!</v>
      </c>
      <c r="BK24" s="1786" t="e">
        <f t="shared" si="10"/>
        <v>#REF!</v>
      </c>
      <c r="BL24" s="1786" t="e">
        <f t="shared" si="10"/>
        <v>#REF!</v>
      </c>
      <c r="BM24" s="1786" t="e">
        <f t="shared" si="10"/>
        <v>#REF!</v>
      </c>
      <c r="BN24" s="1786" t="e">
        <f t="shared" si="10"/>
        <v>#REF!</v>
      </c>
      <c r="BO24" s="1786" t="e">
        <f t="shared" ref="BO24:CT24" si="11">SUM(BO26:BO32)</f>
        <v>#REF!</v>
      </c>
      <c r="BP24" s="1786" t="e">
        <f t="shared" si="11"/>
        <v>#REF!</v>
      </c>
      <c r="BQ24" s="1786" t="e">
        <f t="shared" si="11"/>
        <v>#REF!</v>
      </c>
      <c r="BR24" s="1786" t="e">
        <f t="shared" si="11"/>
        <v>#REF!</v>
      </c>
      <c r="BS24" s="1786" t="e">
        <f t="shared" si="11"/>
        <v>#REF!</v>
      </c>
      <c r="BT24" s="1786" t="e">
        <f t="shared" si="11"/>
        <v>#REF!</v>
      </c>
      <c r="BU24" s="1786" t="e">
        <f t="shared" si="11"/>
        <v>#REF!</v>
      </c>
      <c r="BV24" s="1786" t="e">
        <f t="shared" si="11"/>
        <v>#REF!</v>
      </c>
      <c r="BW24" s="1786" t="e">
        <f t="shared" si="11"/>
        <v>#REF!</v>
      </c>
      <c r="BX24" s="1786" t="e">
        <f t="shared" si="11"/>
        <v>#REF!</v>
      </c>
      <c r="BY24" s="1787" t="e">
        <f t="shared" si="11"/>
        <v>#REF!</v>
      </c>
      <c r="BZ24" s="1788" t="e">
        <f t="shared" si="11"/>
        <v>#REF!</v>
      </c>
      <c r="CA24" s="1788" t="e">
        <f t="shared" si="11"/>
        <v>#REF!</v>
      </c>
      <c r="CB24" s="1788" t="e">
        <f t="shared" si="11"/>
        <v>#REF!</v>
      </c>
      <c r="CC24" s="1788" t="e">
        <f t="shared" si="11"/>
        <v>#REF!</v>
      </c>
      <c r="CD24" s="1788" t="e">
        <f t="shared" si="11"/>
        <v>#REF!</v>
      </c>
      <c r="CE24" s="1788" t="e">
        <f t="shared" si="11"/>
        <v>#REF!</v>
      </c>
      <c r="CF24" s="1788" t="e">
        <f t="shared" si="11"/>
        <v>#REF!</v>
      </c>
      <c r="CG24" s="1788" t="e">
        <f t="shared" si="11"/>
        <v>#REF!</v>
      </c>
      <c r="CH24" s="1789" t="e">
        <f t="shared" si="11"/>
        <v>#REF!</v>
      </c>
      <c r="CI24" s="1788" t="e">
        <f t="shared" si="11"/>
        <v>#REF!</v>
      </c>
      <c r="CJ24" s="1788" t="e">
        <f t="shared" si="11"/>
        <v>#REF!</v>
      </c>
      <c r="CK24" s="1790" t="e">
        <f t="shared" si="11"/>
        <v>#REF!</v>
      </c>
      <c r="CL24" s="1790" t="e">
        <f t="shared" si="11"/>
        <v>#REF!</v>
      </c>
      <c r="CM24" s="1788" t="e">
        <f t="shared" si="11"/>
        <v>#REF!</v>
      </c>
      <c r="CN24" s="1788" t="e">
        <f t="shared" si="11"/>
        <v>#REF!</v>
      </c>
      <c r="CO24" s="1789" t="e">
        <f t="shared" si="11"/>
        <v>#REF!</v>
      </c>
      <c r="CP24" s="1788" t="e">
        <f t="shared" si="11"/>
        <v>#REF!</v>
      </c>
      <c r="CQ24" s="1788" t="e">
        <f t="shared" si="11"/>
        <v>#REF!</v>
      </c>
      <c r="CR24" s="1789" t="e">
        <f t="shared" si="11"/>
        <v>#REF!</v>
      </c>
      <c r="CS24" s="1788" t="e">
        <f t="shared" si="11"/>
        <v>#REF!</v>
      </c>
      <c r="CT24" s="1790" t="e">
        <f t="shared" si="11"/>
        <v>#REF!</v>
      </c>
      <c r="CU24" s="1789" t="e">
        <f t="shared" ref="CU24:DA24" si="12">SUM(CU26:CU32)</f>
        <v>#REF!</v>
      </c>
      <c r="CV24" s="1789" t="e">
        <f t="shared" si="12"/>
        <v>#REF!</v>
      </c>
      <c r="CW24" s="1789" t="e">
        <f t="shared" si="12"/>
        <v>#REF!</v>
      </c>
      <c r="CX24" s="1853" t="e">
        <f t="shared" si="12"/>
        <v>#REF!</v>
      </c>
      <c r="CY24" s="1854" t="e">
        <f t="shared" si="12"/>
        <v>#REF!</v>
      </c>
      <c r="CZ24" s="1854" t="e">
        <f t="shared" si="12"/>
        <v>#REF!</v>
      </c>
      <c r="DA24" s="1854" t="e">
        <f t="shared" si="12"/>
        <v>#REF!</v>
      </c>
      <c r="DB24" s="1854" t="e">
        <f t="shared" ref="DB24:DQ24" si="13">SUM(DB26:DB38)</f>
        <v>#REF!</v>
      </c>
      <c r="DC24" s="1854" t="e">
        <f t="shared" si="13"/>
        <v>#REF!</v>
      </c>
      <c r="DD24" s="1854" t="e">
        <f>SUM(DD26:DD38)</f>
        <v>#REF!</v>
      </c>
      <c r="DE24" s="1854" t="e">
        <f t="shared" si="13"/>
        <v>#REF!</v>
      </c>
      <c r="DF24" s="1854" t="e">
        <f t="shared" si="13"/>
        <v>#REF!</v>
      </c>
      <c r="DG24" s="1854" t="e">
        <f t="shared" si="13"/>
        <v>#REF!</v>
      </c>
      <c r="DH24" s="1854" t="e">
        <f t="shared" si="13"/>
        <v>#REF!</v>
      </c>
      <c r="DI24" s="1854" t="e">
        <f t="shared" si="13"/>
        <v>#REF!</v>
      </c>
      <c r="DJ24" s="1854" t="e">
        <f>SUM(DJ26:DJ38)</f>
        <v>#REF!</v>
      </c>
      <c r="DK24" s="1854" t="e">
        <f t="shared" si="13"/>
        <v>#REF!</v>
      </c>
      <c r="DL24" s="1854" t="e">
        <f t="shared" si="13"/>
        <v>#REF!</v>
      </c>
      <c r="DM24" s="1854" t="e">
        <f t="shared" si="13"/>
        <v>#REF!</v>
      </c>
      <c r="DN24" s="1854" t="e">
        <f t="shared" si="13"/>
        <v>#REF!</v>
      </c>
      <c r="DO24" s="1854" t="e">
        <f t="shared" si="13"/>
        <v>#REF!</v>
      </c>
      <c r="DP24" s="1920" t="e">
        <f t="shared" si="13"/>
        <v>#REF!</v>
      </c>
      <c r="DQ24" s="1920" t="e">
        <f t="shared" si="13"/>
        <v>#REF!</v>
      </c>
      <c r="DR24" s="1669"/>
      <c r="DS24" s="1669"/>
      <c r="DT24" s="1669"/>
      <c r="DU24" s="1669"/>
      <c r="DV24" s="1669"/>
      <c r="DW24" s="1670"/>
      <c r="DX24" s="1670"/>
      <c r="DY24" s="1670"/>
      <c r="DZ24" s="1670"/>
      <c r="EA24" s="1670"/>
      <c r="EB24" s="1670"/>
      <c r="EC24" s="1670"/>
      <c r="ED24" s="1670"/>
      <c r="EE24" s="1670"/>
      <c r="EF24" s="1670"/>
      <c r="EG24" s="1670"/>
      <c r="EH24" s="1670"/>
      <c r="EI24" s="1670"/>
      <c r="EJ24" s="1670"/>
      <c r="EK24" s="1670"/>
      <c r="EL24" s="1670"/>
      <c r="EM24" s="1670"/>
      <c r="EN24" s="1670"/>
      <c r="EO24" s="1670"/>
      <c r="EP24" s="1670"/>
      <c r="EQ24" s="1670"/>
      <c r="ER24" s="1670"/>
      <c r="ES24" s="1670"/>
      <c r="ET24" s="1670"/>
      <c r="EU24" s="1670"/>
      <c r="EV24" s="1670"/>
      <c r="EW24" s="1670"/>
      <c r="EX24" s="1670"/>
      <c r="EY24" s="1670"/>
      <c r="EZ24" s="1670"/>
      <c r="FA24" s="1670"/>
      <c r="FB24" s="1670"/>
      <c r="FC24" s="1670"/>
      <c r="FD24" s="1670"/>
      <c r="FE24" s="1670"/>
      <c r="FF24" s="1670"/>
      <c r="FG24" s="1670"/>
      <c r="FH24" s="1670"/>
      <c r="FI24" s="1670"/>
      <c r="FJ24" s="1670"/>
      <c r="FK24" s="1670"/>
      <c r="FL24" s="1670"/>
      <c r="FM24" s="1670"/>
      <c r="FN24" s="1670"/>
      <c r="FO24" s="1670"/>
      <c r="FP24" s="1670"/>
      <c r="FQ24" s="1670"/>
      <c r="FR24" s="1670"/>
      <c r="FS24" s="1670"/>
      <c r="FT24" s="1670"/>
      <c r="FU24" s="1670"/>
      <c r="FV24" s="1670"/>
      <c r="FW24" s="1670"/>
      <c r="FX24" s="1670"/>
      <c r="FY24" s="1670"/>
      <c r="FZ24" s="1670"/>
      <c r="GA24" s="1670"/>
      <c r="GB24" s="1670"/>
      <c r="GC24" s="1670"/>
      <c r="GD24" s="1670"/>
      <c r="GE24" s="1670"/>
      <c r="GF24" s="1670"/>
      <c r="GG24" s="1670"/>
      <c r="GH24" s="1670"/>
      <c r="GI24" s="1670"/>
      <c r="GJ24" s="1670"/>
      <c r="GK24" s="1670"/>
      <c r="GL24" s="1670"/>
      <c r="GM24" s="1670"/>
      <c r="GN24" s="1670"/>
      <c r="GO24" s="1670"/>
      <c r="GP24" s="1670"/>
      <c r="GQ24" s="1670"/>
      <c r="GR24" s="1670"/>
      <c r="GS24" s="1670"/>
      <c r="GT24" s="1670"/>
      <c r="GU24" s="1670"/>
      <c r="GV24" s="1670"/>
      <c r="GW24" s="1670"/>
      <c r="GX24" s="1670"/>
      <c r="GY24" s="1670"/>
      <c r="GZ24" s="1670"/>
      <c r="HA24" s="1670"/>
      <c r="HB24" s="1670"/>
      <c r="HC24" s="1670"/>
      <c r="HD24" s="1670"/>
      <c r="HE24" s="1670"/>
      <c r="HF24" s="1670"/>
      <c r="HG24" s="1670"/>
      <c r="HH24" s="1670"/>
      <c r="HI24" s="1670"/>
      <c r="HJ24" s="1670"/>
      <c r="HK24" s="1670"/>
      <c r="HL24" s="1670"/>
      <c r="HM24" s="1670"/>
      <c r="HN24" s="1670"/>
      <c r="HO24" s="1670"/>
      <c r="HP24" s="1670"/>
      <c r="HQ24" s="1670"/>
      <c r="HR24" s="1670"/>
      <c r="HS24" s="1670"/>
      <c r="HT24" s="1670"/>
      <c r="HU24" s="1670"/>
      <c r="HV24" s="1670"/>
    </row>
    <row r="25" spans="1:230" ht="15">
      <c r="A25" s="1670"/>
      <c r="B25" s="1708" t="s">
        <v>142</v>
      </c>
      <c r="C25" s="1735"/>
      <c r="D25" s="1735"/>
      <c r="E25" s="1735"/>
      <c r="F25" s="1736"/>
      <c r="G25" s="1791"/>
      <c r="H25" s="1792"/>
      <c r="I25" s="1793"/>
      <c r="J25" s="1793"/>
      <c r="K25" s="1739"/>
      <c r="L25" s="1629"/>
      <c r="M25" s="1629"/>
      <c r="N25" s="1629"/>
      <c r="O25" s="1629"/>
      <c r="P25" s="1629"/>
      <c r="Q25" s="1629"/>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0"/>
      <c r="AX25" s="1640"/>
      <c r="AY25" s="1640"/>
      <c r="AZ25" s="1640"/>
      <c r="BA25" s="1640"/>
      <c r="BB25" s="1640"/>
      <c r="BC25" s="1640"/>
      <c r="BD25" s="1640"/>
      <c r="BE25" s="1640"/>
      <c r="BF25" s="1640"/>
      <c r="BG25" s="1640"/>
      <c r="BH25" s="1639"/>
      <c r="BI25" s="1639"/>
      <c r="BJ25" s="1639"/>
      <c r="BK25" s="1639"/>
      <c r="BL25" s="1639"/>
      <c r="BM25" s="1639"/>
      <c r="BN25" s="1639"/>
      <c r="BO25" s="1639"/>
      <c r="BP25" s="1639"/>
      <c r="BQ25" s="1639"/>
      <c r="BR25" s="1639"/>
      <c r="BS25" s="1639"/>
      <c r="BT25" s="1639"/>
      <c r="BU25" s="1639"/>
      <c r="BV25" s="1639"/>
      <c r="BW25" s="1639"/>
      <c r="BX25" s="1639"/>
      <c r="BY25" s="1720"/>
      <c r="BZ25" s="1795"/>
      <c r="CA25" s="1794"/>
      <c r="CB25" s="1795"/>
      <c r="CC25" s="1795"/>
      <c r="CD25" s="1795"/>
      <c r="CE25" s="1795"/>
      <c r="CF25" s="1795"/>
      <c r="CG25" s="1796"/>
      <c r="CH25" s="1742"/>
      <c r="CI25" s="1795"/>
      <c r="CJ25" s="1795"/>
      <c r="CK25" s="1797"/>
      <c r="CL25" s="1797"/>
      <c r="CM25" s="1794"/>
      <c r="CN25" s="1794"/>
      <c r="CO25" s="1707"/>
      <c r="CP25" s="1794"/>
      <c r="CQ25" s="1794"/>
      <c r="CR25" s="1707"/>
      <c r="CS25" s="1794"/>
      <c r="CT25" s="1797"/>
      <c r="CU25" s="1798"/>
      <c r="CV25" s="1794"/>
      <c r="CW25" s="1845"/>
      <c r="CX25" s="1859"/>
      <c r="CY25" s="1707"/>
      <c r="CZ25" s="1707"/>
      <c r="DA25" s="1707"/>
      <c r="DB25" s="1707"/>
      <c r="DC25" s="1707"/>
      <c r="DD25" s="1707"/>
      <c r="DE25" s="1707"/>
      <c r="DF25" s="1707"/>
      <c r="DG25" s="1707"/>
      <c r="DH25" s="1707"/>
      <c r="DI25" s="1707"/>
      <c r="DJ25" s="1707"/>
      <c r="DK25" s="1707"/>
      <c r="DL25" s="1843"/>
      <c r="DM25" s="1843"/>
      <c r="DN25" s="1843"/>
      <c r="DO25" s="1843"/>
      <c r="DP25" s="1911"/>
      <c r="DQ25" s="1911"/>
      <c r="DR25" s="1669"/>
      <c r="DS25" s="1669"/>
      <c r="DT25" s="1669"/>
      <c r="DU25" s="1669"/>
      <c r="DV25" s="1669"/>
      <c r="DW25" s="1670"/>
      <c r="DX25" s="1670"/>
      <c r="DY25" s="1670"/>
      <c r="DZ25" s="1670"/>
      <c r="EA25" s="1670"/>
      <c r="EB25" s="1670"/>
      <c r="EC25" s="1670"/>
      <c r="ED25" s="1670"/>
      <c r="EE25" s="1670"/>
      <c r="EF25" s="1670"/>
      <c r="EG25" s="1670"/>
      <c r="EH25" s="1670"/>
      <c r="EI25" s="1670"/>
      <c r="EJ25" s="1670"/>
      <c r="EK25" s="1670"/>
      <c r="EL25" s="1670"/>
      <c r="EM25" s="1670"/>
      <c r="EN25" s="1670"/>
      <c r="EO25" s="1670"/>
      <c r="EP25" s="1670"/>
      <c r="EQ25" s="1670"/>
      <c r="ER25" s="1670"/>
      <c r="ES25" s="1670"/>
      <c r="ET25" s="1670"/>
      <c r="EU25" s="1670"/>
      <c r="EV25" s="1670"/>
      <c r="EW25" s="1670"/>
      <c r="EX25" s="1670"/>
      <c r="EY25" s="1670"/>
      <c r="EZ25" s="1670"/>
      <c r="FA25" s="1670"/>
      <c r="FB25" s="1670"/>
      <c r="FC25" s="1670"/>
      <c r="FD25" s="1670"/>
      <c r="FE25" s="1670"/>
      <c r="FF25" s="1670"/>
      <c r="FG25" s="1670"/>
      <c r="FH25" s="1670"/>
      <c r="FI25" s="1670"/>
      <c r="FJ25" s="1670"/>
      <c r="FK25" s="1670"/>
      <c r="FL25" s="1670"/>
      <c r="FM25" s="1670"/>
      <c r="FN25" s="1670"/>
      <c r="FO25" s="1670"/>
      <c r="FP25" s="1670"/>
      <c r="FQ25" s="1670"/>
      <c r="FR25" s="1670"/>
      <c r="FS25" s="1670"/>
      <c r="FT25" s="1670"/>
      <c r="FU25" s="1670"/>
      <c r="FV25" s="1670"/>
      <c r="FW25" s="1670"/>
      <c r="FX25" s="1670"/>
      <c r="FY25" s="1670"/>
      <c r="FZ25" s="1670"/>
      <c r="GA25" s="1670"/>
      <c r="GB25" s="1670"/>
      <c r="GC25" s="1670"/>
      <c r="GD25" s="1670"/>
      <c r="GE25" s="1670"/>
      <c r="GF25" s="1670"/>
      <c r="GG25" s="1670"/>
      <c r="GH25" s="1670"/>
      <c r="GI25" s="1670"/>
      <c r="GJ25" s="1670"/>
      <c r="GK25" s="1670"/>
      <c r="GL25" s="1670"/>
      <c r="GM25" s="1670"/>
      <c r="GN25" s="1670"/>
      <c r="GO25" s="1670"/>
      <c r="GP25" s="1670"/>
      <c r="GQ25" s="1670"/>
      <c r="GR25" s="1670"/>
      <c r="GS25" s="1670"/>
      <c r="GT25" s="1670"/>
      <c r="GU25" s="1670"/>
      <c r="GV25" s="1670"/>
      <c r="GW25" s="1670"/>
      <c r="GX25" s="1670"/>
      <c r="GY25" s="1670"/>
      <c r="GZ25" s="1670"/>
      <c r="HA25" s="1670"/>
      <c r="HB25" s="1670"/>
      <c r="HC25" s="1670"/>
      <c r="HD25" s="1670"/>
      <c r="HE25" s="1670"/>
      <c r="HF25" s="1670"/>
      <c r="HG25" s="1670"/>
      <c r="HH25" s="1670"/>
      <c r="HI25" s="1670"/>
      <c r="HJ25" s="1670"/>
      <c r="HK25" s="1670"/>
      <c r="HL25" s="1670"/>
      <c r="HM25" s="1670"/>
      <c r="HN25" s="1670"/>
      <c r="HO25" s="1670"/>
      <c r="HP25" s="1670"/>
      <c r="HQ25" s="1670"/>
      <c r="HR25" s="1670"/>
      <c r="HS25" s="1670"/>
      <c r="HT25" s="1670"/>
      <c r="HU25" s="1670"/>
      <c r="HV25" s="1670"/>
    </row>
    <row r="26" spans="1:230" ht="15">
      <c r="A26" s="1670"/>
      <c r="B26" s="1801" t="s">
        <v>1439</v>
      </c>
      <c r="C26" s="1619">
        <v>87.48</v>
      </c>
      <c r="D26" s="1619">
        <v>98.69</v>
      </c>
      <c r="E26" s="1619">
        <v>114.39</v>
      </c>
      <c r="F26" s="1619">
        <v>135.47</v>
      </c>
      <c r="G26" s="1791">
        <f>5067.65/[19]ExRate!Q18</f>
        <v>141.51493996090477</v>
      </c>
      <c r="H26" s="1792">
        <f>7374.9/[19]ExRate!R18</f>
        <v>174.56210944896799</v>
      </c>
      <c r="I26" s="1793" t="e">
        <f>8344.98/#REF!</f>
        <v>#REF!</v>
      </c>
      <c r="J26" s="1793" t="e">
        <f>8834.66/#REF!</f>
        <v>#REF!</v>
      </c>
      <c r="K26" s="1739" t="e">
        <f>(8958.7-210.68)/#REF!</f>
        <v>#REF!</v>
      </c>
      <c r="L26" s="1629" t="e">
        <f>9919.96/#REF!</f>
        <v>#REF!</v>
      </c>
      <c r="M26" s="1629">
        <f>9965.39/[20]ExRate!V19</f>
        <v>204.35956853416451</v>
      </c>
      <c r="N26" s="1629">
        <f>10008.42/[21]ExRate!V20</f>
        <v>205.98966801819415</v>
      </c>
      <c r="O26" s="1629">
        <f>10290.34/[21]ExRate!V20</f>
        <v>211.79204313911129</v>
      </c>
      <c r="P26" s="1629" t="e">
        <f>10190.41/#REF!</f>
        <v>#REF!</v>
      </c>
      <c r="Q26" s="1629" t="e">
        <f>10336.85/#REF!</f>
        <v>#REF!</v>
      </c>
      <c r="R26" s="1641">
        <f>10829.79/[22]ExRate!V24</f>
        <v>224.97382525239937</v>
      </c>
      <c r="S26" s="1641" t="e">
        <f>11149.86/#REF!</f>
        <v>#REF!</v>
      </c>
      <c r="T26" s="1641" t="e">
        <f>11106.61/#REF!</f>
        <v>#REF!</v>
      </c>
      <c r="U26" s="1641" t="e">
        <f>11118.03/#REF!</f>
        <v>#REF!</v>
      </c>
      <c r="V26" s="1641" t="e">
        <f>11094.31/#REF!</f>
        <v>#REF!</v>
      </c>
      <c r="W26" s="1641" t="e">
        <f>11449.85/#REF!</f>
        <v>#REF!</v>
      </c>
      <c r="X26" s="1641" t="e">
        <f>11428.3/#REF!</f>
        <v>#REF!</v>
      </c>
      <c r="Y26" s="1641" t="e">
        <f>11345.72/#REF!</f>
        <v>#REF!</v>
      </c>
      <c r="Z26" s="1641" t="e">
        <f>11422.18/#REF!</f>
        <v>#REF!</v>
      </c>
      <c r="AA26" s="1641" t="e">
        <f>11369.31/#REF!</f>
        <v>#REF!</v>
      </c>
      <c r="AB26" s="1641" t="e">
        <f>10674.62/#REF!</f>
        <v>#REF!</v>
      </c>
      <c r="AC26" s="1641" t="e">
        <f>10935.97/#REF!</f>
        <v>#REF!</v>
      </c>
      <c r="AD26" s="1641" t="e">
        <f>10827.5/#REF!</f>
        <v>#REF!</v>
      </c>
      <c r="AE26" s="1641" t="e">
        <f>11096.14/#REF!</f>
        <v>#REF!</v>
      </c>
      <c r="AF26" s="1641" t="e">
        <f>10926.75/#REF!</f>
        <v>#REF!</v>
      </c>
      <c r="AG26" s="1641" t="e">
        <f>10959.4/#REF!</f>
        <v>#REF!</v>
      </c>
      <c r="AH26" s="1641" t="e">
        <f>10709.7/#REF!</f>
        <v>#REF!</v>
      </c>
      <c r="AI26" s="1641" t="e">
        <f>11929.94/#REF!</f>
        <v>#REF!</v>
      </c>
      <c r="AJ26" s="1641" t="e">
        <f>11333.51/#REF!</f>
        <v>#REF!</v>
      </c>
      <c r="AK26" s="1641" t="e">
        <f>11486.55/#REF!</f>
        <v>#REF!</v>
      </c>
      <c r="AL26" s="1641" t="e">
        <f>11708.08/#REF!</f>
        <v>#REF!</v>
      </c>
      <c r="AM26" s="1641" t="e">
        <f>11724.07/#REF!</f>
        <v>#REF!</v>
      </c>
      <c r="AN26" s="1641" t="e">
        <f>10787.44/#REF!</f>
        <v>#REF!</v>
      </c>
      <c r="AO26" s="1641" t="e">
        <f>10293.19/#REF!</f>
        <v>#REF!</v>
      </c>
      <c r="AP26" s="1641" t="e">
        <f>10250.14/#REF!</f>
        <v>#REF!</v>
      </c>
      <c r="AQ26" s="1641" t="e">
        <f>10243.13/#REF!</f>
        <v>#REF!</v>
      </c>
      <c r="AR26" s="1641" t="e">
        <f>12369.39/#REF!</f>
        <v>#REF!</v>
      </c>
      <c r="AS26" s="1641" t="e">
        <f>12566.79/#REF!</f>
        <v>#REF!</v>
      </c>
      <c r="AT26" s="1641" t="e">
        <f>12710.26/#REF!</f>
        <v>#REF!</v>
      </c>
      <c r="AU26" s="1641" t="e">
        <f>'[11]RMA Assets'!$E$42/#REF!</f>
        <v>#REF!</v>
      </c>
      <c r="AV26" s="1641" t="e">
        <f>('[11]RMA Assets'!$E43+'[11]RMA Assets'!$G43)/#REF!</f>
        <v>#REF!</v>
      </c>
      <c r="AW26" s="1641" t="e">
        <f>('[11]RMA Assets'!$E44+'[11]RMA Assets'!$G44)/#REF!</f>
        <v>#REF!</v>
      </c>
      <c r="AX26" s="1641" t="e">
        <f>('[11]RMA Assets'!$E45+'[11]RMA Assets'!$G45)/#REF!</f>
        <v>#REF!</v>
      </c>
      <c r="AY26" s="1641" t="e">
        <f>('[11]RMA Assets'!$E46+'[11]RMA Assets'!$G46)/#REF!</f>
        <v>#REF!</v>
      </c>
      <c r="AZ26" s="1641" t="e">
        <f>('[11]RMA Assets'!$E47+'[11]RMA Assets'!$G47)/#REF!</f>
        <v>#REF!</v>
      </c>
      <c r="BA26" s="1641" t="e">
        <f>('[11]RMA Assets'!$E48+'[11]RMA Assets'!$G48)/#REF!</f>
        <v>#REF!</v>
      </c>
      <c r="BB26" s="1641" t="e">
        <f>('[11]RMA Assets'!$E49+'[11]RMA Assets'!$G49)/#REF!</f>
        <v>#REF!</v>
      </c>
      <c r="BC26" s="1641" t="e">
        <f>('[11]RMA Assets'!$E50+'[11]RMA Assets'!$G50)/#REF!</f>
        <v>#REF!</v>
      </c>
      <c r="BD26" s="1641" t="e">
        <f>('[11]RMA Assets'!$E51+'[11]RMA Assets'!$G51)/#REF!</f>
        <v>#REF!</v>
      </c>
      <c r="BE26" s="1641" t="e">
        <f>('[11]RMA Assets'!$E52+'[11]RMA Assets'!$G52)/#REF!</f>
        <v>#REF!</v>
      </c>
      <c r="BF26" s="1641" t="e">
        <f>('[11]RMA Assets'!$E53+'[11]RMA Assets'!$G53)/#REF!</f>
        <v>#REF!</v>
      </c>
      <c r="BG26" s="1641" t="e">
        <f>('[11]RMA Assets'!$E54+'[11]RMA Assets'!$G54)/#REF!</f>
        <v>#REF!</v>
      </c>
      <c r="BH26" s="1641" t="e">
        <f>('[11]RMA Assets'!$E55+'[11]RMA Assets'!$G55)/#REF!</f>
        <v>#REF!</v>
      </c>
      <c r="BI26" s="1641" t="e">
        <f>('[11]RMA Assets'!$E56+'[11]RMA Assets'!$G56)/#REF!</f>
        <v>#REF!</v>
      </c>
      <c r="BJ26" s="1641" t="e">
        <f>('[11]RMA Assets'!$E57+'[11]RMA Assets'!$G57)/#REF!</f>
        <v>#REF!</v>
      </c>
      <c r="BK26" s="1641" t="e">
        <f>('[11]RMA Assets'!$E58+'[11]RMA Assets'!$G58)/#REF!</f>
        <v>#REF!</v>
      </c>
      <c r="BL26" s="1641" t="e">
        <f>('[11]RMA Assets'!$E59+'[11]RMA Assets'!$G59)/#REF!</f>
        <v>#REF!</v>
      </c>
      <c r="BM26" s="1641" t="e">
        <f>('[11]RMA Assets'!$E60+'[11]RMA Assets'!$G60)/#REF!</f>
        <v>#REF!</v>
      </c>
      <c r="BN26" s="1641" t="e">
        <f>('[11]RMA Assets'!$E61+'[11]RMA Assets'!$G61)/#REF!</f>
        <v>#REF!</v>
      </c>
      <c r="BO26" s="1641" t="e">
        <f>('[11]RMA Assets'!$E62+'[11]RMA Assets'!$G62)/#REF!</f>
        <v>#REF!</v>
      </c>
      <c r="BP26" s="1641" t="e">
        <f>('[11]RMA Assets'!$E63+'[11]RMA Assets'!$G63)/#REF!</f>
        <v>#REF!</v>
      </c>
      <c r="BQ26" s="1641" t="e">
        <f>('[11]RMA Assets'!$E64+'[11]RMA Assets'!$G64)/#REF!</f>
        <v>#REF!</v>
      </c>
      <c r="BR26" s="1641" t="e">
        <f>('[11]RMA Assets'!$E65+'[11]RMA Assets'!$G65)/#REF!</f>
        <v>#REF!</v>
      </c>
      <c r="BS26" s="1641" t="e">
        <f>('[11]RMA Assets'!$E66+'[11]RMA Assets'!$G66)/#REF!</f>
        <v>#REF!</v>
      </c>
      <c r="BT26" s="1641" t="e">
        <f>('[11]RMA Assets'!$E67+'[11]RMA Assets'!$G67)/#REF!</f>
        <v>#REF!</v>
      </c>
      <c r="BU26" s="1641" t="e">
        <f>('[11]RMA Assets'!$E68+'[11]RMA Assets'!$G68-'[23]July 31,2007'!$I$242)/#REF!</f>
        <v>#REF!</v>
      </c>
      <c r="BV26" s="1641" t="e">
        <f>('[11]RMA Assets'!$E69+'[11]RMA Assets'!$G69-'[24]Aug 30,2007'!$I$255)/#REF!</f>
        <v>#REF!</v>
      </c>
      <c r="BW26" s="1641" t="e">
        <f>('[11]RMA Assets'!$E70+'[11]RMA Assets'!$G70-'[25]Sep 30.2007'!$I$254)/#REF!</f>
        <v>#REF!</v>
      </c>
      <c r="BX26" s="1641" t="e">
        <f>('[11]RMA Assets'!$E71+'[11]RMA Assets'!$G71-'[26]Oct 31,2007'!$I$257)/#REF!</f>
        <v>#REF!</v>
      </c>
      <c r="BY26" s="1617" t="e">
        <f>('[11]RMA Assets'!$E72+'[11]RMA Assets'!$G72-'[27]Nov 30,2007'!$I$268)/#REF!</f>
        <v>#REF!</v>
      </c>
      <c r="BZ26" s="1906" t="e">
        <f>('[11]RMA Assets'!$E73+'[11]RMA Assets'!$G73-'[28]Dec 31,2007'!$I$257)/#REF!</f>
        <v>#REF!</v>
      </c>
      <c r="CA26" s="1802" t="e">
        <f>('[11]RMA Assets'!$E74+'[11]RMA Assets'!$G74-'[29]Jan 31,2008'!$I$257)/#REF!</f>
        <v>#REF!</v>
      </c>
      <c r="CB26" s="1802" t="e">
        <f>('[11]RMA Assets'!$E75+'[11]RMA Assets'!$G75-'[30]Feb 28,2011'!$I$249)/#REF!</f>
        <v>#REF!</v>
      </c>
      <c r="CC26" s="1802" t="e">
        <f>('[11]RMA Assets'!$E76+'[11]RMA Assets'!$G76-'[31]Mar 31,2008'!$I$253)/#REF!</f>
        <v>#REF!</v>
      </c>
      <c r="CD26" s="1802" t="e">
        <f>('[11]RMA Assets'!$E77+'[11]RMA Assets'!$G77-'[32]Apr 31,2008'!$I$253)/#REF!</f>
        <v>#REF!</v>
      </c>
      <c r="CE26" s="1802" t="e">
        <f>('[11]RMA Assets'!$E78+'[11]RMA Assets'!$G78-'[33]May 31,2008'!$I$252)/#REF!</f>
        <v>#REF!</v>
      </c>
      <c r="CF26" s="1802" t="e">
        <f>('[11]RMA Assets'!$E79+'[11]RMA Assets'!$G79-'[34]June 30,2008'!$I$267)/#REF!</f>
        <v>#REF!</v>
      </c>
      <c r="CG26" s="1802" t="e">
        <f>('[11]RMA Assets'!$E80+'[11]RMA Assets'!$G80-'[35]Jul 31,2008'!$I$251)/#REF!</f>
        <v>#REF!</v>
      </c>
      <c r="CH26" s="1802" t="e">
        <f>('[11]RMA Assets'!$E81+'[11]RMA Assets'!$G81-'[36]Aug 31,2008'!$I$265)/#REF!</f>
        <v>#REF!</v>
      </c>
      <c r="CI26" s="1802" t="e">
        <f>('[11]RMA Assets'!$E82+'[11]RMA Assets'!$G82-'[37]Sept 31,2008'!$I$267)/#REF!</f>
        <v>#REF!</v>
      </c>
      <c r="CJ26" s="1802" t="e">
        <f>('[11]RMA Assets'!$E83+'[11]RMA Assets'!$G83-'[38]Oct 31, 2008'!$I$269)/#REF!</f>
        <v>#REF!</v>
      </c>
      <c r="CK26" s="1802" t="e">
        <f>('[11]RMA Assets'!$E84+'[11]RMA Assets'!$G84-'[39]Nov 30 ,2008'!$I$278)/#REF!</f>
        <v>#REF!</v>
      </c>
      <c r="CL26" s="1802" t="e">
        <f>('[11]RMA Assets'!$E$85+'[11]RMA Assets'!$G$85-'[40]Dec 31, 2008'!$I$271)/#REF!</f>
        <v>#REF!</v>
      </c>
      <c r="CM26" s="1802" t="e">
        <f>('[11]RMA Assets'!$E86+'[11]RMA Assets'!$G86-'[41]January 31,2009'!$I$270)/#REF!</f>
        <v>#REF!</v>
      </c>
      <c r="CN26" s="1802" t="e">
        <f>('[11]RMA Assets'!$E87+'[11]RMA Assets'!$G87-'[42]February 28,2009'!$I$270)/#REF!</f>
        <v>#REF!</v>
      </c>
      <c r="CO26" s="1802" t="e">
        <f>('[11]RMA Assets'!$E88+'[11]RMA Assets'!$G88-'[43]March 31,2009'!$I$277)/#REF!</f>
        <v>#REF!</v>
      </c>
      <c r="CP26" s="1802" t="e">
        <f>('[11]RMA Assets'!$E89+'[11]RMA Assets'!$G89-'[44]April 30,2009'!$I$268)/#REF!</f>
        <v>#REF!</v>
      </c>
      <c r="CQ26" s="1802" t="e">
        <f>('[11]RMA Assets'!$E90+'[11]RMA Assets'!$G90-'[45]May 31, 2009'!$I$267)/#REF!</f>
        <v>#REF!</v>
      </c>
      <c r="CR26" s="1617" t="e">
        <f>('[11]RMA Assets'!$E91+'[11]RMA Assets'!$G91-'[46]June 30,2009'!$I$274)/#REF!</f>
        <v>#REF!</v>
      </c>
      <c r="CS26" s="1802" t="e">
        <f>('[11]RMA Assets'!$E92+'[11]RMA Assets'!$G92-'[47]July 30,2009'!$I$265)/#REF!</f>
        <v>#REF!</v>
      </c>
      <c r="CT26" s="1796" t="e">
        <f>('[11]RMA Assets'!$E93+'[11]RMA Assets'!$G93-'[48]August 31,2009'!$I$265)/#REF!</f>
        <v>#REF!</v>
      </c>
      <c r="CU26" s="1617" t="e">
        <f>('[11]RMA Assets'!$E94+'[11]RMA Assets'!$G94-'[49]September 30,2009'!$I$269)/#REF!</f>
        <v>#REF!</v>
      </c>
      <c r="CV26" s="1802" t="e">
        <f>('[11]RMA Assets'!$E95+'[11]RMA Assets'!$G95-'[50]October 31,2009'!$I$271)/#REF!</f>
        <v>#REF!</v>
      </c>
      <c r="CW26" s="1846" t="e">
        <f>('[11]RMA Assets'!$E96+'[11]RMA Assets'!$G96-'[51]November 30,2009'!$I$271)/#REF!</f>
        <v>#REF!</v>
      </c>
      <c r="CX26" s="1860" t="e">
        <f>('[11]RMA Assets'!$E97+'[11]RMA Assets'!$G97-'[52]December 31,2009'!$I$275)/#REF!</f>
        <v>#REF!</v>
      </c>
      <c r="CY26" s="1742" t="e">
        <f>('[11]RMA Assets'!$E98+'[11]RMA Assets'!$G98-'[53]January 31,2010'!$I$273)/#REF!</f>
        <v>#REF!</v>
      </c>
      <c r="CZ26" s="1742" t="e">
        <f>('[11]RMA Assets'!$E99+'[11]RMA Assets'!$G99-'[54]February 28,2010'!$I$272)/#REF!</f>
        <v>#REF!</v>
      </c>
      <c r="DA26" s="1742" t="e">
        <f>('[11]RMA Assets'!$E100+'[11]RMA Assets'!$G100-'[55]March 31,2010'!$I$280)/#REF!</f>
        <v>#REF!</v>
      </c>
      <c r="DB26" s="1742" t="e">
        <f>('[11]RMA Assets'!$E101+'[11]RMA Assets'!$G101-'[56]April 30,2010'!$I$273)/#REF!</f>
        <v>#REF!</v>
      </c>
      <c r="DC26" s="1628" t="e">
        <f>('[11]RMA Assets'!$E102+'[11]RMA Assets'!$G102-'[57]May 31,2010'!$I$274)/#REF!</f>
        <v>#REF!</v>
      </c>
      <c r="DD26" s="1742" t="e">
        <f>('[11]RMA Assets'!$E103+'[11]RMA Assets'!$G103-'[58]June 30,2010'!$I$272)/#REF!</f>
        <v>#REF!</v>
      </c>
      <c r="DE26" s="1628" t="e">
        <f>('[11]RMA Assets'!$E104+'[11]RMA Assets'!$G104-'[59]July 31,2010'!$I$252)/#REF!</f>
        <v>#REF!</v>
      </c>
      <c r="DF26" s="1742" t="e">
        <f>('[11]RMA Assets'!$E105+'[11]RMA Assets'!$G105-'[60]August 31,2010'!$I$265)/#REF!</f>
        <v>#REF!</v>
      </c>
      <c r="DG26" s="1742" t="e">
        <f>('[11]RMA Assets'!$E106+'[11]RMA Assets'!$G106-'[61]September 30,2010'!$I$255)/#REF!</f>
        <v>#REF!</v>
      </c>
      <c r="DH26" s="1742" t="e">
        <f>('[11]RMA Assets'!$E107+'[11]RMA Assets'!$G107-'[62]October 31,2010'!$I$255)/#REF!</f>
        <v>#REF!</v>
      </c>
      <c r="DI26" s="1742" t="e">
        <f>('[11]RMA Assets'!$E108+'[11]RMA Assets'!$G108-'[63]November 30,2010'!$I$256)/#REF!</f>
        <v>#REF!</v>
      </c>
      <c r="DJ26" s="1742" t="e">
        <f>('[11]RMA Assets'!$E109+'[11]RMA Assets'!$G109-'[64]December 31,2010'!$I$260)/#REF!</f>
        <v>#REF!</v>
      </c>
      <c r="DK26" s="1742" t="e">
        <f>('[11]RMA Assets'!$E110+'[11]RMA Assets'!$G110-'[65]January 31,2011'!$I$259)/#REF!</f>
        <v>#REF!</v>
      </c>
      <c r="DL26" s="1742" t="e">
        <f>('[11]RMA Assets'!$E111+'[11]RMA Assets'!$G111-'[66]Febraury 28,2011'!$I$262)/#REF!</f>
        <v>#REF!</v>
      </c>
      <c r="DM26" s="1742" t="e">
        <f>('[11]RMA Assets'!$E112+'[11]RMA Assets'!$G112-'[67]march 31,2011'!$I$263)/#REF!</f>
        <v>#REF!</v>
      </c>
      <c r="DN26" s="1742" t="e">
        <f>('[11]RMA Assets'!$E113+'[11]RMA Assets'!$G113-'[68]April 30,2011'!$I$259)/#REF!</f>
        <v>#REF!</v>
      </c>
      <c r="DO26" s="1742" t="e">
        <f>('[11]RMA Assets'!$E114+'[11]RMA Assets'!$G114-'[69]may 31,2011'!$I$261)/#REF!</f>
        <v>#REF!</v>
      </c>
      <c r="DP26" s="1742" t="e">
        <f>('[11]RMA Assets'!$E115+'[11]RMA Assets'!$G115-'[70]Jun 30,2011'!$J$256)/#REF!</f>
        <v>#REF!</v>
      </c>
      <c r="DQ26" s="1742" t="e">
        <f>('[11]RMA Assets'!$E115+'[11]RMA Assets'!$G115-'[70]Jun 30,2011'!$J$256)/#REF!</f>
        <v>#REF!</v>
      </c>
      <c r="DR26" s="1904"/>
      <c r="DS26" s="1669"/>
      <c r="DT26" s="1669"/>
      <c r="DU26" s="1669"/>
      <c r="DV26" s="1669">
        <f>789.7-796</f>
        <v>-6.2999999999999545</v>
      </c>
      <c r="DW26" s="1670"/>
      <c r="DX26" s="1670"/>
      <c r="DY26" s="1670"/>
      <c r="DZ26" s="1670"/>
      <c r="EA26" s="1670"/>
      <c r="EB26" s="1670"/>
      <c r="EC26" s="1670"/>
      <c r="ED26" s="1670"/>
      <c r="EE26" s="1670"/>
      <c r="EF26" s="1670"/>
      <c r="EG26" s="1670"/>
      <c r="EH26" s="1670"/>
      <c r="EI26" s="1670"/>
      <c r="EJ26" s="1670"/>
      <c r="EK26" s="1670"/>
      <c r="EL26" s="1670"/>
      <c r="EM26" s="1670"/>
      <c r="EN26" s="1670"/>
      <c r="EO26" s="1670"/>
      <c r="EP26" s="1670"/>
      <c r="EQ26" s="1670"/>
      <c r="ER26" s="1670"/>
      <c r="ES26" s="1670"/>
      <c r="ET26" s="1670"/>
      <c r="EU26" s="1670"/>
      <c r="EV26" s="1670"/>
      <c r="EW26" s="1670"/>
      <c r="EX26" s="1670"/>
      <c r="EY26" s="1670"/>
      <c r="EZ26" s="1670"/>
      <c r="FA26" s="1670"/>
      <c r="FB26" s="1670"/>
      <c r="FC26" s="1670"/>
      <c r="FD26" s="1670"/>
      <c r="FE26" s="1670"/>
      <c r="FF26" s="1670"/>
      <c r="FG26" s="1670"/>
      <c r="FH26" s="1670"/>
      <c r="FI26" s="1670"/>
      <c r="FJ26" s="1670"/>
      <c r="FK26" s="1670"/>
      <c r="FL26" s="1670"/>
      <c r="FM26" s="1670"/>
      <c r="FN26" s="1670"/>
      <c r="FO26" s="1670"/>
      <c r="FP26" s="1670"/>
      <c r="FQ26" s="1670"/>
      <c r="FR26" s="1670"/>
      <c r="FS26" s="1670"/>
      <c r="FT26" s="1670"/>
      <c r="FU26" s="1670"/>
      <c r="FV26" s="1670"/>
      <c r="FW26" s="1670"/>
      <c r="FX26" s="1670"/>
      <c r="FY26" s="1670"/>
      <c r="FZ26" s="1670"/>
      <c r="GA26" s="1670"/>
      <c r="GB26" s="1670"/>
      <c r="GC26" s="1670"/>
      <c r="GD26" s="1670"/>
      <c r="GE26" s="1670"/>
      <c r="GF26" s="1670"/>
      <c r="GG26" s="1670"/>
      <c r="GH26" s="1670"/>
      <c r="GI26" s="1670"/>
      <c r="GJ26" s="1670"/>
      <c r="GK26" s="1670"/>
      <c r="GL26" s="1670"/>
      <c r="GM26" s="1670"/>
      <c r="GN26" s="1670"/>
      <c r="GO26" s="1670"/>
      <c r="GP26" s="1670"/>
      <c r="GQ26" s="1670"/>
      <c r="GR26" s="1670"/>
      <c r="GS26" s="1670"/>
      <c r="GT26" s="1670"/>
      <c r="GU26" s="1670"/>
      <c r="GV26" s="1670"/>
      <c r="GW26" s="1670"/>
      <c r="GX26" s="1670"/>
      <c r="GY26" s="1670"/>
      <c r="GZ26" s="1670"/>
      <c r="HA26" s="1670"/>
      <c r="HB26" s="1670"/>
      <c r="HC26" s="1670"/>
      <c r="HD26" s="1670"/>
      <c r="HE26" s="1670"/>
      <c r="HF26" s="1670"/>
      <c r="HG26" s="1670"/>
      <c r="HH26" s="1670"/>
      <c r="HI26" s="1670"/>
      <c r="HJ26" s="1670"/>
      <c r="HK26" s="1670"/>
      <c r="HL26" s="1670"/>
      <c r="HM26" s="1670"/>
      <c r="HN26" s="1670"/>
      <c r="HO26" s="1670"/>
      <c r="HP26" s="1670"/>
      <c r="HQ26" s="1670"/>
      <c r="HR26" s="1670"/>
      <c r="HS26" s="1670"/>
      <c r="HT26" s="1670"/>
      <c r="HU26" s="1670"/>
      <c r="HV26" s="1670"/>
    </row>
    <row r="27" spans="1:230" ht="15" hidden="1">
      <c r="A27" s="1670"/>
      <c r="B27" s="1801" t="s">
        <v>142</v>
      </c>
      <c r="C27" s="1735"/>
      <c r="D27" s="1735"/>
      <c r="E27" s="1735"/>
      <c r="F27" s="1736"/>
      <c r="G27" s="1791"/>
      <c r="H27" s="1792"/>
      <c r="I27" s="1793"/>
      <c r="J27" s="1793"/>
      <c r="K27" s="1739"/>
      <c r="L27" s="1629"/>
      <c r="M27" s="1629"/>
      <c r="N27" s="1629"/>
      <c r="O27" s="1629"/>
      <c r="P27" s="1629"/>
      <c r="Q27" s="1629"/>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0"/>
      <c r="AX27" s="1640"/>
      <c r="AY27" s="1640"/>
      <c r="AZ27" s="1640"/>
      <c r="BA27" s="1640"/>
      <c r="BB27" s="1640"/>
      <c r="BC27" s="1640"/>
      <c r="BD27" s="1640"/>
      <c r="BE27" s="1640"/>
      <c r="BF27" s="1640"/>
      <c r="BG27" s="1640"/>
      <c r="BH27" s="1639"/>
      <c r="BI27" s="1639"/>
      <c r="BJ27" s="1639"/>
      <c r="BK27" s="1639"/>
      <c r="BL27" s="1639"/>
      <c r="BM27" s="1639"/>
      <c r="BN27" s="1639"/>
      <c r="BO27" s="1639"/>
      <c r="BP27" s="1639"/>
      <c r="BQ27" s="1639"/>
      <c r="BR27" s="1639"/>
      <c r="BS27" s="1639"/>
      <c r="BT27" s="1639"/>
      <c r="BU27" s="1639"/>
      <c r="BV27" s="1639"/>
      <c r="BW27" s="1639"/>
      <c r="BX27" s="1639"/>
      <c r="BY27" s="1720"/>
      <c r="BZ27" s="1795"/>
      <c r="CA27" s="1794"/>
      <c r="CB27" s="1795"/>
      <c r="CC27" s="1795"/>
      <c r="CD27" s="1795"/>
      <c r="CE27" s="1795"/>
      <c r="CF27" s="1795"/>
      <c r="CG27" s="1796"/>
      <c r="CH27" s="1742"/>
      <c r="CI27" s="1795"/>
      <c r="CJ27" s="1795"/>
      <c r="CK27" s="1797"/>
      <c r="CL27" s="1797"/>
      <c r="CM27" s="1794"/>
      <c r="CN27" s="1794"/>
      <c r="CO27" s="1707"/>
      <c r="CP27" s="1794"/>
      <c r="CQ27" s="1794"/>
      <c r="CR27" s="1707"/>
      <c r="CS27" s="1794"/>
      <c r="CT27" s="1797"/>
      <c r="CU27" s="1798"/>
      <c r="CV27" s="1794"/>
      <c r="CW27" s="1845"/>
      <c r="CX27" s="1859"/>
      <c r="CY27" s="1707"/>
      <c r="CZ27" s="1742"/>
      <c r="DA27" s="1742"/>
      <c r="DB27" s="1742"/>
      <c r="DC27" s="1742"/>
      <c r="DD27" s="1742"/>
      <c r="DE27" s="1742"/>
      <c r="DF27" s="1742"/>
      <c r="DG27" s="1742"/>
      <c r="DH27" s="1742"/>
      <c r="DI27" s="1742"/>
      <c r="DJ27" s="1742"/>
      <c r="DK27" s="1707"/>
      <c r="DL27" s="1843"/>
      <c r="DM27" s="1843"/>
      <c r="DN27" s="1843"/>
      <c r="DO27" s="1843"/>
      <c r="DP27" s="1911"/>
      <c r="DQ27" s="1911"/>
      <c r="DR27" s="1669"/>
      <c r="DS27" s="1669"/>
      <c r="DT27" s="1669"/>
      <c r="DU27" s="1669"/>
      <c r="DV27" s="1669"/>
      <c r="DW27" s="1670"/>
      <c r="DX27" s="1670"/>
      <c r="DY27" s="1670"/>
      <c r="DZ27" s="1670"/>
      <c r="EA27" s="1670"/>
      <c r="EB27" s="1670"/>
      <c r="EC27" s="1670"/>
      <c r="ED27" s="1670"/>
      <c r="EE27" s="1670"/>
      <c r="EF27" s="1670"/>
      <c r="EG27" s="1670"/>
      <c r="EH27" s="1670"/>
      <c r="EI27" s="1670"/>
      <c r="EJ27" s="1670"/>
      <c r="EK27" s="1670"/>
      <c r="EL27" s="1670"/>
      <c r="EM27" s="1670"/>
      <c r="EN27" s="1670"/>
      <c r="EO27" s="1670"/>
      <c r="EP27" s="1670"/>
      <c r="EQ27" s="1670"/>
      <c r="ER27" s="1670"/>
      <c r="ES27" s="1670"/>
      <c r="ET27" s="1670"/>
      <c r="EU27" s="1670"/>
      <c r="EV27" s="1670"/>
      <c r="EW27" s="1670"/>
      <c r="EX27" s="1670"/>
      <c r="EY27" s="1670"/>
      <c r="EZ27" s="1670"/>
      <c r="FA27" s="1670"/>
      <c r="FB27" s="1670"/>
      <c r="FC27" s="1670"/>
      <c r="FD27" s="1670"/>
      <c r="FE27" s="1670"/>
      <c r="FF27" s="1670"/>
      <c r="FG27" s="1670"/>
      <c r="FH27" s="1670"/>
      <c r="FI27" s="1670"/>
      <c r="FJ27" s="1670"/>
      <c r="FK27" s="1670"/>
      <c r="FL27" s="1670"/>
      <c r="FM27" s="1670"/>
      <c r="FN27" s="1670"/>
      <c r="FO27" s="1670"/>
      <c r="FP27" s="1670"/>
      <c r="FQ27" s="1670"/>
      <c r="FR27" s="1670"/>
      <c r="FS27" s="1670"/>
      <c r="FT27" s="1670"/>
      <c r="FU27" s="1670"/>
      <c r="FV27" s="1670"/>
      <c r="FW27" s="1670"/>
      <c r="FX27" s="1670"/>
      <c r="FY27" s="1670"/>
      <c r="FZ27" s="1670"/>
      <c r="GA27" s="1670"/>
      <c r="GB27" s="1670"/>
      <c r="GC27" s="1670"/>
      <c r="GD27" s="1670"/>
      <c r="GE27" s="1670"/>
      <c r="GF27" s="1670"/>
      <c r="GG27" s="1670"/>
      <c r="GH27" s="1670"/>
      <c r="GI27" s="1670"/>
      <c r="GJ27" s="1670"/>
      <c r="GK27" s="1670"/>
      <c r="GL27" s="1670"/>
      <c r="GM27" s="1670"/>
      <c r="GN27" s="1670"/>
      <c r="GO27" s="1670"/>
      <c r="GP27" s="1670"/>
      <c r="GQ27" s="1670"/>
      <c r="GR27" s="1670"/>
      <c r="GS27" s="1670"/>
      <c r="GT27" s="1670"/>
      <c r="GU27" s="1670"/>
      <c r="GV27" s="1670"/>
      <c r="GW27" s="1670"/>
      <c r="GX27" s="1670"/>
      <c r="GY27" s="1670"/>
      <c r="GZ27" s="1670"/>
      <c r="HA27" s="1670"/>
      <c r="HB27" s="1670"/>
      <c r="HC27" s="1670"/>
      <c r="HD27" s="1670"/>
      <c r="HE27" s="1670"/>
      <c r="HF27" s="1670"/>
      <c r="HG27" s="1670"/>
      <c r="HH27" s="1670"/>
      <c r="HI27" s="1670"/>
      <c r="HJ27" s="1670"/>
      <c r="HK27" s="1670"/>
      <c r="HL27" s="1670"/>
      <c r="HM27" s="1670"/>
      <c r="HN27" s="1670"/>
      <c r="HO27" s="1670"/>
      <c r="HP27" s="1670"/>
      <c r="HQ27" s="1670"/>
      <c r="HR27" s="1670"/>
      <c r="HS27" s="1670"/>
      <c r="HT27" s="1670"/>
      <c r="HU27" s="1670"/>
      <c r="HV27" s="1670"/>
    </row>
    <row r="28" spans="1:230" ht="15" hidden="1">
      <c r="A28" s="1670"/>
      <c r="B28" s="1801" t="s">
        <v>246</v>
      </c>
      <c r="C28" s="1619" t="s">
        <v>244</v>
      </c>
      <c r="D28" s="1619" t="s">
        <v>244</v>
      </c>
      <c r="E28" s="1619" t="s">
        <v>244</v>
      </c>
      <c r="F28" s="1619" t="s">
        <v>244</v>
      </c>
      <c r="G28" s="1791" t="s">
        <v>244</v>
      </c>
      <c r="H28" s="1792" t="s">
        <v>244</v>
      </c>
      <c r="I28" s="1793" t="s">
        <v>244</v>
      </c>
      <c r="J28" s="1793" t="s">
        <v>244</v>
      </c>
      <c r="K28" s="1739" t="s">
        <v>244</v>
      </c>
      <c r="L28" s="1803" t="s">
        <v>244</v>
      </c>
      <c r="M28" s="1629"/>
      <c r="N28" s="1617" t="s">
        <v>244</v>
      </c>
      <c r="O28" s="1617" t="s">
        <v>244</v>
      </c>
      <c r="P28" s="1617" t="s">
        <v>244</v>
      </c>
      <c r="Q28" s="1617" t="s">
        <v>244</v>
      </c>
      <c r="R28" s="1617" t="s">
        <v>244</v>
      </c>
      <c r="S28" s="1617" t="s">
        <v>244</v>
      </c>
      <c r="T28" s="1617" t="s">
        <v>244</v>
      </c>
      <c r="U28" s="1617" t="s">
        <v>244</v>
      </c>
      <c r="V28" s="1617" t="s">
        <v>244</v>
      </c>
      <c r="W28" s="1641" t="s">
        <v>244</v>
      </c>
      <c r="X28" s="1641" t="s">
        <v>244</v>
      </c>
      <c r="Y28" s="1641" t="s">
        <v>244</v>
      </c>
      <c r="Z28" s="1641" t="s">
        <v>244</v>
      </c>
      <c r="AA28" s="1641" t="s">
        <v>244</v>
      </c>
      <c r="AB28" s="1641" t="s">
        <v>244</v>
      </c>
      <c r="AC28" s="1641" t="s">
        <v>244</v>
      </c>
      <c r="AD28" s="1641" t="s">
        <v>244</v>
      </c>
      <c r="AE28" s="1641" t="s">
        <v>244</v>
      </c>
      <c r="AF28" s="1641" t="s">
        <v>244</v>
      </c>
      <c r="AG28" s="1641" t="s">
        <v>244</v>
      </c>
      <c r="AH28" s="1641" t="s">
        <v>244</v>
      </c>
      <c r="AI28" s="1641" t="s">
        <v>244</v>
      </c>
      <c r="AJ28" s="1641" t="s">
        <v>244</v>
      </c>
      <c r="AK28" s="1641" t="s">
        <v>244</v>
      </c>
      <c r="AL28" s="1641" t="s">
        <v>244</v>
      </c>
      <c r="AM28" s="1641" t="s">
        <v>244</v>
      </c>
      <c r="AN28" s="1641" t="s">
        <v>244</v>
      </c>
      <c r="AO28" s="1641" t="s">
        <v>244</v>
      </c>
      <c r="AP28" s="1641" t="s">
        <v>244</v>
      </c>
      <c r="AQ28" s="1641" t="s">
        <v>244</v>
      </c>
      <c r="AR28" s="1641" t="s">
        <v>244</v>
      </c>
      <c r="AS28" s="1641" t="s">
        <v>244</v>
      </c>
      <c r="AT28" s="1641" t="s">
        <v>244</v>
      </c>
      <c r="AU28" s="1641" t="s">
        <v>244</v>
      </c>
      <c r="AV28" s="1641" t="s">
        <v>244</v>
      </c>
      <c r="AW28" s="1641" t="s">
        <v>244</v>
      </c>
      <c r="AX28" s="1641" t="s">
        <v>244</v>
      </c>
      <c r="AY28" s="1640" t="s">
        <v>244</v>
      </c>
      <c r="AZ28" s="1640" t="s">
        <v>244</v>
      </c>
      <c r="BA28" s="1640" t="s">
        <v>244</v>
      </c>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1640"/>
      <c r="BX28" s="1640"/>
      <c r="BY28" s="1617"/>
      <c r="BZ28" s="1802"/>
      <c r="CA28" s="1804"/>
      <c r="CB28" s="1617"/>
      <c r="CC28" s="1617"/>
      <c r="CD28" s="1617"/>
      <c r="CE28" s="1802"/>
      <c r="CF28" s="1802"/>
      <c r="CG28" s="1796"/>
      <c r="CH28" s="1742"/>
      <c r="CI28" s="1802"/>
      <c r="CJ28" s="1802"/>
      <c r="CK28" s="1797"/>
      <c r="CL28" s="1797"/>
      <c r="CM28" s="1804"/>
      <c r="CN28" s="1804"/>
      <c r="CO28" s="1707"/>
      <c r="CP28" s="1804"/>
      <c r="CQ28" s="1804"/>
      <c r="CR28" s="1707"/>
      <c r="CS28" s="1804"/>
      <c r="CT28" s="1797"/>
      <c r="CU28" s="1805"/>
      <c r="CV28" s="1804"/>
      <c r="CW28" s="1845"/>
      <c r="CX28" s="1859"/>
      <c r="CY28" s="1707"/>
      <c r="CZ28" s="1742"/>
      <c r="DA28" s="1742"/>
      <c r="DB28" s="1742"/>
      <c r="DC28" s="1742"/>
      <c r="DD28" s="1742"/>
      <c r="DE28" s="1742"/>
      <c r="DF28" s="1742"/>
      <c r="DG28" s="1742"/>
      <c r="DH28" s="1742"/>
      <c r="DI28" s="1742"/>
      <c r="DJ28" s="1742"/>
      <c r="DK28" s="1707"/>
      <c r="DL28" s="1843"/>
      <c r="DM28" s="1843"/>
      <c r="DN28" s="1843"/>
      <c r="DO28" s="1843"/>
      <c r="DP28" s="1911"/>
      <c r="DQ28" s="1911"/>
      <c r="DR28" s="1669"/>
      <c r="DS28" s="1669"/>
      <c r="DT28" s="1669"/>
      <c r="DU28" s="1669"/>
      <c r="DV28" s="1669"/>
      <c r="DW28" s="1670"/>
      <c r="DX28" s="1670"/>
      <c r="DY28" s="1670"/>
      <c r="DZ28" s="1670"/>
      <c r="EA28" s="1670"/>
      <c r="EB28" s="1670"/>
      <c r="EC28" s="1670"/>
      <c r="ED28" s="1670"/>
      <c r="EE28" s="1670"/>
      <c r="EF28" s="1670"/>
      <c r="EG28" s="1670"/>
      <c r="EH28" s="1670"/>
      <c r="EI28" s="1670"/>
      <c r="EJ28" s="1670"/>
      <c r="EK28" s="1670"/>
      <c r="EL28" s="1670"/>
      <c r="EM28" s="1670"/>
      <c r="EN28" s="1670"/>
      <c r="EO28" s="1670"/>
      <c r="EP28" s="1670"/>
      <c r="EQ28" s="1670"/>
      <c r="ER28" s="1670"/>
      <c r="ES28" s="1670"/>
      <c r="ET28" s="1670"/>
      <c r="EU28" s="1670"/>
      <c r="EV28" s="1670"/>
      <c r="EW28" s="1670"/>
      <c r="EX28" s="1670"/>
      <c r="EY28" s="1670"/>
      <c r="EZ28" s="1670"/>
      <c r="FA28" s="1670"/>
      <c r="FB28" s="1670"/>
      <c r="FC28" s="1670"/>
      <c r="FD28" s="1670"/>
      <c r="FE28" s="1670"/>
      <c r="FF28" s="1670"/>
      <c r="FG28" s="1670"/>
      <c r="FH28" s="1670"/>
      <c r="FI28" s="1670"/>
      <c r="FJ28" s="1670"/>
      <c r="FK28" s="1670"/>
      <c r="FL28" s="1670"/>
      <c r="FM28" s="1670"/>
      <c r="FN28" s="1670"/>
      <c r="FO28" s="1670"/>
      <c r="FP28" s="1670"/>
      <c r="FQ28" s="1670"/>
      <c r="FR28" s="1670"/>
      <c r="FS28" s="1670"/>
      <c r="FT28" s="1670"/>
      <c r="FU28" s="1670"/>
      <c r="FV28" s="1670"/>
      <c r="FW28" s="1670"/>
      <c r="FX28" s="1670"/>
      <c r="FY28" s="1670"/>
      <c r="FZ28" s="1670"/>
      <c r="GA28" s="1670"/>
      <c r="GB28" s="1670"/>
      <c r="GC28" s="1670"/>
      <c r="GD28" s="1670"/>
      <c r="GE28" s="1670"/>
      <c r="GF28" s="1670"/>
      <c r="GG28" s="1670"/>
      <c r="GH28" s="1670"/>
      <c r="GI28" s="1670"/>
      <c r="GJ28" s="1670"/>
      <c r="GK28" s="1670"/>
      <c r="GL28" s="1670"/>
      <c r="GM28" s="1670"/>
      <c r="GN28" s="1670"/>
      <c r="GO28" s="1670"/>
      <c r="GP28" s="1670"/>
      <c r="GQ28" s="1670"/>
      <c r="GR28" s="1670"/>
      <c r="GS28" s="1670"/>
      <c r="GT28" s="1670"/>
      <c r="GU28" s="1670"/>
      <c r="GV28" s="1670"/>
      <c r="GW28" s="1670"/>
      <c r="GX28" s="1670"/>
      <c r="GY28" s="1670"/>
      <c r="GZ28" s="1670"/>
      <c r="HA28" s="1670"/>
      <c r="HB28" s="1670"/>
      <c r="HC28" s="1670"/>
      <c r="HD28" s="1670"/>
      <c r="HE28" s="1670"/>
      <c r="HF28" s="1670"/>
      <c r="HG28" s="1670"/>
      <c r="HH28" s="1670"/>
      <c r="HI28" s="1670"/>
      <c r="HJ28" s="1670"/>
      <c r="HK28" s="1670"/>
      <c r="HL28" s="1670"/>
      <c r="HM28" s="1670"/>
      <c r="HN28" s="1670"/>
      <c r="HO28" s="1670"/>
      <c r="HP28" s="1670"/>
      <c r="HQ28" s="1670"/>
      <c r="HR28" s="1670"/>
      <c r="HS28" s="1670"/>
      <c r="HT28" s="1670"/>
      <c r="HU28" s="1670"/>
      <c r="HV28" s="1670"/>
    </row>
    <row r="29" spans="1:230" ht="15">
      <c r="A29" s="1670"/>
      <c r="B29" s="1744"/>
      <c r="C29" s="1735"/>
      <c r="D29" s="1735"/>
      <c r="E29" s="1735"/>
      <c r="F29" s="1736"/>
      <c r="G29" s="1791"/>
      <c r="H29" s="1792"/>
      <c r="I29" s="1793"/>
      <c r="J29" s="1793"/>
      <c r="K29" s="1739"/>
      <c r="L29" s="1629"/>
      <c r="M29" s="1629"/>
      <c r="N29" s="1629"/>
      <c r="O29" s="1629"/>
      <c r="P29" s="1629"/>
      <c r="Q29" s="1629"/>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0"/>
      <c r="AX29" s="1640"/>
      <c r="AY29" s="1640"/>
      <c r="AZ29" s="1640"/>
      <c r="BA29" s="1640"/>
      <c r="BB29" s="1640"/>
      <c r="BC29" s="1640"/>
      <c r="BD29" s="1640"/>
      <c r="BE29" s="1640"/>
      <c r="BF29" s="1640"/>
      <c r="BG29" s="1640"/>
      <c r="BH29" s="1639"/>
      <c r="BI29" s="1639"/>
      <c r="BJ29" s="1639"/>
      <c r="BK29" s="1639"/>
      <c r="BL29" s="1639"/>
      <c r="BM29" s="1639"/>
      <c r="BN29" s="1639"/>
      <c r="BO29" s="1639"/>
      <c r="BP29" s="1639"/>
      <c r="BQ29" s="1639"/>
      <c r="BR29" s="1639"/>
      <c r="BS29" s="1639"/>
      <c r="BT29" s="1639"/>
      <c r="BU29" s="1639"/>
      <c r="BV29" s="1639"/>
      <c r="BW29" s="1639"/>
      <c r="BX29" s="1639"/>
      <c r="BY29" s="1720"/>
      <c r="BZ29" s="1802"/>
      <c r="CA29" s="1804"/>
      <c r="CB29" s="1802"/>
      <c r="CC29" s="1802"/>
      <c r="CD29" s="1802"/>
      <c r="CE29" s="1802"/>
      <c r="CF29" s="1802"/>
      <c r="CG29" s="1796"/>
      <c r="CH29" s="1742"/>
      <c r="CI29" s="1802"/>
      <c r="CJ29" s="1802"/>
      <c r="CK29" s="1797"/>
      <c r="CL29" s="1797"/>
      <c r="CM29" s="1804"/>
      <c r="CN29" s="1804"/>
      <c r="CO29" s="1707"/>
      <c r="CP29" s="1804"/>
      <c r="CQ29" s="1804"/>
      <c r="CR29" s="1707"/>
      <c r="CS29" s="1804"/>
      <c r="CT29" s="1797"/>
      <c r="CU29" s="1805"/>
      <c r="CV29" s="1804"/>
      <c r="CW29" s="1845"/>
      <c r="CX29" s="1859"/>
      <c r="CY29" s="1707"/>
      <c r="CZ29" s="1742"/>
      <c r="DA29" s="1742"/>
      <c r="DB29" s="1742"/>
      <c r="DC29" s="1742"/>
      <c r="DD29" s="1742"/>
      <c r="DE29" s="1742"/>
      <c r="DF29" s="1742"/>
      <c r="DG29" s="1742"/>
      <c r="DH29" s="1742"/>
      <c r="DI29" s="1742"/>
      <c r="DJ29" s="1742"/>
      <c r="DK29" s="1707"/>
      <c r="DL29" s="1843"/>
      <c r="DM29" s="1843"/>
      <c r="DN29" s="1843"/>
      <c r="DO29" s="1843"/>
      <c r="DP29" s="1911"/>
      <c r="DQ29" s="1911"/>
      <c r="DR29" s="1669"/>
      <c r="DS29" s="1903"/>
      <c r="DT29" s="1669"/>
      <c r="DU29" s="1669"/>
      <c r="DV29" s="1669"/>
      <c r="DW29" s="1670"/>
      <c r="DX29" s="1670"/>
      <c r="DY29" s="1670"/>
      <c r="DZ29" s="1670"/>
      <c r="EA29" s="1670"/>
      <c r="EB29" s="1670"/>
      <c r="EC29" s="1670"/>
      <c r="ED29" s="1670"/>
      <c r="EE29" s="1670"/>
      <c r="EF29" s="1670"/>
      <c r="EG29" s="1670"/>
      <c r="EH29" s="1670"/>
      <c r="EI29" s="1670"/>
      <c r="EJ29" s="1670"/>
      <c r="EK29" s="1670"/>
      <c r="EL29" s="1670"/>
      <c r="EM29" s="1670"/>
      <c r="EN29" s="1670"/>
      <c r="EO29" s="1670"/>
      <c r="EP29" s="1670"/>
      <c r="EQ29" s="1670"/>
      <c r="ER29" s="1670"/>
      <c r="ES29" s="1670"/>
      <c r="ET29" s="1670"/>
      <c r="EU29" s="1670"/>
      <c r="EV29" s="1670"/>
      <c r="EW29" s="1670"/>
      <c r="EX29" s="1670"/>
      <c r="EY29" s="1670"/>
      <c r="EZ29" s="1670"/>
      <c r="FA29" s="1670"/>
      <c r="FB29" s="1670"/>
      <c r="FC29" s="1670"/>
      <c r="FD29" s="1670"/>
      <c r="FE29" s="1670"/>
      <c r="FF29" s="1670"/>
      <c r="FG29" s="1670"/>
      <c r="FH29" s="1670"/>
      <c r="FI29" s="1670"/>
      <c r="FJ29" s="1670"/>
      <c r="FK29" s="1670"/>
      <c r="FL29" s="1670"/>
      <c r="FM29" s="1670"/>
      <c r="FN29" s="1670"/>
      <c r="FO29" s="1670"/>
      <c r="FP29" s="1670"/>
      <c r="FQ29" s="1670"/>
      <c r="FR29" s="1670"/>
      <c r="FS29" s="1670"/>
      <c r="FT29" s="1670"/>
      <c r="FU29" s="1670"/>
      <c r="FV29" s="1670"/>
      <c r="FW29" s="1670"/>
      <c r="FX29" s="1670"/>
      <c r="FY29" s="1670"/>
      <c r="FZ29" s="1670"/>
      <c r="GA29" s="1670"/>
      <c r="GB29" s="1670"/>
      <c r="GC29" s="1670"/>
      <c r="GD29" s="1670"/>
      <c r="GE29" s="1670"/>
      <c r="GF29" s="1670"/>
      <c r="GG29" s="1670"/>
      <c r="GH29" s="1670"/>
      <c r="GI29" s="1670"/>
      <c r="GJ29" s="1670"/>
      <c r="GK29" s="1670"/>
      <c r="GL29" s="1670"/>
      <c r="GM29" s="1670"/>
      <c r="GN29" s="1670"/>
      <c r="GO29" s="1670"/>
      <c r="GP29" s="1670"/>
      <c r="GQ29" s="1670"/>
      <c r="GR29" s="1670"/>
      <c r="GS29" s="1670"/>
      <c r="GT29" s="1670"/>
      <c r="GU29" s="1670"/>
      <c r="GV29" s="1670"/>
      <c r="GW29" s="1670"/>
      <c r="GX29" s="1670"/>
      <c r="GY29" s="1670"/>
      <c r="GZ29" s="1670"/>
      <c r="HA29" s="1670"/>
      <c r="HB29" s="1670"/>
      <c r="HC29" s="1670"/>
      <c r="HD29" s="1670"/>
      <c r="HE29" s="1670"/>
      <c r="HF29" s="1670"/>
      <c r="HG29" s="1670"/>
      <c r="HH29" s="1670"/>
      <c r="HI29" s="1670"/>
      <c r="HJ29" s="1670"/>
      <c r="HK29" s="1670"/>
      <c r="HL29" s="1670"/>
      <c r="HM29" s="1670"/>
      <c r="HN29" s="1670"/>
      <c r="HO29" s="1670"/>
      <c r="HP29" s="1670"/>
      <c r="HQ29" s="1670"/>
      <c r="HR29" s="1670"/>
      <c r="HS29" s="1670"/>
      <c r="HT29" s="1670"/>
      <c r="HU29" s="1670"/>
      <c r="HV29" s="1670"/>
    </row>
    <row r="30" spans="1:230" ht="15">
      <c r="A30" s="1670"/>
      <c r="B30" s="1801" t="s">
        <v>1437</v>
      </c>
      <c r="C30" s="1735">
        <v>4.37</v>
      </c>
      <c r="D30" s="1735">
        <v>4.2300000000000004</v>
      </c>
      <c r="E30" s="1735">
        <v>4.2699999999999996</v>
      </c>
      <c r="F30" s="1736">
        <v>5.31</v>
      </c>
      <c r="G30" s="1791">
        <f>246.86/[19]ExRate!Q18</f>
        <v>6.8936051382295451</v>
      </c>
      <c r="H30" s="1792">
        <f>168.58/[19]ExRate!R18</f>
        <v>3.9902480590797205</v>
      </c>
      <c r="I30" s="1793" t="e">
        <f>(154.39-3.1)/#REF!</f>
        <v>#REF!</v>
      </c>
      <c r="J30" s="1793" t="e">
        <f>(509.4-4.93)/#REF!</f>
        <v>#REF!</v>
      </c>
      <c r="K30" s="1739" t="e">
        <f>(766.51-4.83)/#REF!</f>
        <v>#REF!</v>
      </c>
      <c r="L30" s="1629" t="e">
        <f>(903.69-2.01)/#REF!</f>
        <v>#REF!</v>
      </c>
      <c r="M30" s="1629">
        <f>(998.21-2.06)/[20]ExRate!V19</f>
        <v>20.427979657124109</v>
      </c>
      <c r="N30" s="1629">
        <f>(992.3-3.6)/[21]ExRate!V20</f>
        <v>20.349064564595466</v>
      </c>
      <c r="O30" s="1629">
        <f>(1013.17-5.97)/[21]ExRate!V20</f>
        <v>20.729824850268589</v>
      </c>
      <c r="P30" s="1629" t="e">
        <f>(899.44-7.18)/#REF!</f>
        <v>#REF!</v>
      </c>
      <c r="Q30" s="1629" t="e">
        <f>(878.3-7.22)/#REF!</f>
        <v>#REF!</v>
      </c>
      <c r="R30" s="1641">
        <f>(1187.16-7.13)/[22]ExRate!V24</f>
        <v>24.513482072375254</v>
      </c>
      <c r="S30" s="1641" t="e">
        <f>(1157.7-7.69)/#REF!</f>
        <v>#REF!</v>
      </c>
      <c r="T30" s="1641" t="e">
        <f>(1151.26-7.44)/#REF!</f>
        <v>#REF!</v>
      </c>
      <c r="U30" s="1641" t="e">
        <f>(1251.5-9.66)/#REF!</f>
        <v>#REF!</v>
      </c>
      <c r="V30" s="1641" t="e">
        <f>(2080.09-5.28)/#REF!</f>
        <v>#REF!</v>
      </c>
      <c r="W30" s="1641" t="e">
        <f>(1915.46-6.07)/#REF!</f>
        <v>#REF!</v>
      </c>
      <c r="X30" s="1641" t="e">
        <f>(1857.14-5.27)/#REF!</f>
        <v>#REF!</v>
      </c>
      <c r="Y30" s="1641" t="e">
        <f>(1768.28-3.98)/#REF!</f>
        <v>#REF!</v>
      </c>
      <c r="Z30" s="1641" t="e">
        <f>(1725.83-4.38)/#REF!</f>
        <v>#REF!</v>
      </c>
      <c r="AA30" s="1641" t="e">
        <f>(1712.32-4.65)/#REF!</f>
        <v>#REF!</v>
      </c>
      <c r="AB30" s="1641" t="e">
        <f>(1710.87-6.21)/#REF!</f>
        <v>#REF!</v>
      </c>
      <c r="AC30" s="1641" t="e">
        <f>(1839.03-5.06)/#REF!</f>
        <v>#REF!</v>
      </c>
      <c r="AD30" s="1641" t="e">
        <f>(1959.06-2.74)/#REF!</f>
        <v>#REF!</v>
      </c>
      <c r="AE30" s="1641" t="e">
        <f>(2130.49-2.74)/#REF!</f>
        <v>#REF!</v>
      </c>
      <c r="AF30" s="1641" t="e">
        <f>(2121.17-4.72)/#REF!</f>
        <v>#REF!</v>
      </c>
      <c r="AG30" s="1641" t="e">
        <f>(2270.45-5.9)/#REF!</f>
        <v>#REF!</v>
      </c>
      <c r="AH30" s="1641" t="e">
        <f>(1821-3.1)/#REF!</f>
        <v>#REF!</v>
      </c>
      <c r="AI30" s="1641" t="e">
        <f>(1711.59-4.97)/#REF!</f>
        <v>#REF!</v>
      </c>
      <c r="AJ30" s="1641" t="e">
        <f>(1428.58-3.98)/#REF!</f>
        <v>#REF!</v>
      </c>
      <c r="AK30" s="1641" t="e">
        <f>(1341.57-7.86)/#REF!</f>
        <v>#REF!</v>
      </c>
      <c r="AL30" s="1641" t="e">
        <f>(1360.75-5.28)/#REF!</f>
        <v>#REF!</v>
      </c>
      <c r="AM30" s="1641" t="e">
        <f>(1208.7-3.16)/#REF!</f>
        <v>#REF!</v>
      </c>
      <c r="AN30" s="1641" t="e">
        <f>(1122.73-9.15)/#REF!</f>
        <v>#REF!</v>
      </c>
      <c r="AO30" s="1641" t="e">
        <f>(1210.79-13.39)/#REF!</f>
        <v>#REF!</v>
      </c>
      <c r="AP30" s="1641" t="e">
        <f>(1356.37-2.55)/#REF!</f>
        <v>#REF!</v>
      </c>
      <c r="AQ30" s="1641" t="e">
        <f>(1240.36-8.7)/#REF!</f>
        <v>#REF!</v>
      </c>
      <c r="AR30" s="1641" t="e">
        <f>(1100.68-8.85)/#REF!</f>
        <v>#REF!</v>
      </c>
      <c r="AS30" s="1641" t="e">
        <f>(1108.33-0)/#REF!</f>
        <v>#REF!</v>
      </c>
      <c r="AT30" s="1641" t="e">
        <f>(1045.22-10.97)/#REF!</f>
        <v>#REF!</v>
      </c>
      <c r="AU30" s="1641" t="e">
        <f>(997.57-11.66)/#REF!</f>
        <v>#REF!</v>
      </c>
      <c r="AV30" s="1641" t="e">
        <f>(921.59-5.86)/#REF!</f>
        <v>#REF!</v>
      </c>
      <c r="AW30" s="1641">
        <f>('[11]BoB Assets'!$O$40-'[11]BoB Assets'!$Q$40)/[71]Exrate!Y15</f>
        <v>19.918486550931295</v>
      </c>
      <c r="AX30" s="1641" t="e">
        <f>('[11]BoB Assets'!$O41-'[11]BoB Assets'!$Q41)/#REF!</f>
        <v>#REF!</v>
      </c>
      <c r="AY30" s="1641" t="e">
        <f>('[11]BoB Assets'!$O42-'[11]BoB Assets'!$Q42)/#REF!</f>
        <v>#REF!</v>
      </c>
      <c r="AZ30" s="1641" t="e">
        <f>('[11]BoB Assets'!$O43-'[11]BoB Assets'!$Q43)/#REF!</f>
        <v>#REF!</v>
      </c>
      <c r="BA30" s="1641" t="e">
        <f>('[11]BoB Assets'!$O44-'[11]BoB Assets'!$Q44)/#REF!</f>
        <v>#REF!</v>
      </c>
      <c r="BB30" s="1641" t="e">
        <f>('[11]BoB Assets'!$O45-'[11]BoB Assets'!$Q45)/#REF!</f>
        <v>#REF!</v>
      </c>
      <c r="BC30" s="1641" t="e">
        <f>('[11]BoB Assets'!$O46-'[11]BoB Assets'!$Q46)/#REF!</f>
        <v>#REF!</v>
      </c>
      <c r="BD30" s="1641" t="e">
        <f>('[11]BoB Assets'!$O47-'[11]BoB Assets'!$Q47)/#REF!</f>
        <v>#REF!</v>
      </c>
      <c r="BE30" s="1641" t="e">
        <f>('[11]BoB Assets'!$O48-'[11]BoB Assets'!$Q48)/#REF!</f>
        <v>#REF!</v>
      </c>
      <c r="BF30" s="1641" t="e">
        <f>('[11]BoB Assets'!$O49-'[11]BoB Assets'!$Q49)/#REF!</f>
        <v>#REF!</v>
      </c>
      <c r="BG30" s="1641" t="e">
        <f>('[11]BoB Assets'!$O50-'[11]BoB Assets'!$Q50)/#REF!</f>
        <v>#REF!</v>
      </c>
      <c r="BH30" s="1641" t="e">
        <f>('[11]BoB Assets'!$O51-'[11]BoB Assets'!$Q51)/#REF!</f>
        <v>#REF!</v>
      </c>
      <c r="BI30" s="1641" t="e">
        <f>('[11]BoB Assets'!$O52-'[11]BoB Assets'!$Q52)/#REF!</f>
        <v>#REF!</v>
      </c>
      <c r="BJ30" s="1641" t="e">
        <f>('[11]BoB Assets'!$O53-'[11]BoB Assets'!$Q53)/#REF!</f>
        <v>#REF!</v>
      </c>
      <c r="BK30" s="1641" t="e">
        <f>('[11]BoB Assets'!$O54-'[11]BoB Assets'!$Q54)/#REF!</f>
        <v>#REF!</v>
      </c>
      <c r="BL30" s="1641" t="e">
        <f>('[11]BoB Assets'!$O55-'[11]BoB Assets'!$Q55)/#REF!</f>
        <v>#REF!</v>
      </c>
      <c r="BM30" s="1641" t="e">
        <f>('[11]BoB Assets'!$O56-'[11]BoB Assets'!$Q56)/#REF!</f>
        <v>#REF!</v>
      </c>
      <c r="BN30" s="1641" t="e">
        <f>('[11]BoB Assets'!$O57-'[11]BoB Assets'!$Q57)/#REF!</f>
        <v>#REF!</v>
      </c>
      <c r="BO30" s="1641" t="e">
        <f>('[11]BoB Assets'!$O58-'[11]BoB Assets'!$Q58)/#REF!</f>
        <v>#REF!</v>
      </c>
      <c r="BP30" s="1641" t="e">
        <f>('[11]BoB Assets'!$O59-'[11]BoB Assets'!$Q59)/#REF!</f>
        <v>#REF!</v>
      </c>
      <c r="BQ30" s="1641" t="e">
        <f>('[11]BoB Assets'!$O60-'[11]BoB Assets'!$Q60)/#REF!</f>
        <v>#REF!</v>
      </c>
      <c r="BR30" s="1641" t="e">
        <f>('[11]BoB Assets'!$O61-'[11]BoB Assets'!$Q61)/#REF!</f>
        <v>#REF!</v>
      </c>
      <c r="BS30" s="1641" t="e">
        <f>('[11]BoB Assets'!$O62-'[11]BoB Assets'!$Q62)/#REF!</f>
        <v>#REF!</v>
      </c>
      <c r="BT30" s="1641" t="e">
        <f>('[11]BoB Assets'!$O63-'[11]BoB Assets'!$Q63)/#REF!</f>
        <v>#REF!</v>
      </c>
      <c r="BU30" s="1641" t="e">
        <f>('[11]BoB Assets'!$O64-'[11]BoB Assets'!$Q64)/#REF!</f>
        <v>#REF!</v>
      </c>
      <c r="BV30" s="1641" t="e">
        <f>('[11]BoB Assets'!$O65-'[11]BoB Assets'!$Q65)/#REF!</f>
        <v>#REF!</v>
      </c>
      <c r="BW30" s="1641" t="e">
        <f>('[11]BoB Assets'!$O66-'[11]BoB Assets'!$Q66)/#REF!</f>
        <v>#REF!</v>
      </c>
      <c r="BX30" s="1641" t="e">
        <f>('[11]BoB Assets'!$O67-'[11]BoB Assets'!$Q67)/#REF!</f>
        <v>#REF!</v>
      </c>
      <c r="BY30" s="1617" t="e">
        <f>('[11]BoB Assets'!$O68-'[11]BoB Assets'!$Q68)/#REF!</f>
        <v>#REF!</v>
      </c>
      <c r="BZ30" s="1907" t="e">
        <f>('[11]BoB Assets'!$O69-'[11]BoB Assets'!$Q69)/#REF!</f>
        <v>#REF!</v>
      </c>
      <c r="CA30" s="1806" t="e">
        <f>('[11]BoB Assets'!$O70-'[11]BoB Assets'!$Q70)/#REF!</f>
        <v>#REF!</v>
      </c>
      <c r="CB30" s="1806" t="e">
        <f>('[11]BoB Assets'!$O70-'[11]BoB Assets'!$Q70)/#REF!</f>
        <v>#REF!</v>
      </c>
      <c r="CC30" s="1806" t="e">
        <f>('[11]BoB Assets'!$O72-'[11]BoB Assets'!$Q72)/#REF!</f>
        <v>#REF!</v>
      </c>
      <c r="CD30" s="1806" t="e">
        <f>('[11]BoB Assets'!$O73-'[11]BoB Assets'!$Q73)/#REF!</f>
        <v>#REF!</v>
      </c>
      <c r="CE30" s="1806" t="e">
        <f>('[11]BoB Assets'!$O74-'[11]BoB Assets'!$Q74)/#REF!</f>
        <v>#REF!</v>
      </c>
      <c r="CF30" s="1806" t="e">
        <f>('[11]BoB Assets'!$O75-'[11]BoB Assets'!$Q75)/#REF!</f>
        <v>#REF!</v>
      </c>
      <c r="CG30" s="1806" t="e">
        <f>('[11]BoB Assets'!$O76-'[11]BoB Assets'!$Q76)/#REF!</f>
        <v>#REF!</v>
      </c>
      <c r="CH30" s="1617" t="e">
        <f>('[11]BoB Assets'!$O77-'[11]BoB Assets'!$Q77)/#REF!</f>
        <v>#REF!</v>
      </c>
      <c r="CI30" s="1806" t="e">
        <f>('[11]BoB Assets'!$O78-'[11]BoB Assets'!$Q78)/#REF!</f>
        <v>#REF!</v>
      </c>
      <c r="CJ30" s="1806" t="e">
        <f>('[11]BoB Assets'!$O79-'[11]BoB Assets'!$Q79)/#REF!</f>
        <v>#REF!</v>
      </c>
      <c r="CK30" s="1742" t="e">
        <f>('[11]BoB Assets'!$O80-'[11]BoB Assets'!$Q80)/#REF!</f>
        <v>#REF!</v>
      </c>
      <c r="CL30" s="1807" t="e">
        <f>('[11]BoB Assets'!$O81-'[11]BoB Assets'!$Q81)/#REF!</f>
        <v>#REF!</v>
      </c>
      <c r="CM30" s="1802" t="e">
        <f>('[11]BoB Assets'!$O82-'[11]BoB Assets'!$Q82)/#REF!</f>
        <v>#REF!</v>
      </c>
      <c r="CN30" s="1802" t="e">
        <f>('[11]BoB Assets'!$O83-'[11]BoB Assets'!$Q83)/#REF!</f>
        <v>#REF!</v>
      </c>
      <c r="CO30" s="1617" t="e">
        <f>('[11]BoB Assets'!$O84-'[11]BoB Assets'!$Q84)/#REF!</f>
        <v>#REF!</v>
      </c>
      <c r="CP30" s="1802" t="e">
        <f>('[11]BoB Assets'!$O85-'[11]BoB Assets'!$Q85)/#REF!</f>
        <v>#REF!</v>
      </c>
      <c r="CQ30" s="1802" t="e">
        <f>('[11]BoB Assets'!$O86-'[11]BoB Assets'!$Q86)/#REF!</f>
        <v>#REF!</v>
      </c>
      <c r="CR30" s="1617" t="e">
        <f>('[11]BoB Assets'!$O87-'[11]BoB Assets'!$Q87)/#REF!</f>
        <v>#REF!</v>
      </c>
      <c r="CS30" s="1802" t="e">
        <f>('[11]BoB Assets'!$O88-'[11]BoB Assets'!$Q88)/#REF!</f>
        <v>#REF!</v>
      </c>
      <c r="CT30" s="1796" t="e">
        <f>('[11]BoB Assets'!$O89-'[11]BoB Assets'!$Q89)/#REF!</f>
        <v>#REF!</v>
      </c>
      <c r="CU30" s="1617" t="e">
        <f>('[11]BoB Assets'!$O90-'[11]BoB Assets'!$Q90)/#REF!</f>
        <v>#REF!</v>
      </c>
      <c r="CV30" s="1802" t="e">
        <f>('[11]BoB Assets'!$O91-'[11]BoB Assets'!$Q91)/#REF!</f>
        <v>#REF!</v>
      </c>
      <c r="CW30" s="1846" t="e">
        <f>('[11]BoB Assets'!$O92-'[11]BoB Assets'!$Q92)/#REF!</f>
        <v>#REF!</v>
      </c>
      <c r="CX30" s="1860" t="e">
        <f>('[11]BoB Assets'!$O93-'[11]BoB Assets'!$Q93)/#REF!</f>
        <v>#REF!</v>
      </c>
      <c r="CY30" s="1742" t="e">
        <f>('[11]BoB Assets'!$O94-'[11]BoB Assets'!$Q94)/#REF!</f>
        <v>#REF!</v>
      </c>
      <c r="CZ30" s="1742" t="e">
        <f>('[11]BoB Assets'!$O95-'[11]BoB Assets'!$Q95)/#REF!</f>
        <v>#REF!</v>
      </c>
      <c r="DA30" s="1742" t="e">
        <f>('[11]BoB Assets'!$O96-'[11]BoB Assets'!$Q96)/#REF!</f>
        <v>#REF!</v>
      </c>
      <c r="DB30" s="1742" t="e">
        <f>('[11]BoB Assets'!$O97-'[11]BoB Assets'!$Q97)/#REF!</f>
        <v>#REF!</v>
      </c>
      <c r="DC30" s="1628" t="e">
        <f>('[11]BoB Assets'!$O98-'[11]BoB Assets'!$Q98)/#REF!</f>
        <v>#REF!</v>
      </c>
      <c r="DD30" s="1742" t="e">
        <f>('[11]BoB Assets'!$O99-'[11]BoB Assets'!$Q99)/#REF!</f>
        <v>#REF!</v>
      </c>
      <c r="DE30" s="1628" t="e">
        <f>('[11]BoB Assets'!$O100-'[11]BoB Assets'!$Q100)/#REF!</f>
        <v>#REF!</v>
      </c>
      <c r="DF30" s="1742" t="e">
        <f>('[11]BoB Assets'!$O101-'[11]BoB Assets'!$Q101)/#REF!</f>
        <v>#REF!</v>
      </c>
      <c r="DG30" s="1742" t="e">
        <f>('[11]BoB Assets'!$O102-'[11]BoB Assets'!$Q102)/#REF!</f>
        <v>#REF!</v>
      </c>
      <c r="DH30" s="1742" t="e">
        <f>('[11]BoB Assets'!$O103-'[11]BoB Assets'!$Q103)/#REF!</f>
        <v>#REF!</v>
      </c>
      <c r="DI30" s="1742" t="e">
        <f>('[11]BoB Assets'!$O104-'[11]BoB Assets'!$Q104)/#REF!</f>
        <v>#REF!</v>
      </c>
      <c r="DJ30" s="1742" t="e">
        <f>('[11]BoB Assets'!$O$105-'[11]BoB Assets'!$Q$105)/#REF!</f>
        <v>#REF!</v>
      </c>
      <c r="DK30" s="1742" t="e">
        <f>('[11]BoB Assets'!$O106-'[11]BoB Assets'!$Q106)/#REF!</f>
        <v>#REF!</v>
      </c>
      <c r="DL30" s="1742" t="e">
        <f>('[11]BoB Assets'!$O107-'[11]BoB Assets'!$Q107)/#REF!</f>
        <v>#REF!</v>
      </c>
      <c r="DM30" s="1742" t="e">
        <f>('[11]BoB Assets'!$O108-'[11]BoB Assets'!$Q108)/#REF!</f>
        <v>#REF!</v>
      </c>
      <c r="DN30" s="1742" t="e">
        <f>('[11]BoB Assets'!$O109-'[11]BoB Assets'!$Q109)/#REF!</f>
        <v>#REF!</v>
      </c>
      <c r="DO30" s="1742" t="e">
        <f>('[11]BoB Assets'!$O110-'[11]BoB Assets'!$Q110)/#REF!</f>
        <v>#REF!</v>
      </c>
      <c r="DP30" s="1742" t="e">
        <f>('[11]BoB Assets'!$O111-'[11]BoB Assets'!$Q111)/#REF!</f>
        <v>#REF!</v>
      </c>
      <c r="DQ30" s="1742" t="e">
        <f>('[11]BoB Assets'!$O111-'[11]BoB Assets'!$Q111)/#REF!</f>
        <v>#REF!</v>
      </c>
      <c r="DR30" s="1669"/>
      <c r="DS30" s="1669"/>
      <c r="DT30" s="1669"/>
      <c r="DU30" s="1669"/>
      <c r="DV30" s="1669"/>
      <c r="DW30" s="1670"/>
      <c r="DX30" s="1670"/>
      <c r="DY30" s="1670"/>
      <c r="DZ30" s="1670"/>
      <c r="EA30" s="1670"/>
      <c r="EB30" s="1670"/>
      <c r="EC30" s="1670"/>
      <c r="ED30" s="1670"/>
      <c r="EE30" s="1670"/>
      <c r="EF30" s="1670"/>
      <c r="EG30" s="1670"/>
      <c r="EH30" s="1670"/>
      <c r="EI30" s="1670"/>
      <c r="EJ30" s="1670"/>
      <c r="EK30" s="1670"/>
      <c r="EL30" s="1670"/>
      <c r="EM30" s="1670"/>
      <c r="EN30" s="1670"/>
      <c r="EO30" s="1670"/>
      <c r="EP30" s="1670"/>
      <c r="EQ30" s="1670"/>
      <c r="ER30" s="1670"/>
      <c r="ES30" s="1670"/>
      <c r="ET30" s="1670"/>
      <c r="EU30" s="1670"/>
      <c r="EV30" s="1670"/>
      <c r="EW30" s="1670"/>
      <c r="EX30" s="1670"/>
      <c r="EY30" s="1670"/>
      <c r="EZ30" s="1670"/>
      <c r="FA30" s="1670"/>
      <c r="FB30" s="1670"/>
      <c r="FC30" s="1670"/>
      <c r="FD30" s="1670"/>
      <c r="FE30" s="1670"/>
      <c r="FF30" s="1670"/>
      <c r="FG30" s="1670"/>
      <c r="FH30" s="1670"/>
      <c r="FI30" s="1670"/>
      <c r="FJ30" s="1670"/>
      <c r="FK30" s="1670"/>
      <c r="FL30" s="1670"/>
      <c r="FM30" s="1670"/>
      <c r="FN30" s="1670"/>
      <c r="FO30" s="1670"/>
      <c r="FP30" s="1670"/>
      <c r="FQ30" s="1670"/>
      <c r="FR30" s="1670"/>
      <c r="FS30" s="1670"/>
      <c r="FT30" s="1670"/>
      <c r="FU30" s="1670"/>
      <c r="FV30" s="1670"/>
      <c r="FW30" s="1670"/>
      <c r="FX30" s="1670"/>
      <c r="FY30" s="1670"/>
      <c r="FZ30" s="1670"/>
      <c r="GA30" s="1670"/>
      <c r="GB30" s="1670"/>
      <c r="GC30" s="1670"/>
      <c r="GD30" s="1670"/>
      <c r="GE30" s="1670"/>
      <c r="GF30" s="1670"/>
      <c r="GG30" s="1670"/>
      <c r="GH30" s="1670"/>
      <c r="GI30" s="1670"/>
      <c r="GJ30" s="1670"/>
      <c r="GK30" s="1670"/>
      <c r="GL30" s="1670"/>
      <c r="GM30" s="1670"/>
      <c r="GN30" s="1670"/>
      <c r="GO30" s="1670"/>
      <c r="GP30" s="1670"/>
      <c r="GQ30" s="1670"/>
      <c r="GR30" s="1670"/>
      <c r="GS30" s="1670"/>
      <c r="GT30" s="1670"/>
      <c r="GU30" s="1670"/>
      <c r="GV30" s="1670"/>
      <c r="GW30" s="1670"/>
      <c r="GX30" s="1670"/>
      <c r="GY30" s="1670"/>
      <c r="GZ30" s="1670"/>
      <c r="HA30" s="1670"/>
      <c r="HB30" s="1670"/>
      <c r="HC30" s="1670"/>
      <c r="HD30" s="1670"/>
      <c r="HE30" s="1670"/>
      <c r="HF30" s="1670"/>
      <c r="HG30" s="1670"/>
      <c r="HH30" s="1670"/>
      <c r="HI30" s="1670"/>
      <c r="HJ30" s="1670"/>
      <c r="HK30" s="1670"/>
      <c r="HL30" s="1670"/>
      <c r="HM30" s="1670"/>
      <c r="HN30" s="1670"/>
      <c r="HO30" s="1670"/>
      <c r="HP30" s="1670"/>
      <c r="HQ30" s="1670"/>
      <c r="HR30" s="1670"/>
      <c r="HS30" s="1670"/>
      <c r="HT30" s="1670"/>
      <c r="HU30" s="1670"/>
      <c r="HV30" s="1670"/>
    </row>
    <row r="31" spans="1:230" ht="15">
      <c r="A31" s="1670"/>
      <c r="B31" s="1801"/>
      <c r="C31" s="1735"/>
      <c r="D31" s="1735"/>
      <c r="E31" s="1735"/>
      <c r="F31" s="1736"/>
      <c r="G31" s="1791"/>
      <c r="H31" s="1792"/>
      <c r="I31" s="1793"/>
      <c r="J31" s="1793"/>
      <c r="K31" s="1739"/>
      <c r="L31" s="1629"/>
      <c r="M31" s="1629"/>
      <c r="N31" s="1629"/>
      <c r="O31" s="1629"/>
      <c r="P31" s="1629"/>
      <c r="Q31" s="1629"/>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1640"/>
      <c r="AX31" s="1640"/>
      <c r="AY31" s="1640"/>
      <c r="AZ31" s="1640"/>
      <c r="BA31" s="1640"/>
      <c r="BB31" s="1640"/>
      <c r="BC31" s="1640"/>
      <c r="BD31" s="1640"/>
      <c r="BE31" s="1640"/>
      <c r="BF31" s="1640"/>
      <c r="BG31" s="1640"/>
      <c r="BH31" s="1639"/>
      <c r="BI31" s="1639"/>
      <c r="BJ31" s="1639"/>
      <c r="BK31" s="1639"/>
      <c r="BL31" s="1639"/>
      <c r="BM31" s="1639"/>
      <c r="BN31" s="1639"/>
      <c r="BO31" s="1639"/>
      <c r="BP31" s="1639"/>
      <c r="BQ31" s="1639"/>
      <c r="BR31" s="1639"/>
      <c r="BS31" s="1639"/>
      <c r="BT31" s="1639"/>
      <c r="BU31" s="1639"/>
      <c r="BV31" s="1639"/>
      <c r="BW31" s="1639"/>
      <c r="BX31" s="1639"/>
      <c r="BY31" s="1720"/>
      <c r="BZ31" s="1802"/>
      <c r="CA31" s="1804"/>
      <c r="CB31" s="1802"/>
      <c r="CC31" s="1802"/>
      <c r="CD31" s="1802"/>
      <c r="CE31" s="1802"/>
      <c r="CF31" s="1802"/>
      <c r="CG31" s="1796"/>
      <c r="CH31" s="1742"/>
      <c r="CI31" s="1802"/>
      <c r="CJ31" s="1802"/>
      <c r="CK31" s="1707"/>
      <c r="CL31" s="1808"/>
      <c r="CM31" s="1794"/>
      <c r="CN31" s="1794"/>
      <c r="CO31" s="1707"/>
      <c r="CP31" s="1794"/>
      <c r="CQ31" s="1794"/>
      <c r="CR31" s="1707"/>
      <c r="CS31" s="1794"/>
      <c r="CT31" s="1797"/>
      <c r="CU31" s="1798"/>
      <c r="CV31" s="1794"/>
      <c r="CW31" s="1845"/>
      <c r="CX31" s="1859"/>
      <c r="CY31" s="1707"/>
      <c r="CZ31" s="1742"/>
      <c r="DA31" s="1742"/>
      <c r="DB31" s="1742"/>
      <c r="DC31" s="1742"/>
      <c r="DD31" s="1742"/>
      <c r="DE31" s="1742"/>
      <c r="DF31" s="1742"/>
      <c r="DG31" s="1742"/>
      <c r="DH31" s="1742"/>
      <c r="DI31" s="1742"/>
      <c r="DJ31" s="1742"/>
      <c r="DK31" s="1707"/>
      <c r="DL31" s="1843"/>
      <c r="DM31" s="1843"/>
      <c r="DN31" s="1843"/>
      <c r="DO31" s="1843"/>
      <c r="DP31" s="1911"/>
      <c r="DQ31" s="1911"/>
      <c r="DR31" s="1670"/>
      <c r="DS31" s="1669"/>
      <c r="DT31" s="1669"/>
      <c r="DU31" s="1669"/>
      <c r="DV31" s="1669">
        <f>888.8-881.5</f>
        <v>7.2999999999999545</v>
      </c>
      <c r="DW31" s="1670"/>
      <c r="DX31" s="1670"/>
      <c r="DY31" s="1670"/>
      <c r="DZ31" s="1670"/>
      <c r="EA31" s="1670"/>
      <c r="EB31" s="1670"/>
      <c r="EC31" s="1670"/>
      <c r="ED31" s="1670"/>
      <c r="EE31" s="1670"/>
      <c r="EF31" s="1670"/>
      <c r="EG31" s="1670"/>
      <c r="EH31" s="1670"/>
      <c r="EI31" s="1670"/>
      <c r="EJ31" s="1670"/>
      <c r="EK31" s="1670"/>
      <c r="EL31" s="1670"/>
      <c r="EM31" s="1670"/>
      <c r="EN31" s="1670"/>
      <c r="EO31" s="1670"/>
      <c r="EP31" s="1670"/>
      <c r="EQ31" s="1670"/>
      <c r="ER31" s="1670"/>
      <c r="ES31" s="1670"/>
      <c r="ET31" s="1670"/>
      <c r="EU31" s="1670"/>
      <c r="EV31" s="1670"/>
      <c r="EW31" s="1670"/>
      <c r="EX31" s="1670"/>
      <c r="EY31" s="1670"/>
      <c r="EZ31" s="1670"/>
      <c r="FA31" s="1670"/>
      <c r="FB31" s="1670"/>
      <c r="FC31" s="1670"/>
      <c r="FD31" s="1670"/>
      <c r="FE31" s="1670"/>
      <c r="FF31" s="1670"/>
      <c r="FG31" s="1670"/>
      <c r="FH31" s="1670"/>
      <c r="FI31" s="1670"/>
      <c r="FJ31" s="1670"/>
      <c r="FK31" s="1670"/>
      <c r="FL31" s="1670"/>
      <c r="FM31" s="1670"/>
      <c r="FN31" s="1670"/>
      <c r="FO31" s="1670"/>
      <c r="FP31" s="1670"/>
      <c r="FQ31" s="1670"/>
      <c r="FR31" s="1670"/>
      <c r="FS31" s="1670"/>
      <c r="FT31" s="1670"/>
      <c r="FU31" s="1670"/>
      <c r="FV31" s="1670"/>
      <c r="FW31" s="1670"/>
      <c r="FX31" s="1670"/>
      <c r="FY31" s="1670"/>
      <c r="FZ31" s="1670"/>
      <c r="GA31" s="1670"/>
      <c r="GB31" s="1670"/>
      <c r="GC31" s="1670"/>
      <c r="GD31" s="1670"/>
      <c r="GE31" s="1670"/>
      <c r="GF31" s="1670"/>
      <c r="GG31" s="1670"/>
      <c r="GH31" s="1670"/>
      <c r="GI31" s="1670"/>
      <c r="GJ31" s="1670"/>
      <c r="GK31" s="1670"/>
      <c r="GL31" s="1670"/>
      <c r="GM31" s="1670"/>
      <c r="GN31" s="1670"/>
      <c r="GO31" s="1670"/>
      <c r="GP31" s="1670"/>
      <c r="GQ31" s="1670"/>
      <c r="GR31" s="1670"/>
      <c r="GS31" s="1670"/>
      <c r="GT31" s="1670"/>
      <c r="GU31" s="1670"/>
      <c r="GV31" s="1670"/>
      <c r="GW31" s="1670"/>
      <c r="GX31" s="1670"/>
      <c r="GY31" s="1670"/>
      <c r="GZ31" s="1670"/>
      <c r="HA31" s="1670"/>
      <c r="HB31" s="1670"/>
      <c r="HC31" s="1670"/>
      <c r="HD31" s="1670"/>
      <c r="HE31" s="1670"/>
      <c r="HF31" s="1670"/>
      <c r="HG31" s="1670"/>
      <c r="HH31" s="1670"/>
      <c r="HI31" s="1670"/>
      <c r="HJ31" s="1670"/>
      <c r="HK31" s="1670"/>
      <c r="HL31" s="1670"/>
      <c r="HM31" s="1670"/>
      <c r="HN31" s="1670"/>
      <c r="HO31" s="1670"/>
      <c r="HP31" s="1670"/>
      <c r="HQ31" s="1670"/>
      <c r="HR31" s="1670"/>
      <c r="HS31" s="1670"/>
      <c r="HT31" s="1670"/>
      <c r="HU31" s="1670"/>
      <c r="HV31" s="1670"/>
    </row>
    <row r="32" spans="1:230" ht="15">
      <c r="A32" s="1670"/>
      <c r="B32" s="1744" t="s">
        <v>1440</v>
      </c>
      <c r="C32" s="1746" t="s">
        <v>244</v>
      </c>
      <c r="D32" s="1747" t="s">
        <v>244</v>
      </c>
      <c r="E32" s="1747" t="s">
        <v>244</v>
      </c>
      <c r="F32" s="1748" t="s">
        <v>244</v>
      </c>
      <c r="G32" s="1791">
        <f>30.72/[19]ExRate!Q18</f>
        <v>0.8578609327003629</v>
      </c>
      <c r="H32" s="1792">
        <f>91.22/[19]ExRate!R18</f>
        <v>2.1591554629804963</v>
      </c>
      <c r="I32" s="1793" t="e">
        <f>(128.52-2.99)/#REF!</f>
        <v>#REF!</v>
      </c>
      <c r="J32" s="1793" t="e">
        <f>(564.59-3.42)/#REF!</f>
        <v>#REF!</v>
      </c>
      <c r="K32" s="1739" t="e">
        <f>(695.91-3.98)/#REF!</f>
        <v>#REF!</v>
      </c>
      <c r="L32" s="1629" t="e">
        <f>(955.66-2.8)/#REF!</f>
        <v>#REF!</v>
      </c>
      <c r="M32" s="1629">
        <f>(872.33-4.39)/[20]ExRate!V19</f>
        <v>17.798785989664506</v>
      </c>
      <c r="N32" s="1629">
        <f>(906.68-5.67)/[21]ExRate!V20</f>
        <v>18.544260810504866</v>
      </c>
      <c r="O32" s="1629">
        <f>(942.29-7.81)/[21]ExRate!V20</f>
        <v>19.233128203017266</v>
      </c>
      <c r="P32" s="1629" t="e">
        <f>(826.29-6.27)/#REF!</f>
        <v>#REF!</v>
      </c>
      <c r="Q32" s="1629" t="e">
        <f>(694.59-4.12)/#REF!</f>
        <v>#REF!</v>
      </c>
      <c r="R32" s="1641">
        <f>(464.25-4.62)/[22]ExRate!V24</f>
        <v>9.5481739997507162</v>
      </c>
      <c r="S32" s="1641" t="e">
        <f>(492.52-6.71)/#REF!</f>
        <v>#REF!</v>
      </c>
      <c r="T32" s="1641" t="e">
        <f>(576.27-11.38)/#REF!</f>
        <v>#REF!</v>
      </c>
      <c r="U32" s="1641" t="e">
        <f>(629.21-9.23)/#REF!</f>
        <v>#REF!</v>
      </c>
      <c r="V32" s="1641" t="e">
        <f>(701.4-13.63)/#REF!</f>
        <v>#REF!</v>
      </c>
      <c r="W32" s="1641" t="e">
        <f>(893.44-11.19)/#REF!</f>
        <v>#REF!</v>
      </c>
      <c r="X32" s="1641" t="e">
        <f>(840.11-12.47)/#REF!</f>
        <v>#REF!</v>
      </c>
      <c r="Y32" s="1641" t="e">
        <f>(691.19-14.65)/#REF!</f>
        <v>#REF!</v>
      </c>
      <c r="Z32" s="1641" t="e">
        <f>(599.31-10.49)/#REF!</f>
        <v>#REF!</v>
      </c>
      <c r="AA32" s="1641" t="e">
        <f>(567.05-7.58)/#REF!</f>
        <v>#REF!</v>
      </c>
      <c r="AB32" s="1641" t="e">
        <f>(381.9-10.63)/#REF!</f>
        <v>#REF!</v>
      </c>
      <c r="AC32" s="1641" t="e">
        <f>(363.7-12.78)/#REF!</f>
        <v>#REF!</v>
      </c>
      <c r="AD32" s="1641" t="e">
        <f>(356.22-7.9)/#REF!</f>
        <v>#REF!</v>
      </c>
      <c r="AE32" s="1641" t="e">
        <f>(345.56-4.1)/#REF!</f>
        <v>#REF!</v>
      </c>
      <c r="AF32" s="1641" t="e">
        <f>(406.92-8.39)/#REF!</f>
        <v>#REF!</v>
      </c>
      <c r="AG32" s="1641" t="e">
        <f>(440.55-15.37)/#REF!</f>
        <v>#REF!</v>
      </c>
      <c r="AH32" s="1641" t="e">
        <f>(474.03-14.83)/#REF!</f>
        <v>#REF!</v>
      </c>
      <c r="AI32" s="1641" t="e">
        <f>(328.77-8.14)/#REF!</f>
        <v>#REF!</v>
      </c>
      <c r="AJ32" s="1641" t="e">
        <f>(336.62-16.62)/#REF!</f>
        <v>#REF!</v>
      </c>
      <c r="AK32" s="1641" t="e">
        <f>(253.95-9.87)/#REF!</f>
        <v>#REF!</v>
      </c>
      <c r="AL32" s="1641" t="e">
        <f>(255.18-12.1)/#REF!</f>
        <v>#REF!</v>
      </c>
      <c r="AM32" s="1641" t="e">
        <f>(454.99-12.85)/#REF!</f>
        <v>#REF!</v>
      </c>
      <c r="AN32" s="1641" t="e">
        <f>(272.52-6.43)/#REF!</f>
        <v>#REF!</v>
      </c>
      <c r="AO32" s="1641" t="e">
        <f>(447.1-11.28)/#REF!</f>
        <v>#REF!</v>
      </c>
      <c r="AP32" s="1641" t="e">
        <f>(233.45-17.27)/#REF!</f>
        <v>#REF!</v>
      </c>
      <c r="AQ32" s="1641" t="e">
        <f>(267.73-9.88)/#REF!</f>
        <v>#REF!</v>
      </c>
      <c r="AR32" s="1641" t="e">
        <f>(357.64-12.83)/#REF!</f>
        <v>#REF!</v>
      </c>
      <c r="AS32" s="1641" t="e">
        <f>(435.32-22.33)/#REF!</f>
        <v>#REF!</v>
      </c>
      <c r="AT32" s="1641" t="e">
        <f>(370.078-28.03)/#REF!</f>
        <v>#REF!</v>
      </c>
      <c r="AU32" s="1641" t="e">
        <f>(414.4-19.02)/#REF!</f>
        <v>#REF!</v>
      </c>
      <c r="AV32" s="1641" t="e">
        <f>(442.54-12.03)/#REF!</f>
        <v>#REF!</v>
      </c>
      <c r="AW32" s="1617">
        <f>('[11]BNB Assets'!O40-'[11]BNB Assets'!Q40)/[71]Exrate!Y15</f>
        <v>11.428625134084129</v>
      </c>
      <c r="AX32" s="1617" t="e">
        <f>('[11]BNB Assets'!$O41-'[11]BNB Assets'!$Q41)/#REF!</f>
        <v>#REF!</v>
      </c>
      <c r="AY32" s="1617" t="e">
        <f>('[11]BNB Assets'!$O42-'[11]BNB Assets'!$Q42)/#REF!</f>
        <v>#REF!</v>
      </c>
      <c r="AZ32" s="1617" t="e">
        <f>('[11]BNB Assets'!$O43-'[11]BNB Assets'!$Q43)/#REF!</f>
        <v>#REF!</v>
      </c>
      <c r="BA32" s="1617" t="e">
        <f>('[11]BNB Assets'!$O44-'[11]BNB Assets'!$Q44)/#REF!</f>
        <v>#REF!</v>
      </c>
      <c r="BB32" s="1641" t="e">
        <f>('[11]BNB Assets'!$O45-'[11]BNB Assets'!$Q45)/#REF!</f>
        <v>#REF!</v>
      </c>
      <c r="BC32" s="1641" t="e">
        <f>('[11]BNB Assets'!$O46-'[11]BNB Assets'!$Q46)/#REF!</f>
        <v>#REF!</v>
      </c>
      <c r="BD32" s="1641" t="e">
        <f>('[11]BNB Assets'!$O47-'[11]BNB Assets'!$Q47)/#REF!</f>
        <v>#REF!</v>
      </c>
      <c r="BE32" s="1641" t="e">
        <f>('[11]BNB Assets'!$O48-'[11]BNB Assets'!$Q48)/#REF!</f>
        <v>#REF!</v>
      </c>
      <c r="BF32" s="1641" t="e">
        <f>('[11]BNB Assets'!$O49-'[11]BNB Assets'!$Q49)/#REF!</f>
        <v>#REF!</v>
      </c>
      <c r="BG32" s="1641" t="e">
        <f>('[11]BNB Assets'!$O50-'[11]BNB Assets'!$Q50)/#REF!</f>
        <v>#REF!</v>
      </c>
      <c r="BH32" s="1641" t="e">
        <f>('[11]BNB Assets'!$O51-'[11]BNB Assets'!$Q51)/#REF!</f>
        <v>#REF!</v>
      </c>
      <c r="BI32" s="1641" t="e">
        <f>('[11]BNB Assets'!$O52-'[11]BNB Assets'!$Q52)/#REF!</f>
        <v>#REF!</v>
      </c>
      <c r="BJ32" s="1641" t="e">
        <f>('[11]BNB Assets'!$O53-'[11]BNB Assets'!$Q53)/#REF!</f>
        <v>#REF!</v>
      </c>
      <c r="BK32" s="1641" t="e">
        <f>('[11]BNB Assets'!$O54-'[11]BNB Assets'!$Q54)/#REF!</f>
        <v>#REF!</v>
      </c>
      <c r="BL32" s="1641" t="e">
        <f>('[11]BNB Assets'!$O55-'[11]BNB Assets'!$Q55)/#REF!</f>
        <v>#REF!</v>
      </c>
      <c r="BM32" s="1641" t="e">
        <f>('[11]BNB Assets'!$O56-'[11]BNB Assets'!$Q56)/#REF!</f>
        <v>#REF!</v>
      </c>
      <c r="BN32" s="1641" t="e">
        <f>('[11]BNB Assets'!$O57-'[11]BNB Assets'!$Q57)/#REF!</f>
        <v>#REF!</v>
      </c>
      <c r="BO32" s="1641" t="e">
        <f>('[11]BNB Assets'!$O58-'[11]BNB Assets'!$Q58)/#REF!</f>
        <v>#REF!</v>
      </c>
      <c r="BP32" s="1641" t="e">
        <f>('[11]BNB Assets'!$O59-'[11]BNB Assets'!$Q59)/#REF!</f>
        <v>#REF!</v>
      </c>
      <c r="BQ32" s="1641" t="e">
        <f>('[11]BNB Assets'!$O60-'[11]BNB Assets'!$Q60)/#REF!</f>
        <v>#REF!</v>
      </c>
      <c r="BR32" s="1641" t="e">
        <f>('[11]BNB Assets'!$O61-'[11]BNB Assets'!$Q61)/#REF!</f>
        <v>#REF!</v>
      </c>
      <c r="BS32" s="1641" t="e">
        <f>('[11]BNB Assets'!$O62-'[11]BNB Assets'!$Q62)/#REF!</f>
        <v>#REF!</v>
      </c>
      <c r="BT32" s="1641" t="e">
        <f>('[11]BNB Assets'!$O63-'[11]BNB Assets'!$Q63)/#REF!</f>
        <v>#REF!</v>
      </c>
      <c r="BU32" s="1641" t="e">
        <f>('[11]BNB Assets'!$O64-'[11]BNB Assets'!$Q64)/#REF!</f>
        <v>#REF!</v>
      </c>
      <c r="BV32" s="1641" t="e">
        <f>('[11]BNB Assets'!$O65-'[11]BNB Assets'!$Q65)/#REF!</f>
        <v>#REF!</v>
      </c>
      <c r="BW32" s="1641" t="e">
        <f>('[11]BNB Assets'!$O66-'[11]BNB Assets'!$Q66)/#REF!</f>
        <v>#REF!</v>
      </c>
      <c r="BX32" s="1641" t="e">
        <f>('[11]BNB Assets'!$O67-'[11]BNB Assets'!$Q67)/#REF!</f>
        <v>#REF!</v>
      </c>
      <c r="BY32" s="1617" t="e">
        <f>('[11]BNB Assets'!$O68-'[11]BNB Assets'!$Q68)/#REF!</f>
        <v>#REF!</v>
      </c>
      <c r="BZ32" s="1907" t="e">
        <f>('[11]BNB Assets'!$O69-'[11]BNB Assets'!$Q69)/#REF!</f>
        <v>#REF!</v>
      </c>
      <c r="CA32" s="1802" t="e">
        <f>('[11]BNB Assets'!$O70-'[11]BNB Assets'!$Q70)/#REF!</f>
        <v>#REF!</v>
      </c>
      <c r="CB32" s="1802" t="e">
        <f>('[11]BNB Assets'!$O70-'[11]BNB Assets'!$Q70)/#REF!</f>
        <v>#REF!</v>
      </c>
      <c r="CC32" s="1802" t="e">
        <f>('[11]BNB Assets'!$O72-'[11]BNB Assets'!$Q72)/#REF!</f>
        <v>#REF!</v>
      </c>
      <c r="CD32" s="1802" t="e">
        <f>('[11]BNB Assets'!$O73-'[11]BNB Assets'!$Q73)/#REF!</f>
        <v>#REF!</v>
      </c>
      <c r="CE32" s="1802" t="e">
        <f>('[11]BNB Assets'!$O74-'[11]BNB Assets'!$Q74)/#REF!</f>
        <v>#REF!</v>
      </c>
      <c r="CF32" s="1802" t="e">
        <f>('[11]BNB Assets'!$O75-'[11]BNB Assets'!$Q75)/#REF!</f>
        <v>#REF!</v>
      </c>
      <c r="CG32" s="1802" t="e">
        <f>('[11]BNB Assets'!$O76-'[11]BNB Assets'!$Q76)/#REF!</f>
        <v>#REF!</v>
      </c>
      <c r="CH32" s="1617" t="e">
        <f>('[11]BNB Assets'!$O77-'[11]BNB Assets'!$Q77)/#REF!</f>
        <v>#REF!</v>
      </c>
      <c r="CI32" s="1802" t="e">
        <f>('[11]BNB Assets'!$O78-'[11]BNB Assets'!$Q78)/#REF!</f>
        <v>#REF!</v>
      </c>
      <c r="CJ32" s="1802" t="e">
        <f>('[11]BNB Assets'!$O79-'[11]BNB Assets'!$Q79)/#REF!</f>
        <v>#REF!</v>
      </c>
      <c r="CK32" s="1742" t="e">
        <f>('[11]BNB Assets'!$O80-'[11]BNB Assets'!$Q80)/#REF!</f>
        <v>#REF!</v>
      </c>
      <c r="CL32" s="1809" t="e">
        <f>('[11]BNB Assets'!$O81-'[11]BNB Assets'!$Q81)/#REF!</f>
        <v>#REF!</v>
      </c>
      <c r="CM32" s="1802" t="e">
        <f>('[11]BNB Assets'!$O82-'[11]BNB Assets'!$Q82)/#REF!</f>
        <v>#REF!</v>
      </c>
      <c r="CN32" s="1802" t="e">
        <f>('[11]BNB Assets'!$O83-'[11]BNB Assets'!$Q83)/#REF!</f>
        <v>#REF!</v>
      </c>
      <c r="CO32" s="1617" t="e">
        <f>('[11]BNB Assets'!$O84-'[11]BNB Assets'!$Q84)/#REF!</f>
        <v>#REF!</v>
      </c>
      <c r="CP32" s="1802" t="e">
        <f>('[11]BNB Assets'!$O85-'[11]BNB Assets'!$Q85)/#REF!</f>
        <v>#REF!</v>
      </c>
      <c r="CQ32" s="1802" t="e">
        <f>('[11]BNB Assets'!$O86-'[11]BNB Assets'!$Q86)/#REF!</f>
        <v>#REF!</v>
      </c>
      <c r="CR32" s="1617" t="e">
        <f>('[11]BNB Assets'!$O87-'[11]BNB Assets'!$Q87)/#REF!</f>
        <v>#REF!</v>
      </c>
      <c r="CS32" s="1802" t="e">
        <f>('[11]BNB Assets'!$O88-'[11]BNB Assets'!$Q88)/#REF!</f>
        <v>#REF!</v>
      </c>
      <c r="CT32" s="1796" t="e">
        <f>('[11]BNB Assets'!$O89-'[11]BNB Assets'!$Q89)/#REF!</f>
        <v>#REF!</v>
      </c>
      <c r="CU32" s="1617" t="e">
        <f>('[11]BNB Assets'!$O90-'[11]BNB Assets'!$Q90)/#REF!</f>
        <v>#REF!</v>
      </c>
      <c r="CV32" s="1802" t="e">
        <f>('[11]BNB Assets'!$O91-'[11]BNB Assets'!$Q91)/#REF!</f>
        <v>#REF!</v>
      </c>
      <c r="CW32" s="1846" t="e">
        <f>('[11]BNB Assets'!$O92-'[11]BNB Assets'!$Q92)/#REF!</f>
        <v>#REF!</v>
      </c>
      <c r="CX32" s="1860" t="e">
        <f>('[11]BNB Assets'!$O93-'[11]BNB Assets'!$Q93)/#REF!</f>
        <v>#REF!</v>
      </c>
      <c r="CY32" s="1742" t="e">
        <f>('[11]BNB Assets'!$O94-'[11]BNB Assets'!$Q94)/#REF!</f>
        <v>#REF!</v>
      </c>
      <c r="CZ32" s="1742" t="e">
        <f>('[11]BNB Assets'!$O95-'[11]BNB Assets'!$Q95)/#REF!</f>
        <v>#REF!</v>
      </c>
      <c r="DA32" s="1742" t="e">
        <f>('[11]BNB Assets'!$O96-'[11]BNB Assets'!$Q96)/#REF!</f>
        <v>#REF!</v>
      </c>
      <c r="DB32" s="1742" t="e">
        <f>('[11]BNB Assets'!$O97-'[11]BNB Assets'!$Q97)/#REF!</f>
        <v>#REF!</v>
      </c>
      <c r="DC32" s="1628" t="e">
        <f>('[11]BNB Assets'!$O98-'[11]BNB Assets'!$Q98)/#REF!</f>
        <v>#REF!</v>
      </c>
      <c r="DD32" s="1742" t="e">
        <f>('[11]BNB Assets'!$O99-'[11]BNB Assets'!$Q99)/#REF!</f>
        <v>#REF!</v>
      </c>
      <c r="DE32" s="1628" t="e">
        <f>('[11]BNB Assets'!$O100-'[11]BNB Assets'!$Q100)/#REF!</f>
        <v>#REF!</v>
      </c>
      <c r="DF32" s="1742" t="e">
        <f>('[11]BNB Assets'!$O101-'[11]BNB Assets'!$Q101)/#REF!</f>
        <v>#REF!</v>
      </c>
      <c r="DG32" s="1742" t="e">
        <f>('[11]BNB Assets'!$O102-'[11]BNB Assets'!$Q102)/#REF!</f>
        <v>#REF!</v>
      </c>
      <c r="DH32" s="1742" t="e">
        <f>('[11]BNB Assets'!$O103-'[11]BNB Assets'!$Q103)/#REF!</f>
        <v>#REF!</v>
      </c>
      <c r="DI32" s="1742" t="e">
        <f>('[11]BNB Assets'!$O104-'[11]BNB Assets'!$Q104)/#REF!</f>
        <v>#REF!</v>
      </c>
      <c r="DJ32" s="1742" t="e">
        <f>('[11]BNB Assets'!$O105-'[11]BNB Assets'!$Q105)/#REF!</f>
        <v>#REF!</v>
      </c>
      <c r="DK32" s="1742" t="e">
        <f>('[11]BNB Assets'!$O106-'[11]BNB Assets'!$Q106)/#REF!</f>
        <v>#REF!</v>
      </c>
      <c r="DL32" s="1742" t="e">
        <f>('[11]BNB Assets'!$O107-'[11]BNB Assets'!$Q107)/#REF!</f>
        <v>#REF!</v>
      </c>
      <c r="DM32" s="1742" t="e">
        <f>('[11]BNB Assets'!$O108-'[11]BNB Assets'!$Q108)/#REF!</f>
        <v>#REF!</v>
      </c>
      <c r="DN32" s="1742" t="e">
        <f>('[11]BNB Assets'!$O109-'[11]BNB Assets'!$Q109)/#REF!</f>
        <v>#REF!</v>
      </c>
      <c r="DO32" s="1742" t="e">
        <f>('[11]BNB Assets'!$O110-'[11]BNB Assets'!$Q110)/#REF!</f>
        <v>#REF!</v>
      </c>
      <c r="DP32" s="1742" t="e">
        <f>('[11]BNB Assets'!$O111-'[11]BNB Assets'!$Q111)/#REF!</f>
        <v>#REF!</v>
      </c>
      <c r="DQ32" s="1742" t="e">
        <f>('[11]BNB Assets'!$O111-'[11]BNB Assets'!$Q111)/#REF!</f>
        <v>#REF!</v>
      </c>
      <c r="DR32" s="1670"/>
      <c r="DS32" s="1669"/>
      <c r="DT32" s="1669"/>
      <c r="DU32" s="1669"/>
      <c r="DV32" s="1669"/>
      <c r="DW32" s="1670"/>
      <c r="DX32" s="1670"/>
      <c r="DY32" s="1672"/>
      <c r="DZ32" s="1670"/>
      <c r="EA32" s="1670"/>
      <c r="EB32" s="1670"/>
      <c r="EC32" s="1670"/>
      <c r="ED32" s="1670"/>
      <c r="EE32" s="1670"/>
      <c r="EF32" s="1670"/>
      <c r="EG32" s="1670"/>
      <c r="EH32" s="1670"/>
      <c r="EI32" s="1670"/>
      <c r="EJ32" s="1670"/>
      <c r="EK32" s="1670"/>
      <c r="EL32" s="1670"/>
      <c r="EM32" s="1670"/>
      <c r="EN32" s="1670"/>
      <c r="EO32" s="1670"/>
      <c r="EP32" s="1670"/>
      <c r="EQ32" s="1670"/>
      <c r="ER32" s="1670"/>
      <c r="ES32" s="1670"/>
      <c r="ET32" s="1670"/>
      <c r="EU32" s="1670"/>
      <c r="EV32" s="1670"/>
      <c r="EW32" s="1670"/>
      <c r="EX32" s="1670"/>
      <c r="EY32" s="1670"/>
      <c r="EZ32" s="1670"/>
      <c r="FA32" s="1670"/>
      <c r="FB32" s="1670"/>
      <c r="FC32" s="1670"/>
      <c r="FD32" s="1670"/>
      <c r="FE32" s="1670"/>
      <c r="FF32" s="1670"/>
      <c r="FG32" s="1670"/>
      <c r="FH32" s="1670"/>
      <c r="FI32" s="1670"/>
      <c r="FJ32" s="1670"/>
      <c r="FK32" s="1670"/>
      <c r="FL32" s="1670"/>
      <c r="FM32" s="1670"/>
      <c r="FN32" s="1670"/>
      <c r="FO32" s="1670"/>
      <c r="FP32" s="1670"/>
      <c r="FQ32" s="1670"/>
      <c r="FR32" s="1670"/>
      <c r="FS32" s="1670"/>
      <c r="FT32" s="1670"/>
      <c r="FU32" s="1670"/>
      <c r="FV32" s="1670"/>
      <c r="FW32" s="1670"/>
      <c r="FX32" s="1670"/>
      <c r="FY32" s="1670"/>
      <c r="FZ32" s="1670"/>
      <c r="GA32" s="1670"/>
      <c r="GB32" s="1670"/>
      <c r="GC32" s="1670"/>
      <c r="GD32" s="1670"/>
      <c r="GE32" s="1670"/>
      <c r="GF32" s="1670"/>
      <c r="GG32" s="1670"/>
      <c r="GH32" s="1670"/>
      <c r="GI32" s="1670"/>
      <c r="GJ32" s="1670"/>
      <c r="GK32" s="1670"/>
      <c r="GL32" s="1670"/>
      <c r="GM32" s="1670"/>
      <c r="GN32" s="1670"/>
      <c r="GO32" s="1670"/>
      <c r="GP32" s="1670"/>
      <c r="GQ32" s="1670"/>
      <c r="GR32" s="1670"/>
      <c r="GS32" s="1670"/>
      <c r="GT32" s="1670"/>
      <c r="GU32" s="1670"/>
      <c r="GV32" s="1670"/>
      <c r="GW32" s="1670"/>
      <c r="GX32" s="1670"/>
      <c r="GY32" s="1670"/>
      <c r="GZ32" s="1670"/>
      <c r="HA32" s="1670"/>
      <c r="HB32" s="1670"/>
      <c r="HC32" s="1670"/>
      <c r="HD32" s="1670"/>
      <c r="HE32" s="1670"/>
      <c r="HF32" s="1670"/>
      <c r="HG32" s="1670"/>
      <c r="HH32" s="1670"/>
      <c r="HI32" s="1670"/>
      <c r="HJ32" s="1670"/>
      <c r="HK32" s="1670"/>
      <c r="HL32" s="1670"/>
      <c r="HM32" s="1670"/>
      <c r="HN32" s="1670"/>
      <c r="HO32" s="1670"/>
      <c r="HP32" s="1670"/>
      <c r="HQ32" s="1670"/>
      <c r="HR32" s="1670"/>
      <c r="HS32" s="1670"/>
      <c r="HT32" s="1670"/>
      <c r="HU32" s="1670"/>
      <c r="HV32" s="1670"/>
    </row>
    <row r="33" spans="1:231" ht="15">
      <c r="A33" s="1670"/>
      <c r="B33" s="1744"/>
      <c r="C33" s="1746"/>
      <c r="D33" s="1746"/>
      <c r="E33" s="1746"/>
      <c r="F33" s="1619"/>
      <c r="G33" s="1791"/>
      <c r="H33" s="1792"/>
      <c r="I33" s="1793"/>
      <c r="J33" s="1793"/>
      <c r="K33" s="1739"/>
      <c r="L33" s="1629"/>
      <c r="M33" s="1629"/>
      <c r="N33" s="1629"/>
      <c r="O33" s="1629"/>
      <c r="P33" s="1629"/>
      <c r="Q33" s="1629"/>
      <c r="R33" s="1641"/>
      <c r="S33" s="1641"/>
      <c r="T33" s="1641"/>
      <c r="U33" s="1641"/>
      <c r="V33" s="1641"/>
      <c r="W33" s="1641"/>
      <c r="X33" s="1641"/>
      <c r="Y33" s="1641"/>
      <c r="Z33" s="1641"/>
      <c r="AA33" s="1641"/>
      <c r="AB33" s="1641"/>
      <c r="AC33" s="1641"/>
      <c r="AD33" s="1641"/>
      <c r="AE33" s="1641"/>
      <c r="AF33" s="1641"/>
      <c r="AG33" s="1641"/>
      <c r="AH33" s="1641"/>
      <c r="AI33" s="1641"/>
      <c r="AJ33" s="1641"/>
      <c r="AK33" s="1641"/>
      <c r="AL33" s="1641"/>
      <c r="AM33" s="1641"/>
      <c r="AN33" s="1641"/>
      <c r="AO33" s="1641"/>
      <c r="AP33" s="1641"/>
      <c r="AQ33" s="1641"/>
      <c r="AR33" s="1641"/>
      <c r="AS33" s="1641"/>
      <c r="AT33" s="1641"/>
      <c r="AU33" s="1641"/>
      <c r="AV33" s="1641"/>
      <c r="AW33" s="1617"/>
      <c r="AX33" s="1617"/>
      <c r="AY33" s="1617"/>
      <c r="AZ33" s="1617"/>
      <c r="BA33" s="1617"/>
      <c r="BB33" s="1641"/>
      <c r="BC33" s="1641"/>
      <c r="BD33" s="1641"/>
      <c r="BE33" s="1641"/>
      <c r="BF33" s="1641"/>
      <c r="BG33" s="1641"/>
      <c r="BH33" s="1641"/>
      <c r="BI33" s="1641"/>
      <c r="BJ33" s="1641"/>
      <c r="BK33" s="1641"/>
      <c r="BL33" s="1641"/>
      <c r="BM33" s="1641"/>
      <c r="BN33" s="1641"/>
      <c r="BO33" s="1641"/>
      <c r="BP33" s="1641"/>
      <c r="BQ33" s="1641"/>
      <c r="BR33" s="1641"/>
      <c r="BS33" s="1641"/>
      <c r="BT33" s="1641"/>
      <c r="BU33" s="1641"/>
      <c r="BV33" s="1641"/>
      <c r="BW33" s="1641"/>
      <c r="BX33" s="1641"/>
      <c r="BY33" s="1617"/>
      <c r="BZ33" s="1811"/>
      <c r="CA33" s="1810"/>
      <c r="CB33" s="1810"/>
      <c r="CC33" s="1810"/>
      <c r="CD33" s="1810"/>
      <c r="CE33" s="1810"/>
      <c r="CF33" s="1810"/>
      <c r="CG33" s="1810"/>
      <c r="CH33" s="1617"/>
      <c r="CI33" s="1810"/>
      <c r="CJ33" s="1810"/>
      <c r="CK33" s="1742"/>
      <c r="CL33" s="1809"/>
      <c r="CM33" s="1802"/>
      <c r="CN33" s="1802"/>
      <c r="CO33" s="1617"/>
      <c r="CP33" s="1802"/>
      <c r="CQ33" s="1802"/>
      <c r="CR33" s="1617"/>
      <c r="CS33" s="1802"/>
      <c r="CT33" s="1796"/>
      <c r="CU33" s="1617"/>
      <c r="CV33" s="1802"/>
      <c r="CW33" s="1846"/>
      <c r="CX33" s="1860"/>
      <c r="CY33" s="1742"/>
      <c r="CZ33" s="1742"/>
      <c r="DA33" s="1742"/>
      <c r="DB33" s="1742"/>
      <c r="DC33" s="1628"/>
      <c r="DD33" s="1742"/>
      <c r="DE33" s="1742"/>
      <c r="DF33" s="1742"/>
      <c r="DG33" s="1742"/>
      <c r="DH33" s="1742"/>
      <c r="DI33" s="1742"/>
      <c r="DJ33" s="1742"/>
      <c r="DK33" s="1707"/>
      <c r="DL33" s="1843"/>
      <c r="DM33" s="1843"/>
      <c r="DN33" s="1843"/>
      <c r="DO33" s="1843"/>
      <c r="DP33" s="1911"/>
      <c r="DQ33" s="1911"/>
      <c r="DR33" s="1670" t="s">
        <v>1441</v>
      </c>
      <c r="DS33" s="1669"/>
      <c r="DT33" s="1669"/>
      <c r="DU33" s="1669"/>
      <c r="DV33" s="1669"/>
      <c r="DW33" s="1670"/>
      <c r="DX33" s="1670"/>
      <c r="DY33" s="1670"/>
      <c r="DZ33" s="1670"/>
      <c r="EA33" s="1670"/>
      <c r="EB33" s="1670"/>
      <c r="EC33" s="1670"/>
      <c r="ED33" s="1670"/>
      <c r="EE33" s="1670"/>
      <c r="EF33" s="1670"/>
      <c r="EG33" s="1670"/>
      <c r="EH33" s="1670"/>
      <c r="EI33" s="1670"/>
      <c r="EJ33" s="1670"/>
      <c r="EK33" s="1670"/>
      <c r="EL33" s="1670"/>
      <c r="EM33" s="1670"/>
      <c r="EN33" s="1670"/>
      <c r="EO33" s="1670"/>
      <c r="EP33" s="1670"/>
      <c r="EQ33" s="1670"/>
      <c r="ER33" s="1670"/>
      <c r="ES33" s="1670"/>
      <c r="ET33" s="1670"/>
      <c r="EU33" s="1670"/>
      <c r="EV33" s="1670"/>
      <c r="EW33" s="1670"/>
      <c r="EX33" s="1670"/>
      <c r="EY33" s="1670"/>
      <c r="EZ33" s="1670"/>
      <c r="FA33" s="1670"/>
      <c r="FB33" s="1670"/>
      <c r="FC33" s="1670"/>
      <c r="FD33" s="1670"/>
      <c r="FE33" s="1670"/>
      <c r="FF33" s="1670"/>
      <c r="FG33" s="1670"/>
      <c r="FH33" s="1670"/>
      <c r="FI33" s="1670"/>
      <c r="FJ33" s="1670"/>
      <c r="FK33" s="1670"/>
      <c r="FL33" s="1670"/>
      <c r="FM33" s="1670"/>
      <c r="FN33" s="1670"/>
      <c r="FO33" s="1670"/>
      <c r="FP33" s="1670"/>
      <c r="FQ33" s="1670"/>
      <c r="FR33" s="1670"/>
      <c r="FS33" s="1670"/>
      <c r="FT33" s="1670"/>
      <c r="FU33" s="1670"/>
      <c r="FV33" s="1670"/>
      <c r="FW33" s="1670"/>
      <c r="FX33" s="1670"/>
      <c r="FY33" s="1670"/>
      <c r="FZ33" s="1670"/>
      <c r="GA33" s="1670"/>
      <c r="GB33" s="1670"/>
      <c r="GC33" s="1670"/>
      <c r="GD33" s="1670"/>
      <c r="GE33" s="1670"/>
      <c r="GF33" s="1670"/>
      <c r="GG33" s="1670"/>
      <c r="GH33" s="1670"/>
      <c r="GI33" s="1670"/>
      <c r="GJ33" s="1670"/>
      <c r="GK33" s="1670"/>
      <c r="GL33" s="1670"/>
      <c r="GM33" s="1670"/>
      <c r="GN33" s="1670"/>
      <c r="GO33" s="1670"/>
      <c r="GP33" s="1670"/>
      <c r="GQ33" s="1670"/>
      <c r="GR33" s="1670"/>
      <c r="GS33" s="1670"/>
      <c r="GT33" s="1670"/>
      <c r="GU33" s="1670"/>
      <c r="GV33" s="1670"/>
      <c r="GW33" s="1670"/>
      <c r="GX33" s="1670"/>
      <c r="GY33" s="1670"/>
      <c r="GZ33" s="1670"/>
      <c r="HA33" s="1670"/>
      <c r="HB33" s="1670"/>
      <c r="HC33" s="1670"/>
      <c r="HD33" s="1670"/>
      <c r="HE33" s="1670"/>
      <c r="HF33" s="1670"/>
      <c r="HG33" s="1670"/>
      <c r="HH33" s="1670"/>
      <c r="HI33" s="1670"/>
      <c r="HJ33" s="1670"/>
      <c r="HK33" s="1670"/>
      <c r="HL33" s="1670"/>
      <c r="HM33" s="1670"/>
      <c r="HN33" s="1670"/>
      <c r="HO33" s="1670"/>
      <c r="HP33" s="1670"/>
      <c r="HQ33" s="1670"/>
      <c r="HR33" s="1670"/>
      <c r="HS33" s="1670"/>
      <c r="HT33" s="1670"/>
      <c r="HU33" s="1670"/>
      <c r="HV33" s="1670"/>
    </row>
    <row r="34" spans="1:231" ht="15">
      <c r="A34" s="1670"/>
      <c r="B34" s="1744" t="s">
        <v>1435</v>
      </c>
      <c r="C34" s="1746"/>
      <c r="D34" s="1746"/>
      <c r="E34" s="1746"/>
      <c r="F34" s="1619"/>
      <c r="G34" s="1791"/>
      <c r="H34" s="1792"/>
      <c r="I34" s="1793"/>
      <c r="J34" s="1793"/>
      <c r="K34" s="1739"/>
      <c r="L34" s="1629"/>
      <c r="M34" s="1629"/>
      <c r="N34" s="1629"/>
      <c r="O34" s="1629"/>
      <c r="P34" s="1629"/>
      <c r="Q34" s="1629"/>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17"/>
      <c r="AX34" s="1617"/>
      <c r="AY34" s="1617"/>
      <c r="AZ34" s="1617"/>
      <c r="BA34" s="1617"/>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17"/>
      <c r="BZ34" s="1812" t="s">
        <v>474</v>
      </c>
      <c r="CA34" s="1742" t="s">
        <v>474</v>
      </c>
      <c r="CB34" s="1742" t="s">
        <v>474</v>
      </c>
      <c r="CC34" s="1742" t="s">
        <v>474</v>
      </c>
      <c r="CD34" s="1742" t="s">
        <v>474</v>
      </c>
      <c r="CE34" s="1742" t="s">
        <v>474</v>
      </c>
      <c r="CF34" s="1742" t="s">
        <v>474</v>
      </c>
      <c r="CG34" s="1742" t="s">
        <v>474</v>
      </c>
      <c r="CH34" s="1742" t="s">
        <v>474</v>
      </c>
      <c r="CI34" s="1742" t="s">
        <v>474</v>
      </c>
      <c r="CJ34" s="1742" t="s">
        <v>474</v>
      </c>
      <c r="CK34" s="1742" t="s">
        <v>474</v>
      </c>
      <c r="CL34" s="1745" t="s">
        <v>474</v>
      </c>
      <c r="CM34" s="1742" t="s">
        <v>474</v>
      </c>
      <c r="CN34" s="1742" t="s">
        <v>474</v>
      </c>
      <c r="CO34" s="1742" t="s">
        <v>474</v>
      </c>
      <c r="CP34" s="1742" t="s">
        <v>474</v>
      </c>
      <c r="CQ34" s="1742" t="s">
        <v>474</v>
      </c>
      <c r="CR34" s="1742" t="s">
        <v>474</v>
      </c>
      <c r="CS34" s="1742" t="s">
        <v>474</v>
      </c>
      <c r="CT34" s="1742" t="s">
        <v>474</v>
      </c>
      <c r="CU34" s="1742" t="s">
        <v>474</v>
      </c>
      <c r="CV34" s="1742" t="s">
        <v>474</v>
      </c>
      <c r="CW34" s="1742" t="s">
        <v>474</v>
      </c>
      <c r="CX34" s="1860" t="s">
        <v>474</v>
      </c>
      <c r="CY34" s="1742"/>
      <c r="CZ34" s="1742"/>
      <c r="DA34" s="1742"/>
      <c r="DB34" s="1742" t="e">
        <f>('[11]TBank Assets'!$O$10-'[11]TBank Assets'!$Q$10)/#REF!</f>
        <v>#REF!</v>
      </c>
      <c r="DC34" s="1628" t="e">
        <f>('[11]TBank Assets'!$O$11-'[11]TBank Assets'!$Q$11)/#REF!</f>
        <v>#REF!</v>
      </c>
      <c r="DD34" s="1742" t="e">
        <f>('[11]TBank Assets'!$O$12-'[11]TBank Assets'!$Q$12)/#REF!</f>
        <v>#REF!</v>
      </c>
      <c r="DE34" s="1628" t="e">
        <f>('[11]TBank Assets'!$O$13-'[11]TBank Assets'!$Q$13)/#REF!</f>
        <v>#REF!</v>
      </c>
      <c r="DF34" s="1742" t="e">
        <f>('[11]TBank Assets'!$O$14-'[11]TBank Assets'!$Q$14)/#REF!</f>
        <v>#REF!</v>
      </c>
      <c r="DG34" s="1742" t="e">
        <f>('[11]TBank Assets'!$O$15-'[11]TBank Assets'!$Q$15)/#REF!</f>
        <v>#REF!</v>
      </c>
      <c r="DH34" s="1742" t="e">
        <f>('[11]TBank Assets'!$O$16-'[11]TBank Assets'!$Q$16)/#REF!</f>
        <v>#REF!</v>
      </c>
      <c r="DI34" s="1742" t="e">
        <f>('[11]TBank Assets'!$O$17-'[11]TBank Assets'!$Q$17)/#REF!</f>
        <v>#REF!</v>
      </c>
      <c r="DJ34" s="1742" t="e">
        <f>('[11]TBank Assets'!$O$18-'[11]TBank Assets'!$Q$18)/#REF!</f>
        <v>#REF!</v>
      </c>
      <c r="DK34" s="1742" t="e">
        <f>('[11]TBank Assets'!O19-'[11]TBank Assets'!$Q$19)/#REF!</f>
        <v>#REF!</v>
      </c>
      <c r="DL34" s="1742" t="e">
        <f>('[11]TBank Assets'!$O$20-'[11]TBank Assets'!$Q$20)/#REF!</f>
        <v>#REF!</v>
      </c>
      <c r="DM34" s="1742" t="e">
        <f>('[11]TBank Assets'!$O$21-'[11]TBank Assets'!$Q$21)/#REF!</f>
        <v>#REF!</v>
      </c>
      <c r="DN34" s="1742" t="e">
        <f>('[11]TBank Assets'!$O$22-'[11]TBank Assets'!$Q$22)/#REF!</f>
        <v>#REF!</v>
      </c>
      <c r="DO34" s="1742" t="e">
        <f>('[11]TBank Assets'!$O$23-'[11]TBank Assets'!$Q$23)/#REF!</f>
        <v>#REF!</v>
      </c>
      <c r="DP34" s="1742" t="e">
        <f>('[11]TBank Assets'!$O$24-'[11]TBank Assets'!$Q$24)/#REF!</f>
        <v>#REF!</v>
      </c>
      <c r="DQ34" s="1742" t="e">
        <f>('[11]TBank Assets'!$O$24-'[11]TBank Assets'!$Q$24)/#REF!</f>
        <v>#REF!</v>
      </c>
      <c r="DR34" s="1670"/>
      <c r="DS34" s="1670"/>
      <c r="DT34" s="1670"/>
      <c r="DU34" s="1670"/>
      <c r="DV34" s="1670"/>
      <c r="DW34" s="1670"/>
      <c r="DX34" s="1670"/>
      <c r="DY34" s="1670"/>
      <c r="DZ34" s="1670"/>
      <c r="EA34" s="1670"/>
      <c r="EB34" s="1670"/>
      <c r="EC34" s="1670"/>
      <c r="ED34" s="1670"/>
      <c r="EE34" s="1670"/>
      <c r="EF34" s="1670"/>
      <c r="EG34" s="1670"/>
      <c r="EH34" s="1670"/>
      <c r="EI34" s="1670"/>
      <c r="EJ34" s="1670"/>
      <c r="EK34" s="1670"/>
      <c r="EL34" s="1670"/>
      <c r="EM34" s="1670"/>
      <c r="EN34" s="1670"/>
      <c r="EO34" s="1670"/>
      <c r="EP34" s="1670"/>
      <c r="EQ34" s="1670"/>
      <c r="ER34" s="1670"/>
      <c r="ES34" s="1670"/>
      <c r="ET34" s="1670"/>
      <c r="EU34" s="1670"/>
      <c r="EV34" s="1670"/>
      <c r="EW34" s="1670"/>
      <c r="EX34" s="1670"/>
      <c r="EY34" s="1670"/>
      <c r="EZ34" s="1670"/>
      <c r="FA34" s="1670"/>
      <c r="FB34" s="1670"/>
      <c r="FC34" s="1670"/>
      <c r="FD34" s="1670"/>
      <c r="FE34" s="1670"/>
      <c r="FF34" s="1670"/>
      <c r="FG34" s="1670"/>
      <c r="FH34" s="1670"/>
      <c r="FI34" s="1670"/>
      <c r="FJ34" s="1670"/>
      <c r="FK34" s="1670"/>
      <c r="FL34" s="1670"/>
      <c r="FM34" s="1670"/>
      <c r="FN34" s="1670"/>
      <c r="FO34" s="1670"/>
      <c r="FP34" s="1670"/>
      <c r="FQ34" s="1670"/>
      <c r="FR34" s="1670"/>
      <c r="FS34" s="1670"/>
      <c r="FT34" s="1670"/>
      <c r="FU34" s="1670"/>
      <c r="FV34" s="1670"/>
      <c r="FW34" s="1670"/>
      <c r="FX34" s="1670"/>
      <c r="FY34" s="1670"/>
      <c r="FZ34" s="1670"/>
      <c r="GA34" s="1670"/>
      <c r="GB34" s="1670"/>
      <c r="GC34" s="1670"/>
      <c r="GD34" s="1670"/>
      <c r="GE34" s="1670"/>
      <c r="GF34" s="1670"/>
      <c r="GG34" s="1670"/>
      <c r="GH34" s="1670"/>
      <c r="GI34" s="1670"/>
      <c r="GJ34" s="1670"/>
      <c r="GK34" s="1670"/>
      <c r="GL34" s="1670"/>
      <c r="GM34" s="1670"/>
      <c r="GN34" s="1670"/>
      <c r="GO34" s="1670"/>
      <c r="GP34" s="1670"/>
      <c r="GQ34" s="1670"/>
      <c r="GR34" s="1670"/>
      <c r="GS34" s="1670"/>
      <c r="GT34" s="1670"/>
      <c r="GU34" s="1670"/>
      <c r="GV34" s="1670"/>
      <c r="GW34" s="1670"/>
      <c r="GX34" s="1670"/>
      <c r="GY34" s="1670"/>
      <c r="GZ34" s="1670"/>
      <c r="HA34" s="1670"/>
      <c r="HB34" s="1670"/>
      <c r="HC34" s="1670"/>
      <c r="HD34" s="1670"/>
      <c r="HE34" s="1670"/>
      <c r="HF34" s="1670"/>
      <c r="HG34" s="1670"/>
      <c r="HH34" s="1670"/>
      <c r="HI34" s="1670"/>
      <c r="HJ34" s="1670"/>
      <c r="HK34" s="1670"/>
      <c r="HL34" s="1670"/>
      <c r="HM34" s="1670"/>
      <c r="HN34" s="1670"/>
      <c r="HO34" s="1670"/>
      <c r="HP34" s="1670"/>
      <c r="HQ34" s="1670"/>
      <c r="HR34" s="1670"/>
      <c r="HS34" s="1670"/>
      <c r="HT34" s="1670"/>
      <c r="HU34" s="1670"/>
      <c r="HV34" s="1670"/>
    </row>
    <row r="35" spans="1:231" ht="15">
      <c r="A35" s="1670"/>
      <c r="B35" s="1744"/>
      <c r="C35" s="1746"/>
      <c r="D35" s="1746"/>
      <c r="E35" s="1746"/>
      <c r="F35" s="1619"/>
      <c r="G35" s="1791"/>
      <c r="H35" s="1792"/>
      <c r="I35" s="1793"/>
      <c r="J35" s="1793"/>
      <c r="K35" s="1739"/>
      <c r="L35" s="1629"/>
      <c r="M35" s="1629"/>
      <c r="N35" s="1629"/>
      <c r="O35" s="1629"/>
      <c r="P35" s="1629"/>
      <c r="Q35" s="1629"/>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17"/>
      <c r="AX35" s="1617"/>
      <c r="AY35" s="1617"/>
      <c r="AZ35" s="1617"/>
      <c r="BA35" s="1617"/>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17"/>
      <c r="BZ35" s="1811"/>
      <c r="CA35" s="1802"/>
      <c r="CB35" s="1802"/>
      <c r="CC35" s="1802"/>
      <c r="CD35" s="1802"/>
      <c r="CE35" s="1802"/>
      <c r="CF35" s="1802"/>
      <c r="CG35" s="1802"/>
      <c r="CH35" s="1617"/>
      <c r="CI35" s="1802"/>
      <c r="CJ35" s="1802"/>
      <c r="CK35" s="1742"/>
      <c r="CL35" s="1813"/>
      <c r="CM35" s="1802"/>
      <c r="CN35" s="1802"/>
      <c r="CO35" s="1617"/>
      <c r="CP35" s="1802"/>
      <c r="CQ35" s="1802"/>
      <c r="CR35" s="1617"/>
      <c r="CS35" s="1802"/>
      <c r="CT35" s="1796"/>
      <c r="CU35" s="1617"/>
      <c r="CV35" s="1802"/>
      <c r="CW35" s="1846"/>
      <c r="CX35" s="1860"/>
      <c r="CY35" s="1742"/>
      <c r="CZ35" s="1742"/>
      <c r="DA35" s="1742"/>
      <c r="DB35" s="1742"/>
      <c r="DC35" s="1628"/>
      <c r="DD35" s="1742"/>
      <c r="DE35" s="1742"/>
      <c r="DF35" s="1742"/>
      <c r="DG35" s="1742"/>
      <c r="DH35" s="1742"/>
      <c r="DI35" s="1742"/>
      <c r="DJ35" s="1742"/>
      <c r="DK35" s="1707"/>
      <c r="DL35" s="1843"/>
      <c r="DM35" s="1843"/>
      <c r="DN35" s="1843"/>
      <c r="DO35" s="1843"/>
      <c r="DP35" s="1911"/>
      <c r="DQ35" s="1911"/>
      <c r="DR35" s="1670"/>
      <c r="DS35" s="1670"/>
      <c r="DT35" s="1670"/>
      <c r="DU35" s="1670"/>
      <c r="DV35" s="1670"/>
      <c r="DW35" s="1670"/>
      <c r="DX35" s="1670"/>
      <c r="DY35" s="1670"/>
      <c r="DZ35" s="1670"/>
      <c r="EA35" s="1670"/>
      <c r="EB35" s="1670"/>
      <c r="EC35" s="1670"/>
      <c r="ED35" s="1670"/>
      <c r="EE35" s="1670"/>
      <c r="EF35" s="1670"/>
      <c r="EG35" s="1670"/>
      <c r="EH35" s="1670"/>
      <c r="EI35" s="1670"/>
      <c r="EJ35" s="1670"/>
      <c r="EK35" s="1670"/>
      <c r="EL35" s="1670"/>
      <c r="EM35" s="1670"/>
      <c r="EN35" s="1670"/>
      <c r="EO35" s="1670"/>
      <c r="EP35" s="1670"/>
      <c r="EQ35" s="1670"/>
      <c r="ER35" s="1670"/>
      <c r="ES35" s="1670"/>
      <c r="ET35" s="1670"/>
      <c r="EU35" s="1670"/>
      <c r="EV35" s="1670"/>
      <c r="EW35" s="1670"/>
      <c r="EX35" s="1670"/>
      <c r="EY35" s="1670"/>
      <c r="EZ35" s="1670"/>
      <c r="FA35" s="1670"/>
      <c r="FB35" s="1670"/>
      <c r="FC35" s="1670"/>
      <c r="FD35" s="1670"/>
      <c r="FE35" s="1670"/>
      <c r="FF35" s="1670"/>
      <c r="FG35" s="1670"/>
      <c r="FH35" s="1670"/>
      <c r="FI35" s="1670"/>
      <c r="FJ35" s="1670"/>
      <c r="FK35" s="1670"/>
      <c r="FL35" s="1670"/>
      <c r="FM35" s="1670"/>
      <c r="FN35" s="1670"/>
      <c r="FO35" s="1670"/>
      <c r="FP35" s="1670"/>
      <c r="FQ35" s="1670"/>
      <c r="FR35" s="1670"/>
      <c r="FS35" s="1670"/>
      <c r="FT35" s="1670"/>
      <c r="FU35" s="1670"/>
      <c r="FV35" s="1670"/>
      <c r="FW35" s="1670"/>
      <c r="FX35" s="1670"/>
      <c r="FY35" s="1670"/>
      <c r="FZ35" s="1670"/>
      <c r="GA35" s="1670"/>
      <c r="GB35" s="1670"/>
      <c r="GC35" s="1670"/>
      <c r="GD35" s="1670"/>
      <c r="GE35" s="1670"/>
      <c r="GF35" s="1670"/>
      <c r="GG35" s="1670"/>
      <c r="GH35" s="1670"/>
      <c r="GI35" s="1670"/>
      <c r="GJ35" s="1670"/>
      <c r="GK35" s="1670"/>
      <c r="GL35" s="1670"/>
      <c r="GM35" s="1670"/>
      <c r="GN35" s="1670"/>
      <c r="GO35" s="1670"/>
      <c r="GP35" s="1670"/>
      <c r="GQ35" s="1670"/>
      <c r="GR35" s="1670"/>
      <c r="GS35" s="1670"/>
      <c r="GT35" s="1670"/>
      <c r="GU35" s="1670"/>
      <c r="GV35" s="1670"/>
      <c r="GW35" s="1670"/>
      <c r="GX35" s="1670"/>
      <c r="GY35" s="1670"/>
      <c r="GZ35" s="1670"/>
      <c r="HA35" s="1670"/>
      <c r="HB35" s="1670"/>
      <c r="HC35" s="1670"/>
      <c r="HD35" s="1670"/>
      <c r="HE35" s="1670"/>
      <c r="HF35" s="1670"/>
      <c r="HG35" s="1670"/>
      <c r="HH35" s="1670"/>
      <c r="HI35" s="1670"/>
      <c r="HJ35" s="1670"/>
      <c r="HK35" s="1670"/>
      <c r="HL35" s="1670"/>
      <c r="HM35" s="1670"/>
      <c r="HN35" s="1670"/>
      <c r="HO35" s="1670"/>
      <c r="HP35" s="1670"/>
      <c r="HQ35" s="1670"/>
      <c r="HR35" s="1670"/>
      <c r="HS35" s="1670"/>
      <c r="HT35" s="1670"/>
      <c r="HU35" s="1670"/>
      <c r="HV35" s="1670"/>
    </row>
    <row r="36" spans="1:231" ht="15">
      <c r="A36" s="1670"/>
      <c r="B36" s="1744" t="s">
        <v>1434</v>
      </c>
      <c r="C36" s="1619"/>
      <c r="D36" s="1619"/>
      <c r="E36" s="1619"/>
      <c r="F36" s="1619"/>
      <c r="G36" s="1791"/>
      <c r="H36" s="1791"/>
      <c r="I36" s="1793"/>
      <c r="J36" s="1793"/>
      <c r="K36" s="1739"/>
      <c r="L36" s="1629"/>
      <c r="M36" s="1629"/>
      <c r="N36" s="1629"/>
      <c r="O36" s="1629"/>
      <c r="P36" s="1629"/>
      <c r="Q36" s="1629"/>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17"/>
      <c r="AX36" s="1617"/>
      <c r="AY36" s="1617"/>
      <c r="AZ36" s="1617"/>
      <c r="BA36" s="1617"/>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17"/>
      <c r="BZ36" s="1811" t="s">
        <v>474</v>
      </c>
      <c r="CA36" s="1742" t="s">
        <v>474</v>
      </c>
      <c r="CB36" s="1742" t="s">
        <v>474</v>
      </c>
      <c r="CC36" s="1742" t="s">
        <v>474</v>
      </c>
      <c r="CD36" s="1742" t="s">
        <v>474</v>
      </c>
      <c r="CE36" s="1742" t="s">
        <v>474</v>
      </c>
      <c r="CF36" s="1742" t="s">
        <v>474</v>
      </c>
      <c r="CG36" s="1742" t="s">
        <v>474</v>
      </c>
      <c r="CH36" s="1742" t="s">
        <v>474</v>
      </c>
      <c r="CI36" s="1742" t="s">
        <v>474</v>
      </c>
      <c r="CJ36" s="1742" t="s">
        <v>474</v>
      </c>
      <c r="CK36" s="1742" t="s">
        <v>474</v>
      </c>
      <c r="CL36" s="1745" t="s">
        <v>474</v>
      </c>
      <c r="CM36" s="1742" t="s">
        <v>474</v>
      </c>
      <c r="CN36" s="1742" t="s">
        <v>474</v>
      </c>
      <c r="CO36" s="1742" t="s">
        <v>474</v>
      </c>
      <c r="CP36" s="1742" t="s">
        <v>474</v>
      </c>
      <c r="CQ36" s="1742" t="s">
        <v>474</v>
      </c>
      <c r="CR36" s="1742" t="s">
        <v>474</v>
      </c>
      <c r="CS36" s="1742" t="s">
        <v>474</v>
      </c>
      <c r="CT36" s="1742" t="s">
        <v>474</v>
      </c>
      <c r="CU36" s="1742" t="s">
        <v>474</v>
      </c>
      <c r="CV36" s="1742" t="s">
        <v>474</v>
      </c>
      <c r="CW36" s="1742" t="s">
        <v>474</v>
      </c>
      <c r="CX36" s="1860" t="s">
        <v>474</v>
      </c>
      <c r="CY36" s="1742"/>
      <c r="CZ36" s="1742"/>
      <c r="DA36" s="1742"/>
      <c r="DB36" s="1742" t="e">
        <f>('[11]DPNB Assets'!$O$10-'[11]DPNB Assets'!$Q$10)/#REF!</f>
        <v>#REF!</v>
      </c>
      <c r="DC36" s="1628" t="e">
        <f>('[11]DPNB Assets'!$O$11-'[11]DPNB Assets'!$Q$11)/#REF!</f>
        <v>#REF!</v>
      </c>
      <c r="DD36" s="1742" t="e">
        <f>('[11]DPNB Assets'!$O$12-'[11]DPNB Assets'!$Q$12)/#REF!</f>
        <v>#REF!</v>
      </c>
      <c r="DE36" s="1628" t="e">
        <f>('[11]DPNB Assets'!$O$13-'[11]DPNB Assets'!$Q$13)/#REF!</f>
        <v>#REF!</v>
      </c>
      <c r="DF36" s="1742" t="e">
        <f>('[11]DPNB Assets'!$O$14-'[11]DPNB Assets'!$Q$14)/#REF!</f>
        <v>#REF!</v>
      </c>
      <c r="DG36" s="1742" t="e">
        <f>('[11]DPNB Assets'!$O$15-'[11]DPNB Assets'!$Q$15)/#REF!</f>
        <v>#REF!</v>
      </c>
      <c r="DH36" s="1742" t="e">
        <f>('[11]DPNB Assets'!$O$16-'[11]DPNB Assets'!$Q$16)/#REF!</f>
        <v>#REF!</v>
      </c>
      <c r="DI36" s="1742" t="e">
        <f>('[11]DPNB Assets'!$O$17-'[11]DPNB Assets'!$Q$17)/#REF!</f>
        <v>#REF!</v>
      </c>
      <c r="DJ36" s="1742" t="e">
        <f>('[11]DPNB Assets'!$O$18-'[11]DPNB Assets'!$Q$17)/#REF!</f>
        <v>#REF!</v>
      </c>
      <c r="DK36" s="1742" t="e">
        <f>('[11]DPNB Assets'!$O$19-'[11]DPNB Assets'!$Q$19)/#REF!</f>
        <v>#REF!</v>
      </c>
      <c r="DL36" s="1742" t="e">
        <f>('[11]DPNB Assets'!$O$20-'[11]DPNB Assets'!$Q$20)/#REF!</f>
        <v>#REF!</v>
      </c>
      <c r="DM36" s="1742" t="e">
        <f>('[11]DPNB Assets'!$O$21-'[11]DPNB Assets'!$Q$21)/#REF!</f>
        <v>#REF!</v>
      </c>
      <c r="DN36" s="1742" t="e">
        <f>('[11]DPNB Assets'!$O$22-'[11]DPNB Assets'!$Q$22)/#REF!</f>
        <v>#REF!</v>
      </c>
      <c r="DO36" s="1742" t="e">
        <f>('[11]DPNB Assets'!$O$23-'[11]DPNB Assets'!$Q$23)/#REF!</f>
        <v>#REF!</v>
      </c>
      <c r="DP36" s="1742" t="e">
        <f>('[11]DPNB Assets'!$O$24-'[11]DPNB Assets'!$Q$24)/#REF!</f>
        <v>#REF!</v>
      </c>
      <c r="DQ36" s="1742" t="e">
        <f>('[11]DPNB Assets'!$O$24-'[11]DPNB Assets'!$Q$24)/#REF!</f>
        <v>#REF!</v>
      </c>
      <c r="DR36" s="1670"/>
      <c r="DS36" s="1670"/>
      <c r="DT36" s="1670"/>
      <c r="DU36" s="1676"/>
      <c r="DV36" s="1670"/>
      <c r="DW36" s="1670"/>
      <c r="DX36" s="1670"/>
      <c r="DY36" s="1670"/>
      <c r="DZ36" s="1670"/>
      <c r="EA36" s="1670"/>
      <c r="EB36" s="1670"/>
      <c r="EC36" s="1670"/>
      <c r="ED36" s="1670"/>
      <c r="EE36" s="1670"/>
      <c r="EF36" s="1670"/>
      <c r="EG36" s="1670"/>
      <c r="EH36" s="1670"/>
      <c r="EI36" s="1670"/>
      <c r="EJ36" s="1670"/>
      <c r="EK36" s="1670"/>
      <c r="EL36" s="1670"/>
      <c r="EM36" s="1670"/>
      <c r="EN36" s="1670"/>
      <c r="EO36" s="1670"/>
      <c r="EP36" s="1670"/>
      <c r="EQ36" s="1670"/>
      <c r="ER36" s="1670"/>
      <c r="ES36" s="1670"/>
      <c r="ET36" s="1670"/>
      <c r="EU36" s="1670"/>
      <c r="EV36" s="1670"/>
      <c r="EW36" s="1670"/>
      <c r="EX36" s="1670"/>
      <c r="EY36" s="1670"/>
      <c r="EZ36" s="1670"/>
      <c r="FA36" s="1670"/>
      <c r="FB36" s="1670"/>
      <c r="FC36" s="1670"/>
      <c r="FD36" s="1670"/>
      <c r="FE36" s="1670"/>
      <c r="FF36" s="1670"/>
      <c r="FG36" s="1670"/>
      <c r="FH36" s="1670"/>
      <c r="FI36" s="1670"/>
      <c r="FJ36" s="1670"/>
      <c r="FK36" s="1670"/>
      <c r="FL36" s="1670"/>
      <c r="FM36" s="1670"/>
      <c r="FN36" s="1670"/>
      <c r="FO36" s="1670"/>
      <c r="FP36" s="1670"/>
      <c r="FQ36" s="1670"/>
      <c r="FR36" s="1670"/>
      <c r="FS36" s="1670"/>
      <c r="FT36" s="1670"/>
      <c r="FU36" s="1670"/>
      <c r="FV36" s="1670"/>
      <c r="FW36" s="1670"/>
      <c r="FX36" s="1670"/>
      <c r="FY36" s="1670"/>
      <c r="FZ36" s="1670"/>
      <c r="GA36" s="1670"/>
      <c r="GB36" s="1670"/>
      <c r="GC36" s="1670"/>
      <c r="GD36" s="1670"/>
      <c r="GE36" s="1670"/>
      <c r="GF36" s="1670"/>
      <c r="GG36" s="1670"/>
      <c r="GH36" s="1670"/>
      <c r="GI36" s="1670"/>
      <c r="GJ36" s="1670"/>
      <c r="GK36" s="1670"/>
      <c r="GL36" s="1670"/>
      <c r="GM36" s="1670"/>
      <c r="GN36" s="1670"/>
      <c r="GO36" s="1670"/>
      <c r="GP36" s="1670"/>
      <c r="GQ36" s="1670"/>
      <c r="GR36" s="1670"/>
      <c r="GS36" s="1670"/>
      <c r="GT36" s="1670"/>
      <c r="GU36" s="1670"/>
      <c r="GV36" s="1670"/>
      <c r="GW36" s="1670"/>
      <c r="GX36" s="1670"/>
      <c r="GY36" s="1670"/>
      <c r="GZ36" s="1670"/>
      <c r="HA36" s="1670"/>
      <c r="HB36" s="1670"/>
      <c r="HC36" s="1670"/>
      <c r="HD36" s="1670"/>
      <c r="HE36" s="1670"/>
      <c r="HF36" s="1670"/>
      <c r="HG36" s="1670"/>
      <c r="HH36" s="1670"/>
      <c r="HI36" s="1670"/>
      <c r="HJ36" s="1670"/>
      <c r="HK36" s="1670"/>
      <c r="HL36" s="1670"/>
      <c r="HM36" s="1670"/>
      <c r="HN36" s="1670"/>
      <c r="HO36" s="1670"/>
      <c r="HP36" s="1670"/>
      <c r="HQ36" s="1670"/>
      <c r="HR36" s="1670"/>
      <c r="HS36" s="1670"/>
      <c r="HT36" s="1670"/>
      <c r="HU36" s="1670"/>
      <c r="HV36" s="1670"/>
    </row>
    <row r="37" spans="1:231" ht="15">
      <c r="A37" s="1670"/>
      <c r="B37" s="1763" t="s">
        <v>142</v>
      </c>
      <c r="C37" s="1619"/>
      <c r="D37" s="1619"/>
      <c r="E37" s="1619"/>
      <c r="F37" s="1619"/>
      <c r="G37" s="1619"/>
      <c r="H37" s="1619"/>
      <c r="I37" s="1619"/>
      <c r="J37" s="1619"/>
      <c r="K37" s="1782"/>
      <c r="L37" s="1803"/>
      <c r="M37" s="1617"/>
      <c r="N37" s="1617"/>
      <c r="O37" s="1617"/>
      <c r="P37" s="1617"/>
      <c r="Q37" s="1617"/>
      <c r="R37" s="1617"/>
      <c r="S37" s="1617"/>
      <c r="T37" s="1617"/>
      <c r="U37" s="1617"/>
      <c r="V37" s="1617"/>
      <c r="W37" s="1617"/>
      <c r="X37" s="1617"/>
      <c r="Y37" s="1617"/>
      <c r="Z37" s="1617"/>
      <c r="AA37" s="1617"/>
      <c r="AB37" s="1617"/>
      <c r="AC37" s="1617"/>
      <c r="AD37" s="1617"/>
      <c r="AE37" s="1617"/>
      <c r="AF37" s="1617"/>
      <c r="AG37" s="1617"/>
      <c r="AH37" s="1617"/>
      <c r="AI37" s="1617"/>
      <c r="AJ37" s="1617"/>
      <c r="AK37" s="1617"/>
      <c r="AL37" s="1617"/>
      <c r="AM37" s="1617"/>
      <c r="AN37" s="1617"/>
      <c r="AO37" s="1617"/>
      <c r="AP37" s="1617"/>
      <c r="AQ37" s="1617"/>
      <c r="AR37" s="1617"/>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812"/>
      <c r="CA37" s="1617"/>
      <c r="CB37" s="1617"/>
      <c r="CC37" s="1617"/>
      <c r="CD37" s="1617"/>
      <c r="CE37" s="1617"/>
      <c r="CF37" s="1617"/>
      <c r="CG37" s="1617"/>
      <c r="CH37" s="1617"/>
      <c r="CI37" s="1617"/>
      <c r="CJ37" s="1617"/>
      <c r="CK37" s="1617"/>
      <c r="CL37" s="1723" t="s">
        <v>1472</v>
      </c>
      <c r="CM37" s="1617"/>
      <c r="CN37" s="1617"/>
      <c r="CO37" s="1617"/>
      <c r="CP37" s="1617"/>
      <c r="CQ37" s="1617"/>
      <c r="CR37" s="1617"/>
      <c r="CS37" s="1617"/>
      <c r="CT37" s="1617"/>
      <c r="CU37" s="1617"/>
      <c r="CV37" s="1617"/>
      <c r="CW37" s="1617"/>
      <c r="CX37" s="1668"/>
      <c r="CY37" s="1651"/>
      <c r="CZ37" s="1861"/>
      <c r="DA37" s="1861"/>
      <c r="DB37" s="1861"/>
      <c r="DC37" s="1861"/>
      <c r="DD37" s="1861"/>
      <c r="DE37" s="1862"/>
      <c r="DF37" s="1862"/>
      <c r="DG37" s="1862"/>
      <c r="DH37" s="1862"/>
      <c r="DI37" s="1862"/>
      <c r="DJ37" s="1862"/>
      <c r="DK37" s="1851"/>
      <c r="DL37" s="1651"/>
      <c r="DM37" s="1651"/>
      <c r="DN37" s="1651"/>
      <c r="DO37" s="1651"/>
      <c r="DP37" s="1651"/>
      <c r="DQ37" s="1911"/>
      <c r="DR37" s="1527" t="s">
        <v>1042</v>
      </c>
      <c r="DS37" s="1527"/>
      <c r="DT37" s="1527"/>
      <c r="DU37" s="1527"/>
      <c r="DV37" s="1527"/>
      <c r="DW37" s="1527"/>
      <c r="DX37" s="1527"/>
      <c r="DY37" s="1527"/>
      <c r="DZ37" s="1527"/>
      <c r="EA37" s="1527"/>
      <c r="EB37" s="1527"/>
      <c r="EC37" s="1527"/>
      <c r="ED37" s="1527"/>
      <c r="EE37" s="1527"/>
      <c r="EF37" s="1527"/>
      <c r="EG37" s="1527"/>
      <c r="EH37" s="1527"/>
      <c r="EI37" s="1527"/>
      <c r="EJ37" s="1527"/>
      <c r="EK37" s="1527"/>
      <c r="EL37" s="1527"/>
      <c r="EM37" s="1527"/>
      <c r="EN37" s="1527"/>
      <c r="EO37" s="1527"/>
      <c r="EP37" s="1527"/>
      <c r="EQ37" s="1527"/>
      <c r="ER37" s="1527"/>
      <c r="ES37" s="1527"/>
      <c r="ET37" s="1527"/>
      <c r="EU37" s="1527"/>
      <c r="EV37" s="1527"/>
      <c r="EW37" s="1527"/>
      <c r="EX37" s="1527"/>
      <c r="EY37" s="1527"/>
      <c r="EZ37" s="1527"/>
      <c r="FA37" s="1527"/>
      <c r="FB37" s="1527"/>
      <c r="FC37" s="1527"/>
      <c r="FD37" s="1527"/>
      <c r="FE37" s="1527"/>
      <c r="FF37" s="1527"/>
      <c r="FG37" s="1527"/>
      <c r="FH37" s="1527"/>
      <c r="FI37" s="1527"/>
      <c r="FJ37" s="1527"/>
      <c r="FK37" s="1527"/>
      <c r="FL37" s="1527"/>
      <c r="FM37" s="1527"/>
      <c r="FN37" s="1527"/>
      <c r="FO37" s="1527"/>
      <c r="FP37" s="1527"/>
      <c r="FQ37" s="1527"/>
      <c r="FR37" s="1527"/>
      <c r="FS37" s="1527"/>
      <c r="FT37" s="1527"/>
      <c r="FU37" s="1527"/>
      <c r="FV37" s="1527"/>
      <c r="FW37" s="1527"/>
      <c r="FX37" s="1527"/>
      <c r="FY37" s="1527"/>
      <c r="FZ37" s="1527"/>
      <c r="GA37" s="1527"/>
      <c r="GB37" s="1527"/>
      <c r="GC37" s="1527"/>
      <c r="GD37" s="1527"/>
      <c r="GE37" s="1527"/>
      <c r="GF37" s="1527"/>
      <c r="GG37" s="1527"/>
      <c r="GH37" s="1527"/>
      <c r="GI37" s="1527"/>
      <c r="GJ37" s="1527"/>
      <c r="GK37" s="1527"/>
      <c r="GL37" s="1527"/>
      <c r="GM37" s="1527"/>
      <c r="GN37" s="1527"/>
      <c r="GO37" s="1527"/>
      <c r="GP37" s="1527"/>
      <c r="GQ37" s="1527"/>
      <c r="GR37" s="1527"/>
      <c r="GS37" s="1527"/>
      <c r="GT37" s="1527"/>
      <c r="GU37" s="1527"/>
      <c r="GV37" s="1527"/>
      <c r="GW37" s="1527"/>
      <c r="GX37" s="1527"/>
      <c r="GY37" s="1527"/>
      <c r="GZ37" s="1527"/>
      <c r="HA37" s="1527"/>
      <c r="HB37" s="1527"/>
      <c r="HC37" s="1527"/>
      <c r="HD37" s="1527"/>
      <c r="HE37" s="1527"/>
      <c r="HF37" s="1527"/>
      <c r="HG37" s="1527"/>
      <c r="HH37" s="1527"/>
      <c r="HI37" s="1527"/>
      <c r="HJ37" s="1527"/>
      <c r="HK37" s="1527"/>
      <c r="HL37" s="1527"/>
      <c r="HM37" s="1527"/>
      <c r="HN37" s="1527"/>
      <c r="HO37" s="1527"/>
      <c r="HP37" s="1527"/>
      <c r="HQ37" s="1527" t="s">
        <v>275</v>
      </c>
      <c r="HR37" s="1527"/>
      <c r="HS37" s="1670"/>
      <c r="HT37" s="1670"/>
      <c r="HU37" s="1670"/>
      <c r="HV37" s="1670"/>
      <c r="HW37" s="1427"/>
    </row>
    <row r="38" spans="1:231" ht="20.25" hidden="1" customHeight="1">
      <c r="A38" s="1670"/>
      <c r="B38" s="1744" t="s">
        <v>1433</v>
      </c>
      <c r="C38" s="1746"/>
      <c r="D38" s="1746"/>
      <c r="E38" s="1746"/>
      <c r="F38" s="1619"/>
      <c r="G38" s="1791"/>
      <c r="H38" s="1792"/>
      <c r="I38" s="1793"/>
      <c r="J38" s="1793"/>
      <c r="K38" s="1739"/>
      <c r="L38" s="1629"/>
      <c r="M38" s="1629"/>
      <c r="N38" s="1629"/>
      <c r="O38" s="1629"/>
      <c r="P38" s="1629"/>
      <c r="Q38" s="1629"/>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17"/>
      <c r="AX38" s="1617"/>
      <c r="AY38" s="1617"/>
      <c r="AZ38" s="1617"/>
      <c r="BA38" s="1617"/>
      <c r="BB38" s="1617"/>
      <c r="BC38" s="1641"/>
      <c r="BD38" s="1641"/>
      <c r="BE38" s="1641"/>
      <c r="BF38" s="1641"/>
      <c r="BG38" s="1641"/>
      <c r="BH38" s="1641"/>
      <c r="BI38" s="1641"/>
      <c r="BJ38" s="1641"/>
      <c r="BK38" s="1641"/>
      <c r="BL38" s="1641"/>
      <c r="BM38" s="1641"/>
      <c r="BN38" s="1617"/>
      <c r="BO38" s="1641"/>
      <c r="BP38" s="1641"/>
      <c r="BQ38" s="1641"/>
      <c r="BR38" s="1641"/>
      <c r="BS38" s="1641"/>
      <c r="BT38" s="1641"/>
      <c r="BU38" s="1641"/>
      <c r="BV38" s="1641"/>
      <c r="BW38" s="1641"/>
      <c r="BX38" s="1641"/>
      <c r="BY38" s="1617"/>
      <c r="BZ38" s="1908"/>
      <c r="CA38" s="1814"/>
      <c r="CB38" s="1814"/>
      <c r="CC38" s="1814"/>
      <c r="CD38" s="1814"/>
      <c r="CE38" s="1814"/>
      <c r="CF38" s="1814"/>
      <c r="CG38" s="1814"/>
      <c r="CH38" s="1617"/>
      <c r="CI38" s="1814"/>
      <c r="CJ38" s="1814"/>
      <c r="CK38" s="1796"/>
      <c r="CL38" s="1617"/>
      <c r="CM38" s="1814"/>
      <c r="CN38" s="1814"/>
      <c r="CO38" s="1617"/>
      <c r="CP38" s="1814"/>
      <c r="CQ38" s="1814"/>
      <c r="CR38" s="1617"/>
      <c r="CS38" s="1814"/>
      <c r="CT38" s="1796"/>
      <c r="CU38" s="1617"/>
      <c r="CV38" s="1814"/>
      <c r="CW38" s="1814"/>
      <c r="CX38" s="1617"/>
      <c r="CY38" s="1617"/>
      <c r="CZ38" s="1617"/>
      <c r="DA38" s="1743" t="e">
        <f>'[11]BDBL Assets'!$O$11-'[11]BDBL Assets'!$Q$11/#REF!</f>
        <v>#REF!</v>
      </c>
      <c r="DB38" s="1836" t="e">
        <f>'[11]BDBL Assets'!$O$12-'[11]BDBL Assets'!$Q$12/#REF!</f>
        <v>#REF!</v>
      </c>
      <c r="DC38" s="1617" t="e">
        <f>'[11]BDBL Assets'!$O$13-'[11]BDBL Assets'!$Q$13/#REF!</f>
        <v>#REF!</v>
      </c>
      <c r="DD38" s="1617" t="e">
        <f>'[11]BDBL Assets'!$O$14-'[11]BDBL Assets'!$Q$14/#REF!</f>
        <v>#REF!</v>
      </c>
      <c r="DE38" s="1799"/>
      <c r="DF38" s="1855"/>
      <c r="DG38" s="1856"/>
      <c r="DH38" s="1707"/>
      <c r="DI38" s="1856"/>
      <c r="DJ38" s="1707"/>
      <c r="DK38" s="1857"/>
      <c r="DL38" s="1858"/>
      <c r="DM38" s="1617"/>
      <c r="DN38" s="1800"/>
      <c r="DO38" s="1722"/>
      <c r="DP38" s="1921"/>
      <c r="DQ38" s="1911"/>
      <c r="DR38" s="4908" t="s">
        <v>1432</v>
      </c>
      <c r="DS38" s="4908"/>
      <c r="DT38" s="4908"/>
      <c r="DU38" s="4908"/>
      <c r="DV38" s="4908"/>
      <c r="DW38" s="4908"/>
      <c r="DX38" s="4908"/>
      <c r="DY38" s="4908"/>
      <c r="DZ38" s="4908"/>
      <c r="EA38" s="4908"/>
      <c r="EB38" s="4908"/>
      <c r="EC38" s="4908"/>
      <c r="ED38" s="4908"/>
      <c r="EE38" s="4908"/>
      <c r="EF38" s="4908"/>
      <c r="EG38" s="4908"/>
      <c r="EH38" s="4908"/>
      <c r="EI38" s="4908"/>
      <c r="EJ38" s="4908"/>
      <c r="EK38" s="4908"/>
      <c r="EL38" s="4908"/>
      <c r="EM38" s="4908"/>
      <c r="EN38" s="4908"/>
      <c r="EO38" s="4908"/>
      <c r="EP38" s="4908"/>
      <c r="EQ38" s="4908"/>
      <c r="ER38" s="4908"/>
      <c r="ES38" s="4908"/>
      <c r="ET38" s="4908"/>
      <c r="EU38" s="4908"/>
      <c r="EV38" s="4908"/>
      <c r="EW38" s="4908"/>
      <c r="EX38" s="4908"/>
      <c r="EY38" s="4908"/>
      <c r="EZ38" s="4908"/>
      <c r="FA38" s="4908"/>
      <c r="FB38" s="4908"/>
      <c r="FC38" s="4908"/>
      <c r="FD38" s="4908"/>
      <c r="FE38" s="4908"/>
      <c r="FF38" s="4908"/>
      <c r="FG38" s="4908"/>
      <c r="FH38" s="4908"/>
      <c r="FI38" s="4908"/>
      <c r="FJ38" s="4908"/>
      <c r="FK38" s="4908"/>
      <c r="FL38" s="4908"/>
      <c r="FM38" s="4908"/>
      <c r="FN38" s="4908"/>
      <c r="FO38" s="4908"/>
      <c r="FP38" s="4908"/>
      <c r="FQ38" s="4908"/>
      <c r="FR38" s="4908"/>
      <c r="FS38" s="4908"/>
      <c r="FT38" s="4908"/>
      <c r="FU38" s="4908"/>
      <c r="FV38" s="4908"/>
      <c r="FW38" s="4908"/>
      <c r="FX38" s="4908"/>
      <c r="FY38" s="4908"/>
      <c r="FZ38" s="4908"/>
      <c r="GA38" s="4908"/>
      <c r="GB38" s="4908"/>
      <c r="GC38" s="4908"/>
      <c r="GD38" s="4908"/>
      <c r="GE38" s="4908"/>
      <c r="GF38" s="4908"/>
      <c r="GG38" s="4908"/>
      <c r="GH38" s="4908"/>
      <c r="GI38" s="4908"/>
      <c r="GJ38" s="4908"/>
      <c r="GK38" s="4908"/>
      <c r="GL38" s="4908"/>
      <c r="GM38" s="4908"/>
      <c r="GN38" s="4908"/>
      <c r="GO38" s="4908"/>
      <c r="GP38" s="4908"/>
      <c r="GQ38" s="4908"/>
      <c r="GR38" s="4908"/>
      <c r="GS38" s="4908"/>
      <c r="GT38" s="4908"/>
      <c r="GU38" s="4908"/>
      <c r="GV38" s="4908"/>
      <c r="GW38" s="4908"/>
      <c r="GX38" s="4908"/>
      <c r="GY38" s="4908"/>
      <c r="GZ38" s="4908"/>
      <c r="HA38" s="4908"/>
      <c r="HB38" s="4908"/>
      <c r="HC38" s="4908"/>
      <c r="HD38" s="4908"/>
      <c r="HE38" s="4908"/>
      <c r="HF38" s="4908"/>
      <c r="HG38" s="4908"/>
      <c r="HH38" s="4908"/>
      <c r="HI38" s="4908"/>
      <c r="HJ38" s="4908"/>
      <c r="HK38" s="4908"/>
      <c r="HL38" s="4908"/>
      <c r="HM38" s="4908"/>
      <c r="HN38" s="4908"/>
      <c r="HO38" s="4908"/>
      <c r="HP38" s="4908"/>
      <c r="HQ38" s="4908"/>
      <c r="HR38" s="4908"/>
      <c r="HS38" s="4908"/>
      <c r="HT38" s="4908"/>
      <c r="HU38" s="4908"/>
      <c r="HV38" s="4908"/>
      <c r="HW38"/>
    </row>
    <row r="39" spans="1:231" ht="15.75">
      <c r="A39" s="1670"/>
      <c r="B39" s="1815" t="s">
        <v>247</v>
      </c>
      <c r="C39" s="1816">
        <f>(C9/[19]ExRate!M18)+[19]Reserves!B23</f>
        <v>94.401476928955844</v>
      </c>
      <c r="D39" s="1816">
        <f>(D9/[19]ExRate!N18)+[19]Reserves!C23</f>
        <v>106.92266815428755</v>
      </c>
      <c r="E39" s="1816">
        <f>(E9/[19]ExRate!O18)+[19]Reserves!D23</f>
        <v>120.94941022864785</v>
      </c>
      <c r="F39" s="1817">
        <f>(F9/[19]ExRate!P18)+[19]Reserves!E23</f>
        <v>145.11249506987912</v>
      </c>
      <c r="G39" s="1816">
        <f>(G9/[19]ExRate!Q18)+[19]Reserves!F23</f>
        <v>176.06646188215578</v>
      </c>
      <c r="H39" s="1816">
        <f>(H9/[19]ExRate!R18)+[19]Reserves!G23</f>
        <v>216.66753455784891</v>
      </c>
      <c r="I39" s="1816" t="e">
        <f>I24+(I9/#REF!)</f>
        <v>#REF!</v>
      </c>
      <c r="J39" s="1816" t="e">
        <f>J24+(J9/#REF!)</f>
        <v>#REF!</v>
      </c>
      <c r="K39" s="1818" t="e">
        <f>K24+(K9/#REF!)</f>
        <v>#REF!</v>
      </c>
      <c r="L39" s="1819" t="e">
        <f>L24+(L9/#REF!)</f>
        <v>#REF!</v>
      </c>
      <c r="M39" s="1820">
        <f>M9/[20]ExRate!V19+[20]Reserves!L23</f>
        <v>317.71204167008443</v>
      </c>
      <c r="N39" s="1820">
        <f>N9/[21]ExRate!V20+N24</f>
        <v>321.51151542593698</v>
      </c>
      <c r="O39" s="1820">
        <f>O9/[21]ExRate!V20+O24</f>
        <v>312.74517875151787</v>
      </c>
      <c r="P39" s="1820" t="e">
        <f>P24+(P9/#REF!)</f>
        <v>#REF!</v>
      </c>
      <c r="Q39" s="1820" t="e">
        <f>Q24+(Q9/#REF!)</f>
        <v>#REF!</v>
      </c>
      <c r="R39" s="1820">
        <f>R9/[22]ExRate!V24+R24</f>
        <v>353.67962939881176</v>
      </c>
      <c r="S39" s="1820" t="e">
        <f>S24+(S9/#REF!)</f>
        <v>#REF!</v>
      </c>
      <c r="T39" s="1820" t="e">
        <f>T24+(T9/#REF!)</f>
        <v>#REF!</v>
      </c>
      <c r="U39" s="1820" t="e">
        <f>U24+(U9/#REF!)</f>
        <v>#REF!</v>
      </c>
      <c r="V39" s="1820" t="e">
        <f>V24+(V9/#REF!)</f>
        <v>#REF!</v>
      </c>
      <c r="W39" s="1820" t="e">
        <f>W24+(W9/#REF!)</f>
        <v>#REF!</v>
      </c>
      <c r="X39" s="1820" t="e">
        <f>X24+(X9/#REF!)</f>
        <v>#REF!</v>
      </c>
      <c r="Y39" s="1820" t="e">
        <f>Y24+(Y9/#REF!)</f>
        <v>#REF!</v>
      </c>
      <c r="Z39" s="1820" t="e">
        <f>Z24+(Z9/#REF!)</f>
        <v>#REF!</v>
      </c>
      <c r="AA39" s="1820" t="e">
        <f>AA24+(AA9/#REF!)</f>
        <v>#REF!</v>
      </c>
      <c r="AB39" s="1820" t="e">
        <f>AB24+(AB9/#REF!)</f>
        <v>#REF!</v>
      </c>
      <c r="AC39" s="1820" t="e">
        <f>AC24+(AC9/#REF!)</f>
        <v>#REF!</v>
      </c>
      <c r="AD39" s="1820" t="e">
        <f>AD24+(AD9/#REF!)</f>
        <v>#REF!</v>
      </c>
      <c r="AE39" s="1820" t="e">
        <f>AE24+(AE9/#REF!)</f>
        <v>#REF!</v>
      </c>
      <c r="AF39" s="1820" t="e">
        <f>AF24+(AF9/#REF!)</f>
        <v>#REF!</v>
      </c>
      <c r="AG39" s="1820" t="e">
        <f>AG24+(AG9/#REF!)</f>
        <v>#REF!</v>
      </c>
      <c r="AH39" s="1820" t="e">
        <f>AH24+(AH9/#REF!)</f>
        <v>#REF!</v>
      </c>
      <c r="AI39" s="1820" t="e">
        <f>AI24+(AI9/#REF!)</f>
        <v>#REF!</v>
      </c>
      <c r="AJ39" s="1820" t="e">
        <f>AJ24+(AJ9/#REF!)</f>
        <v>#REF!</v>
      </c>
      <c r="AK39" s="1820" t="e">
        <f>AK24+(AK9/#REF!)</f>
        <v>#REF!</v>
      </c>
      <c r="AL39" s="1820" t="e">
        <f>AL24+(AL9/#REF!)</f>
        <v>#REF!</v>
      </c>
      <c r="AM39" s="1820" t="e">
        <f>AM24+(AM9/#REF!)</f>
        <v>#REF!</v>
      </c>
      <c r="AN39" s="1820" t="e">
        <f>AN24+(AN9/#REF!)</f>
        <v>#REF!</v>
      </c>
      <c r="AO39" s="1820" t="e">
        <f>AO24+(AO9/#REF!)</f>
        <v>#REF!</v>
      </c>
      <c r="AP39" s="1820" t="e">
        <f>AP24+(AP9/#REF!)</f>
        <v>#REF!</v>
      </c>
      <c r="AQ39" s="1820" t="e">
        <f>AQ24+(AQ9/#REF!)</f>
        <v>#REF!</v>
      </c>
      <c r="AR39" s="1820" t="e">
        <f>AR24+(AR9/#REF!)</f>
        <v>#REF!</v>
      </c>
      <c r="AS39" s="1820" t="e">
        <f>AS24+(AS9/#REF!)</f>
        <v>#REF!</v>
      </c>
      <c r="AT39" s="1820" t="e">
        <f>AT24+(AT9/#REF!)</f>
        <v>#REF!</v>
      </c>
      <c r="AU39" s="1820" t="e">
        <f>AU24+(AU9/#REF!)</f>
        <v>#REF!</v>
      </c>
      <c r="AV39" s="1820" t="e">
        <f>AV24+(AV9/#REF!)</f>
        <v>#REF!</v>
      </c>
      <c r="AW39" s="1820" t="e">
        <f>AW24+(AW9/[71]Exrate!Y15)</f>
        <v>#REF!</v>
      </c>
      <c r="AX39" s="1820" t="e">
        <f>AX24+(AX9/#REF!)</f>
        <v>#REF!</v>
      </c>
      <c r="AY39" s="1820" t="e">
        <f>AY24+(AY9/#REF!)</f>
        <v>#REF!</v>
      </c>
      <c r="AZ39" s="1820" t="e">
        <f>AZ24+(AZ9/#REF!)</f>
        <v>#REF!</v>
      </c>
      <c r="BA39" s="1820" t="e">
        <f>BA24+(BA9/#REF!)</f>
        <v>#REF!</v>
      </c>
      <c r="BB39" s="1820" t="e">
        <f>BB24+(BB9/#REF!)</f>
        <v>#REF!</v>
      </c>
      <c r="BC39" s="1820" t="e">
        <f>BC24+(BC9/#REF!)</f>
        <v>#REF!</v>
      </c>
      <c r="BD39" s="1820" t="e">
        <f>BD24+(BD9/#REF!)</f>
        <v>#REF!</v>
      </c>
      <c r="BE39" s="1820" t="e">
        <f>BE24+(BE9/#REF!)</f>
        <v>#REF!</v>
      </c>
      <c r="BF39" s="1820" t="e">
        <f>BF24+(BF9/#REF!)</f>
        <v>#REF!</v>
      </c>
      <c r="BG39" s="1820" t="e">
        <f>BG24+(BG9/#REF!)</f>
        <v>#REF!</v>
      </c>
      <c r="BH39" s="1820" t="e">
        <f>BH24+(BH9/#REF!)</f>
        <v>#REF!</v>
      </c>
      <c r="BI39" s="1820" t="e">
        <f>BI24+(BI9/#REF!)</f>
        <v>#REF!</v>
      </c>
      <c r="BJ39" s="1820" t="e">
        <f>BJ24+(BJ9/#REF!)</f>
        <v>#REF!</v>
      </c>
      <c r="BK39" s="1820" t="e">
        <f>BK24+(BK9/#REF!)</f>
        <v>#REF!</v>
      </c>
      <c r="BL39" s="1820" t="e">
        <f>BL24+(BL9/#REF!)</f>
        <v>#REF!</v>
      </c>
      <c r="BM39" s="1820" t="e">
        <f>BM24+(BM9/#REF!)</f>
        <v>#REF!</v>
      </c>
      <c r="BN39" s="1820" t="e">
        <f>BN24+(BN9/#REF!)</f>
        <v>#REF!</v>
      </c>
      <c r="BO39" s="1820" t="e">
        <f>BO24+(BO9/#REF!)</f>
        <v>#REF!</v>
      </c>
      <c r="BP39" s="1820" t="e">
        <f>BP24+(BP9/#REF!)</f>
        <v>#REF!</v>
      </c>
      <c r="BQ39" s="1820" t="e">
        <f>BQ24+(BQ9/#REF!)</f>
        <v>#REF!</v>
      </c>
      <c r="BR39" s="1820" t="e">
        <f>BR24+(BR9/#REF!)</f>
        <v>#REF!</v>
      </c>
      <c r="BS39" s="1820" t="e">
        <f>BS24+(BS9/#REF!)</f>
        <v>#REF!</v>
      </c>
      <c r="BT39" s="1820" t="e">
        <f>BT24+(BT9/#REF!)</f>
        <v>#REF!</v>
      </c>
      <c r="BU39" s="1820" t="e">
        <f>BU24+(BU9/#REF!)</f>
        <v>#REF!</v>
      </c>
      <c r="BV39" s="1820" t="e">
        <f>BV24+(BV9/#REF!)</f>
        <v>#REF!</v>
      </c>
      <c r="BW39" s="1820" t="e">
        <f>BW24+(BW9/#REF!)</f>
        <v>#REF!</v>
      </c>
      <c r="BX39" s="1820" t="e">
        <f>BX24+(BX9/#REF!)</f>
        <v>#REF!</v>
      </c>
      <c r="BY39" s="1820" t="e">
        <f>BY24+(BY9/#REF!)</f>
        <v>#REF!</v>
      </c>
      <c r="BZ39" s="1909" t="e">
        <f>BZ24+(BZ9/#REF!)</f>
        <v>#REF!</v>
      </c>
      <c r="CA39" s="1821" t="e">
        <f>CA24+(CA9/#REF!)</f>
        <v>#REF!</v>
      </c>
      <c r="CB39" s="1821" t="e">
        <f>CB24+(CB9/#REF!)</f>
        <v>#REF!</v>
      </c>
      <c r="CC39" s="1821" t="e">
        <f>CC24+(CC9/#REF!)</f>
        <v>#REF!</v>
      </c>
      <c r="CD39" s="1821" t="e">
        <f>CD24+(CD9/#REF!)</f>
        <v>#REF!</v>
      </c>
      <c r="CE39" s="1821" t="e">
        <f>CE24+(CE9/#REF!)</f>
        <v>#REF!</v>
      </c>
      <c r="CF39" s="1821" t="e">
        <f>CF24+(CF9/#REF!)</f>
        <v>#REF!</v>
      </c>
      <c r="CG39" s="1821" t="e">
        <f>CG24+(CG9/#REF!)</f>
        <v>#REF!</v>
      </c>
      <c r="CH39" s="1821" t="e">
        <f>CH24+(CH9/#REF!)</f>
        <v>#REF!</v>
      </c>
      <c r="CI39" s="1821" t="e">
        <f>CI24+(CI9/#REF!)</f>
        <v>#REF!</v>
      </c>
      <c r="CJ39" s="1821" t="e">
        <f>CJ24+(CJ9/#REF!)</f>
        <v>#REF!</v>
      </c>
      <c r="CK39" s="1821" t="e">
        <f>CK24+(CK9/#REF!)</f>
        <v>#REF!</v>
      </c>
      <c r="CL39" s="1822" t="e">
        <f>CL24+(CL9/#REF!)</f>
        <v>#REF!</v>
      </c>
      <c r="CM39" s="1821" t="e">
        <f>CM24+(CM9/#REF!)</f>
        <v>#REF!</v>
      </c>
      <c r="CN39" s="1821" t="e">
        <f>CN24+(CN9/#REF!)</f>
        <v>#REF!</v>
      </c>
      <c r="CO39" s="1821" t="e">
        <f>CO24+(CO9/#REF!)</f>
        <v>#REF!</v>
      </c>
      <c r="CP39" s="1821" t="e">
        <f>CP24+(CP9/#REF!)</f>
        <v>#REF!</v>
      </c>
      <c r="CQ39" s="1821" t="e">
        <f>CQ24+(CQ9/#REF!)</f>
        <v>#REF!</v>
      </c>
      <c r="CR39" s="1821" t="e">
        <f>CR24+(CR9/#REF!)</f>
        <v>#REF!</v>
      </c>
      <c r="CS39" s="1821" t="e">
        <f>CS24+(CS9/#REF!)</f>
        <v>#REF!</v>
      </c>
      <c r="CT39" s="1821" t="e">
        <f>CT24+(CT9/#REF!)</f>
        <v>#REF!</v>
      </c>
      <c r="CU39" s="1821" t="e">
        <f>CU24+(CU9/#REF!)</f>
        <v>#REF!</v>
      </c>
      <c r="CV39" s="1821" t="e">
        <f>CV24+(CV9/#REF!)</f>
        <v>#REF!</v>
      </c>
      <c r="CW39" s="1821" t="e">
        <f>CW24+(CW9/#REF!)</f>
        <v>#REF!</v>
      </c>
      <c r="CX39" s="1849" t="e">
        <f>CX24+(CX9/#REF!)</f>
        <v>#REF!</v>
      </c>
      <c r="CY39" s="1823" t="e">
        <f>CY24+(CY9/#REF!)</f>
        <v>#REF!</v>
      </c>
      <c r="CZ39" s="1823" t="e">
        <f>CZ24+(CZ9/#REF!)</f>
        <v>#REF!</v>
      </c>
      <c r="DA39" s="1823" t="e">
        <f>DA24+(DA9/#REF!)</f>
        <v>#REF!</v>
      </c>
      <c r="DB39" s="1823" t="e">
        <f>DB24+(DB9/#REF!)</f>
        <v>#REF!</v>
      </c>
      <c r="DC39" s="1823" t="e">
        <f>DC24+(DC9/#REF!)</f>
        <v>#REF!</v>
      </c>
      <c r="DD39" s="1823" t="e">
        <f>DD24+(DD9/#REF!)</f>
        <v>#REF!</v>
      </c>
      <c r="DE39" s="1823" t="e">
        <f>DE24+(DE9/#REF!)</f>
        <v>#REF!</v>
      </c>
      <c r="DF39" s="1823" t="e">
        <f>DF24+(DF9/#REF!)</f>
        <v>#REF!</v>
      </c>
      <c r="DG39" s="1823" t="e">
        <f>DG24+(DG9/#REF!)</f>
        <v>#REF!</v>
      </c>
      <c r="DH39" s="1823" t="e">
        <f>DH24+(DH9/#REF!)</f>
        <v>#REF!</v>
      </c>
      <c r="DI39" s="1823" t="e">
        <f>DI24+(DI9/#REF!)</f>
        <v>#REF!</v>
      </c>
      <c r="DJ39" s="1823" t="e">
        <f>DJ24+(DJ9/#REF!)</f>
        <v>#REF!</v>
      </c>
      <c r="DK39" s="1823" t="e">
        <f>DK24+(DK9/#REF!)</f>
        <v>#REF!</v>
      </c>
      <c r="DL39" s="1823" t="e">
        <f>DL24+(DL9/#REF!)</f>
        <v>#REF!</v>
      </c>
      <c r="DM39" s="1823" t="e">
        <f>DM24+(DM9/#REF!)</f>
        <v>#REF!</v>
      </c>
      <c r="DN39" s="1823" t="e">
        <f>DN24+(DN9/#REF!)</f>
        <v>#REF!</v>
      </c>
      <c r="DO39" s="1823" t="e">
        <f>DO24+(DO9/#REF!)</f>
        <v>#REF!</v>
      </c>
      <c r="DP39" s="1823" t="e">
        <f>DP24+(DP9/#REF!)</f>
        <v>#REF!</v>
      </c>
      <c r="DQ39" s="1823" t="e">
        <f>DQ24+(DQ9/#REF!)</f>
        <v>#REF!</v>
      </c>
      <c r="DR39" s="1669"/>
      <c r="DS39" s="1670"/>
      <c r="DT39" s="1670"/>
      <c r="DU39" s="1670"/>
      <c r="DV39" s="1670"/>
      <c r="DW39" s="1670"/>
      <c r="DX39" s="1670"/>
      <c r="DY39" s="1670"/>
      <c r="DZ39" s="1670"/>
      <c r="EA39" s="1670"/>
      <c r="EB39" s="1670"/>
      <c r="EC39" s="1670"/>
      <c r="ED39" s="1670"/>
      <c r="EE39" s="1670"/>
      <c r="EF39" s="1670"/>
      <c r="EG39" s="1670"/>
      <c r="EH39" s="1670"/>
      <c r="EI39" s="1670"/>
      <c r="EJ39" s="1670"/>
      <c r="EK39" s="1670"/>
      <c r="EL39" s="1670"/>
      <c r="EM39" s="1670"/>
      <c r="EN39" s="1670"/>
      <c r="EO39" s="1670"/>
      <c r="EP39" s="1670"/>
      <c r="EQ39" s="1670"/>
      <c r="ER39" s="1670"/>
      <c r="ES39" s="1670"/>
      <c r="ET39" s="1670"/>
      <c r="EU39" s="1670"/>
      <c r="EV39" s="1670"/>
      <c r="EW39" s="1670"/>
      <c r="EX39" s="1670"/>
      <c r="EY39" s="1670"/>
      <c r="EZ39" s="1670"/>
      <c r="FA39" s="1670"/>
      <c r="FB39" s="1670"/>
      <c r="FC39" s="1670"/>
      <c r="FD39" s="1670"/>
      <c r="FE39" s="1670"/>
      <c r="FF39" s="1670"/>
      <c r="FG39" s="1670"/>
      <c r="FH39" s="1670"/>
      <c r="FI39" s="1670"/>
      <c r="FJ39" s="1670"/>
      <c r="FK39" s="1670"/>
      <c r="FL39" s="1670"/>
      <c r="FM39" s="1670"/>
      <c r="FN39" s="1670"/>
      <c r="FO39" s="1670"/>
      <c r="FP39" s="1670"/>
      <c r="FQ39" s="1670"/>
      <c r="FR39" s="1670"/>
      <c r="FS39" s="1670"/>
      <c r="FT39" s="1670"/>
      <c r="FU39" s="1670"/>
      <c r="FV39" s="1670"/>
      <c r="FW39" s="1670"/>
      <c r="FX39" s="1670"/>
      <c r="FY39" s="1670"/>
      <c r="FZ39" s="1670"/>
      <c r="GA39" s="1670"/>
      <c r="GB39" s="1670"/>
      <c r="GC39" s="1670"/>
      <c r="GD39" s="1670"/>
      <c r="GE39" s="1670"/>
      <c r="GF39" s="1670"/>
      <c r="GG39" s="1670"/>
      <c r="GH39" s="1670"/>
      <c r="GI39" s="1670"/>
      <c r="GJ39" s="1670"/>
      <c r="GK39" s="1670"/>
      <c r="GL39" s="1670"/>
      <c r="GM39" s="1670"/>
      <c r="GN39" s="1670"/>
      <c r="GO39" s="1670"/>
      <c r="GP39" s="1670"/>
      <c r="GQ39" s="1670"/>
      <c r="GR39" s="1670"/>
      <c r="GS39" s="1670"/>
      <c r="GT39" s="1670"/>
      <c r="GU39" s="1670"/>
      <c r="GV39" s="1670"/>
      <c r="GW39" s="1670"/>
      <c r="GX39" s="1670"/>
      <c r="GY39" s="1670"/>
      <c r="GZ39" s="1670"/>
      <c r="HA39" s="1670"/>
      <c r="HB39" s="1670"/>
      <c r="HC39" s="1670"/>
      <c r="HD39" s="1670"/>
      <c r="HE39" s="1670"/>
      <c r="HF39" s="1670"/>
      <c r="HG39" s="1670"/>
      <c r="HH39" s="1670"/>
      <c r="HI39" s="1670"/>
      <c r="HJ39" s="1670"/>
      <c r="HK39" s="1670"/>
      <c r="HL39" s="1670"/>
      <c r="HM39" s="1670"/>
      <c r="HN39" s="1670"/>
      <c r="HO39" s="1670"/>
      <c r="HP39" s="1670"/>
      <c r="HQ39" s="1670"/>
      <c r="HR39" s="1670"/>
      <c r="HS39" s="1670"/>
      <c r="HT39" s="1670"/>
      <c r="HU39" s="1670"/>
      <c r="HV39" s="1670"/>
    </row>
    <row r="40" spans="1:231" ht="31.5" hidden="1" customHeight="1">
      <c r="A40" s="1670"/>
      <c r="B40" s="4921" t="s">
        <v>1488</v>
      </c>
      <c r="C40" s="4921"/>
      <c r="D40" s="4921"/>
      <c r="E40" s="4921"/>
      <c r="F40" s="4921"/>
      <c r="G40" s="4921"/>
      <c r="H40" s="4921"/>
      <c r="I40" s="4921"/>
      <c r="J40" s="4921"/>
      <c r="K40" s="4921"/>
      <c r="L40" s="4921"/>
      <c r="M40" s="4921"/>
      <c r="N40" s="4921"/>
      <c r="O40" s="4921"/>
      <c r="P40" s="4921"/>
      <c r="Q40" s="4921"/>
      <c r="R40" s="4921"/>
      <c r="S40" s="4921"/>
      <c r="T40" s="4921"/>
      <c r="U40" s="4921"/>
      <c r="V40" s="4921"/>
      <c r="W40" s="4921"/>
      <c r="X40" s="4921"/>
      <c r="Y40" s="4921"/>
      <c r="Z40" s="4921"/>
      <c r="AA40" s="4921"/>
      <c r="AB40" s="4921"/>
      <c r="AC40" s="4921"/>
      <c r="AD40" s="4921"/>
      <c r="AE40" s="4921"/>
      <c r="AF40" s="4921"/>
      <c r="AG40" s="4921"/>
      <c r="AH40" s="4921"/>
      <c r="AI40" s="4921"/>
      <c r="AJ40" s="4921"/>
      <c r="AK40" s="4921"/>
      <c r="AL40" s="4921"/>
      <c r="AM40" s="4921"/>
      <c r="AN40" s="4921"/>
      <c r="AO40" s="4921"/>
      <c r="AP40" s="4921"/>
      <c r="AQ40" s="4921"/>
      <c r="AR40" s="4921"/>
      <c r="AS40" s="4921"/>
      <c r="AT40" s="4921"/>
      <c r="AU40" s="4921"/>
      <c r="AV40" s="4921"/>
      <c r="AW40" s="4921"/>
      <c r="AX40" s="4921"/>
      <c r="AY40" s="4921"/>
      <c r="AZ40" s="4921"/>
      <c r="BA40" s="4921"/>
      <c r="BB40" s="4921"/>
      <c r="BC40" s="4921"/>
      <c r="BD40" s="4921"/>
      <c r="BE40" s="4921"/>
      <c r="BF40" s="4921"/>
      <c r="BG40" s="4921"/>
      <c r="BH40" s="4921"/>
      <c r="BI40" s="4921"/>
      <c r="BJ40" s="4921"/>
      <c r="BK40" s="4921"/>
      <c r="BL40" s="4921"/>
      <c r="BM40" s="4921"/>
      <c r="BN40" s="4921"/>
      <c r="BO40" s="4921"/>
      <c r="BP40" s="4921"/>
      <c r="BQ40" s="4921"/>
      <c r="BR40" s="4921"/>
      <c r="BS40" s="4921"/>
      <c r="BT40" s="4921"/>
      <c r="BU40" s="4921"/>
      <c r="BV40" s="4921"/>
      <c r="BW40" s="4921"/>
      <c r="BX40" s="4921"/>
      <c r="BY40" s="4921"/>
      <c r="BZ40" s="4921"/>
      <c r="CA40" s="4921"/>
      <c r="CB40" s="4921"/>
      <c r="CC40" s="4921"/>
      <c r="CD40" s="4921"/>
      <c r="CE40" s="4921"/>
      <c r="CF40" s="4921"/>
      <c r="CG40" s="4921"/>
      <c r="CH40" s="4921"/>
      <c r="CI40" s="4921"/>
      <c r="CJ40" s="4921"/>
      <c r="CK40" s="4921"/>
      <c r="CL40" s="4921"/>
      <c r="CM40" s="4921"/>
      <c r="CN40" s="4921"/>
      <c r="CO40" s="4921"/>
      <c r="CP40" s="4921"/>
      <c r="CQ40" s="4921"/>
      <c r="CR40" s="4921"/>
      <c r="CS40" s="4921"/>
      <c r="CT40" s="4921"/>
      <c r="CU40" s="4921"/>
      <c r="CV40" s="4921"/>
      <c r="CW40" s="4921"/>
      <c r="CX40" s="4921"/>
      <c r="CY40" s="4921"/>
      <c r="CZ40" s="4921"/>
      <c r="DA40" s="4921"/>
      <c r="DB40" s="4921"/>
      <c r="DC40" s="4921"/>
      <c r="DD40" s="4921"/>
      <c r="DE40" s="4921"/>
      <c r="DF40" s="4921"/>
      <c r="DG40" s="4921"/>
      <c r="DH40" s="4921"/>
      <c r="DI40" s="4921"/>
      <c r="DJ40" s="4921"/>
      <c r="DK40" s="4921"/>
      <c r="DL40" s="4921"/>
      <c r="DM40" s="4921"/>
      <c r="DN40" s="4921"/>
      <c r="DO40" s="4921"/>
      <c r="DP40" s="4921"/>
      <c r="DQ40" s="1913"/>
      <c r="DR40" s="1669"/>
      <c r="DS40" s="1670"/>
      <c r="DT40" s="1670"/>
      <c r="DU40" s="1670"/>
      <c r="DV40" s="1670"/>
      <c r="DW40" s="1670"/>
      <c r="DX40" s="1670"/>
      <c r="DY40" s="1670"/>
      <c r="DZ40" s="1670"/>
      <c r="EA40" s="1670"/>
      <c r="EB40" s="1670"/>
      <c r="EC40" s="1670"/>
      <c r="ED40" s="1670"/>
      <c r="EE40" s="1670"/>
      <c r="EF40" s="1670"/>
      <c r="EG40" s="1670"/>
      <c r="EH40" s="1670"/>
      <c r="EI40" s="1670"/>
      <c r="EJ40" s="1670"/>
      <c r="EK40" s="1670"/>
      <c r="EL40" s="1670"/>
      <c r="EM40" s="1670"/>
      <c r="EN40" s="1670"/>
      <c r="EO40" s="1670"/>
      <c r="EP40" s="1670"/>
      <c r="EQ40" s="1670"/>
      <c r="ER40" s="1670"/>
      <c r="ES40" s="1670"/>
      <c r="ET40" s="1670"/>
      <c r="EU40" s="1670"/>
      <c r="EV40" s="1670"/>
      <c r="EW40" s="1670"/>
      <c r="EX40" s="1670"/>
      <c r="EY40" s="1670"/>
      <c r="EZ40" s="1670"/>
      <c r="FA40" s="1670"/>
      <c r="FB40" s="1670"/>
      <c r="FC40" s="1670"/>
      <c r="FD40" s="1670"/>
      <c r="FE40" s="1670"/>
      <c r="FF40" s="1670"/>
      <c r="FG40" s="1670"/>
      <c r="FH40" s="1670"/>
      <c r="FI40" s="1670"/>
      <c r="FJ40" s="1670"/>
      <c r="FK40" s="1670"/>
      <c r="FL40" s="1670"/>
      <c r="FM40" s="1670"/>
      <c r="FN40" s="1670"/>
      <c r="FO40" s="1670"/>
      <c r="FP40" s="1670"/>
      <c r="FQ40" s="1670"/>
      <c r="FR40" s="1670"/>
      <c r="FS40" s="1670"/>
      <c r="FT40" s="1670"/>
      <c r="FU40" s="1670"/>
      <c r="FV40" s="1670"/>
      <c r="FW40" s="1670"/>
      <c r="FX40" s="1670"/>
      <c r="FY40" s="1670"/>
      <c r="FZ40" s="1670"/>
      <c r="GA40" s="1670"/>
      <c r="GB40" s="1670"/>
      <c r="GC40" s="1670"/>
      <c r="GD40" s="1670"/>
      <c r="GE40" s="1670"/>
      <c r="GF40" s="1670"/>
      <c r="GG40" s="1670"/>
      <c r="GH40" s="1670"/>
      <c r="GI40" s="1670"/>
      <c r="GJ40" s="1670"/>
      <c r="GK40" s="1670"/>
      <c r="GL40" s="1670"/>
      <c r="GM40" s="1670"/>
      <c r="GN40" s="1670"/>
      <c r="GO40" s="1670"/>
      <c r="GP40" s="1670"/>
      <c r="GQ40" s="1670"/>
      <c r="GR40" s="1670"/>
      <c r="GS40" s="1670"/>
      <c r="GT40" s="1670"/>
      <c r="GU40" s="1670"/>
      <c r="GV40" s="1670"/>
      <c r="GW40" s="1670"/>
      <c r="GX40" s="1670"/>
      <c r="GY40" s="1670"/>
      <c r="GZ40" s="1670"/>
      <c r="HA40" s="1670"/>
      <c r="HB40" s="1670"/>
      <c r="HC40" s="1670"/>
      <c r="HD40" s="1670"/>
      <c r="HE40" s="1670"/>
      <c r="HF40" s="1670"/>
      <c r="HG40" s="1670"/>
      <c r="HH40" s="1670"/>
      <c r="HI40" s="1670"/>
      <c r="HJ40" s="1670"/>
      <c r="HK40" s="1670"/>
      <c r="HL40" s="1670"/>
      <c r="HM40" s="1670"/>
      <c r="HN40" s="1670"/>
      <c r="HO40" s="1670"/>
      <c r="HP40" s="1670"/>
      <c r="HQ40" s="1670"/>
      <c r="HR40" s="1670"/>
      <c r="HS40" s="1670"/>
      <c r="HT40" s="1670"/>
      <c r="HU40" s="1670"/>
      <c r="HV40" s="1670"/>
    </row>
    <row r="41" spans="1:231" ht="34.5" customHeight="1">
      <c r="A41" s="1670"/>
      <c r="B41" s="4922" t="s">
        <v>1492</v>
      </c>
      <c r="C41" s="4922"/>
      <c r="D41" s="4922"/>
      <c r="E41" s="4922"/>
      <c r="F41" s="4922"/>
      <c r="G41" s="4922"/>
      <c r="H41" s="4922"/>
      <c r="I41" s="4922"/>
      <c r="J41" s="4922"/>
      <c r="K41" s="4922"/>
      <c r="L41" s="4922"/>
      <c r="M41" s="4922"/>
      <c r="N41" s="4922"/>
      <c r="O41" s="4922"/>
      <c r="P41" s="4922"/>
      <c r="Q41" s="4922"/>
      <c r="R41" s="4922"/>
      <c r="S41" s="4922"/>
      <c r="T41" s="4922"/>
      <c r="U41" s="4922"/>
      <c r="V41" s="4922"/>
      <c r="W41" s="4922"/>
      <c r="X41" s="4922"/>
      <c r="Y41" s="4922"/>
      <c r="Z41" s="4922"/>
      <c r="AA41" s="4922"/>
      <c r="AB41" s="4922"/>
      <c r="AC41" s="4922"/>
      <c r="AD41" s="4922"/>
      <c r="AE41" s="4922"/>
      <c r="AF41" s="4922"/>
      <c r="AG41" s="4922"/>
      <c r="AH41" s="4922"/>
      <c r="AI41" s="4922"/>
      <c r="AJ41" s="4922"/>
      <c r="AK41" s="4922"/>
      <c r="AL41" s="4922"/>
      <c r="AM41" s="4922"/>
      <c r="AN41" s="4922"/>
      <c r="AO41" s="4922"/>
      <c r="AP41" s="4922"/>
      <c r="AQ41" s="4922"/>
      <c r="AR41" s="4922"/>
      <c r="AS41" s="4922"/>
      <c r="AT41" s="4922"/>
      <c r="AU41" s="4922"/>
      <c r="AV41" s="4922"/>
      <c r="AW41" s="4922"/>
      <c r="AX41" s="4922"/>
      <c r="AY41" s="4922"/>
      <c r="AZ41" s="4922"/>
      <c r="BA41" s="4922"/>
      <c r="BB41" s="4922"/>
      <c r="BC41" s="4922"/>
      <c r="BD41" s="4922"/>
      <c r="BE41" s="4922"/>
      <c r="BF41" s="4922"/>
      <c r="BG41" s="4922"/>
      <c r="BH41" s="4922"/>
      <c r="BI41" s="4922"/>
      <c r="BJ41" s="4922"/>
      <c r="BK41" s="4922"/>
      <c r="BL41" s="4922"/>
      <c r="BM41" s="4922"/>
      <c r="BN41" s="4922"/>
      <c r="BO41" s="4922"/>
      <c r="BP41" s="4922"/>
      <c r="BQ41" s="4922"/>
      <c r="BR41" s="4922"/>
      <c r="BS41" s="4922"/>
      <c r="BT41" s="4922"/>
      <c r="BU41" s="4922"/>
      <c r="BV41" s="4922"/>
      <c r="BW41" s="4922"/>
      <c r="BX41" s="4922"/>
      <c r="BY41" s="4922"/>
      <c r="BZ41" s="4922"/>
      <c r="CA41" s="4922"/>
      <c r="CB41" s="4922"/>
      <c r="CC41" s="4922"/>
      <c r="CD41" s="4922"/>
      <c r="CE41" s="4922"/>
      <c r="CF41" s="4922"/>
      <c r="CG41" s="4922"/>
      <c r="CH41" s="4922"/>
      <c r="CI41" s="4922"/>
      <c r="CJ41" s="4922"/>
      <c r="CK41" s="4922"/>
      <c r="CL41" s="4922"/>
      <c r="CM41" s="4922"/>
      <c r="CN41" s="4922"/>
      <c r="CO41" s="4922"/>
      <c r="CP41" s="4922"/>
      <c r="CQ41" s="4922"/>
      <c r="CR41" s="4922"/>
      <c r="CS41" s="4922"/>
      <c r="CT41" s="4922"/>
      <c r="CU41" s="4922"/>
      <c r="CV41" s="4922"/>
      <c r="CW41" s="4922"/>
      <c r="CX41" s="4922"/>
      <c r="CY41" s="4922"/>
      <c r="CZ41" s="4922"/>
      <c r="DA41" s="4922"/>
      <c r="DB41" s="4922"/>
      <c r="DC41" s="4922"/>
      <c r="DD41" s="4922"/>
      <c r="DE41" s="4922"/>
      <c r="DF41" s="4922"/>
      <c r="DG41" s="4922"/>
      <c r="DH41" s="4922"/>
      <c r="DI41" s="4922"/>
      <c r="DJ41" s="4922"/>
      <c r="DK41" s="4922"/>
      <c r="DL41" s="4922"/>
      <c r="DM41" s="4922"/>
      <c r="DN41" s="4922"/>
      <c r="DO41" s="4922"/>
      <c r="DP41" s="4922"/>
      <c r="DQ41" s="1913"/>
      <c r="DR41" s="1670"/>
      <c r="DS41" s="1670"/>
      <c r="DT41" s="1670"/>
      <c r="DU41" s="1670"/>
      <c r="DV41" s="1670"/>
      <c r="DW41" s="1670"/>
      <c r="DX41" s="1670"/>
      <c r="DY41" s="1670"/>
      <c r="DZ41" s="1670"/>
      <c r="EA41" s="1670"/>
      <c r="EB41" s="1670"/>
      <c r="EC41" s="1670"/>
      <c r="ED41" s="1670"/>
      <c r="EE41" s="1670"/>
      <c r="EF41" s="1670"/>
      <c r="EG41" s="1670"/>
      <c r="EH41" s="1670"/>
      <c r="EI41" s="1670"/>
      <c r="EJ41" s="1670"/>
      <c r="EK41" s="1670"/>
      <c r="EL41" s="1670"/>
      <c r="EM41" s="1670"/>
      <c r="EN41" s="1670"/>
      <c r="EO41" s="1670"/>
      <c r="EP41" s="1670"/>
      <c r="EQ41" s="1670"/>
      <c r="ER41" s="1670"/>
      <c r="ES41" s="1670"/>
      <c r="ET41" s="1670"/>
      <c r="EU41" s="1670"/>
      <c r="EV41" s="1670"/>
      <c r="EW41" s="1670"/>
      <c r="EX41" s="1670"/>
      <c r="EY41" s="1670"/>
      <c r="EZ41" s="1670"/>
      <c r="FA41" s="1670"/>
      <c r="FB41" s="1670"/>
      <c r="FC41" s="1670"/>
      <c r="FD41" s="1670"/>
      <c r="FE41" s="1670"/>
      <c r="FF41" s="1670"/>
      <c r="FG41" s="1670"/>
      <c r="FH41" s="1670"/>
      <c r="FI41" s="1670"/>
      <c r="FJ41" s="1670"/>
      <c r="FK41" s="1670"/>
      <c r="FL41" s="1670"/>
      <c r="FM41" s="1670"/>
      <c r="FN41" s="1670"/>
      <c r="FO41" s="1670"/>
      <c r="FP41" s="1670"/>
      <c r="FQ41" s="1670"/>
      <c r="FR41" s="1670"/>
      <c r="FS41" s="1670"/>
      <c r="FT41" s="1670"/>
      <c r="FU41" s="1670"/>
      <c r="FV41" s="1670"/>
      <c r="FW41" s="1670"/>
      <c r="FX41" s="1670"/>
      <c r="FY41" s="1670"/>
      <c r="FZ41" s="1670"/>
      <c r="GA41" s="1670"/>
      <c r="GB41" s="1670"/>
      <c r="GC41" s="1670"/>
      <c r="GD41" s="1670"/>
      <c r="GE41" s="1670"/>
      <c r="GF41" s="1670"/>
      <c r="GG41" s="1670"/>
      <c r="GH41" s="1670"/>
      <c r="GI41" s="1670"/>
      <c r="GJ41" s="1670"/>
      <c r="GK41" s="1670"/>
      <c r="GL41" s="1670"/>
      <c r="GM41" s="1670"/>
      <c r="GN41" s="1670"/>
      <c r="GO41" s="1670"/>
      <c r="GP41" s="1670"/>
      <c r="GQ41" s="1670"/>
      <c r="GR41" s="1670"/>
      <c r="GS41" s="1670"/>
      <c r="GT41" s="1670"/>
      <c r="GU41" s="1670"/>
      <c r="GV41" s="1670"/>
      <c r="GW41" s="1670"/>
      <c r="GX41" s="1670"/>
      <c r="GY41" s="1670"/>
      <c r="GZ41" s="1670"/>
      <c r="HA41" s="1670"/>
      <c r="HB41" s="1670"/>
      <c r="HC41" s="1670"/>
      <c r="HD41" s="1670"/>
      <c r="HE41" s="1670"/>
      <c r="HF41" s="1670"/>
      <c r="HG41" s="1670"/>
      <c r="HH41" s="1670"/>
      <c r="HI41" s="1670"/>
      <c r="HJ41" s="1670"/>
      <c r="HK41" s="1670"/>
      <c r="HL41" s="1670"/>
      <c r="HM41" s="1670"/>
      <c r="HN41" s="1670"/>
      <c r="HO41" s="1670"/>
      <c r="HP41" s="1670"/>
      <c r="HQ41" s="1670"/>
      <c r="HR41" s="1670"/>
      <c r="HS41" s="1670"/>
      <c r="HT41" s="1670"/>
      <c r="HU41" s="1670"/>
      <c r="HV41" s="1670"/>
    </row>
    <row r="42" spans="1:231" ht="14.25" customHeight="1">
      <c r="A42" s="1670"/>
      <c r="B42" s="1669"/>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670"/>
      <c r="AM42" s="1670"/>
      <c r="AN42" s="1670"/>
      <c r="AO42" s="1670"/>
      <c r="AP42" s="1670"/>
      <c r="AQ42" s="1670"/>
      <c r="AR42" s="1670"/>
      <c r="AS42" s="1670"/>
      <c r="AT42" s="1670"/>
      <c r="AU42" s="1670"/>
      <c r="AV42" s="1670"/>
      <c r="AW42" s="1670"/>
      <c r="AX42" s="1670"/>
      <c r="AY42" s="1670"/>
      <c r="AZ42" s="1670"/>
      <c r="BA42" s="1670"/>
      <c r="BB42" s="1670"/>
      <c r="BC42" s="1670"/>
      <c r="BD42" s="1670"/>
      <c r="BE42" s="1670"/>
      <c r="BF42" s="1670"/>
      <c r="BG42" s="1670"/>
      <c r="BH42" s="1670"/>
      <c r="BI42" s="1670"/>
      <c r="BJ42" s="1670"/>
      <c r="BK42" s="1670"/>
      <c r="BL42" s="1670"/>
      <c r="BM42" s="1670"/>
      <c r="BN42" s="1670"/>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0"/>
      <c r="DI42" s="1670"/>
      <c r="DJ42" s="1670"/>
      <c r="DK42" s="1670"/>
      <c r="DL42" s="1670"/>
      <c r="DM42" s="1670"/>
      <c r="DN42" s="1670"/>
      <c r="DO42" s="1670"/>
      <c r="DP42" s="1841"/>
      <c r="DQ42" s="1669"/>
      <c r="DR42" s="1670"/>
    </row>
    <row r="43" spans="1:231" ht="15" customHeight="1">
      <c r="B43" s="1679" t="s">
        <v>9</v>
      </c>
      <c r="C43" s="1680"/>
      <c r="D43" s="1680"/>
      <c r="E43" s="1680"/>
      <c r="F43" s="1680"/>
      <c r="G43" s="1680"/>
      <c r="H43" s="1680"/>
      <c r="I43" s="1680"/>
      <c r="J43" s="1681" t="e">
        <f>(J45/#REF!)+Reserves!J47</f>
        <v>#REF!</v>
      </c>
      <c r="K43" s="1682" t="e">
        <f>(K45/#REF!)+Reserves!K47</f>
        <v>#REF!</v>
      </c>
      <c r="L43" s="1681" t="e">
        <f>(L45/#REF!)+Reserves!L47</f>
        <v>#REF!</v>
      </c>
      <c r="M43" s="1682" t="e">
        <f>(M45/#REF!)+Reserves!M47</f>
        <v>#REF!</v>
      </c>
      <c r="N43" s="1682" t="e">
        <f>(N45/#REF!)+Reserves!N47</f>
        <v>#REF!</v>
      </c>
      <c r="O43" s="1682" t="e">
        <f>(O45/#REF!)+Reserves!O47</f>
        <v>#REF!</v>
      </c>
      <c r="P43" s="1682" t="e">
        <f>(P45/#REF!)+Reserves!P47</f>
        <v>#REF!</v>
      </c>
      <c r="Q43" s="1682" t="e">
        <f>(Q45/#REF!)+Reserves!Q47</f>
        <v>#REF!</v>
      </c>
      <c r="R43" s="1682" t="e">
        <f>(R45/#REF!)+Reserves!R47</f>
        <v>#REF!</v>
      </c>
      <c r="S43" s="1682" t="e">
        <f>(S45/#REF!)+Reserves!S47</f>
        <v>#REF!</v>
      </c>
      <c r="T43" s="1682" t="e">
        <f>(T45/#REF!)+Reserves!T47</f>
        <v>#REF!</v>
      </c>
      <c r="U43" s="1682" t="e">
        <f>(U45/#REF!)+Reserves!U47</f>
        <v>#REF!</v>
      </c>
      <c r="V43" s="1682" t="e">
        <f>(V45/#REF!)+Reserves!V47</f>
        <v>#REF!</v>
      </c>
      <c r="W43" s="1682" t="e">
        <f>(W45/#REF!)+Reserves!W47</f>
        <v>#REF!</v>
      </c>
      <c r="X43" s="1682" t="e">
        <f>(X45/#REF!)+Reserves!X47</f>
        <v>#REF!</v>
      </c>
      <c r="Y43" s="1682" t="e">
        <f>(Y45/#REF!)+Reserves!Y47</f>
        <v>#REF!</v>
      </c>
      <c r="Z43" s="1682" t="e">
        <f>(Z45/#REF!)+Reserves!Z47</f>
        <v>#REF!</v>
      </c>
      <c r="AA43" s="1682" t="e">
        <f>(AA45/#REF!)+Reserves!AA47</f>
        <v>#REF!</v>
      </c>
      <c r="AB43" s="1682" t="e">
        <f>(AB45/#REF!)+Reserves!AB47</f>
        <v>#REF!</v>
      </c>
      <c r="AC43" s="1682" t="e">
        <f>(AC45/#REF!)+Reserves!AC47</f>
        <v>#REF!</v>
      </c>
      <c r="AD43" s="1682" t="e">
        <f>(AD45/#REF!)+Reserves!AD47</f>
        <v>#REF!</v>
      </c>
      <c r="AE43" s="1682" t="e">
        <f>(AE45/#REF!)+Reserves!AE47</f>
        <v>#REF!</v>
      </c>
      <c r="AF43" s="1682" t="e">
        <f>(AF45/#REF!)+Reserves!AF47</f>
        <v>#REF!</v>
      </c>
      <c r="AG43" s="1682" t="e">
        <f>(AG45/#REF!)+Reserves!AG47</f>
        <v>#REF!</v>
      </c>
      <c r="AH43" s="1682" t="e">
        <f>(AH45/#REF!)+Reserves!AH47</f>
        <v>#REF!</v>
      </c>
      <c r="AI43" s="1682" t="e">
        <f>(AI45/#REF!)+Reserves!AI47</f>
        <v>#REF!</v>
      </c>
      <c r="AJ43" s="1681" t="e">
        <f>(AJ45/#REF!)+Reserves!AJ47</f>
        <v>#REF!</v>
      </c>
      <c r="AK43" s="1682" t="e">
        <f>(AK45/#REF!)+Reserves!AK47</f>
        <v>#REF!</v>
      </c>
      <c r="AL43" s="1682" t="e">
        <f>(AL45/#REF!)+Reserves!AL47</f>
        <v>#REF!</v>
      </c>
      <c r="AM43" s="1682" t="e">
        <f>(AM45/#REF!)+Reserves!AM47</f>
        <v>#REF!</v>
      </c>
      <c r="AN43" s="1682" t="e">
        <f>(AN45/#REF!)+Reserves!AN47</f>
        <v>#REF!</v>
      </c>
      <c r="AO43" s="1682" t="e">
        <f>(AO45/#REF!)+Reserves!AO47</f>
        <v>#REF!</v>
      </c>
      <c r="AP43" s="1682" t="e">
        <f>(AP45/#REF!)+Reserves!AP47</f>
        <v>#REF!</v>
      </c>
      <c r="AQ43" s="1682" t="e">
        <f>(AQ45/#REF!)+Reserves!AQ47</f>
        <v>#REF!</v>
      </c>
      <c r="AR43" s="1680"/>
      <c r="AS43" s="1683"/>
      <c r="AT43" s="1669"/>
      <c r="AU43" s="1669"/>
      <c r="AV43" s="1669">
        <f>13370.55</f>
        <v>13370.55</v>
      </c>
      <c r="AW43" s="1669"/>
      <c r="AX43" s="1669"/>
      <c r="AY43" s="1669"/>
      <c r="AZ43" s="1684" t="e">
        <f>AZ26-362.8</f>
        <v>#REF!</v>
      </c>
      <c r="BA43" s="1669"/>
      <c r="BB43" s="1669" t="e">
        <f>((BB39/AY39)-1)*100</f>
        <v>#REF!</v>
      </c>
      <c r="BC43" s="1669"/>
      <c r="BD43" s="1669"/>
      <c r="BE43" s="1669"/>
      <c r="BF43" s="1669"/>
      <c r="BG43" s="1669"/>
      <c r="BH43" s="1669"/>
      <c r="BI43" s="1669"/>
      <c r="BJ43" s="1669"/>
      <c r="BK43" s="1669"/>
      <c r="BL43" s="1669"/>
      <c r="BM43" s="1669"/>
      <c r="BN43" s="1669"/>
      <c r="BO43" s="1669"/>
      <c r="BP43" s="1669"/>
      <c r="BQ43" s="1669"/>
      <c r="BR43" s="1669"/>
      <c r="BS43" s="1685"/>
      <c r="BT43" s="1685"/>
      <c r="BU43" s="1669"/>
      <c r="BV43" s="1669"/>
      <c r="BW43" s="1669"/>
      <c r="BX43" s="1669"/>
      <c r="BY43" s="1669"/>
      <c r="BZ43" s="1669"/>
      <c r="CA43" s="1669"/>
      <c r="CB43" s="1670"/>
      <c r="CC43" s="1670"/>
      <c r="CD43" s="1670"/>
      <c r="CE43" s="1670"/>
      <c r="CF43" s="1670"/>
      <c r="CG43" s="1670"/>
      <c r="CH43" s="1670"/>
      <c r="CI43" s="1670"/>
      <c r="CJ43" s="1670"/>
      <c r="CK43" s="1670"/>
      <c r="CL43" s="1670"/>
      <c r="CM43" s="1670"/>
      <c r="CN43" s="1670"/>
      <c r="CO43" s="1670"/>
      <c r="CP43" s="1670"/>
      <c r="CQ43" s="1670"/>
      <c r="CR43" s="1670"/>
      <c r="CS43" s="1670"/>
      <c r="CT43" s="1670"/>
      <c r="CU43" s="1670"/>
      <c r="CV43" s="1670"/>
      <c r="CW43" s="1670"/>
      <c r="CX43" s="1670"/>
      <c r="CY43" s="1670"/>
      <c r="CZ43" s="1670"/>
      <c r="DA43" s="1670"/>
      <c r="DB43" s="1670"/>
      <c r="DC43" s="1670"/>
      <c r="DD43" s="1670"/>
      <c r="DE43" s="1670"/>
      <c r="DF43" s="1670"/>
      <c r="DG43" s="1670"/>
      <c r="DH43" s="1670"/>
      <c r="DI43" s="1670"/>
      <c r="DJ43" s="1670"/>
      <c r="DK43" s="1670"/>
      <c r="DL43" s="1670"/>
      <c r="DM43" s="1670"/>
      <c r="DN43" s="1670"/>
      <c r="DO43" s="1670"/>
      <c r="DP43" s="1841"/>
      <c r="DQ43" s="1669"/>
      <c r="DR43" s="1670"/>
    </row>
    <row r="44" spans="1:231">
      <c r="B44" s="1431"/>
      <c r="C44" s="1428"/>
      <c r="D44" s="1428"/>
      <c r="E44" s="1428"/>
      <c r="F44" s="1428"/>
      <c r="G44" s="1428"/>
      <c r="H44" s="1428"/>
      <c r="I44" s="1428"/>
      <c r="J44" s="1431"/>
      <c r="K44" s="1428"/>
      <c r="L44" s="1431"/>
      <c r="M44" s="1428"/>
      <c r="N44" s="1428"/>
      <c r="O44" s="1428"/>
      <c r="P44" s="1428"/>
      <c r="Q44" s="1428"/>
      <c r="R44" s="1428"/>
      <c r="S44" s="1428"/>
      <c r="T44" s="1428"/>
      <c r="U44" s="1428"/>
      <c r="V44" s="1428"/>
      <c r="W44" s="1428"/>
      <c r="X44" s="1428"/>
      <c r="Y44" s="1428"/>
      <c r="Z44" s="1428"/>
      <c r="AA44" s="1428"/>
      <c r="AB44" s="1428"/>
      <c r="AC44" s="1428"/>
      <c r="AD44" s="1428"/>
      <c r="AE44" s="1428"/>
      <c r="AF44" s="1428"/>
      <c r="AG44" s="1428"/>
      <c r="AH44" s="1428"/>
      <c r="AI44" s="1428"/>
      <c r="AJ44" s="1431"/>
      <c r="AK44" s="1428"/>
      <c r="AL44" s="1428"/>
      <c r="AM44" s="1428"/>
      <c r="AN44" s="1428"/>
      <c r="AO44" s="1428"/>
      <c r="AP44" s="1428"/>
      <c r="AQ44" s="1428"/>
      <c r="AR44" s="1428"/>
      <c r="AS44" s="1425"/>
      <c r="AT44" s="1428"/>
      <c r="AU44" s="1428"/>
      <c r="AV44" s="1425">
        <f>AV42-AV43</f>
        <v>-13370.55</v>
      </c>
      <c r="AW44" s="1428"/>
      <c r="AX44" s="1428"/>
      <c r="AY44" s="1428"/>
      <c r="AZ44" s="1428"/>
      <c r="BA44" s="1428"/>
      <c r="BB44" s="1428" t="e">
        <f>((BB24/AY24)-1)*100</f>
        <v>#REF!</v>
      </c>
      <c r="BC44" s="1428"/>
      <c r="BD44" s="1428"/>
      <c r="BE44" s="1428"/>
      <c r="BF44" s="1428"/>
      <c r="BG44" s="1428"/>
      <c r="BH44" s="1428"/>
      <c r="BI44" s="1428"/>
      <c r="BJ44" s="1425">
        <v>366.6</v>
      </c>
      <c r="BK44" s="1425">
        <v>369.9</v>
      </c>
      <c r="BL44" s="1425">
        <v>375.2</v>
      </c>
      <c r="BM44" s="1428"/>
      <c r="BN44" s="1428"/>
      <c r="BO44" s="1428"/>
      <c r="BP44" s="1428"/>
      <c r="BQ44" s="1428"/>
      <c r="BR44" s="1428"/>
      <c r="BS44" s="1437" t="e">
        <f>BS13/#REF!</f>
        <v>#REF!</v>
      </c>
      <c r="BT44" s="1437"/>
      <c r="BU44" s="1428"/>
      <c r="BV44" s="1428"/>
      <c r="BW44" s="1428"/>
      <c r="BX44" s="1428"/>
      <c r="BY44" s="1428"/>
      <c r="BZ44" s="1428"/>
      <c r="CA44" s="1428"/>
      <c r="CB44" s="1427"/>
      <c r="CC44" s="1427"/>
      <c r="CD44" s="1427"/>
      <c r="CE44" s="1427"/>
      <c r="CF44" s="1427"/>
      <c r="CG44" s="1427"/>
      <c r="CH44" s="1427"/>
      <c r="CI44" s="1427"/>
      <c r="CJ44" s="1427"/>
      <c r="CK44" s="1427"/>
      <c r="CL44" s="1427"/>
      <c r="CM44" s="1427"/>
      <c r="CN44" s="1427"/>
      <c r="CO44" s="1427"/>
      <c r="CP44" s="1427"/>
      <c r="CQ44" s="1427"/>
      <c r="CR44" s="1427"/>
      <c r="CS44" s="1427"/>
      <c r="CT44" s="1427"/>
      <c r="CU44" s="1427"/>
      <c r="CV44" s="1427"/>
      <c r="CW44" s="1427"/>
      <c r="CX44" s="1427"/>
      <c r="CY44" s="1427"/>
      <c r="CZ44" s="1427"/>
      <c r="DA44" s="1427"/>
      <c r="DB44" s="1427"/>
      <c r="DC44" s="1427"/>
      <c r="DD44" s="1427"/>
      <c r="DE44" s="1427"/>
      <c r="DF44" s="1427"/>
      <c r="DG44" s="1427"/>
      <c r="DH44" s="1427"/>
      <c r="DI44" s="1525"/>
      <c r="DJ44" s="1623"/>
      <c r="DK44" s="1624"/>
    </row>
    <row r="45" spans="1:231">
      <c r="B45" s="1431" t="s">
        <v>7</v>
      </c>
      <c r="C45" s="1425">
        <f t="shared" ref="C45:K45" si="14">C11</f>
        <v>30.07</v>
      </c>
      <c r="D45" s="1425">
        <f t="shared" si="14"/>
        <v>33.450000000000003</v>
      </c>
      <c r="E45" s="1425">
        <f t="shared" si="14"/>
        <v>33.380000000000003</v>
      </c>
      <c r="F45" s="1425">
        <f t="shared" si="14"/>
        <v>33.96</v>
      </c>
      <c r="G45" s="1425">
        <f t="shared" si="14"/>
        <v>39.15</v>
      </c>
      <c r="H45" s="1425">
        <f t="shared" si="14"/>
        <v>41.38</v>
      </c>
      <c r="I45" s="1425">
        <f t="shared" si="14"/>
        <v>95.26</v>
      </c>
      <c r="J45" s="1425">
        <f>J11</f>
        <v>102.02</v>
      </c>
      <c r="K45" s="1425">
        <f t="shared" si="14"/>
        <v>89.35</v>
      </c>
      <c r="L45" s="1425">
        <f>L11</f>
        <v>635.65</v>
      </c>
      <c r="M45" s="1425">
        <f t="shared" ref="M45:AQ45" si="15">M11</f>
        <v>767.75</v>
      </c>
      <c r="N45" s="1425">
        <f t="shared" si="15"/>
        <v>926.55</v>
      </c>
      <c r="O45" s="1425">
        <f t="shared" si="15"/>
        <v>107.04</v>
      </c>
      <c r="P45" s="1425">
        <f t="shared" si="15"/>
        <v>158.69999999999999</v>
      </c>
      <c r="Q45" s="1425">
        <f t="shared" si="15"/>
        <v>569.5</v>
      </c>
      <c r="R45" s="1425">
        <f t="shared" si="15"/>
        <v>913.41</v>
      </c>
      <c r="S45" s="1425">
        <f t="shared" si="15"/>
        <v>945.1</v>
      </c>
      <c r="T45" s="1425">
        <f t="shared" si="15"/>
        <v>936.41</v>
      </c>
      <c r="U45" s="1425">
        <f t="shared" si="15"/>
        <v>946.05</v>
      </c>
      <c r="V45" s="1425">
        <f t="shared" si="15"/>
        <v>1640.78</v>
      </c>
      <c r="W45" s="1425">
        <f t="shared" si="15"/>
        <v>1156.1099999999999</v>
      </c>
      <c r="X45" s="1425">
        <f t="shared" si="15"/>
        <v>863.64</v>
      </c>
      <c r="Y45" s="1425">
        <f t="shared" si="15"/>
        <v>889.44</v>
      </c>
      <c r="Z45" s="1425">
        <f t="shared" si="15"/>
        <v>913.52</v>
      </c>
      <c r="AA45" s="1425">
        <f t="shared" si="15"/>
        <v>679.1</v>
      </c>
      <c r="AB45" s="1425">
        <f t="shared" si="15"/>
        <v>600.64</v>
      </c>
      <c r="AC45" s="1425">
        <f t="shared" si="15"/>
        <v>610.64</v>
      </c>
      <c r="AD45" s="1425">
        <f t="shared" si="15"/>
        <v>987.25</v>
      </c>
      <c r="AE45" s="1425">
        <f t="shared" si="15"/>
        <v>1703.1</v>
      </c>
      <c r="AF45" s="1425">
        <f t="shared" si="15"/>
        <v>1701.31</v>
      </c>
      <c r="AG45" s="1425">
        <f t="shared" si="15"/>
        <v>1722.3</v>
      </c>
      <c r="AH45" s="1425">
        <f t="shared" si="15"/>
        <v>2901.34</v>
      </c>
      <c r="AI45" s="1425">
        <f t="shared" si="15"/>
        <v>1465.95</v>
      </c>
      <c r="AJ45" s="1425">
        <f>AJ11</f>
        <v>1822.38</v>
      </c>
      <c r="AK45" s="1425">
        <f t="shared" si="15"/>
        <v>833.79</v>
      </c>
      <c r="AL45" s="1425">
        <f t="shared" si="15"/>
        <v>809.98</v>
      </c>
      <c r="AM45" s="1425">
        <f t="shared" si="15"/>
        <v>765.26</v>
      </c>
      <c r="AN45" s="1425">
        <f t="shared" si="15"/>
        <v>1998.22</v>
      </c>
      <c r="AO45" s="1425">
        <f t="shared" si="15"/>
        <v>2715.44</v>
      </c>
      <c r="AP45" s="1425">
        <f t="shared" si="15"/>
        <v>2709.6</v>
      </c>
      <c r="AQ45" s="1425">
        <f t="shared" si="15"/>
        <v>2578.6999999999998</v>
      </c>
      <c r="AR45" s="1425">
        <f>AR11</f>
        <v>2615.1</v>
      </c>
      <c r="AS45" s="1425"/>
      <c r="AT45" s="1425"/>
      <c r="AU45" s="1425" t="e">
        <f>((AV39-AS39)/AS39)*100</f>
        <v>#REF!</v>
      </c>
      <c r="AV45" s="1425"/>
      <c r="AW45" s="1425"/>
      <c r="AX45" s="1425"/>
      <c r="AY45" s="1425"/>
      <c r="AZ45" s="1425"/>
      <c r="BA45" s="1425"/>
      <c r="BB45" s="1428">
        <f>((BB9/AY9)-1)*100</f>
        <v>88.298329586172585</v>
      </c>
      <c r="BC45" s="1428"/>
      <c r="BD45" s="1425"/>
      <c r="BE45" s="1425"/>
      <c r="BF45" s="1425"/>
      <c r="BG45" s="1425"/>
      <c r="BH45" s="1425"/>
      <c r="BI45" s="1425"/>
      <c r="BJ45" s="1425"/>
      <c r="BK45" s="1425"/>
      <c r="BL45" s="1425"/>
      <c r="BM45" s="1425"/>
      <c r="BN45" s="1425"/>
      <c r="BO45" s="1425"/>
      <c r="BP45" s="1425"/>
      <c r="BQ45" s="1425"/>
      <c r="BR45" s="1425"/>
      <c r="BS45" s="1437"/>
      <c r="BT45" s="1437"/>
      <c r="BU45" s="1425"/>
      <c r="BV45" s="1425"/>
      <c r="BW45" s="1425"/>
      <c r="BX45" s="1425"/>
      <c r="BY45" s="1425"/>
      <c r="BZ45" s="1425"/>
      <c r="CA45" s="1425"/>
      <c r="CB45" s="1427"/>
      <c r="CC45" s="1427"/>
      <c r="CD45" s="1427"/>
      <c r="CE45" s="1427"/>
      <c r="CF45" s="1425"/>
      <c r="CG45" s="1427"/>
      <c r="CH45" s="1427"/>
      <c r="CI45" s="1427"/>
      <c r="CJ45" s="1427"/>
      <c r="CK45" s="1427"/>
      <c r="CL45" s="1427"/>
      <c r="CM45" s="1427"/>
      <c r="CN45" s="1427"/>
      <c r="CO45" s="1427"/>
      <c r="CP45" s="1427"/>
      <c r="CQ45" s="1427" t="e">
        <f>CR24*48.7</f>
        <v>#REF!</v>
      </c>
      <c r="CR45" s="1427"/>
      <c r="CS45" s="1427"/>
      <c r="CT45" s="1427"/>
      <c r="CU45" s="1427"/>
      <c r="CV45" s="1427"/>
      <c r="CW45" s="1427"/>
      <c r="CX45" s="1427"/>
      <c r="CY45" s="1427"/>
      <c r="CZ45" s="1427"/>
      <c r="DA45" s="1427"/>
      <c r="DB45" s="1427"/>
      <c r="DC45" s="1427"/>
      <c r="DD45" s="1427"/>
      <c r="DE45" s="1427"/>
      <c r="DF45" s="1427"/>
      <c r="DG45" s="1427" t="s">
        <v>1465</v>
      </c>
      <c r="DH45" s="1427"/>
      <c r="DI45" s="1525"/>
      <c r="DJ45" s="1623"/>
      <c r="DK45" s="1624"/>
    </row>
    <row r="46" spans="1:231">
      <c r="B46" s="1431"/>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c r="AK46" s="1425"/>
      <c r="AL46" s="1425"/>
      <c r="AM46" s="1425"/>
      <c r="AN46" s="1425"/>
      <c r="AO46" s="1425"/>
      <c r="AP46" s="1425"/>
      <c r="AR46" s="1428"/>
      <c r="AS46" s="1425"/>
      <c r="AT46" s="1428"/>
      <c r="AU46" s="1428">
        <f>((AV9-AS9)/AS9)*100</f>
        <v>-35.596124529110135</v>
      </c>
      <c r="AV46" s="1428"/>
      <c r="AW46" s="1428"/>
      <c r="AX46" s="1428"/>
      <c r="AY46" s="1428"/>
      <c r="AZ46" s="1428"/>
      <c r="BA46" s="1428"/>
      <c r="BB46" s="1428"/>
      <c r="BC46" s="1428"/>
      <c r="BD46" s="1428"/>
      <c r="BE46" s="1428"/>
      <c r="BF46" s="1428"/>
      <c r="BG46" s="1428"/>
      <c r="BH46" s="1435"/>
      <c r="BI46" s="1428"/>
      <c r="BJ46" s="1428"/>
      <c r="BK46" s="1428"/>
      <c r="BL46" s="1428"/>
      <c r="BM46" s="1428"/>
      <c r="BN46" s="1428"/>
      <c r="BO46" s="1428"/>
      <c r="BP46" s="1428"/>
      <c r="BQ46" s="1428"/>
      <c r="BR46" s="1428"/>
      <c r="BS46" s="1437" t="e">
        <f>BS15/#REF!</f>
        <v>#REF!</v>
      </c>
      <c r="BT46" s="1437"/>
      <c r="BU46" s="1428"/>
      <c r="BV46" s="1428"/>
      <c r="BW46" s="1428"/>
      <c r="BX46" s="1428"/>
      <c r="BY46" s="1428"/>
      <c r="BZ46" s="1428"/>
      <c r="CA46" s="1428"/>
      <c r="CB46" s="1427"/>
      <c r="CC46" s="1427"/>
      <c r="CD46" s="1425"/>
      <c r="CE46" s="1427"/>
      <c r="CF46" s="1425"/>
      <c r="CG46" s="1427"/>
      <c r="CH46" s="1427"/>
      <c r="CI46" s="1427"/>
      <c r="CJ46" s="1427"/>
      <c r="CK46" s="1427"/>
      <c r="CL46" s="1427"/>
      <c r="CM46" s="1427"/>
      <c r="CN46" s="1427"/>
      <c r="CO46" s="1427"/>
      <c r="CP46" s="1427"/>
      <c r="CQ46" s="1427">
        <v>36287</v>
      </c>
      <c r="CR46" s="1427"/>
      <c r="CS46" s="1427"/>
      <c r="CT46" s="1428"/>
      <c r="CU46" s="1427"/>
      <c r="CV46" s="1427"/>
      <c r="CW46" s="1427"/>
      <c r="CX46" s="1427"/>
      <c r="CY46" s="1427"/>
      <c r="CZ46" s="1427"/>
      <c r="DA46" s="1427"/>
      <c r="DB46" s="1427"/>
      <c r="DC46" s="1427"/>
      <c r="DD46" s="1427"/>
      <c r="DE46" s="1427"/>
      <c r="DF46" s="1427"/>
      <c r="DG46" s="1427"/>
      <c r="DH46" s="1427"/>
      <c r="DI46" s="1525"/>
      <c r="DJ46" s="1623"/>
      <c r="DK46" s="1624"/>
    </row>
    <row r="47" spans="1:231">
      <c r="B47" s="1431" t="s">
        <v>8</v>
      </c>
      <c r="C47" s="1425">
        <f t="shared" ref="C47:K47" si="16">C26</f>
        <v>87.48</v>
      </c>
      <c r="D47" s="1425">
        <f t="shared" si="16"/>
        <v>98.69</v>
      </c>
      <c r="E47" s="1425">
        <f t="shared" si="16"/>
        <v>114.39</v>
      </c>
      <c r="F47" s="1425">
        <f t="shared" si="16"/>
        <v>135.47</v>
      </c>
      <c r="G47" s="1425">
        <f t="shared" si="16"/>
        <v>141.51493996090477</v>
      </c>
      <c r="H47" s="1425">
        <f t="shared" si="16"/>
        <v>174.56210944896799</v>
      </c>
      <c r="I47" s="1425" t="e">
        <f t="shared" si="16"/>
        <v>#REF!</v>
      </c>
      <c r="J47" s="1425" t="e">
        <f t="shared" si="16"/>
        <v>#REF!</v>
      </c>
      <c r="K47" s="1425" t="e">
        <f t="shared" si="16"/>
        <v>#REF!</v>
      </c>
      <c r="L47" s="1425" t="e">
        <f>L26</f>
        <v>#REF!</v>
      </c>
      <c r="M47" s="1425">
        <f t="shared" ref="M47:AQ47" si="17">M26</f>
        <v>204.35956853416451</v>
      </c>
      <c r="N47" s="1425">
        <f t="shared" si="17"/>
        <v>205.98966801819415</v>
      </c>
      <c r="O47" s="1425">
        <f t="shared" si="17"/>
        <v>211.79204313911129</v>
      </c>
      <c r="P47" s="1425" t="e">
        <f t="shared" si="17"/>
        <v>#REF!</v>
      </c>
      <c r="Q47" s="1425" t="e">
        <f t="shared" si="17"/>
        <v>#REF!</v>
      </c>
      <c r="R47" s="1425">
        <f t="shared" si="17"/>
        <v>224.97382525239937</v>
      </c>
      <c r="S47" s="1425" t="e">
        <f t="shared" si="17"/>
        <v>#REF!</v>
      </c>
      <c r="T47" s="1425" t="e">
        <f t="shared" si="17"/>
        <v>#REF!</v>
      </c>
      <c r="U47" s="1425" t="e">
        <f t="shared" si="17"/>
        <v>#REF!</v>
      </c>
      <c r="V47" s="1425" t="e">
        <f t="shared" si="17"/>
        <v>#REF!</v>
      </c>
      <c r="W47" s="1425" t="e">
        <f t="shared" si="17"/>
        <v>#REF!</v>
      </c>
      <c r="X47" s="1425" t="e">
        <f t="shared" si="17"/>
        <v>#REF!</v>
      </c>
      <c r="Y47" s="1425" t="e">
        <f t="shared" si="17"/>
        <v>#REF!</v>
      </c>
      <c r="Z47" s="1425" t="e">
        <f t="shared" si="17"/>
        <v>#REF!</v>
      </c>
      <c r="AA47" s="1425" t="e">
        <f t="shared" si="17"/>
        <v>#REF!</v>
      </c>
      <c r="AB47" s="1425" t="e">
        <f t="shared" si="17"/>
        <v>#REF!</v>
      </c>
      <c r="AC47" s="1425" t="e">
        <f t="shared" si="17"/>
        <v>#REF!</v>
      </c>
      <c r="AD47" s="1425" t="e">
        <f t="shared" si="17"/>
        <v>#REF!</v>
      </c>
      <c r="AE47" s="1425" t="e">
        <f t="shared" si="17"/>
        <v>#REF!</v>
      </c>
      <c r="AF47" s="1425" t="e">
        <f t="shared" si="17"/>
        <v>#REF!</v>
      </c>
      <c r="AG47" s="1425" t="e">
        <f t="shared" si="17"/>
        <v>#REF!</v>
      </c>
      <c r="AH47" s="1425" t="e">
        <f t="shared" si="17"/>
        <v>#REF!</v>
      </c>
      <c r="AI47" s="1425" t="e">
        <f t="shared" si="17"/>
        <v>#REF!</v>
      </c>
      <c r="AJ47" s="1425" t="e">
        <f t="shared" si="17"/>
        <v>#REF!</v>
      </c>
      <c r="AK47" s="1425" t="e">
        <f t="shared" si="17"/>
        <v>#REF!</v>
      </c>
      <c r="AL47" s="1425" t="e">
        <f t="shared" si="17"/>
        <v>#REF!</v>
      </c>
      <c r="AM47" s="1425" t="e">
        <f t="shared" si="17"/>
        <v>#REF!</v>
      </c>
      <c r="AN47" s="1425" t="e">
        <f t="shared" si="17"/>
        <v>#REF!</v>
      </c>
      <c r="AO47" s="1425" t="e">
        <f t="shared" si="17"/>
        <v>#REF!</v>
      </c>
      <c r="AP47" s="1425" t="e">
        <f t="shared" si="17"/>
        <v>#REF!</v>
      </c>
      <c r="AQ47" s="1425" t="e">
        <f t="shared" si="17"/>
        <v>#REF!</v>
      </c>
      <c r="AR47" s="1425" t="e">
        <f>AR26</f>
        <v>#REF!</v>
      </c>
      <c r="AS47" s="1425"/>
      <c r="AT47" s="1425"/>
      <c r="AU47" s="1425" t="e">
        <f>((AV24-AS24)/AS24)*100</f>
        <v>#REF!</v>
      </c>
      <c r="AV47" s="1425"/>
      <c r="AW47" s="1425"/>
      <c r="AX47" s="1425"/>
      <c r="AY47" s="1425"/>
      <c r="AZ47" s="1425"/>
      <c r="BA47" s="1425"/>
      <c r="BB47" s="1425"/>
      <c r="BC47" s="1425"/>
      <c r="BD47" s="1425"/>
      <c r="BE47" s="1425"/>
      <c r="BF47" s="1425"/>
      <c r="BG47" s="1425"/>
      <c r="BH47" s="1425"/>
      <c r="BI47" s="1425"/>
      <c r="BJ47" s="1425"/>
      <c r="BK47" s="1425"/>
      <c r="BL47" s="1425"/>
      <c r="BM47" s="1425"/>
      <c r="BN47" s="1425"/>
      <c r="BO47" s="1425"/>
      <c r="BP47" s="1425"/>
      <c r="BQ47" s="1425"/>
      <c r="BR47" s="1425"/>
      <c r="BS47" s="1425"/>
      <c r="BT47" s="1425"/>
      <c r="BU47" s="1425"/>
      <c r="BV47" s="1425"/>
      <c r="BW47" s="1425"/>
      <c r="BX47" s="1425"/>
      <c r="BY47" s="1425"/>
      <c r="BZ47" s="1425" t="e">
        <f>BZ39-BZ24</f>
        <v>#REF!</v>
      </c>
      <c r="CA47" s="1425"/>
      <c r="CB47" s="1427"/>
      <c r="CC47" s="1427"/>
      <c r="CD47" s="1427"/>
      <c r="CE47" s="1427"/>
      <c r="CF47" s="1427"/>
      <c r="CG47" s="1427"/>
      <c r="CH47" s="1427"/>
      <c r="CI47" s="1427"/>
      <c r="CJ47" s="1427"/>
      <c r="CK47" s="1427"/>
      <c r="CL47" s="1427"/>
      <c r="CM47" s="1427"/>
      <c r="CN47" s="1427"/>
      <c r="CO47" s="1427"/>
      <c r="CP47" s="1427"/>
      <c r="CQ47" s="1427" t="e">
        <f>CQ45-CQ46</f>
        <v>#REF!</v>
      </c>
      <c r="CR47" s="1427"/>
      <c r="CS47" s="1427"/>
      <c r="CT47" s="1427"/>
      <c r="CU47" s="1427"/>
      <c r="CV47" s="1427"/>
      <c r="CW47" s="1428"/>
      <c r="CX47" s="1427"/>
      <c r="CY47" s="1427"/>
      <c r="CZ47" s="1427"/>
      <c r="DA47" s="1427"/>
      <c r="DB47" s="1427"/>
      <c r="DC47" s="1427"/>
      <c r="DD47" s="1427"/>
      <c r="DE47" s="1427"/>
      <c r="DF47" s="1427"/>
      <c r="DG47" s="1427"/>
      <c r="DH47" s="1427"/>
      <c r="DI47" s="1525"/>
      <c r="DJ47" s="1623"/>
      <c r="DK47" s="1624"/>
    </row>
    <row r="48" spans="1:231">
      <c r="B48" s="1425" t="s">
        <v>632</v>
      </c>
      <c r="C48" s="1425"/>
      <c r="D48" s="1425"/>
      <c r="E48" s="1425"/>
      <c r="F48" s="1425"/>
      <c r="G48" s="1425"/>
      <c r="H48" s="1425"/>
      <c r="I48" s="1425"/>
      <c r="J48" s="1425" t="e">
        <f>(J47/J43)*100</f>
        <v>#REF!</v>
      </c>
      <c r="K48" s="1425" t="e">
        <f t="shared" ref="K48:AP48" si="18">(K47/K43)*100</f>
        <v>#REF!</v>
      </c>
      <c r="L48" s="1425" t="e">
        <f t="shared" si="18"/>
        <v>#REF!</v>
      </c>
      <c r="M48" s="1425" t="e">
        <f t="shared" si="18"/>
        <v>#REF!</v>
      </c>
      <c r="N48" s="1425" t="e">
        <f t="shared" si="18"/>
        <v>#REF!</v>
      </c>
      <c r="O48" s="1425" t="e">
        <f t="shared" si="18"/>
        <v>#REF!</v>
      </c>
      <c r="P48" s="1425" t="e">
        <f t="shared" si="18"/>
        <v>#REF!</v>
      </c>
      <c r="Q48" s="1425" t="e">
        <f t="shared" si="18"/>
        <v>#REF!</v>
      </c>
      <c r="R48" s="1425" t="e">
        <f t="shared" si="18"/>
        <v>#REF!</v>
      </c>
      <c r="S48" s="1425" t="e">
        <f t="shared" si="18"/>
        <v>#REF!</v>
      </c>
      <c r="T48" s="1425" t="e">
        <f t="shared" si="18"/>
        <v>#REF!</v>
      </c>
      <c r="U48" s="1425" t="e">
        <f t="shared" si="18"/>
        <v>#REF!</v>
      </c>
      <c r="V48" s="1425" t="e">
        <f t="shared" si="18"/>
        <v>#REF!</v>
      </c>
      <c r="W48" s="1425" t="e">
        <f t="shared" si="18"/>
        <v>#REF!</v>
      </c>
      <c r="X48" s="1425" t="e">
        <f t="shared" si="18"/>
        <v>#REF!</v>
      </c>
      <c r="Y48" s="1425" t="e">
        <f t="shared" si="18"/>
        <v>#REF!</v>
      </c>
      <c r="Z48" s="1425" t="e">
        <f t="shared" si="18"/>
        <v>#REF!</v>
      </c>
      <c r="AA48" s="1425" t="e">
        <f t="shared" si="18"/>
        <v>#REF!</v>
      </c>
      <c r="AB48" s="1425" t="e">
        <f t="shared" si="18"/>
        <v>#REF!</v>
      </c>
      <c r="AC48" s="1425" t="e">
        <f t="shared" si="18"/>
        <v>#REF!</v>
      </c>
      <c r="AD48" s="1425" t="e">
        <f t="shared" si="18"/>
        <v>#REF!</v>
      </c>
      <c r="AE48" s="1425" t="e">
        <f t="shared" si="18"/>
        <v>#REF!</v>
      </c>
      <c r="AF48" s="1425" t="e">
        <f t="shared" si="18"/>
        <v>#REF!</v>
      </c>
      <c r="AG48" s="1425" t="e">
        <f t="shared" si="18"/>
        <v>#REF!</v>
      </c>
      <c r="AH48" s="1425" t="e">
        <f t="shared" si="18"/>
        <v>#REF!</v>
      </c>
      <c r="AI48" s="1425" t="e">
        <f t="shared" si="18"/>
        <v>#REF!</v>
      </c>
      <c r="AJ48" s="1425" t="e">
        <f t="shared" si="18"/>
        <v>#REF!</v>
      </c>
      <c r="AK48" s="1434" t="e">
        <f t="shared" si="18"/>
        <v>#REF!</v>
      </c>
      <c r="AL48" s="1425" t="e">
        <f t="shared" si="18"/>
        <v>#REF!</v>
      </c>
      <c r="AM48" s="1425" t="e">
        <f t="shared" si="18"/>
        <v>#REF!</v>
      </c>
      <c r="AN48" s="1425" t="e">
        <f t="shared" si="18"/>
        <v>#REF!</v>
      </c>
      <c r="AO48" s="1425" t="e">
        <f t="shared" si="18"/>
        <v>#REF!</v>
      </c>
      <c r="AP48" s="1425" t="e">
        <f t="shared" si="18"/>
        <v>#REF!</v>
      </c>
      <c r="AR48" s="1428"/>
      <c r="AS48" s="1425"/>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7"/>
      <c r="CC48" s="1427"/>
      <c r="CD48" s="1427"/>
      <c r="CE48" s="1427"/>
      <c r="CF48" s="1427"/>
      <c r="CG48" s="1427"/>
      <c r="CH48" s="1427"/>
      <c r="CI48" s="1427"/>
      <c r="CJ48" s="1427"/>
      <c r="CK48" s="1427"/>
      <c r="CL48" s="1427"/>
      <c r="CM48" s="1427"/>
      <c r="CN48" s="1427"/>
      <c r="CO48" s="1427"/>
      <c r="CP48" s="1427"/>
      <c r="CQ48" s="1427"/>
      <c r="CR48" s="1427"/>
      <c r="CS48" s="1427"/>
      <c r="CT48" s="1427"/>
      <c r="CU48" s="1427"/>
      <c r="CV48" s="1427"/>
      <c r="CW48" s="1427"/>
      <c r="CX48" s="1427"/>
      <c r="CY48" s="1427"/>
      <c r="CZ48" s="1427"/>
      <c r="DA48" s="1427"/>
      <c r="DB48" s="1427"/>
      <c r="DC48" s="1427"/>
      <c r="DD48" s="1427"/>
      <c r="DE48" s="1427"/>
      <c r="DF48" s="1427"/>
      <c r="DG48" s="1427"/>
      <c r="DH48" s="1427"/>
      <c r="DI48" s="1525"/>
      <c r="DJ48" s="1623"/>
      <c r="DK48" s="1624"/>
    </row>
    <row r="49" spans="2:117" ht="15">
      <c r="B49" s="1438" t="s">
        <v>10</v>
      </c>
      <c r="C49" s="1439"/>
      <c r="D49" s="1439"/>
      <c r="E49" s="1439"/>
      <c r="F49" s="1439"/>
      <c r="G49" s="1439"/>
      <c r="H49" s="1439"/>
      <c r="I49" s="1439"/>
      <c r="J49" s="1440"/>
      <c r="K49" s="1439"/>
      <c r="L49" s="1440"/>
      <c r="M49" s="1439"/>
      <c r="N49" s="1439"/>
      <c r="O49" s="1439"/>
      <c r="P49" s="1439"/>
      <c r="Q49" s="1439"/>
      <c r="R49" s="1439"/>
      <c r="S49" s="1439"/>
      <c r="T49" s="1439"/>
      <c r="U49" s="1439"/>
      <c r="V49" s="1439"/>
      <c r="W49" s="1439"/>
      <c r="X49" s="1439"/>
      <c r="Y49" s="1439"/>
      <c r="Z49" s="1439"/>
      <c r="AA49" s="1439"/>
      <c r="AB49" s="1439"/>
      <c r="AC49" s="1439"/>
      <c r="AD49" s="1439"/>
      <c r="AE49" s="1439"/>
      <c r="AF49" s="1439"/>
      <c r="AG49" s="1439"/>
      <c r="AH49" s="1439"/>
      <c r="AI49" s="1439"/>
      <c r="AJ49" s="1440"/>
      <c r="AK49" s="1439"/>
      <c r="AL49" s="1439"/>
      <c r="AM49" s="1439"/>
      <c r="AN49" s="1439"/>
      <c r="AO49" s="1439"/>
      <c r="AP49" s="1439"/>
      <c r="AQ49" s="1439"/>
      <c r="AR49" s="1439"/>
      <c r="AS49" s="1441"/>
      <c r="AT49" s="1432"/>
      <c r="AU49" s="1432"/>
      <c r="AV49" s="1432"/>
      <c r="AW49" s="1432"/>
      <c r="AX49" s="1432"/>
      <c r="AY49" s="1432"/>
      <c r="AZ49" s="1432"/>
      <c r="BA49" s="1432"/>
      <c r="BB49" s="1432"/>
      <c r="BC49" s="1432"/>
      <c r="BD49" s="1432"/>
      <c r="BE49" s="1432"/>
      <c r="BF49" s="1432"/>
      <c r="BG49" s="1432"/>
      <c r="BH49" s="1432"/>
      <c r="BI49" s="1432"/>
      <c r="BJ49" s="1432"/>
      <c r="BK49" s="1432"/>
      <c r="BL49" s="1432"/>
      <c r="BM49" s="1432"/>
      <c r="BN49" s="1432"/>
      <c r="BO49" s="1432"/>
      <c r="BP49" s="1432"/>
      <c r="BQ49" s="1432"/>
      <c r="BR49" s="1432"/>
      <c r="BS49" s="1432"/>
      <c r="BT49" s="1432"/>
      <c r="BU49" s="1432"/>
      <c r="BV49" s="1432"/>
      <c r="BW49" s="1432"/>
      <c r="BX49" s="1432"/>
      <c r="BY49" s="1432"/>
      <c r="BZ49" s="1432"/>
      <c r="CA49" s="1432"/>
      <c r="CF49" s="1429"/>
      <c r="CG49" s="1429"/>
      <c r="CH49" s="1429"/>
      <c r="CI49" s="1429"/>
      <c r="DL49" s="1432"/>
      <c r="DM49" s="1432"/>
    </row>
    <row r="50" spans="2:117">
      <c r="B50" s="1442" t="s">
        <v>986</v>
      </c>
      <c r="C50" s="1432"/>
      <c r="D50" s="1432"/>
      <c r="E50" s="1432"/>
      <c r="F50" s="1432"/>
      <c r="G50" s="1432"/>
      <c r="H50" s="1432"/>
      <c r="I50" s="1432"/>
      <c r="J50" s="1443" t="e">
        <f>-((J43*#REF!)/BOPOverall!J12)*12</f>
        <v>#REF!</v>
      </c>
      <c r="K50" s="1444" t="e">
        <f>-((K43*#REF!)/BOPOverall!K12)*12</f>
        <v>#REF!</v>
      </c>
      <c r="L50" s="1443" t="e">
        <f>-((L43*#REF!)/BOPOverall!L12)*12</f>
        <v>#REF!</v>
      </c>
      <c r="M50" s="1444" t="e">
        <f>-((M43*#REF!)/BOPOverall!M12)*12</f>
        <v>#REF!</v>
      </c>
      <c r="N50" s="1444" t="e">
        <f>-((N43*#REF!)/BOPOverall!M12)*12</f>
        <v>#REF!</v>
      </c>
      <c r="O50" s="1444" t="e">
        <f>-((O43*#REF!)/BOPOverall!M12)*12</f>
        <v>#REF!</v>
      </c>
      <c r="P50" s="1444" t="e">
        <f>-((P43*#REF!)/BOPOverall!M12)*12</f>
        <v>#REF!</v>
      </c>
      <c r="Q50" s="1444" t="e">
        <f>-((Q43*#REF!)/BOPOverall!M12)*12</f>
        <v>#REF!</v>
      </c>
      <c r="R50" s="1444" t="e">
        <f>-((R43*#REF!)/BOPOverall!M12)*12</f>
        <v>#REF!</v>
      </c>
      <c r="S50" s="1444" t="e">
        <f>-((S43*#REF!)/BOPOverall!M12)*12</f>
        <v>#REF!</v>
      </c>
      <c r="T50" s="1444" t="e">
        <f>-((T43*#REF!)/BOPOverall!M12)*12</f>
        <v>#REF!</v>
      </c>
      <c r="U50" s="1444" t="e">
        <f>-((U43*#REF!)/BOPOverall!M12)*12</f>
        <v>#REF!</v>
      </c>
      <c r="V50" s="1444" t="e">
        <f>-((V43*#REF!)/BOPOverall!M12)*12</f>
        <v>#REF!</v>
      </c>
      <c r="W50" s="1444" t="e">
        <f>-((W43*#REF!)/BOPOverall!M12)*12</f>
        <v>#REF!</v>
      </c>
      <c r="X50" s="1444" t="e">
        <f>-((X43*#REF!)/BOPOverall!M12)*12</f>
        <v>#REF!</v>
      </c>
      <c r="Y50" s="1444" t="e">
        <f>-((Y43*#REF!)/BOPOverall!N12)*12</f>
        <v>#REF!</v>
      </c>
      <c r="Z50" s="1444" t="e">
        <f>-((Z43*#REF!)/BOPOverall!N12)*12</f>
        <v>#REF!</v>
      </c>
      <c r="AA50" s="1444" t="e">
        <f>-((AA43*#REF!)/BOPOverall!N12)*12</f>
        <v>#REF!</v>
      </c>
      <c r="AB50" s="1444" t="e">
        <f>-((AB43*#REF!)/BOPOverall!N12)*12</f>
        <v>#REF!</v>
      </c>
      <c r="AC50" s="1444" t="e">
        <f>-((AC43*#REF!)/BOPOverall!N12)*12</f>
        <v>#REF!</v>
      </c>
      <c r="AD50" s="1444" t="e">
        <f>-((AD43*#REF!)/BOPOverall!N12)*12</f>
        <v>#REF!</v>
      </c>
      <c r="AE50" s="1444" t="e">
        <f>-((AE43*#REF!)/BOPOverall!$N$12)*12</f>
        <v>#REF!</v>
      </c>
      <c r="AF50" s="1444" t="e">
        <f>-((AF43*#REF!)/BOPOverall!$N$12)*12</f>
        <v>#REF!</v>
      </c>
      <c r="AG50" s="1444" t="e">
        <f>-((AG43*#REF!)/BOPOverall!$N$12)*12</f>
        <v>#REF!</v>
      </c>
      <c r="AH50" s="1444" t="e">
        <f>-((AH43*#REF!)/BOPOverall!$N$12)*12</f>
        <v>#REF!</v>
      </c>
      <c r="AI50" s="1444" t="e">
        <f>-((AI43*#REF!)/BOPOverall!$N$12)*12</f>
        <v>#REF!</v>
      </c>
      <c r="AJ50" s="1443" t="e">
        <f>-((AJ43*#REF!)/BOPOverall!$N$12)*12</f>
        <v>#REF!</v>
      </c>
      <c r="AK50" s="1444" t="e">
        <f>-((AK43*#REF!)/BOPOverall!$N$12)*12</f>
        <v>#REF!</v>
      </c>
      <c r="AL50" s="1444" t="e">
        <f>-((AL43*#REF!)/BOPOverall!$N$12)*12</f>
        <v>#REF!</v>
      </c>
      <c r="AM50" s="1444" t="e">
        <f>-((AM43*#REF!)/BOPOverall!$N$12)*12</f>
        <v>#REF!</v>
      </c>
      <c r="AN50" s="1444" t="e">
        <f>-((AN43*#REF!)/BOPOverall!$N$12)*12</f>
        <v>#REF!</v>
      </c>
      <c r="AO50" s="1444" t="e">
        <f>-((AO43*#REF!)/BOPOverall!$N$12)*12</f>
        <v>#REF!</v>
      </c>
      <c r="AP50" s="1444" t="e">
        <f>-((AP43*#REF!)/BOPOverall!$N$12)*12</f>
        <v>#REF!</v>
      </c>
      <c r="AQ50" s="1444" t="e">
        <f>-((AQ43*#REF!)/BOPOverall!$N$12)*12</f>
        <v>#REF!</v>
      </c>
      <c r="AR50" s="1444" t="e">
        <f>AVERAGE(J50:AJ50)</f>
        <v>#REF!</v>
      </c>
      <c r="AS50" s="1441"/>
      <c r="AT50" s="1444"/>
      <c r="AU50" s="1444"/>
      <c r="AV50" s="1444"/>
      <c r="AW50" s="1444"/>
      <c r="AX50" s="1444"/>
      <c r="AY50" s="1444"/>
      <c r="AZ50" s="1444"/>
      <c r="BA50" s="1444"/>
      <c r="BB50" s="1444"/>
      <c r="BC50" s="1444"/>
      <c r="BD50" s="1444"/>
      <c r="BE50" s="1444"/>
      <c r="BF50" s="1444"/>
      <c r="BG50" s="1444"/>
      <c r="BH50" s="1444"/>
      <c r="BI50" s="1444"/>
      <c r="BJ50" s="1444"/>
      <c r="BK50" s="1444"/>
      <c r="BL50" s="1444"/>
      <c r="BM50" s="1444"/>
      <c r="BN50" s="1444"/>
      <c r="BO50" s="1444"/>
      <c r="BP50" s="1444"/>
      <c r="BQ50" s="1444" t="e">
        <f>((BZ39-BT39)/BT39)*100</f>
        <v>#REF!</v>
      </c>
      <c r="BR50" s="1444"/>
      <c r="BS50" s="1444"/>
      <c r="BT50" s="1444"/>
      <c r="BU50" s="1444"/>
      <c r="BV50" s="1444"/>
      <c r="BW50" s="1444"/>
      <c r="BX50" s="1444"/>
      <c r="BY50" s="1444"/>
      <c r="BZ50" s="1444"/>
      <c r="CA50" s="1444"/>
      <c r="CF50" s="1429"/>
      <c r="CG50" s="1429"/>
      <c r="CH50" s="1429"/>
      <c r="CI50" s="1429"/>
    </row>
    <row r="51" spans="2:117">
      <c r="B51" s="1442" t="s">
        <v>11</v>
      </c>
      <c r="C51" s="1432"/>
      <c r="D51" s="1432"/>
      <c r="E51" s="1432"/>
      <c r="F51" s="1432"/>
      <c r="G51" s="1432"/>
      <c r="H51" s="1432"/>
      <c r="I51" s="1432"/>
      <c r="J51" s="1445">
        <f>-(J45/BOPIndia!I11)*12</f>
        <v>0.20182962917778793</v>
      </c>
      <c r="K51" s="1446">
        <f>-(K45/BOPIndia!J11)*12</f>
        <v>0.15248989307527311</v>
      </c>
      <c r="L51" s="1445">
        <f>-(L45/BOPIndia!K11)*12</f>
        <v>0.97933203639940769</v>
      </c>
      <c r="M51" s="1446">
        <f>-(M45/BOPIndia!$L$11)*12</f>
        <v>1.0229152236662424</v>
      </c>
      <c r="N51" s="1446">
        <f>-(N45/BOPIndia!$L$11)*12</f>
        <v>1.2344931299094195</v>
      </c>
      <c r="O51" s="1446">
        <f>-(O45/BOPIndia!$L$11)*12</f>
        <v>0.14261523352814665</v>
      </c>
      <c r="P51" s="1446">
        <f>-(P45/BOPIndia!$L$11)*12</f>
        <v>0.21144467078584522</v>
      </c>
      <c r="Q51" s="1446">
        <f>-(Q45/BOPIndia!$L$11)*12</f>
        <v>0.75877592950560091</v>
      </c>
      <c r="R51" s="1446">
        <f>-(R45/BOPIndia!$L$11)*12</f>
        <v>1.2169859908159979</v>
      </c>
      <c r="S51" s="1446">
        <f>-(S45/BOPIndia!$L$11)*12</f>
        <v>1.2592083072445011</v>
      </c>
      <c r="T51" s="1446">
        <f>-(T45/BOPIndia!$L$11)*12</f>
        <v>1.2476301460023524</v>
      </c>
      <c r="U51" s="1446">
        <f>-(U45/BOPIndia!$L$11)*12</f>
        <v>1.2604740440891549</v>
      </c>
      <c r="V51" s="1446">
        <f>-(V45/BOPIndia!$L$11)*12</f>
        <v>2.1861007368115888</v>
      </c>
      <c r="W51" s="1446">
        <f>-(W45/BOPIndia!$L$11)*12</f>
        <v>1.5403484457607026</v>
      </c>
      <c r="X51" s="1446">
        <f>-(X45/BOPIndia!$L$11)*12</f>
        <v>1.1506747037018739</v>
      </c>
      <c r="Y51" s="1446">
        <f>-(Y45/BOPIndia!$M$11)*12</f>
        <v>1.0079129931483206</v>
      </c>
      <c r="Z51" s="1446">
        <f>-(Z45/BOPIndia!$M$11)*12</f>
        <v>1.0352004379169519</v>
      </c>
      <c r="AA51" s="1446">
        <f>-(AA45/BOPIndia!$M$11)*12</f>
        <v>0.76955580325488449</v>
      </c>
      <c r="AB51" s="1446">
        <f>-(AB45/BOPIndia!$M$11)*12</f>
        <v>0.68064496785011608</v>
      </c>
      <c r="AC51" s="1446">
        <f>-(AC45/BOPIndia!$M$11)*12</f>
        <v>0.69197696318592639</v>
      </c>
      <c r="AD51" s="1446">
        <f>-(AD45/BOPIndia!$M$11)*12</f>
        <v>1.118751239527882</v>
      </c>
      <c r="AE51" s="1446">
        <f>-(AE45/BOPIndia!$M$11)*12</f>
        <v>1.9299521256418695</v>
      </c>
      <c r="AF51" s="1446">
        <f>-(AF45/BOPIndia!$M$11)*12</f>
        <v>1.9279236984767594</v>
      </c>
      <c r="AG51" s="1446">
        <f>-(AG45/BOPIndia!$M$11)*12</f>
        <v>1.9517095566866256</v>
      </c>
      <c r="AH51" s="1446">
        <f>-(AH45/BOPIndia!$M$11)*12</f>
        <v>3.2877971347600159</v>
      </c>
      <c r="AI51" s="1446">
        <f>-(AI45/BOPIndia!$M$11)*12</f>
        <v>1.6612138562531262</v>
      </c>
      <c r="AJ51" s="1445">
        <f>-(AJ45/BOPIndia!$M$11)*12</f>
        <v>2.0651201660074161</v>
      </c>
      <c r="AK51" s="1446">
        <f>-(AK45/BOPIndia!$M$11)*12</f>
        <v>0.94485043910453559</v>
      </c>
      <c r="AL51" s="1446">
        <f>-(AL45/BOPIndia!$M$11)*12</f>
        <v>0.91786895820997105</v>
      </c>
      <c r="AM51" s="1446">
        <f>-(AM45/BOPIndia!$M$11)*12</f>
        <v>0.86719227506822683</v>
      </c>
      <c r="AN51" s="1446">
        <f>-(AN45/BOPIndia!$M$11)*12</f>
        <v>2.2643819719923064</v>
      </c>
      <c r="AO51" s="1446">
        <f>-(AO45/BOPIndia!$M$11)*12</f>
        <v>3.0771353414672999</v>
      </c>
      <c r="AP51" s="1446">
        <f>-(AP45/BOPIndia!$M$11)*12</f>
        <v>3.0705174561911868</v>
      </c>
      <c r="AQ51" s="1446">
        <f>-(AQ45/BOPIndia!$M$11)*12</f>
        <v>2.9221816372454281</v>
      </c>
      <c r="AR51" s="1432"/>
      <c r="AS51" s="1441"/>
      <c r="AT51" s="1432"/>
      <c r="AU51" s="1432"/>
      <c r="AV51" s="1432"/>
      <c r="AW51" s="1432"/>
      <c r="AX51" s="1432"/>
      <c r="AY51" s="1432"/>
      <c r="AZ51" s="1432"/>
      <c r="BA51" s="1432"/>
      <c r="BB51" s="1432"/>
      <c r="BC51" s="1432"/>
      <c r="BD51" s="1432"/>
      <c r="BE51" s="1432"/>
      <c r="BF51" s="1432"/>
      <c r="BG51" s="1432"/>
      <c r="BH51" s="1432"/>
      <c r="BI51" s="1432"/>
      <c r="BJ51" s="1432"/>
      <c r="BK51" s="1432"/>
      <c r="BL51" s="1432"/>
      <c r="BM51" s="1432"/>
      <c r="BN51" s="1432"/>
      <c r="BO51" s="1432"/>
      <c r="BP51" s="1432"/>
      <c r="BQ51" s="1432"/>
      <c r="BR51" s="1432"/>
      <c r="BS51" s="1432"/>
      <c r="BT51" s="1432"/>
      <c r="BU51" s="1432"/>
      <c r="BV51" s="1432"/>
      <c r="BW51" s="1432"/>
      <c r="BX51" s="1432"/>
      <c r="BY51" s="1432"/>
      <c r="BZ51" s="1432"/>
      <c r="CA51" s="1432"/>
      <c r="CF51" s="1429"/>
      <c r="CG51" s="1429"/>
      <c r="CH51" s="1429"/>
      <c r="CI51" s="1429"/>
    </row>
    <row r="52" spans="2:117">
      <c r="B52" s="1442" t="s">
        <v>12</v>
      </c>
      <c r="C52" s="1432"/>
      <c r="D52" s="1432"/>
      <c r="E52" s="1432"/>
      <c r="F52" s="1432"/>
      <c r="G52" s="1432"/>
      <c r="H52" s="1432"/>
      <c r="I52" s="1432"/>
      <c r="J52" s="1445" t="e">
        <f>-((J47*#REF!)/BOPCOTI!I12)*12</f>
        <v>#REF!</v>
      </c>
      <c r="K52" s="1446" t="e">
        <f>-((K47*#REF!)/BOPCOTI!J12)*12</f>
        <v>#REF!</v>
      </c>
      <c r="L52" s="1445" t="e">
        <f>-((L47*#REF!)/BOPCOTI!K12)*12</f>
        <v>#REF!</v>
      </c>
      <c r="M52" s="1446"/>
      <c r="N52" s="1446"/>
      <c r="O52" s="1446"/>
      <c r="P52" s="1446"/>
      <c r="Q52" s="1446"/>
      <c r="R52" s="1446"/>
      <c r="S52" s="1446"/>
      <c r="T52" s="1446"/>
      <c r="U52" s="1446"/>
      <c r="V52" s="1446"/>
      <c r="W52" s="1446"/>
      <c r="X52" s="1446" t="e">
        <f>-((X47*#REF!)/BOPCOTI!L12)*12</f>
        <v>#REF!</v>
      </c>
      <c r="Y52" s="1446"/>
      <c r="Z52" s="1446"/>
      <c r="AA52" s="1446"/>
      <c r="AB52" s="1446"/>
      <c r="AC52" s="1446"/>
      <c r="AD52" s="1446"/>
      <c r="AE52" s="1446"/>
      <c r="AF52" s="1446"/>
      <c r="AG52" s="1446"/>
      <c r="AH52" s="1446"/>
      <c r="AI52" s="1446"/>
      <c r="AJ52" s="1445" t="e">
        <f>-((AJ47*#REF!)/BOPCOTI!M12)*12</f>
        <v>#REF!</v>
      </c>
      <c r="AK52" s="1446" t="e">
        <f>-((AK47*#REF!)/BOPCOTI!N12)*12</f>
        <v>#REF!</v>
      </c>
      <c r="AL52" s="1446" t="e">
        <f>-((AL47*#REF!)/BOPCOTI!N12)*12</f>
        <v>#REF!</v>
      </c>
      <c r="AM52" s="1446" t="e">
        <f>-((AM47*#REF!)/BOPCOTI!N12)*12</f>
        <v>#REF!</v>
      </c>
      <c r="AN52" s="1446" t="e">
        <f>-((AN47*#REF!)/BOPCOTI!N12)*12</f>
        <v>#REF!</v>
      </c>
      <c r="AO52" s="1446" t="e">
        <f>-((AO47*#REF!)/BOPCOTI!N12)*12</f>
        <v>#REF!</v>
      </c>
      <c r="AP52" s="1446" t="e">
        <f>-((AP47*#REF!)/BOPCOTI!N12)*12</f>
        <v>#REF!</v>
      </c>
      <c r="AQ52" s="1446" t="e">
        <f>-((AQ47*#REF!)/BOPCOTI!N12)*12</f>
        <v>#REF!</v>
      </c>
      <c r="AR52" s="1432"/>
      <c r="AS52" s="1441"/>
      <c r="AT52" s="1432"/>
      <c r="AU52" s="1432"/>
      <c r="AV52" s="1432"/>
      <c r="AW52" s="1432"/>
      <c r="AX52" s="1432"/>
      <c r="AY52" s="1432"/>
      <c r="AZ52" s="1432"/>
      <c r="BA52" s="1432"/>
      <c r="BB52" s="1432"/>
      <c r="BC52" s="1432"/>
      <c r="BD52" s="1432"/>
      <c r="BE52" s="1432"/>
      <c r="BF52" s="1432"/>
      <c r="BG52" s="1432"/>
      <c r="BH52" s="1432"/>
      <c r="BI52" s="1432"/>
      <c r="BJ52" s="1432"/>
      <c r="BK52" s="1432"/>
      <c r="BL52" s="1432"/>
      <c r="BM52" s="1432"/>
      <c r="BN52" s="1432"/>
      <c r="BO52" s="1432"/>
      <c r="BP52" s="1432"/>
      <c r="BQ52" s="1432"/>
      <c r="BR52" s="1432"/>
      <c r="BS52" s="1432"/>
      <c r="BT52" s="1432"/>
      <c r="BU52" s="1432"/>
      <c r="BV52" s="1432"/>
      <c r="BW52" s="1432"/>
      <c r="BX52" s="1432"/>
      <c r="BY52" s="1432"/>
      <c r="BZ52" s="1432"/>
      <c r="CA52" s="1432"/>
      <c r="CF52" s="1429"/>
      <c r="CG52" s="1429"/>
      <c r="CH52" s="1429"/>
      <c r="CI52" s="1429"/>
    </row>
    <row r="53" spans="2:117">
      <c r="B53" s="1447"/>
      <c r="C53" s="1432"/>
      <c r="D53" s="1432"/>
      <c r="E53" s="1432"/>
      <c r="F53" s="1432"/>
      <c r="G53" s="1432"/>
      <c r="H53" s="1432"/>
      <c r="I53" s="1432"/>
      <c r="J53" s="1442"/>
      <c r="K53" s="1432"/>
      <c r="L53" s="1442"/>
      <c r="M53" s="1432"/>
      <c r="N53" s="1432"/>
      <c r="O53" s="1432"/>
      <c r="P53" s="1432"/>
      <c r="Q53" s="1432"/>
      <c r="R53" s="1432"/>
      <c r="S53" s="1432"/>
      <c r="T53" s="1432"/>
      <c r="U53" s="1432"/>
      <c r="V53" s="1432"/>
      <c r="W53" s="1432"/>
      <c r="X53" s="1432"/>
      <c r="Y53" s="1432"/>
      <c r="Z53" s="1432"/>
      <c r="AA53" s="1432"/>
      <c r="AB53" s="1432"/>
      <c r="AC53" s="1432"/>
      <c r="AD53" s="1432"/>
      <c r="AE53" s="1432"/>
      <c r="AF53" s="1432"/>
      <c r="AG53" s="1432"/>
      <c r="AH53" s="1432"/>
      <c r="AI53" s="1432"/>
      <c r="AJ53" s="1442"/>
      <c r="AK53" s="1432"/>
      <c r="AL53" s="1432"/>
      <c r="AM53" s="1432"/>
      <c r="AN53" s="1432"/>
      <c r="AO53" s="1432"/>
      <c r="AP53" s="1432"/>
      <c r="AQ53" s="1432"/>
      <c r="AR53" s="1432"/>
      <c r="AS53" s="1441"/>
      <c r="AT53" s="1432"/>
      <c r="AU53" s="1432"/>
      <c r="AV53" s="1432"/>
      <c r="AW53" s="1432"/>
      <c r="AX53" s="1432"/>
      <c r="AY53" s="1432"/>
      <c r="AZ53" s="1432"/>
      <c r="BA53" s="1432"/>
      <c r="BB53" s="1432"/>
      <c r="BC53" s="1432"/>
      <c r="BD53" s="1432"/>
      <c r="BE53" s="1432"/>
      <c r="BF53" s="1432"/>
      <c r="BG53" s="1432"/>
      <c r="BH53" s="1432"/>
      <c r="BI53" s="1432"/>
      <c r="BJ53" s="1432"/>
      <c r="BK53" s="1432"/>
      <c r="BL53" s="1432"/>
      <c r="BM53" s="1432"/>
      <c r="BN53" s="1432"/>
      <c r="BO53" s="1432"/>
      <c r="BP53" s="1432"/>
      <c r="BQ53" s="1432"/>
      <c r="BR53" s="1432"/>
      <c r="BS53" s="1432"/>
      <c r="BT53" s="1432"/>
      <c r="BU53" s="1432"/>
      <c r="BV53" s="1432"/>
      <c r="BW53" s="1432"/>
      <c r="BX53" s="1432"/>
      <c r="BY53" s="1432"/>
      <c r="BZ53" s="1432"/>
      <c r="CA53" s="1432"/>
      <c r="CF53" s="1429"/>
      <c r="CG53" s="1429"/>
      <c r="CH53" s="1429"/>
      <c r="CI53" s="1429"/>
    </row>
    <row r="54" spans="2:117">
      <c r="B54" s="1448" t="s">
        <v>21</v>
      </c>
      <c r="C54" s="1449"/>
      <c r="D54" s="1449"/>
      <c r="E54" s="1449"/>
      <c r="F54" s="1449"/>
      <c r="G54" s="1449"/>
      <c r="H54" s="1449"/>
      <c r="I54" s="1449"/>
      <c r="J54" s="1450" t="e">
        <f>-((J47*#REF!)/BOPOverall!J12)*12</f>
        <v>#REF!</v>
      </c>
      <c r="K54" s="1451" t="e">
        <f>-((K47*#REF!)/BOPOverall!K12)*12</f>
        <v>#REF!</v>
      </c>
      <c r="L54" s="1450" t="e">
        <f>-((L47*#REF!)/BOPOverall!L12)*12</f>
        <v>#REF!</v>
      </c>
      <c r="M54" s="1451" t="e">
        <f>-((M47*#REF!)/BOPOverall!M12)*12</f>
        <v>#REF!</v>
      </c>
      <c r="N54" s="1451" t="e">
        <f>-((N47*#REF!)/BOPOverall!N12)*12</f>
        <v>#REF!</v>
      </c>
      <c r="O54" s="1451" t="e">
        <f>-((O47*#REF!)/BOPOverall!O12)*12</f>
        <v>#REF!</v>
      </c>
      <c r="P54" s="1451" t="e">
        <f>-((P47*#REF!)/BOPOverall!T12)*12</f>
        <v>#REF!</v>
      </c>
      <c r="Q54" s="1451" t="e">
        <f>-((Q47*#REF!)/BOPOverall!U12)*12</f>
        <v>#REF!</v>
      </c>
      <c r="R54" s="1451" t="e">
        <f>-((R47*#REF!)/BOPOverall!V12)*12</f>
        <v>#REF!</v>
      </c>
      <c r="S54" s="1451" t="e">
        <f>-((S47*#REF!)/BOPOverall!W12)*12</f>
        <v>#REF!</v>
      </c>
      <c r="T54" s="1451" t="e">
        <f>-((T47*#REF!)/BOPOverall!X12)*12</f>
        <v>#REF!</v>
      </c>
      <c r="U54" s="1451" t="e">
        <f>-((U47*#REF!)/BOPOverall!Y12)*12</f>
        <v>#REF!</v>
      </c>
      <c r="V54" s="1451" t="e">
        <f>-((V47*#REF!)/BOPOverall!Z12)*12</f>
        <v>#REF!</v>
      </c>
      <c r="W54" s="1451" t="e">
        <f>-((W47*#REF!)/BOPOverall!AA12)*12</f>
        <v>#REF!</v>
      </c>
      <c r="X54" s="1451" t="e">
        <f>-((X47*#REF!)/BOPOverall!M12)*12</f>
        <v>#REF!</v>
      </c>
      <c r="Y54" s="1451" t="e">
        <f>-((Y47*#REF!)/BOPOverall!AC12)*12</f>
        <v>#REF!</v>
      </c>
      <c r="Z54" s="1451" t="e">
        <f>-((Z47*#REF!)/BOPOverall!AD12)*12</f>
        <v>#REF!</v>
      </c>
      <c r="AA54" s="1451" t="e">
        <f>-((AA47*#REF!)/BOPOverall!AE12)*12</f>
        <v>#REF!</v>
      </c>
      <c r="AB54" s="1451" t="e">
        <f>-((AB47*#REF!)/BOPOverall!AF12)*12</f>
        <v>#REF!</v>
      </c>
      <c r="AC54" s="1451" t="e">
        <f>-((AC47*#REF!)/BOPOverall!AG12)*12</f>
        <v>#REF!</v>
      </c>
      <c r="AD54" s="1451" t="e">
        <f>-((AD47*#REF!)/BOPOverall!AH12)*12</f>
        <v>#REF!</v>
      </c>
      <c r="AE54" s="1451" t="e">
        <f>-((AE47*#REF!)/BOPOverall!AI12)*12</f>
        <v>#REF!</v>
      </c>
      <c r="AF54" s="1451" t="e">
        <f>-((AF47*#REF!)/BOPOverall!AJ12)*12</f>
        <v>#REF!</v>
      </c>
      <c r="AG54" s="1451" t="e">
        <f>-((AG47*#REF!)/BOPOverall!AK12)*12</f>
        <v>#REF!</v>
      </c>
      <c r="AH54" s="1451" t="e">
        <f>-((AH47*#REF!)/BOPOverall!AL12)*12</f>
        <v>#REF!</v>
      </c>
      <c r="AI54" s="1451" t="e">
        <f>-((AI47*#REF!)/BOPOverall!AM12)*12</f>
        <v>#REF!</v>
      </c>
      <c r="AJ54" s="1450" t="e">
        <f>-((AJ47*#REF!)/BOPOverall!$N$12)*12</f>
        <v>#REF!</v>
      </c>
      <c r="AK54" s="1451" t="e">
        <f>-((AK47*#REF!)/BOPOverall!$N$12)*12</f>
        <v>#REF!</v>
      </c>
      <c r="AL54" s="1451" t="e">
        <f>-((AL47*#REF!)/BOPOverall!$N$12)*12</f>
        <v>#REF!</v>
      </c>
      <c r="AM54" s="1451" t="e">
        <f>-((AM47*#REF!)/BOPOverall!$N$12)*12</f>
        <v>#REF!</v>
      </c>
      <c r="AN54" s="1451" t="e">
        <f>-((AN47*#REF!)/BOPOverall!$N$12)*12</f>
        <v>#REF!</v>
      </c>
      <c r="AO54" s="1451" t="e">
        <f>-((AO47*#REF!)/BOPOverall!$N$12)*12</f>
        <v>#REF!</v>
      </c>
      <c r="AP54" s="1451" t="e">
        <f>-((AP47*#REF!)/BOPOverall!$N$12)*12</f>
        <v>#REF!</v>
      </c>
      <c r="AQ54" s="1451" t="e">
        <f>-((AQ47*#REF!)/BOPOverall!$N$12)*12</f>
        <v>#REF!</v>
      </c>
      <c r="AR54" s="1449"/>
      <c r="AS54" s="1452"/>
      <c r="AT54" s="1432"/>
      <c r="AU54" s="1432"/>
      <c r="AV54" s="1432"/>
      <c r="AW54" s="1432"/>
      <c r="AX54" s="1432"/>
      <c r="AY54" s="1432"/>
      <c r="AZ54" s="1432"/>
      <c r="BA54" s="1432"/>
      <c r="BB54" s="1432"/>
      <c r="BC54" s="1432"/>
      <c r="BD54" s="1432"/>
      <c r="BE54" s="1432"/>
      <c r="BF54" s="1432"/>
      <c r="BG54" s="1432"/>
      <c r="BH54" s="1432"/>
      <c r="BI54" s="1432"/>
      <c r="BJ54" s="1432"/>
      <c r="BK54" s="1432"/>
      <c r="BL54" s="1432"/>
      <c r="BM54" s="1432"/>
      <c r="BN54" s="1432"/>
      <c r="BO54" s="1432"/>
      <c r="BP54" s="1432"/>
      <c r="BQ54" s="1432"/>
      <c r="BR54" s="1432"/>
      <c r="BS54" s="1432"/>
      <c r="BT54" s="1432"/>
      <c r="BU54" s="1432"/>
      <c r="BV54" s="1432"/>
      <c r="BW54" s="1432"/>
      <c r="BX54" s="1432"/>
      <c r="BY54" s="1432"/>
      <c r="BZ54" s="1432"/>
      <c r="CA54" s="1432"/>
      <c r="CF54" s="1429"/>
      <c r="CG54" s="1429"/>
      <c r="CH54" s="1429"/>
      <c r="CI54" s="1429"/>
    </row>
    <row r="55" spans="2:117">
      <c r="B55" s="1432"/>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46">
        <f>X9-L9</f>
        <v>-333.73</v>
      </c>
      <c r="Y55" s="1432"/>
      <c r="Z55" s="1432"/>
      <c r="AA55" s="1432"/>
      <c r="AB55" s="1432"/>
      <c r="AC55" s="1432"/>
      <c r="AD55" s="1432"/>
      <c r="AE55" s="1432"/>
      <c r="AF55" s="1432"/>
      <c r="AG55" s="1432"/>
      <c r="AH55" s="1432"/>
      <c r="AI55" s="1432"/>
      <c r="AJ55" s="1446">
        <f>AJ9-X9</f>
        <v>1032.6799999999998</v>
      </c>
      <c r="AK55" s="1432"/>
      <c r="AL55" s="1432"/>
      <c r="AM55" s="1432"/>
      <c r="AN55" s="1432"/>
      <c r="AO55" s="1432"/>
      <c r="AP55" s="1432"/>
      <c r="AQ55" s="1432"/>
      <c r="AR55" s="1446">
        <f>AU9-AJ9</f>
        <v>218.63000000000011</v>
      </c>
      <c r="AS55" s="1432"/>
      <c r="AT55" s="1432"/>
      <c r="AU55" s="1432"/>
      <c r="AV55" s="1432"/>
      <c r="AW55" s="1432"/>
      <c r="AX55" s="1432"/>
      <c r="AY55" s="1432"/>
      <c r="AZ55" s="1432"/>
      <c r="BA55" s="1432"/>
      <c r="BB55" s="1432"/>
      <c r="BC55" s="1432"/>
      <c r="BD55" s="1432"/>
      <c r="BE55" s="1432"/>
      <c r="BF55" s="1432"/>
      <c r="BG55" s="1432"/>
      <c r="BH55" s="1432"/>
      <c r="BI55" s="1432"/>
      <c r="BJ55" s="1432"/>
      <c r="BK55" s="1432"/>
      <c r="BL55" s="1432"/>
      <c r="BM55" s="1432"/>
      <c r="BN55" s="1432"/>
      <c r="BO55" s="1432"/>
      <c r="BP55" s="1432"/>
      <c r="BQ55" s="1432"/>
      <c r="BR55" s="1432"/>
      <c r="BS55" s="1432"/>
      <c r="BT55" s="1432"/>
      <c r="BU55" s="1432"/>
      <c r="BV55" s="1432"/>
      <c r="BW55" s="1432"/>
      <c r="BX55" s="1432"/>
      <c r="BY55" s="1432"/>
      <c r="BZ55" s="1432"/>
      <c r="CA55" s="1432"/>
      <c r="CF55" s="1429"/>
      <c r="CG55" s="1429"/>
      <c r="CH55" s="1429"/>
      <c r="CI55" s="1429"/>
    </row>
    <row r="56" spans="2:117">
      <c r="T56" s="1453" t="e">
        <f>((T39/S39)-1)*100</f>
        <v>#REF!</v>
      </c>
      <c r="U56" s="1453" t="e">
        <f>((U39/T39)-1)*100</f>
        <v>#REF!</v>
      </c>
      <c r="V56" s="1453" t="e">
        <f>((V39/U39)-1)*100</f>
        <v>#REF!</v>
      </c>
      <c r="W56" s="1453"/>
      <c r="X56" s="1453"/>
      <c r="Y56" s="1453"/>
      <c r="Z56" s="1453"/>
      <c r="AA56" s="1453"/>
      <c r="AB56" s="1453"/>
      <c r="AQ56" s="1429"/>
      <c r="AR56" s="1429"/>
      <c r="AS56" s="1432"/>
      <c r="AT56" s="1432"/>
      <c r="AU56" s="1432"/>
      <c r="AV56" s="1432"/>
      <c r="AW56" s="1432"/>
      <c r="AX56" s="1432"/>
      <c r="AY56" s="1432"/>
      <c r="AZ56" s="1432"/>
      <c r="BA56" s="1432"/>
      <c r="BB56" s="1432"/>
      <c r="BC56" s="1432"/>
      <c r="BD56" s="1432"/>
      <c r="BE56" s="1432"/>
      <c r="BF56" s="1432"/>
      <c r="BG56" s="1432"/>
      <c r="BH56" s="1432"/>
      <c r="BI56" s="1432"/>
      <c r="BJ56" s="1432"/>
      <c r="BK56" s="1432"/>
      <c r="BL56" s="1432"/>
      <c r="BM56" s="1432"/>
      <c r="BN56" s="1432"/>
      <c r="BO56" s="1432"/>
      <c r="BP56" s="1432"/>
      <c r="BQ56" s="1432"/>
      <c r="BR56" s="1432"/>
      <c r="BS56" s="1432"/>
      <c r="BT56" s="1432"/>
      <c r="BU56" s="1432"/>
      <c r="BV56" s="1432"/>
      <c r="BW56" s="1432"/>
      <c r="BX56" s="1432"/>
      <c r="BY56" s="1432"/>
      <c r="BZ56" s="1432"/>
      <c r="CA56" s="1432"/>
      <c r="CF56" s="1429"/>
      <c r="CG56" s="1429"/>
      <c r="CH56" s="1429"/>
      <c r="CI56" s="1429"/>
    </row>
    <row r="57" spans="2:117" ht="15">
      <c r="B57" s="1454" t="s">
        <v>977</v>
      </c>
      <c r="T57" s="1453"/>
      <c r="U57" s="1453"/>
      <c r="V57" s="1453"/>
      <c r="W57" s="1453"/>
      <c r="X57" s="1453"/>
      <c r="Y57" s="1453"/>
      <c r="Z57" s="1453"/>
      <c r="AA57" s="1453"/>
      <c r="AB57" s="1453"/>
      <c r="AQ57" s="1429"/>
      <c r="AR57" s="1429"/>
      <c r="AS57" s="1429"/>
      <c r="AT57" s="1429"/>
      <c r="AU57" s="1429"/>
      <c r="AV57" s="1429"/>
      <c r="AW57" s="1429"/>
      <c r="AX57" s="1429"/>
      <c r="AY57" s="1429"/>
      <c r="AZ57" s="1429"/>
      <c r="BA57" s="1429"/>
      <c r="BB57" s="1429"/>
      <c r="BC57" s="4920" t="s">
        <v>212</v>
      </c>
      <c r="BD57" s="4920"/>
      <c r="BE57" s="4920"/>
      <c r="BF57" s="4920"/>
      <c r="BG57" s="4920"/>
      <c r="BH57" s="1429"/>
      <c r="BI57" s="1429"/>
      <c r="BJ57" s="1429"/>
      <c r="BK57" s="1429"/>
      <c r="BL57" s="1429"/>
      <c r="BM57" s="1432"/>
      <c r="BN57" s="1432"/>
      <c r="BO57" s="1432"/>
      <c r="BP57" s="1432"/>
      <c r="BQ57" s="1432"/>
      <c r="BR57" s="1432"/>
      <c r="BS57" s="1432"/>
      <c r="BT57" s="1432"/>
      <c r="BU57" s="1432"/>
      <c r="BV57" s="1432"/>
      <c r="BW57" s="1432"/>
      <c r="BX57" s="1432"/>
      <c r="BY57" s="1432"/>
      <c r="BZ57" s="1432"/>
      <c r="CA57" s="1432"/>
      <c r="CF57" s="1429"/>
      <c r="CG57" s="1429"/>
      <c r="CH57" s="1429"/>
      <c r="CI57" s="1429"/>
    </row>
    <row r="58" spans="2:117" ht="15">
      <c r="B58" s="1456" t="s">
        <v>152</v>
      </c>
      <c r="C58" s="1430"/>
      <c r="D58" s="1457">
        <f t="shared" ref="D58:K58" si="19">((D39/C39)-1)*100</f>
        <v>13.263766238270659</v>
      </c>
      <c r="E58" s="1457">
        <f t="shared" si="19"/>
        <v>13.118585905581748</v>
      </c>
      <c r="F58" s="1457">
        <f t="shared" si="19"/>
        <v>19.977844286757886</v>
      </c>
      <c r="G58" s="1457">
        <f t="shared" si="19"/>
        <v>21.331014119336</v>
      </c>
      <c r="H58" s="1457">
        <f t="shared" si="19"/>
        <v>23.060083244512587</v>
      </c>
      <c r="I58" s="1457" t="e">
        <f t="shared" si="19"/>
        <v>#REF!</v>
      </c>
      <c r="J58" s="1457" t="e">
        <f t="shared" si="19"/>
        <v>#REF!</v>
      </c>
      <c r="K58" s="1457" t="e">
        <f t="shared" si="19"/>
        <v>#REF!</v>
      </c>
      <c r="L58" s="1457" t="e">
        <f t="shared" ref="L58:W58" si="20">((L39/K39)-1)*100</f>
        <v>#REF!</v>
      </c>
      <c r="M58" s="1457" t="e">
        <f t="shared" si="20"/>
        <v>#REF!</v>
      </c>
      <c r="N58" s="1457">
        <f t="shared" si="20"/>
        <v>1.1958859777175146</v>
      </c>
      <c r="O58" s="1457">
        <f t="shared" si="20"/>
        <v>-2.7266011492016129</v>
      </c>
      <c r="P58" s="1457" t="e">
        <f t="shared" si="20"/>
        <v>#REF!</v>
      </c>
      <c r="Q58" s="1457" t="e">
        <f t="shared" si="20"/>
        <v>#REF!</v>
      </c>
      <c r="R58" s="1457" t="e">
        <f t="shared" si="20"/>
        <v>#REF!</v>
      </c>
      <c r="S58" s="1457" t="e">
        <f t="shared" si="20"/>
        <v>#REF!</v>
      </c>
      <c r="T58" s="1457" t="e">
        <f t="shared" si="20"/>
        <v>#REF!</v>
      </c>
      <c r="U58" s="1457" t="e">
        <f t="shared" si="20"/>
        <v>#REF!</v>
      </c>
      <c r="V58" s="1457" t="e">
        <f t="shared" si="20"/>
        <v>#REF!</v>
      </c>
      <c r="W58" s="1457" t="e">
        <f t="shared" si="20"/>
        <v>#REF!</v>
      </c>
      <c r="X58" s="1457" t="e">
        <f>((X39/L39)-1)*100</f>
        <v>#REF!</v>
      </c>
      <c r="Y58" s="1433"/>
      <c r="Z58" s="1433"/>
      <c r="AA58" s="1433" t="e">
        <f>((AA39/X39)-1)*100</f>
        <v>#REF!</v>
      </c>
      <c r="AB58" s="1433" t="e">
        <f>((AB39/X39)-1)*100</f>
        <v>#REF!</v>
      </c>
      <c r="AC58" s="1433" t="e">
        <f>((AC39/X39)-1)*100</f>
        <v>#REF!</v>
      </c>
      <c r="AD58" s="1433" t="e">
        <f>((AD39/X39)-1)*100</f>
        <v>#REF!</v>
      </c>
      <c r="AE58" s="1433" t="e">
        <f>((AE39/X39)-1)*100</f>
        <v>#REF!</v>
      </c>
      <c r="AF58" s="1433" t="e">
        <f>((AF39/X39)-1)*100</f>
        <v>#REF!</v>
      </c>
      <c r="AG58" s="1433" t="e">
        <f>((AG39/X39)-1)*100</f>
        <v>#REF!</v>
      </c>
      <c r="AH58" s="1433" t="e">
        <f>((AH39/X39)-1)*100</f>
        <v>#REF!</v>
      </c>
      <c r="AI58" s="1433" t="e">
        <f>((AI39/X39)-1)*100</f>
        <v>#REF!</v>
      </c>
      <c r="AJ58" s="1433" t="e">
        <f>((AJ39/X39)-1)*100</f>
        <v>#REF!</v>
      </c>
      <c r="AK58" s="1458" t="e">
        <f t="shared" ref="AK58:AP58" si="21">((AK39/$AJ$39)-1)*100</f>
        <v>#REF!</v>
      </c>
      <c r="AL58" s="1459" t="e">
        <f t="shared" si="21"/>
        <v>#REF!</v>
      </c>
      <c r="AM58" s="1459" t="e">
        <f t="shared" si="21"/>
        <v>#REF!</v>
      </c>
      <c r="AN58" s="1459" t="e">
        <f t="shared" si="21"/>
        <v>#REF!</v>
      </c>
      <c r="AO58" s="1459" t="e">
        <f t="shared" si="21"/>
        <v>#REF!</v>
      </c>
      <c r="AP58" s="1459" t="e">
        <f t="shared" si="21"/>
        <v>#REF!</v>
      </c>
      <c r="AQ58" s="1459" t="e">
        <f t="shared" ref="AQ58:BB58" si="22">((AQ39/$AJ$39)-1)*100</f>
        <v>#REF!</v>
      </c>
      <c r="AR58" s="1459" t="e">
        <f t="shared" si="22"/>
        <v>#REF!</v>
      </c>
      <c r="AS58" s="1459" t="e">
        <f t="shared" si="22"/>
        <v>#REF!</v>
      </c>
      <c r="AT58" s="1459" t="e">
        <f t="shared" si="22"/>
        <v>#REF!</v>
      </c>
      <c r="AU58" s="1459" t="e">
        <f t="shared" si="22"/>
        <v>#REF!</v>
      </c>
      <c r="AV58" s="1459" t="e">
        <f t="shared" si="22"/>
        <v>#REF!</v>
      </c>
      <c r="AW58" s="1459" t="e">
        <f t="shared" si="22"/>
        <v>#REF!</v>
      </c>
      <c r="AX58" s="1459" t="e">
        <f t="shared" si="22"/>
        <v>#REF!</v>
      </c>
      <c r="AY58" s="1459" t="e">
        <f t="shared" si="22"/>
        <v>#REF!</v>
      </c>
      <c r="AZ58" s="1459" t="e">
        <f t="shared" si="22"/>
        <v>#REF!</v>
      </c>
      <c r="BA58" s="1459" t="e">
        <f t="shared" si="22"/>
        <v>#REF!</v>
      </c>
      <c r="BB58" s="1459" t="e">
        <f t="shared" si="22"/>
        <v>#REF!</v>
      </c>
      <c r="BC58" s="1459" t="e">
        <f t="shared" ref="BC58:BH58" si="23">((BC39/AQ39)-1)*100</f>
        <v>#REF!</v>
      </c>
      <c r="BD58" s="1459" t="e">
        <f t="shared" si="23"/>
        <v>#REF!</v>
      </c>
      <c r="BE58" s="1459" t="e">
        <f t="shared" si="23"/>
        <v>#REF!</v>
      </c>
      <c r="BF58" s="1459" t="e">
        <f t="shared" si="23"/>
        <v>#REF!</v>
      </c>
      <c r="BG58" s="1459" t="e">
        <f t="shared" si="23"/>
        <v>#REF!</v>
      </c>
      <c r="BH58" s="1459" t="e">
        <f t="shared" si="23"/>
        <v>#REF!</v>
      </c>
      <c r="BI58" s="1459" t="e">
        <f t="shared" ref="BI58:BS58" si="24">((BI39/AW39)-1)*100</f>
        <v>#REF!</v>
      </c>
      <c r="BJ58" s="1459" t="e">
        <f t="shared" si="24"/>
        <v>#REF!</v>
      </c>
      <c r="BK58" s="1459" t="e">
        <f t="shared" si="24"/>
        <v>#REF!</v>
      </c>
      <c r="BL58" s="1459" t="e">
        <f t="shared" si="24"/>
        <v>#REF!</v>
      </c>
      <c r="BM58" s="1459" t="e">
        <f t="shared" si="24"/>
        <v>#REF!</v>
      </c>
      <c r="BN58" s="1459" t="e">
        <f t="shared" si="24"/>
        <v>#REF!</v>
      </c>
      <c r="BO58" s="1459" t="e">
        <f t="shared" si="24"/>
        <v>#REF!</v>
      </c>
      <c r="BP58" s="1459" t="e">
        <f t="shared" si="24"/>
        <v>#REF!</v>
      </c>
      <c r="BQ58" s="1459" t="e">
        <f t="shared" si="24"/>
        <v>#REF!</v>
      </c>
      <c r="BR58" s="1459" t="e">
        <f t="shared" si="24"/>
        <v>#REF!</v>
      </c>
      <c r="BS58" s="1459" t="e">
        <f t="shared" si="24"/>
        <v>#REF!</v>
      </c>
      <c r="BT58" s="1459"/>
      <c r="BU58" s="1460"/>
      <c r="BV58" s="1460"/>
      <c r="BW58" s="1460"/>
      <c r="BX58" s="1460"/>
      <c r="BY58" s="1460"/>
      <c r="BZ58" s="1460"/>
      <c r="CA58" s="1460"/>
    </row>
    <row r="59" spans="2:117" ht="15">
      <c r="B59" s="1462" t="s">
        <v>141</v>
      </c>
      <c r="C59" s="1463"/>
      <c r="D59" s="1464">
        <f t="shared" ref="D59:K59" si="25">((D9/C9)-1)*100</f>
        <v>56.935221150231797</v>
      </c>
      <c r="E59" s="1464">
        <f t="shared" si="25"/>
        <v>-43.353293413173652</v>
      </c>
      <c r="F59" s="1464">
        <f t="shared" si="25"/>
        <v>112.17758985200845</v>
      </c>
      <c r="G59" s="1464">
        <f t="shared" si="25"/>
        <v>536.80085027235293</v>
      </c>
      <c r="H59" s="1464">
        <f t="shared" si="25"/>
        <v>58.324292748059769</v>
      </c>
      <c r="I59" s="1464">
        <f t="shared" si="25"/>
        <v>65.985399536158539</v>
      </c>
      <c r="J59" s="1464">
        <f t="shared" si="25"/>
        <v>23.312004318728508</v>
      </c>
      <c r="K59" s="1464">
        <f t="shared" si="25"/>
        <v>14.336482593230437</v>
      </c>
      <c r="L59" s="1464">
        <f t="shared" ref="L59:W59" si="26">((L9/K9)-1)*100</f>
        <v>3.152098020225691</v>
      </c>
      <c r="M59" s="1464">
        <f t="shared" si="26"/>
        <v>-0.3447165300173638</v>
      </c>
      <c r="N59" s="1464">
        <f t="shared" si="26"/>
        <v>1.9691886340294396</v>
      </c>
      <c r="O59" s="1464">
        <f t="shared" si="26"/>
        <v>-20.407987859742427</v>
      </c>
      <c r="P59" s="1464">
        <f t="shared" si="26"/>
        <v>17.724654358441349</v>
      </c>
      <c r="Q59" s="1464">
        <f t="shared" si="26"/>
        <v>-5.8728934778433439</v>
      </c>
      <c r="R59" s="1464">
        <f t="shared" si="26"/>
        <v>38.745740310443445</v>
      </c>
      <c r="S59" s="1464">
        <f t="shared" si="26"/>
        <v>-13.579515274430543</v>
      </c>
      <c r="T59" s="1464">
        <f t="shared" si="26"/>
        <v>-13.721585858329311</v>
      </c>
      <c r="U59" s="1464">
        <f t="shared" si="26"/>
        <v>4.3534959847396637</v>
      </c>
      <c r="V59" s="1464">
        <f t="shared" si="26"/>
        <v>18.839017977787996</v>
      </c>
      <c r="W59" s="1464">
        <f t="shared" si="26"/>
        <v>-13.531271660384181</v>
      </c>
      <c r="X59" s="1464">
        <f>((X9/L9)-1)*100</f>
        <v>-9.1086498466106942</v>
      </c>
      <c r="Y59" s="1459"/>
      <c r="Z59" s="1459"/>
      <c r="AA59" s="1459">
        <f>((AA9/X9)-1)*100</f>
        <v>8.921520051649324</v>
      </c>
      <c r="AB59" s="1459">
        <f>((AB9/X9)-1)*100</f>
        <v>-8.6912000960917659</v>
      </c>
      <c r="AC59" s="1459">
        <f>((AC9/X9)-1)*100</f>
        <v>3.7776076152725713</v>
      </c>
      <c r="AD59" s="1459">
        <f>((AD9/X9)-1)*100</f>
        <v>6.7516478236716138</v>
      </c>
      <c r="AE59" s="1459">
        <f>((AE9/X9)-1)*100</f>
        <v>25.170938246024942</v>
      </c>
      <c r="AF59" s="1459">
        <f>((AF9/X9)-1)*100</f>
        <v>25.654399951954133</v>
      </c>
      <c r="AG59" s="1459">
        <f>((AG9/X9)-1)*100</f>
        <v>26.126450760476239</v>
      </c>
      <c r="AH59" s="1459">
        <f>((AH9/X9)-1)*100</f>
        <v>61.308649760521284</v>
      </c>
      <c r="AI59" s="1459">
        <f>((AI9/X9)-1)*100</f>
        <v>19.374502650030777</v>
      </c>
      <c r="AJ59" s="1459">
        <f>((AJ9/X9)-1)*100</f>
        <v>31.010014563908527</v>
      </c>
      <c r="AK59" s="1458">
        <f t="shared" ref="AK59:AP59" si="27">((AK9/$AJ$9)-1)*100</f>
        <v>-24.299136111193885</v>
      </c>
      <c r="AL59" s="1459">
        <f t="shared" si="27"/>
        <v>-31.760348214347101</v>
      </c>
      <c r="AM59" s="1459">
        <f t="shared" si="27"/>
        <v>-33.849359246177372</v>
      </c>
      <c r="AN59" s="1459">
        <f t="shared" si="27"/>
        <v>7.1506338775519707</v>
      </c>
      <c r="AO59" s="1459">
        <f t="shared" si="27"/>
        <v>39.940589021346227</v>
      </c>
      <c r="AP59" s="1459">
        <f t="shared" si="27"/>
        <v>24.506111858587197</v>
      </c>
      <c r="AQ59" s="1459">
        <f t="shared" ref="AQ59:BB59" si="28">((AQ9/$AJ$9)-1)*100</f>
        <v>26.721875479906366</v>
      </c>
      <c r="AR59" s="1459">
        <f t="shared" si="28"/>
        <v>19.162561915087228</v>
      </c>
      <c r="AS59" s="1459">
        <f t="shared" si="28"/>
        <v>27.347845320583207</v>
      </c>
      <c r="AT59" s="1459">
        <f t="shared" si="28"/>
        <v>-4.8220994171214615</v>
      </c>
      <c r="AU59" s="1459">
        <f t="shared" si="28"/>
        <v>5.0111968607532198</v>
      </c>
      <c r="AV59" s="1459">
        <f t="shared" si="28"/>
        <v>-17.983052284870148</v>
      </c>
      <c r="AW59" s="1459">
        <f t="shared" si="28"/>
        <v>-31.377092748055734</v>
      </c>
      <c r="AX59" s="1459">
        <f t="shared" si="28"/>
        <v>-35.839474841559259</v>
      </c>
      <c r="AY59" s="1459">
        <f t="shared" si="28"/>
        <v>-42.333951035680975</v>
      </c>
      <c r="AZ59" s="1459">
        <f t="shared" si="28"/>
        <v>-29.566100737823842</v>
      </c>
      <c r="BA59" s="1459">
        <f t="shared" si="28"/>
        <v>24.583931166926053</v>
      </c>
      <c r="BB59" s="1459">
        <f t="shared" si="28"/>
        <v>8.5842069381571129</v>
      </c>
      <c r="BC59" s="1459">
        <f t="shared" ref="BC59:BH59" si="29">((BC9/AQ9)-1)*100</f>
        <v>-4.3162903886294179</v>
      </c>
      <c r="BD59" s="1459">
        <f t="shared" si="29"/>
        <v>-12.551565958113898</v>
      </c>
      <c r="BE59" s="1459">
        <f t="shared" si="29"/>
        <v>-27.846102931981275</v>
      </c>
      <c r="BF59" s="1459">
        <f t="shared" si="29"/>
        <v>38.053053842912021</v>
      </c>
      <c r="BG59" s="1459">
        <f t="shared" si="29"/>
        <v>-14.973969636098538</v>
      </c>
      <c r="BH59" s="1459">
        <f t="shared" si="29"/>
        <v>-12.591597831627654</v>
      </c>
      <c r="BI59" s="1459">
        <f t="shared" ref="BI59:BS59" si="30">((BI9/AW9)-1)*100</f>
        <v>-12.917403034775376</v>
      </c>
      <c r="BJ59" s="1459">
        <f t="shared" si="30"/>
        <v>-28.325135824709303</v>
      </c>
      <c r="BK59" s="1459">
        <f t="shared" si="30"/>
        <v>-28.344020877000219</v>
      </c>
      <c r="BL59" s="1459">
        <f t="shared" si="30"/>
        <v>-27.592543626214137</v>
      </c>
      <c r="BM59" s="1459">
        <f t="shared" si="30"/>
        <v>-39.136901475596744</v>
      </c>
      <c r="BN59" s="1459">
        <f t="shared" si="30"/>
        <v>-20.451493733464755</v>
      </c>
      <c r="BO59" s="1459">
        <f t="shared" si="30"/>
        <v>-38.542943364479513</v>
      </c>
      <c r="BP59" s="1459">
        <f t="shared" si="30"/>
        <v>-34.597190439920709</v>
      </c>
      <c r="BQ59" s="1459">
        <f t="shared" si="30"/>
        <v>-41.274289571688882</v>
      </c>
      <c r="BR59" s="1459">
        <f t="shared" si="30"/>
        <v>-80.632610614567795</v>
      </c>
      <c r="BS59" s="1459">
        <f t="shared" si="30"/>
        <v>-74.049237415804541</v>
      </c>
      <c r="BT59" s="1459"/>
      <c r="BU59" s="1460"/>
      <c r="BV59" s="1460"/>
      <c r="BW59" s="1460"/>
      <c r="BX59" s="1460"/>
      <c r="BY59" s="1460"/>
      <c r="BZ59" s="1460"/>
      <c r="CA59" s="1460"/>
    </row>
    <row r="60" spans="2:117" ht="15">
      <c r="B60" s="1462" t="s">
        <v>978</v>
      </c>
      <c r="C60" s="1463"/>
      <c r="D60" s="1464">
        <f t="shared" ref="D60:K60" si="31">((D24/C24)-1)*100</f>
        <v>12.052259118127374</v>
      </c>
      <c r="E60" s="1464">
        <f t="shared" si="31"/>
        <v>15.293431791682854</v>
      </c>
      <c r="F60" s="1464">
        <f t="shared" si="31"/>
        <v>18.641496713298512</v>
      </c>
      <c r="G60" s="1464">
        <f t="shared" si="31"/>
        <v>6.0281332801780607</v>
      </c>
      <c r="H60" s="1464">
        <f t="shared" si="31"/>
        <v>21.066432679089985</v>
      </c>
      <c r="I60" s="1464" t="e">
        <f t="shared" si="31"/>
        <v>#REF!</v>
      </c>
      <c r="J60" s="1464" t="e">
        <f t="shared" si="31"/>
        <v>#REF!</v>
      </c>
      <c r="K60" s="1464" t="e">
        <f t="shared" si="31"/>
        <v>#REF!</v>
      </c>
      <c r="L60" s="1464" t="e">
        <f t="shared" ref="L60:W60" si="32">((L24/K24)-1)*100</f>
        <v>#REF!</v>
      </c>
      <c r="M60" s="1464" t="e">
        <f t="shared" si="32"/>
        <v>#REF!</v>
      </c>
      <c r="N60" s="1464">
        <f t="shared" si="32"/>
        <v>0.94673890847793984</v>
      </c>
      <c r="O60" s="1464">
        <f t="shared" si="32"/>
        <v>2.806239299789115</v>
      </c>
      <c r="P60" s="1464" t="e">
        <f t="shared" si="32"/>
        <v>#REF!</v>
      </c>
      <c r="Q60" s="1464" t="e">
        <f t="shared" si="32"/>
        <v>#REF!</v>
      </c>
      <c r="R60" s="1464" t="e">
        <f t="shared" si="32"/>
        <v>#REF!</v>
      </c>
      <c r="S60" s="1464" t="e">
        <f t="shared" si="32"/>
        <v>#REF!</v>
      </c>
      <c r="T60" s="1464" t="e">
        <f t="shared" si="32"/>
        <v>#REF!</v>
      </c>
      <c r="U60" s="1464" t="e">
        <f t="shared" si="32"/>
        <v>#REF!</v>
      </c>
      <c r="V60" s="1464" t="e">
        <f t="shared" si="32"/>
        <v>#REF!</v>
      </c>
      <c r="W60" s="1464" t="e">
        <f t="shared" si="32"/>
        <v>#REF!</v>
      </c>
      <c r="X60" s="1464" t="e">
        <f>((X24/L24)-1)*100</f>
        <v>#REF!</v>
      </c>
      <c r="Y60" s="1459"/>
      <c r="Z60" s="1459"/>
      <c r="AA60" s="1459" t="e">
        <f>((AA24/X24)-1)*100</f>
        <v>#REF!</v>
      </c>
      <c r="AB60" s="1459" t="e">
        <f>((AB24/X24)-1)*100</f>
        <v>#REF!</v>
      </c>
      <c r="AC60" s="1459" t="e">
        <f>((AC24/X24)-1)*100</f>
        <v>#REF!</v>
      </c>
      <c r="AD60" s="1459" t="e">
        <f>((AD24/X24)-1)*100</f>
        <v>#REF!</v>
      </c>
      <c r="AE60" s="1459" t="e">
        <f>((AE24/X24)-1)*100</f>
        <v>#REF!</v>
      </c>
      <c r="AF60" s="1459" t="e">
        <f>((AF24/X24)-1)*100</f>
        <v>#REF!</v>
      </c>
      <c r="AG60" s="1459" t="e">
        <f>((AG24/X24)-1)*100</f>
        <v>#REF!</v>
      </c>
      <c r="AH60" s="1459" t="e">
        <f>((AH24/X24)-1)*100</f>
        <v>#REF!</v>
      </c>
      <c r="AI60" s="1459" t="e">
        <f>((AI24/X24)-1)*100</f>
        <v>#REF!</v>
      </c>
      <c r="AJ60" s="1459" t="e">
        <f>((AJ24/X24)-1)*100</f>
        <v>#REF!</v>
      </c>
      <c r="AK60" s="1458" t="e">
        <f t="shared" ref="AK60:AP60" si="33">((AK24/$AJ$24)-1)*100</f>
        <v>#REF!</v>
      </c>
      <c r="AL60" s="1465" t="e">
        <f t="shared" si="33"/>
        <v>#REF!</v>
      </c>
      <c r="AM60" s="1459" t="e">
        <f t="shared" si="33"/>
        <v>#REF!</v>
      </c>
      <c r="AN60" s="1459" t="e">
        <f t="shared" si="33"/>
        <v>#REF!</v>
      </c>
      <c r="AO60" s="1459" t="e">
        <f t="shared" si="33"/>
        <v>#REF!</v>
      </c>
      <c r="AP60" s="1459" t="e">
        <f t="shared" si="33"/>
        <v>#REF!</v>
      </c>
      <c r="AQ60" s="1459" t="e">
        <f t="shared" ref="AQ60:BB60" si="34">((AQ24/$AJ$24)-1)*100</f>
        <v>#REF!</v>
      </c>
      <c r="AR60" s="1459" t="e">
        <f t="shared" si="34"/>
        <v>#REF!</v>
      </c>
      <c r="AS60" s="1459" t="e">
        <f t="shared" si="34"/>
        <v>#REF!</v>
      </c>
      <c r="AT60" s="1459" t="e">
        <f t="shared" si="34"/>
        <v>#REF!</v>
      </c>
      <c r="AU60" s="1459" t="e">
        <f t="shared" si="34"/>
        <v>#REF!</v>
      </c>
      <c r="AV60" s="1459" t="e">
        <f t="shared" si="34"/>
        <v>#REF!</v>
      </c>
      <c r="AW60" s="1459" t="e">
        <f t="shared" si="34"/>
        <v>#REF!</v>
      </c>
      <c r="AX60" s="1459" t="e">
        <f t="shared" si="34"/>
        <v>#REF!</v>
      </c>
      <c r="AY60" s="1459" t="e">
        <f t="shared" si="34"/>
        <v>#REF!</v>
      </c>
      <c r="AZ60" s="1459" t="e">
        <f t="shared" si="34"/>
        <v>#REF!</v>
      </c>
      <c r="BA60" s="1459" t="e">
        <f t="shared" si="34"/>
        <v>#REF!</v>
      </c>
      <c r="BB60" s="1459" t="e">
        <f t="shared" si="34"/>
        <v>#REF!</v>
      </c>
      <c r="BC60" s="1459" t="e">
        <f t="shared" ref="BC60:BH60" si="35">((BC24/AQ24)-1)*100</f>
        <v>#REF!</v>
      </c>
      <c r="BD60" s="1459" t="e">
        <f t="shared" si="35"/>
        <v>#REF!</v>
      </c>
      <c r="BE60" s="1459" t="e">
        <f t="shared" si="35"/>
        <v>#REF!</v>
      </c>
      <c r="BF60" s="1459" t="e">
        <f t="shared" si="35"/>
        <v>#REF!</v>
      </c>
      <c r="BG60" s="1459" t="e">
        <f t="shared" si="35"/>
        <v>#REF!</v>
      </c>
      <c r="BH60" s="1459" t="e">
        <f t="shared" si="35"/>
        <v>#REF!</v>
      </c>
      <c r="BI60" s="1459" t="e">
        <f t="shared" ref="BI60:BS60" si="36">((BI24/AW24)-1)*100</f>
        <v>#REF!</v>
      </c>
      <c r="BJ60" s="1459" t="e">
        <f t="shared" si="36"/>
        <v>#REF!</v>
      </c>
      <c r="BK60" s="1459" t="e">
        <f t="shared" si="36"/>
        <v>#REF!</v>
      </c>
      <c r="BL60" s="1459" t="e">
        <f t="shared" si="36"/>
        <v>#REF!</v>
      </c>
      <c r="BM60" s="1459" t="e">
        <f t="shared" si="36"/>
        <v>#REF!</v>
      </c>
      <c r="BN60" s="1459" t="e">
        <f t="shared" si="36"/>
        <v>#REF!</v>
      </c>
      <c r="BO60" s="1459" t="e">
        <f t="shared" si="36"/>
        <v>#REF!</v>
      </c>
      <c r="BP60" s="1459" t="e">
        <f t="shared" si="36"/>
        <v>#REF!</v>
      </c>
      <c r="BQ60" s="1459" t="e">
        <f t="shared" si="36"/>
        <v>#REF!</v>
      </c>
      <c r="BR60" s="1459" t="e">
        <f t="shared" si="36"/>
        <v>#REF!</v>
      </c>
      <c r="BS60" s="1459" t="e">
        <f t="shared" si="36"/>
        <v>#REF!</v>
      </c>
      <c r="BT60" s="1459"/>
      <c r="BU60" s="1460"/>
      <c r="BV60" s="1460"/>
      <c r="BW60" s="1460"/>
      <c r="BX60" s="1460"/>
      <c r="BY60" s="1460"/>
      <c r="BZ60" s="1460"/>
      <c r="CA60" s="1460"/>
    </row>
    <row r="61" spans="2:117" ht="15">
      <c r="B61" s="1466" t="s">
        <v>976</v>
      </c>
      <c r="C61" s="1467"/>
      <c r="D61" s="1467"/>
      <c r="E61" s="1467"/>
      <c r="F61" s="1467"/>
      <c r="G61" s="1467"/>
      <c r="H61" s="1467"/>
      <c r="I61" s="1467"/>
      <c r="J61" s="1467"/>
      <c r="K61" s="1467"/>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9">
        <f>AVERAGE(J59:AJ59)</f>
        <v>9.810823720707452</v>
      </c>
      <c r="AK61" s="1470"/>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8"/>
      <c r="BM61" s="1471"/>
      <c r="BN61" s="1471"/>
      <c r="BO61" s="1471"/>
      <c r="BP61" s="1471"/>
      <c r="BQ61" s="1471"/>
      <c r="BR61" s="1471"/>
      <c r="BS61" s="1471"/>
      <c r="BT61" s="1471"/>
      <c r="BU61" s="1471"/>
      <c r="BV61" s="1471"/>
      <c r="BW61" s="1471"/>
      <c r="BX61" s="1471"/>
      <c r="BY61" s="1471"/>
      <c r="BZ61" s="1471"/>
      <c r="CA61" s="1471"/>
      <c r="CB61" s="1468"/>
      <c r="CC61" s="1468"/>
      <c r="CD61" s="1468"/>
      <c r="CE61" s="1468"/>
      <c r="CF61" s="1468"/>
      <c r="CG61" s="1468"/>
      <c r="CH61" s="1468"/>
      <c r="CI61" s="1468"/>
    </row>
    <row r="62" spans="2:117">
      <c r="B62" s="1472" t="s">
        <v>152</v>
      </c>
      <c r="C62" s="1468"/>
      <c r="D62" s="1468"/>
      <c r="E62" s="1468"/>
      <c r="F62" s="1468"/>
      <c r="G62" s="1468"/>
      <c r="H62" s="1468"/>
      <c r="I62" s="1468"/>
      <c r="J62" s="1468"/>
      <c r="K62" s="1468"/>
      <c r="L62" s="1468"/>
      <c r="M62" s="1468"/>
      <c r="N62" s="1468"/>
      <c r="O62" s="1468">
        <v>9080.2999999999993</v>
      </c>
      <c r="P62" s="1468">
        <v>9080.2999999999993</v>
      </c>
      <c r="Q62" s="1468">
        <v>9080.2999999999993</v>
      </c>
      <c r="R62" s="1468">
        <v>9080.2999999999993</v>
      </c>
      <c r="S62" s="1468">
        <v>9080.2999999999993</v>
      </c>
      <c r="T62" s="1473" t="e">
        <f>((T39/L39)-1)*100</f>
        <v>#REF!</v>
      </c>
      <c r="U62" s="1468"/>
      <c r="V62" s="1468"/>
      <c r="W62" s="1468"/>
      <c r="X62" s="1468"/>
      <c r="Y62" s="1474" t="e">
        <f t="shared" ref="Y62:AD62" si="37">((Y39/X39)-1)*100</f>
        <v>#REF!</v>
      </c>
      <c r="Z62" s="1474" t="e">
        <f t="shared" si="37"/>
        <v>#REF!</v>
      </c>
      <c r="AA62" s="1474" t="e">
        <f t="shared" si="37"/>
        <v>#REF!</v>
      </c>
      <c r="AB62" s="1474" t="e">
        <f t="shared" si="37"/>
        <v>#REF!</v>
      </c>
      <c r="AC62" s="1474" t="e">
        <f t="shared" si="37"/>
        <v>#REF!</v>
      </c>
      <c r="AD62" s="1474" t="e">
        <f t="shared" si="37"/>
        <v>#REF!</v>
      </c>
      <c r="AE62" s="1474" t="e">
        <f t="shared" ref="AE62:AJ62" si="38">((AE39/AD39)-1)*100</f>
        <v>#REF!</v>
      </c>
      <c r="AF62" s="1474" t="e">
        <f t="shared" si="38"/>
        <v>#REF!</v>
      </c>
      <c r="AG62" s="1474" t="e">
        <f t="shared" si="38"/>
        <v>#REF!</v>
      </c>
      <c r="AH62" s="1474" t="e">
        <f t="shared" si="38"/>
        <v>#REF!</v>
      </c>
      <c r="AI62" s="1474" t="e">
        <f t="shared" si="38"/>
        <v>#REF!</v>
      </c>
      <c r="AJ62" s="1474" t="e">
        <f t="shared" si="38"/>
        <v>#REF!</v>
      </c>
      <c r="AK62" s="1475" t="e">
        <f t="shared" ref="AK62:AP62" si="39">((AK39/AJ39)-1)*100</f>
        <v>#REF!</v>
      </c>
      <c r="AL62" s="1474" t="e">
        <f t="shared" si="39"/>
        <v>#REF!</v>
      </c>
      <c r="AM62" s="1474" t="e">
        <f t="shared" si="39"/>
        <v>#REF!</v>
      </c>
      <c r="AN62" s="1474" t="e">
        <f t="shared" si="39"/>
        <v>#REF!</v>
      </c>
      <c r="AO62" s="1474" t="e">
        <f t="shared" si="39"/>
        <v>#REF!</v>
      </c>
      <c r="AP62" s="1474" t="e">
        <f t="shared" si="39"/>
        <v>#REF!</v>
      </c>
      <c r="AQ62" s="1474" t="e">
        <f t="shared" ref="AQ62:BH62" si="40">((AQ39/AP39)-1)*100</f>
        <v>#REF!</v>
      </c>
      <c r="AR62" s="1474" t="e">
        <f t="shared" si="40"/>
        <v>#REF!</v>
      </c>
      <c r="AS62" s="1474" t="e">
        <f t="shared" si="40"/>
        <v>#REF!</v>
      </c>
      <c r="AT62" s="1474" t="e">
        <f t="shared" si="40"/>
        <v>#REF!</v>
      </c>
      <c r="AU62" s="1474" t="e">
        <f t="shared" si="40"/>
        <v>#REF!</v>
      </c>
      <c r="AV62" s="1474" t="e">
        <f t="shared" si="40"/>
        <v>#REF!</v>
      </c>
      <c r="AW62" s="1474" t="e">
        <f t="shared" si="40"/>
        <v>#REF!</v>
      </c>
      <c r="AX62" s="1474" t="e">
        <f t="shared" si="40"/>
        <v>#REF!</v>
      </c>
      <c r="AY62" s="1474" t="e">
        <f t="shared" si="40"/>
        <v>#REF!</v>
      </c>
      <c r="AZ62" s="1474" t="e">
        <f t="shared" si="40"/>
        <v>#REF!</v>
      </c>
      <c r="BA62" s="1474" t="e">
        <f t="shared" si="40"/>
        <v>#REF!</v>
      </c>
      <c r="BB62" s="1474" t="e">
        <f t="shared" si="40"/>
        <v>#REF!</v>
      </c>
      <c r="BC62" s="1474" t="e">
        <f t="shared" si="40"/>
        <v>#REF!</v>
      </c>
      <c r="BD62" s="1474" t="e">
        <f t="shared" si="40"/>
        <v>#REF!</v>
      </c>
      <c r="BE62" s="1474" t="e">
        <f t="shared" si="40"/>
        <v>#REF!</v>
      </c>
      <c r="BF62" s="1474" t="e">
        <f t="shared" si="40"/>
        <v>#REF!</v>
      </c>
      <c r="BG62" s="1474" t="e">
        <f t="shared" si="40"/>
        <v>#REF!</v>
      </c>
      <c r="BH62" s="1474" t="e">
        <f t="shared" si="40"/>
        <v>#REF!</v>
      </c>
      <c r="BI62" s="1474"/>
      <c r="BJ62" s="1474"/>
      <c r="BK62" s="1474"/>
      <c r="BL62" s="1474"/>
      <c r="BM62" s="1476"/>
      <c r="BN62" s="1476"/>
      <c r="BO62" s="1476"/>
      <c r="BP62" s="1476"/>
      <c r="BQ62" s="1476"/>
      <c r="BR62" s="1476"/>
      <c r="BS62" s="1476"/>
      <c r="BT62" s="1476"/>
      <c r="BU62" s="1476"/>
      <c r="BV62" s="1476"/>
      <c r="BW62" s="1476"/>
      <c r="BX62" s="1476"/>
      <c r="BY62" s="1476"/>
      <c r="BZ62" s="1476"/>
      <c r="CA62" s="1476"/>
    </row>
    <row r="63" spans="2:117">
      <c r="B63" s="1472" t="s">
        <v>141</v>
      </c>
      <c r="C63" s="1468"/>
      <c r="D63" s="1468"/>
      <c r="E63" s="1468"/>
      <c r="F63" s="1468"/>
      <c r="G63" s="1468"/>
      <c r="H63" s="1468"/>
      <c r="I63" s="1468"/>
      <c r="J63" s="1468"/>
      <c r="K63" s="1468"/>
      <c r="L63" s="1468"/>
      <c r="M63" s="1468"/>
      <c r="N63" s="1468"/>
      <c r="O63" s="1468"/>
      <c r="P63" s="1468"/>
      <c r="Q63" s="1468"/>
      <c r="R63" s="1468"/>
      <c r="S63" s="1468"/>
      <c r="T63" s="1473"/>
      <c r="U63" s="1468"/>
      <c r="V63" s="1468"/>
      <c r="W63" s="1468"/>
      <c r="X63" s="1468"/>
      <c r="Y63" s="1474">
        <f t="shared" ref="Y63:AD63" si="41">((Y9/X9)-1)*100</f>
        <v>0.71408194826059201</v>
      </c>
      <c r="Z63" s="1474">
        <f t="shared" si="41"/>
        <v>0.13148753849960837</v>
      </c>
      <c r="AA63" s="1474">
        <f t="shared" si="41"/>
        <v>8.0072297623230639</v>
      </c>
      <c r="AB63" s="1474">
        <f t="shared" si="41"/>
        <v>-16.17010131642428</v>
      </c>
      <c r="AC63" s="1474">
        <f t="shared" si="41"/>
        <v>13.655647346681032</v>
      </c>
      <c r="AD63" s="1474">
        <f t="shared" si="41"/>
        <v>2.8657822017100987</v>
      </c>
      <c r="AE63" s="1474">
        <f t="shared" ref="AE63:AJ63" si="42">((AE9/AD9)-1)*100</f>
        <v>17.254338268180767</v>
      </c>
      <c r="AF63" s="1474">
        <f t="shared" si="42"/>
        <v>0.38624117762777743</v>
      </c>
      <c r="AG63" s="1474">
        <f t="shared" si="42"/>
        <v>0.37567391886206281</v>
      </c>
      <c r="AH63" s="1474">
        <f t="shared" si="42"/>
        <v>27.89438598161993</v>
      </c>
      <c r="AI63" s="1474">
        <f t="shared" si="42"/>
        <v>-25.996217296931022</v>
      </c>
      <c r="AJ63" s="1474">
        <f t="shared" si="42"/>
        <v>9.7470662960494003</v>
      </c>
      <c r="AK63" s="1475">
        <f t="shared" ref="AK63:AP63" si="43">((AK9/AJ9)-1)*100</f>
        <v>-24.299136111193885</v>
      </c>
      <c r="AL63" s="1474">
        <f t="shared" si="43"/>
        <v>-9.8561782783782803</v>
      </c>
      <c r="AM63" s="1474">
        <f t="shared" si="43"/>
        <v>-3.0612861835697003</v>
      </c>
      <c r="AN63" s="1474">
        <f t="shared" si="43"/>
        <v>61.979736940582967</v>
      </c>
      <c r="AO63" s="1474">
        <f t="shared" si="43"/>
        <v>30.601736972704696</v>
      </c>
      <c r="AP63" s="1474">
        <f t="shared" si="43"/>
        <v>-11.029306987127729</v>
      </c>
      <c r="AQ63" s="1474">
        <f t="shared" ref="AQ63:BH63" si="44">((AQ9/AP9)-1)*100</f>
        <v>1.7796424514772591</v>
      </c>
      <c r="AR63" s="1474">
        <f t="shared" si="44"/>
        <v>-5.9652791092235642</v>
      </c>
      <c r="AS63" s="1474">
        <f t="shared" si="44"/>
        <v>6.8690058974467672</v>
      </c>
      <c r="AT63" s="1474">
        <f t="shared" si="44"/>
        <v>-25.261475493928167</v>
      </c>
      <c r="AU63" s="1474">
        <f t="shared" si="44"/>
        <v>10.331491047453923</v>
      </c>
      <c r="AV63" s="1474">
        <f t="shared" si="44"/>
        <v>-21.896949880605753</v>
      </c>
      <c r="AW63" s="1474">
        <f t="shared" si="44"/>
        <v>-16.330820441778961</v>
      </c>
      <c r="AX63" s="1474">
        <f t="shared" si="44"/>
        <v>-6.5027587320371065</v>
      </c>
      <c r="AY63" s="1474">
        <f t="shared" si="44"/>
        <v>-10.12223041828908</v>
      </c>
      <c r="AZ63" s="1474">
        <f t="shared" si="44"/>
        <v>22.141018029095871</v>
      </c>
      <c r="BA63" s="1474">
        <f t="shared" si="44"/>
        <v>76.880639112690901</v>
      </c>
      <c r="BB63" s="1474">
        <f t="shared" si="44"/>
        <v>-12.84252638274147</v>
      </c>
      <c r="BC63" s="1474">
        <f t="shared" si="44"/>
        <v>11.666507282531446</v>
      </c>
      <c r="BD63" s="1474">
        <f t="shared" si="44"/>
        <v>-14.058630033643372</v>
      </c>
      <c r="BE63" s="1474">
        <f t="shared" si="44"/>
        <v>-11.82214597928154</v>
      </c>
      <c r="BF63" s="1474">
        <f t="shared" si="44"/>
        <v>42.998257433690327</v>
      </c>
      <c r="BG63" s="1474">
        <f t="shared" si="44"/>
        <v>-32.047510382712296</v>
      </c>
      <c r="BH63" s="1474">
        <f t="shared" si="44"/>
        <v>-19.708555295426823</v>
      </c>
      <c r="BI63" s="1474"/>
      <c r="BJ63" s="1474"/>
      <c r="BK63" s="1474"/>
      <c r="BL63" s="1474"/>
      <c r="BM63" s="1476"/>
      <c r="BN63" s="1476"/>
      <c r="BO63" s="1476"/>
      <c r="BP63" s="1476"/>
      <c r="BQ63" s="1476"/>
      <c r="BR63" s="1476"/>
      <c r="BS63" s="1476"/>
      <c r="BT63" s="1476"/>
      <c r="BU63" s="1476"/>
      <c r="BV63" s="1476"/>
      <c r="BW63" s="1476"/>
      <c r="BX63" s="1476"/>
      <c r="BY63" s="1476"/>
      <c r="BZ63" s="1476"/>
      <c r="CA63" s="1476"/>
    </row>
    <row r="64" spans="2:117">
      <c r="B64" s="1472" t="s">
        <v>978</v>
      </c>
      <c r="C64" s="1468">
        <f>((C39*[19]ExRate!M18)/-[19]Final!D12)*12</f>
        <v>10.249296992676168</v>
      </c>
      <c r="D64" s="1468">
        <f>((D39*[19]ExRate!N18)/-[19]Final!E12)*12</f>
        <v>13.811670166769613</v>
      </c>
      <c r="E64" s="1468">
        <f>((E39*[19]ExRate!O18)/-[19]Final!F12)*12</f>
        <v>14.927596984128021</v>
      </c>
      <c r="F64" s="1468">
        <f>((F39*[19]ExRate!P18)/-[19]Final!G12)*12</f>
        <v>16.023841392405728</v>
      </c>
      <c r="G64" s="1468">
        <f>((G39*[19]ExRate!Q18)/-[19]Final!H12)*12</f>
        <v>16.107280704929092</v>
      </c>
      <c r="H64" s="1468">
        <f>((H39*[19]ExRate!R18)/-[19]Final!I12)*12</f>
        <v>21.018587474407305</v>
      </c>
      <c r="I64" s="1468" t="e">
        <f>((I39*[19]ExRate!S18)/-[19]Final!J12)*12</f>
        <v>#REF!</v>
      </c>
      <c r="J64" s="1468" t="e">
        <f>((J39*[19]ExRate!T18)/-[19]Final!K12)*12</f>
        <v>#REF!</v>
      </c>
      <c r="K64" s="1468" t="e">
        <f>((K39*[19]ExRate!U18)/-[19]Final!L12)*12</f>
        <v>#REF!</v>
      </c>
      <c r="L64" s="1468"/>
      <c r="M64" s="1468"/>
      <c r="N64" s="1468"/>
      <c r="O64" s="1474" t="e">
        <f>(O39/(O62/#REF!))*12</f>
        <v>#REF!</v>
      </c>
      <c r="P64" s="1474" t="e">
        <f>(P39/(P62/#REF!))*12</f>
        <v>#REF!</v>
      </c>
      <c r="Q64" s="1474" t="e">
        <f>(Q39/(Q62/#REF!))*12</f>
        <v>#REF!</v>
      </c>
      <c r="R64" s="1474" t="e">
        <f>(R39/(R62/#REF!))*12</f>
        <v>#REF!</v>
      </c>
      <c r="S64" s="1474" t="e">
        <f>(S39/(S62/#REF!))*12</f>
        <v>#REF!</v>
      </c>
      <c r="T64" s="1468"/>
      <c r="U64" s="1468"/>
      <c r="V64" s="1468"/>
      <c r="W64" s="1468"/>
      <c r="X64" s="1468"/>
      <c r="Y64" s="1474" t="e">
        <f t="shared" ref="Y64:AD64" si="45">((Y24/X24)-1)*100</f>
        <v>#REF!</v>
      </c>
      <c r="Z64" s="1474" t="e">
        <f t="shared" si="45"/>
        <v>#REF!</v>
      </c>
      <c r="AA64" s="1474" t="e">
        <f t="shared" si="45"/>
        <v>#REF!</v>
      </c>
      <c r="AB64" s="1474" t="e">
        <f t="shared" si="45"/>
        <v>#REF!</v>
      </c>
      <c r="AC64" s="1474" t="e">
        <f t="shared" si="45"/>
        <v>#REF!</v>
      </c>
      <c r="AD64" s="1474" t="e">
        <f t="shared" si="45"/>
        <v>#REF!</v>
      </c>
      <c r="AE64" s="1474" t="e">
        <f t="shared" ref="AE64:AJ64" si="46">((AE24/AD24)-1)*100</f>
        <v>#REF!</v>
      </c>
      <c r="AF64" s="1474" t="e">
        <f t="shared" si="46"/>
        <v>#REF!</v>
      </c>
      <c r="AG64" s="1474" t="e">
        <f t="shared" si="46"/>
        <v>#REF!</v>
      </c>
      <c r="AH64" s="1474" t="e">
        <f t="shared" si="46"/>
        <v>#REF!</v>
      </c>
      <c r="AI64" s="1474" t="e">
        <f t="shared" si="46"/>
        <v>#REF!</v>
      </c>
      <c r="AJ64" s="1474" t="e">
        <f t="shared" si="46"/>
        <v>#REF!</v>
      </c>
      <c r="AK64" s="1475" t="e">
        <f t="shared" ref="AK64:AP64" si="47">((AK24/AJ24)-1)*100</f>
        <v>#REF!</v>
      </c>
      <c r="AL64" s="1474" t="e">
        <f t="shared" si="47"/>
        <v>#REF!</v>
      </c>
      <c r="AM64" s="1474" t="e">
        <f t="shared" si="47"/>
        <v>#REF!</v>
      </c>
      <c r="AN64" s="1474" t="e">
        <f t="shared" si="47"/>
        <v>#REF!</v>
      </c>
      <c r="AO64" s="1474" t="e">
        <f t="shared" si="47"/>
        <v>#REF!</v>
      </c>
      <c r="AP64" s="1474" t="e">
        <f t="shared" si="47"/>
        <v>#REF!</v>
      </c>
      <c r="AQ64" s="1474" t="e">
        <f t="shared" ref="AQ64:BH64" si="48">((AQ24/AP24)-1)*100</f>
        <v>#REF!</v>
      </c>
      <c r="AR64" s="1474" t="e">
        <f t="shared" si="48"/>
        <v>#REF!</v>
      </c>
      <c r="AS64" s="1474" t="e">
        <f t="shared" si="48"/>
        <v>#REF!</v>
      </c>
      <c r="AT64" s="1474" t="e">
        <f t="shared" si="48"/>
        <v>#REF!</v>
      </c>
      <c r="AU64" s="1474" t="e">
        <f t="shared" si="48"/>
        <v>#REF!</v>
      </c>
      <c r="AV64" s="1474" t="e">
        <f t="shared" si="48"/>
        <v>#REF!</v>
      </c>
      <c r="AW64" s="1474" t="e">
        <f t="shared" si="48"/>
        <v>#REF!</v>
      </c>
      <c r="AX64" s="1474" t="e">
        <f t="shared" si="48"/>
        <v>#REF!</v>
      </c>
      <c r="AY64" s="1474" t="e">
        <f t="shared" si="48"/>
        <v>#REF!</v>
      </c>
      <c r="AZ64" s="1474" t="e">
        <f t="shared" si="48"/>
        <v>#REF!</v>
      </c>
      <c r="BA64" s="1474" t="e">
        <f t="shared" si="48"/>
        <v>#REF!</v>
      </c>
      <c r="BB64" s="1474" t="e">
        <f t="shared" si="48"/>
        <v>#REF!</v>
      </c>
      <c r="BC64" s="1474" t="e">
        <f t="shared" si="48"/>
        <v>#REF!</v>
      </c>
      <c r="BD64" s="1474" t="e">
        <f t="shared" si="48"/>
        <v>#REF!</v>
      </c>
      <c r="BE64" s="1474" t="e">
        <f t="shared" si="48"/>
        <v>#REF!</v>
      </c>
      <c r="BF64" s="1474" t="e">
        <f t="shared" si="48"/>
        <v>#REF!</v>
      </c>
      <c r="BG64" s="1474" t="e">
        <f t="shared" si="48"/>
        <v>#REF!</v>
      </c>
      <c r="BH64" s="1474" t="e">
        <f t="shared" si="48"/>
        <v>#REF!</v>
      </c>
      <c r="BI64" s="1474"/>
      <c r="BJ64" s="1474"/>
      <c r="BK64" s="1474"/>
      <c r="BL64" s="1474"/>
      <c r="BM64" s="1476"/>
      <c r="BN64" s="1476"/>
      <c r="BO64" s="1476"/>
      <c r="BP64" s="1476"/>
      <c r="BQ64" s="1476"/>
      <c r="BR64" s="1476"/>
      <c r="BS64" s="1476"/>
      <c r="BT64" s="1476"/>
      <c r="BU64" s="1476"/>
      <c r="BV64" s="1476"/>
      <c r="BW64" s="1476"/>
      <c r="BX64" s="1476"/>
      <c r="BY64" s="1476"/>
      <c r="BZ64" s="1476"/>
      <c r="CA64" s="1476"/>
    </row>
    <row r="65" spans="2:81">
      <c r="B65" s="1477" t="s">
        <v>438</v>
      </c>
      <c r="C65" s="1478"/>
      <c r="D65" s="1478"/>
      <c r="E65" s="1478"/>
      <c r="F65" s="1478"/>
      <c r="G65" s="1478"/>
      <c r="H65" s="1478"/>
      <c r="I65" s="1478"/>
      <c r="J65" s="1478"/>
      <c r="K65" s="1478"/>
      <c r="L65" s="1478"/>
      <c r="M65" s="1478"/>
      <c r="N65" s="1478"/>
      <c r="O65" s="1479"/>
      <c r="P65" s="1479"/>
      <c r="Q65" s="1479"/>
      <c r="R65" s="1479"/>
      <c r="S65" s="1479"/>
      <c r="T65" s="1478"/>
      <c r="U65" s="1478"/>
      <c r="V65" s="1478"/>
      <c r="W65" s="1478"/>
      <c r="X65" s="1478"/>
      <c r="Y65" s="1479"/>
      <c r="Z65" s="1479"/>
      <c r="AA65" s="1479"/>
      <c r="AB65" s="1479"/>
      <c r="AC65" s="1479"/>
      <c r="AD65" s="1479"/>
      <c r="AE65" s="1479"/>
      <c r="AF65" s="1479"/>
      <c r="AG65" s="1479"/>
      <c r="AH65" s="1479"/>
      <c r="AI65" s="1479"/>
      <c r="AJ65" s="1479"/>
      <c r="AK65" s="1480"/>
      <c r="AL65" s="1479"/>
      <c r="AM65" s="1479"/>
      <c r="AN65" s="1479"/>
      <c r="AO65" s="1479"/>
      <c r="AP65" s="1479"/>
      <c r="AQ65" s="1479"/>
      <c r="AR65" s="1479"/>
      <c r="AS65" s="1479"/>
      <c r="AT65" s="1479"/>
      <c r="AU65" s="1479"/>
      <c r="AV65" s="1479"/>
      <c r="AW65" s="1479"/>
      <c r="AX65" s="1479"/>
      <c r="AY65" s="1479"/>
      <c r="AZ65" s="1479"/>
      <c r="BA65" s="1479"/>
      <c r="BB65" s="1479"/>
      <c r="BC65" s="1479"/>
      <c r="BD65" s="1481"/>
      <c r="BE65" s="1481"/>
      <c r="BF65" s="1481"/>
      <c r="BG65" s="1481"/>
      <c r="BH65" s="1481"/>
      <c r="BI65" s="1481"/>
      <c r="BJ65" s="1481"/>
      <c r="BK65" s="1481"/>
      <c r="BL65" s="1481"/>
      <c r="BM65" s="1481"/>
      <c r="BN65" s="1481"/>
      <c r="BO65" s="1481"/>
      <c r="BP65" s="1481"/>
      <c r="BQ65" s="1481"/>
      <c r="BR65" s="1481"/>
      <c r="BS65" s="1481"/>
      <c r="BT65" s="1481"/>
      <c r="BU65" s="1481"/>
      <c r="BV65" s="1481"/>
      <c r="BW65" s="1481"/>
      <c r="BX65" s="1481"/>
      <c r="BY65" s="1481"/>
      <c r="BZ65" s="1481"/>
      <c r="CA65" s="1481"/>
    </row>
    <row r="66" spans="2:81">
      <c r="B66" s="1482" t="s">
        <v>152</v>
      </c>
      <c r="C66" s="1478"/>
      <c r="D66" s="1478"/>
      <c r="E66" s="1478"/>
      <c r="F66" s="1478"/>
      <c r="G66" s="1478"/>
      <c r="H66" s="1478"/>
      <c r="I66" s="1478"/>
      <c r="J66" s="1478"/>
      <c r="K66" s="1478"/>
      <c r="L66" s="1478"/>
      <c r="M66" s="1478"/>
      <c r="N66" s="1478"/>
      <c r="O66" s="1479"/>
      <c r="P66" s="1479"/>
      <c r="Q66" s="1479"/>
      <c r="R66" s="1479"/>
      <c r="S66" s="1479"/>
      <c r="T66" s="1478"/>
      <c r="U66" s="1478"/>
      <c r="V66" s="1478"/>
      <c r="W66" s="1478"/>
      <c r="X66" s="1478"/>
      <c r="Y66" s="1479"/>
      <c r="Z66" s="1479"/>
      <c r="AA66" s="1479"/>
      <c r="AB66" s="1479"/>
      <c r="AC66" s="1479"/>
      <c r="AD66" s="1479"/>
      <c r="AE66" s="1479"/>
      <c r="AF66" s="1479"/>
      <c r="AG66" s="1479"/>
      <c r="AH66" s="1479"/>
      <c r="AI66" s="1479"/>
      <c r="AJ66" s="1479"/>
      <c r="AK66" s="1480"/>
      <c r="AL66" s="1479"/>
      <c r="AM66" s="1479"/>
      <c r="AN66" s="1479"/>
      <c r="AO66" s="1479"/>
      <c r="AP66" s="1479"/>
      <c r="AQ66" s="1479"/>
      <c r="AR66" s="1479"/>
      <c r="AS66" s="1479"/>
      <c r="AT66" s="1479"/>
      <c r="AU66" s="1479"/>
      <c r="AV66" s="1479"/>
      <c r="AW66" s="1479"/>
      <c r="AX66" s="1479" t="e">
        <f>((AX39/AL39)-1)*100</f>
        <v>#REF!</v>
      </c>
      <c r="AY66" s="1479" t="e">
        <f>((AY39/AM39)-1)*100</f>
        <v>#REF!</v>
      </c>
      <c r="AZ66" s="1479" t="e">
        <f>((AZ39/AN39)-1)*100</f>
        <v>#REF!</v>
      </c>
      <c r="BA66" s="1479" t="e">
        <f>((BA39/AO39)-1)*100</f>
        <v>#REF!</v>
      </c>
      <c r="BB66" s="1479"/>
      <c r="BC66" s="1479"/>
      <c r="BD66" s="1481"/>
      <c r="BE66" s="1481"/>
      <c r="BF66" s="1481"/>
      <c r="BG66" s="1481"/>
      <c r="BH66" s="1481"/>
      <c r="BI66" s="1481"/>
      <c r="BJ66" s="1481"/>
      <c r="BK66" s="1481"/>
      <c r="BL66" s="1481"/>
      <c r="BM66" s="1481"/>
      <c r="BN66" s="1481"/>
      <c r="BO66" s="1481"/>
      <c r="BP66" s="1481"/>
      <c r="BQ66" s="1481"/>
      <c r="BR66" s="1481"/>
      <c r="BS66" s="1481"/>
      <c r="BT66" s="1481"/>
      <c r="BU66" s="1481"/>
      <c r="BV66" s="1481"/>
      <c r="BW66" s="1481"/>
      <c r="BX66" s="1481"/>
      <c r="BY66" s="1481"/>
      <c r="BZ66" s="1481"/>
      <c r="CA66" s="1481"/>
    </row>
    <row r="67" spans="2:81">
      <c r="B67" s="1477" t="s">
        <v>141</v>
      </c>
      <c r="C67" s="1478"/>
      <c r="D67" s="1478"/>
      <c r="E67" s="1478"/>
      <c r="F67" s="1478"/>
      <c r="G67" s="1478"/>
      <c r="H67" s="1478"/>
      <c r="I67" s="1478"/>
      <c r="J67" s="1478"/>
      <c r="K67" s="1478" t="e">
        <f>((K39*[19]ExRate!U15)/[19]Final!M18)*12</f>
        <v>#REF!</v>
      </c>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c r="AL67" s="1478"/>
      <c r="AM67" s="1478"/>
      <c r="AN67" s="1478"/>
      <c r="AO67" s="1478"/>
      <c r="AP67" s="1478"/>
      <c r="AQ67" s="1478"/>
      <c r="AR67" s="1478"/>
      <c r="AS67" s="1483"/>
      <c r="AT67" s="1483"/>
      <c r="AU67" s="1483"/>
      <c r="AV67" s="1483"/>
      <c r="AW67" s="1483"/>
      <c r="AX67" s="1481">
        <f>((AX9/AL9)-1)*100</f>
        <v>-5.9776486551031631</v>
      </c>
      <c r="AY67" s="1481">
        <f>((AY9/AM9)-1)*100</f>
        <v>-12.826167203850257</v>
      </c>
      <c r="AZ67" s="1481">
        <f>((AZ9/AN9)-1)*100</f>
        <v>-34.266465149739034</v>
      </c>
      <c r="BA67" s="1481">
        <f>((BA9/AO9)-1)*100</f>
        <v>-10.97369816849757</v>
      </c>
      <c r="BB67" s="1481"/>
      <c r="BC67" s="1481"/>
      <c r="BD67" s="1481"/>
      <c r="BE67" s="1481"/>
      <c r="BF67" s="1481"/>
      <c r="BG67" s="1481"/>
      <c r="BH67" s="1481"/>
      <c r="BI67" s="1481"/>
      <c r="BJ67" s="1481"/>
      <c r="BK67" s="1481"/>
      <c r="BL67" s="1481"/>
      <c r="BM67" s="1481"/>
      <c r="BN67" s="1481"/>
      <c r="BO67" s="1481"/>
      <c r="BP67" s="1481"/>
      <c r="BQ67" s="1481"/>
      <c r="BR67" s="1481"/>
      <c r="BS67" s="1481"/>
      <c r="BT67" s="1481"/>
      <c r="BU67" s="1481"/>
      <c r="BV67" s="1481"/>
      <c r="BW67" s="1481"/>
      <c r="BX67" s="1481"/>
      <c r="BY67" s="1481"/>
      <c r="BZ67" s="1481"/>
      <c r="CA67" s="1481"/>
      <c r="CC67" s="1429">
        <f>(O24/O39)*100</f>
        <v>80.498441957572552</v>
      </c>
    </row>
    <row r="68" spans="2:81">
      <c r="B68" s="1477" t="s">
        <v>978</v>
      </c>
      <c r="C68" s="1478"/>
      <c r="D68" s="1478"/>
      <c r="E68" s="1478"/>
      <c r="F68" s="1478"/>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c r="AL68" s="1478"/>
      <c r="AM68" s="1478"/>
      <c r="AN68" s="1478"/>
      <c r="AO68" s="1478"/>
      <c r="AP68" s="1478"/>
      <c r="AQ68" s="1478"/>
      <c r="AR68" s="1478"/>
      <c r="AS68" s="1483"/>
      <c r="AT68" s="1483"/>
      <c r="AU68" s="1483"/>
      <c r="AV68" s="1483"/>
      <c r="AW68" s="1483"/>
      <c r="AX68" s="1481" t="e">
        <f>((AX24/AL24)-1)*100</f>
        <v>#REF!</v>
      </c>
      <c r="AY68" s="1481" t="e">
        <f>((AY24/AM24)-1)*100</f>
        <v>#REF!</v>
      </c>
      <c r="AZ68" s="1481" t="e">
        <f>((AZ24/AN24)-1)*100</f>
        <v>#REF!</v>
      </c>
      <c r="BA68" s="1481" t="e">
        <f>((BA24/AO24)-1)*100</f>
        <v>#REF!</v>
      </c>
      <c r="BB68" s="1481"/>
      <c r="BC68" s="1481"/>
      <c r="BD68" s="1481"/>
      <c r="BE68" s="1481"/>
      <c r="BF68" s="1481"/>
      <c r="BG68" s="1481"/>
      <c r="BH68" s="1481"/>
      <c r="BI68" s="1481"/>
      <c r="BJ68" s="1481"/>
      <c r="BK68" s="1481"/>
      <c r="BL68" s="1481"/>
      <c r="BM68" s="1481"/>
      <c r="BN68" s="1481"/>
      <c r="BO68" s="1481"/>
      <c r="BP68" s="1481"/>
      <c r="BQ68" s="1481"/>
      <c r="BR68" s="1481"/>
      <c r="BS68" s="1481"/>
      <c r="BT68" s="1481"/>
      <c r="BU68" s="1481"/>
      <c r="BV68" s="1481"/>
      <c r="BW68" s="1481"/>
      <c r="BX68" s="1481"/>
      <c r="BY68" s="1481"/>
      <c r="BZ68" s="1481"/>
      <c r="CA68" s="1481"/>
    </row>
    <row r="69" spans="2:81">
      <c r="B69" s="1484" t="s">
        <v>1156</v>
      </c>
      <c r="Y69" s="1429">
        <v>0.6</v>
      </c>
      <c r="AB69" s="1429">
        <v>24.53</v>
      </c>
      <c r="AD69" s="1429">
        <v>2.67</v>
      </c>
      <c r="AH69" s="1429">
        <v>2.14</v>
      </c>
      <c r="AJ69" s="1425">
        <v>2.14</v>
      </c>
      <c r="AK69" s="1425"/>
      <c r="AL69" s="1425"/>
      <c r="AM69" s="1425"/>
      <c r="AN69" s="1425"/>
      <c r="AO69" s="1425"/>
      <c r="AP69" s="1425"/>
      <c r="AS69" s="1485">
        <f>Y69+AB69+AD69+AH69+AJ69</f>
        <v>32.080000000000005</v>
      </c>
    </row>
    <row r="72" spans="2:81">
      <c r="B72" s="1429" t="s">
        <v>1127</v>
      </c>
    </row>
    <row r="73" spans="2:81">
      <c r="B73" s="1429" t="s">
        <v>251</v>
      </c>
      <c r="D73" s="1429">
        <f>D39-C39</f>
        <v>12.521191225331705</v>
      </c>
      <c r="E73" s="1429">
        <f t="shared" ref="E73:K73" si="49">E39-D39</f>
        <v>14.0267420743603</v>
      </c>
      <c r="F73" s="1429">
        <f t="shared" si="49"/>
        <v>24.163084841231267</v>
      </c>
      <c r="G73" s="1429">
        <f t="shared" si="49"/>
        <v>30.953966812276661</v>
      </c>
      <c r="H73" s="1429">
        <f t="shared" si="49"/>
        <v>40.601072675693132</v>
      </c>
      <c r="I73" s="1429" t="e">
        <f t="shared" si="49"/>
        <v>#REF!</v>
      </c>
      <c r="J73" s="1429" t="e">
        <f t="shared" si="49"/>
        <v>#REF!</v>
      </c>
      <c r="K73" s="1429" t="e">
        <f t="shared" si="49"/>
        <v>#REF!</v>
      </c>
      <c r="L73" s="1429" t="e">
        <f>L39-K39</f>
        <v>#REF!</v>
      </c>
    </row>
    <row r="74" spans="2:81">
      <c r="B74" s="1429" t="s">
        <v>252</v>
      </c>
      <c r="D74" s="1429">
        <f>D73*[19]ExRate!N18</f>
        <v>392.7897687386556</v>
      </c>
      <c r="E74" s="1429">
        <f>E73*[19]ExRate!O18</f>
        <v>440.46775461906213</v>
      </c>
      <c r="F74" s="1429">
        <f>F73*[19]ExRate!P18</f>
        <v>845.44217550984069</v>
      </c>
      <c r="G74" s="1429">
        <f>G73*[19]ExRate!Q18</f>
        <v>1108.4615515476273</v>
      </c>
      <c r="H74" s="1429">
        <f>H73*[19]ExRate!R18</f>
        <v>1715.3141184026833</v>
      </c>
      <c r="I74" s="1429" t="e">
        <f>I73*[19]ExRate!S18</f>
        <v>#REF!</v>
      </c>
      <c r="J74" s="1429" t="e">
        <f>J73*[19]ExRate!T18</f>
        <v>#REF!</v>
      </c>
      <c r="K74" s="1429" t="e">
        <f>K73*[19]ExRate!U18</f>
        <v>#REF!</v>
      </c>
      <c r="L74" s="1429" t="e">
        <f>L73*[19]ExRate!U24</f>
        <v>#REF!</v>
      </c>
    </row>
    <row r="75" spans="2:81">
      <c r="D75" s="1429">
        <f>D73*[19]ExRate!N31</f>
        <v>392.79707276687037</v>
      </c>
      <c r="E75" s="1429">
        <f>E73*[19]ExRate!O31</f>
        <v>440.5495772811625</v>
      </c>
      <c r="F75" s="1429">
        <f>F73*[19]ExRate!P31</f>
        <v>828.65688590679883</v>
      </c>
      <c r="G75" s="1429">
        <f>G73*[19]ExRate!Q31</f>
        <v>1107.2104953889645</v>
      </c>
      <c r="H75" s="1429">
        <f>H73*[19]ExRate!R31</f>
        <v>1558.8511180014541</v>
      </c>
      <c r="I75" s="1429" t="e">
        <f>I73*[19]ExRate!S31</f>
        <v>#REF!</v>
      </c>
      <c r="J75" s="1429" t="e">
        <f>J73*[19]ExRate!T31</f>
        <v>#REF!</v>
      </c>
      <c r="K75" s="1429" t="e">
        <f>K73*[19]ExRate!U31</f>
        <v>#REF!</v>
      </c>
      <c r="L75" s="1429" t="e">
        <f>L73*[19]ExRate!U27</f>
        <v>#REF!</v>
      </c>
    </row>
    <row r="76" spans="2:81">
      <c r="B76" s="1429" t="s">
        <v>253</v>
      </c>
      <c r="D76" s="1429">
        <f>D9/[19]ExRate!N31</f>
        <v>3.9925939109622339</v>
      </c>
      <c r="E76" s="1429">
        <f>E9/[19]ExRate!O31</f>
        <v>2.2589905915191011</v>
      </c>
      <c r="F76" s="1429">
        <f>F9/[19]ExRate!P31</f>
        <v>4.3896464916458502</v>
      </c>
      <c r="G76" s="1429">
        <f>G9/[19]ExRate!Q31</f>
        <v>26.800424010157602</v>
      </c>
      <c r="H76" s="1429">
        <f>H9/[19]ExRate!R31</f>
        <v>39.530833543144389</v>
      </c>
      <c r="I76" s="1429">
        <f>I9/[19]ExRate!S31</f>
        <v>59.148434962610494</v>
      </c>
      <c r="J76" s="1429">
        <f>J9/[19]ExRate!T31</f>
        <v>71.186790229780797</v>
      </c>
      <c r="K76" s="1429">
        <f>K9/[19]ExRate!U31</f>
        <v>76.572828824685516</v>
      </c>
      <c r="L76" s="1429">
        <f>L9/[19]ExRate!U24</f>
        <v>76.46305069182128</v>
      </c>
    </row>
    <row r="77" spans="2:81">
      <c r="B77" s="1429" t="s">
        <v>254</v>
      </c>
      <c r="D77" s="1429">
        <f t="shared" ref="D77:L77" si="50">(D76/D39)*100</f>
        <v>3.7340949116617539</v>
      </c>
      <c r="E77" s="1429">
        <f t="shared" si="50"/>
        <v>1.8677152598335207</v>
      </c>
      <c r="F77" s="1429">
        <f t="shared" si="50"/>
        <v>3.0249955315922379</v>
      </c>
      <c r="G77" s="1429">
        <f t="shared" si="50"/>
        <v>15.221765533117587</v>
      </c>
      <c r="H77" s="1429">
        <f t="shared" si="50"/>
        <v>18.244927014014596</v>
      </c>
      <c r="I77" s="1429" t="e">
        <f t="shared" si="50"/>
        <v>#REF!</v>
      </c>
      <c r="J77" s="1429" t="e">
        <f t="shared" si="50"/>
        <v>#REF!</v>
      </c>
      <c r="K77" s="1429" t="e">
        <f t="shared" si="50"/>
        <v>#REF!</v>
      </c>
      <c r="L77" s="1429" t="e">
        <f t="shared" si="50"/>
        <v>#REF!</v>
      </c>
    </row>
    <row r="78" spans="2:81">
      <c r="D78" s="1429">
        <f t="shared" ref="D78:L78" si="51">(D24/D39)*100</f>
        <v>96.256483098128669</v>
      </c>
      <c r="E78" s="1429">
        <f t="shared" si="51"/>
        <v>98.107134028748177</v>
      </c>
      <c r="F78" s="1429">
        <f t="shared" si="51"/>
        <v>97.014388686658037</v>
      </c>
      <c r="G78" s="1429">
        <f t="shared" si="51"/>
        <v>84.778443569645404</v>
      </c>
      <c r="H78" s="1429">
        <f t="shared" si="51"/>
        <v>83.4049795876453</v>
      </c>
      <c r="I78" s="1429" t="e">
        <f t="shared" si="51"/>
        <v>#REF!</v>
      </c>
      <c r="J78" s="1429" t="e">
        <f t="shared" si="51"/>
        <v>#REF!</v>
      </c>
      <c r="K78" s="1429" t="e">
        <f t="shared" si="51"/>
        <v>#REF!</v>
      </c>
      <c r="L78" s="1429" t="e">
        <f t="shared" si="51"/>
        <v>#REF!</v>
      </c>
    </row>
    <row r="79" spans="2:81">
      <c r="B79" s="1429" t="s">
        <v>255</v>
      </c>
      <c r="D79" s="1429">
        <f>((D39-C39)/C39)*100</f>
        <v>13.263766238270652</v>
      </c>
      <c r="E79" s="1429">
        <f t="shared" ref="E79:K79" si="52">((E39-D39)/D39)*100</f>
        <v>13.118585905581737</v>
      </c>
      <c r="F79" s="1429">
        <f t="shared" si="52"/>
        <v>19.977844286757872</v>
      </c>
      <c r="G79" s="1433">
        <f t="shared" si="52"/>
        <v>21.331014119335993</v>
      </c>
      <c r="H79" s="1433">
        <f t="shared" si="52"/>
        <v>23.06008324451258</v>
      </c>
      <c r="I79" s="1433" t="e">
        <f t="shared" si="52"/>
        <v>#REF!</v>
      </c>
      <c r="J79" s="1433" t="e">
        <f t="shared" si="52"/>
        <v>#REF!</v>
      </c>
      <c r="K79" s="1433" t="e">
        <f t="shared" si="52"/>
        <v>#REF!</v>
      </c>
      <c r="L79" s="1433" t="e">
        <f>((L39-K39)/K39)*100</f>
        <v>#REF!</v>
      </c>
      <c r="AX79" s="1486" t="e">
        <f>((AX39/AL39)-1)*100</f>
        <v>#REF!</v>
      </c>
    </row>
    <row r="80" spans="2:81">
      <c r="AF80" s="1429" t="s">
        <v>1155</v>
      </c>
      <c r="AH80" s="1487" t="e">
        <f>AI26-AJ26</f>
        <v>#REF!</v>
      </c>
      <c r="AX80" s="1486">
        <f>((AX9/AL9)-1)*100</f>
        <v>-5.9776486551031631</v>
      </c>
    </row>
    <row r="81" spans="2:50">
      <c r="AF81" s="1429" t="s">
        <v>1153</v>
      </c>
      <c r="AH81" s="1453">
        <f>30.8/45.45</f>
        <v>0.67766776677667762</v>
      </c>
      <c r="AX81" s="1486" t="e">
        <f>((AX24/AL24)-1)*100</f>
        <v>#REF!</v>
      </c>
    </row>
    <row r="82" spans="2:50">
      <c r="AF82" s="1429" t="s">
        <v>1154</v>
      </c>
      <c r="AH82" s="1488" t="e">
        <f>AH80-AH81</f>
        <v>#REF!</v>
      </c>
    </row>
    <row r="84" spans="2:50">
      <c r="D84" s="1429">
        <v>76.92</v>
      </c>
    </row>
    <row r="85" spans="2:50">
      <c r="D85" s="1429">
        <v>292.64</v>
      </c>
    </row>
    <row r="86" spans="2:50">
      <c r="D86" s="1429">
        <f>SUM(D84:D85)</f>
        <v>369.56</v>
      </c>
      <c r="G86" s="1429" t="s">
        <v>411</v>
      </c>
      <c r="H86" s="1429" t="s">
        <v>412</v>
      </c>
    </row>
    <row r="87" spans="2:50" hidden="1">
      <c r="B87" s="1429" t="s">
        <v>293</v>
      </c>
      <c r="G87" s="1489" t="e">
        <f>G9/#REF!</f>
        <v>#REF!</v>
      </c>
      <c r="H87" s="1489">
        <f>G24</f>
        <v>149.26640603183466</v>
      </c>
    </row>
    <row r="88" spans="2:50" hidden="1">
      <c r="B88" s="1429" t="s">
        <v>294</v>
      </c>
      <c r="E88" s="1429">
        <f>(E89-D89)</f>
        <v>-233.40000000000003</v>
      </c>
      <c r="F88" s="1429">
        <f>(F89-E89)</f>
        <v>715.2</v>
      </c>
      <c r="G88" s="1489" t="e">
        <f>H9/#REF!</f>
        <v>#REF!</v>
      </c>
      <c r="H88" s="1489">
        <f>H24</f>
        <v>180.71151297102821</v>
      </c>
    </row>
    <row r="89" spans="2:50">
      <c r="B89" s="1429" t="s">
        <v>240</v>
      </c>
      <c r="D89" s="1429">
        <f>(D90+D91+D92-D93)</f>
        <v>-404.8</v>
      </c>
      <c r="E89" s="1429">
        <f>(E90+E91+E92-E93)</f>
        <v>-638.20000000000005</v>
      </c>
      <c r="F89" s="1429">
        <f>(F90+F91+F92-F93)</f>
        <v>77</v>
      </c>
      <c r="G89" s="1489" t="e">
        <f>I9/#REF!</f>
        <v>#REF!</v>
      </c>
      <c r="H89" s="1489" t="e">
        <f>I24</f>
        <v>#REF!</v>
      </c>
    </row>
    <row r="90" spans="2:50">
      <c r="B90" s="1429" t="s">
        <v>241</v>
      </c>
      <c r="D90" s="1429">
        <v>33.5</v>
      </c>
      <c r="E90" s="1429">
        <v>33.4</v>
      </c>
      <c r="F90" s="1429">
        <v>34</v>
      </c>
      <c r="G90" s="1489" t="e">
        <f>J9/#REF!</f>
        <v>#REF!</v>
      </c>
      <c r="H90" s="1489" t="e">
        <f>J24</f>
        <v>#REF!</v>
      </c>
    </row>
    <row r="91" spans="2:50">
      <c r="B91" s="1429" t="s">
        <v>195</v>
      </c>
      <c r="D91" s="1429">
        <v>91.8</v>
      </c>
      <c r="E91" s="1429">
        <v>37.6</v>
      </c>
      <c r="F91" s="1429">
        <v>116.6</v>
      </c>
      <c r="G91" s="1489" t="e">
        <f>K9/#REF!</f>
        <v>#REF!</v>
      </c>
      <c r="H91" s="1489" t="e">
        <f>K24</f>
        <v>#REF!</v>
      </c>
    </row>
    <row r="92" spans="2:50">
      <c r="B92" s="1429" t="s">
        <v>452</v>
      </c>
      <c r="D92" s="1429">
        <v>0</v>
      </c>
      <c r="E92" s="1429">
        <v>0</v>
      </c>
      <c r="F92" s="1429">
        <v>0</v>
      </c>
      <c r="G92" s="1489" t="e">
        <f>L9/#REF!</f>
        <v>#REF!</v>
      </c>
      <c r="H92" s="1489" t="e">
        <f>L24</f>
        <v>#REF!</v>
      </c>
    </row>
    <row r="93" spans="2:50">
      <c r="B93" s="1490">
        <v>37438</v>
      </c>
      <c r="D93" s="1429">
        <v>530.1</v>
      </c>
      <c r="E93" s="1429">
        <v>709.2</v>
      </c>
      <c r="F93" s="1429">
        <v>73.599999999999994</v>
      </c>
      <c r="G93" s="1453" t="e">
        <f>M9/#REF!</f>
        <v>#REF!</v>
      </c>
      <c r="H93" s="1491">
        <f>M24</f>
        <v>242.58633418095312</v>
      </c>
    </row>
    <row r="97" spans="2:11">
      <c r="D97" s="1429" t="s">
        <v>240</v>
      </c>
      <c r="E97" s="1429" t="s">
        <v>241</v>
      </c>
      <c r="F97" s="1429" t="s">
        <v>195</v>
      </c>
      <c r="G97" s="1429" t="s">
        <v>452</v>
      </c>
      <c r="H97" s="1492" t="s">
        <v>611</v>
      </c>
      <c r="I97" s="1492" t="s">
        <v>674</v>
      </c>
    </row>
    <row r="98" spans="2:11">
      <c r="B98" s="1429" t="s">
        <v>411</v>
      </c>
      <c r="D98" s="1489" t="e">
        <f>I9/#REF!</f>
        <v>#REF!</v>
      </c>
      <c r="E98" s="1489" t="e">
        <f>J9/#REF!</f>
        <v>#REF!</v>
      </c>
      <c r="F98" s="1489" t="e">
        <f>K9/#REF!</f>
        <v>#REF!</v>
      </c>
      <c r="G98" s="1489" t="e">
        <f>L9/#REF!</f>
        <v>#REF!</v>
      </c>
      <c r="H98" s="1489" t="e">
        <f>S9/#REF!</f>
        <v>#REF!</v>
      </c>
      <c r="I98" s="1489" t="e">
        <f>T9/#REF!</f>
        <v>#REF!</v>
      </c>
    </row>
    <row r="99" spans="2:11">
      <c r="B99" s="1429" t="s">
        <v>412</v>
      </c>
      <c r="D99" s="1489" t="e">
        <f>I24</f>
        <v>#REF!</v>
      </c>
      <c r="E99" s="1489" t="e">
        <f>J24</f>
        <v>#REF!</v>
      </c>
      <c r="F99" s="1489" t="e">
        <f>K24</f>
        <v>#REF!</v>
      </c>
      <c r="G99" s="1489" t="e">
        <f>L24</f>
        <v>#REF!</v>
      </c>
      <c r="H99" s="1489" t="e">
        <f>S24</f>
        <v>#REF!</v>
      </c>
      <c r="I99" s="1489" t="e">
        <f>T24</f>
        <v>#REF!</v>
      </c>
    </row>
    <row r="100" spans="2:11">
      <c r="H100" s="1493" t="e">
        <f>SUM(H98:H99)</f>
        <v>#REF!</v>
      </c>
      <c r="I100" s="1493" t="e">
        <f>SUM(I98:I99)</f>
        <v>#REF!</v>
      </c>
    </row>
    <row r="103" spans="2:11">
      <c r="B103" s="1429" t="s">
        <v>616</v>
      </c>
    </row>
    <row r="104" spans="2:11" ht="57">
      <c r="I104" s="1426" t="s">
        <v>614</v>
      </c>
      <c r="J104" s="1429" t="s">
        <v>613</v>
      </c>
      <c r="K104" s="1429" t="s">
        <v>615</v>
      </c>
    </row>
    <row r="105" spans="2:11">
      <c r="B105" s="1429" t="s">
        <v>429</v>
      </c>
      <c r="I105" s="1487" t="e">
        <f>S24</f>
        <v>#REF!</v>
      </c>
      <c r="J105" s="1487">
        <f>S9</f>
        <v>3937.2999999999997</v>
      </c>
      <c r="K105" s="1487" t="e">
        <f>S39</f>
        <v>#REF!</v>
      </c>
    </row>
    <row r="106" spans="2:11">
      <c r="B106" s="1429" t="s">
        <v>612</v>
      </c>
    </row>
    <row r="115" spans="2:14">
      <c r="B115" s="1494" t="s">
        <v>1215</v>
      </c>
      <c r="J115" s="1455" t="s">
        <v>755</v>
      </c>
      <c r="K115" s="1455" t="s">
        <v>195</v>
      </c>
      <c r="L115" s="1455" t="s">
        <v>452</v>
      </c>
      <c r="M115" s="1455" t="s">
        <v>609</v>
      </c>
      <c r="N115" s="1455" t="s">
        <v>877</v>
      </c>
    </row>
    <row r="116" spans="2:14">
      <c r="B116" s="1429" t="s">
        <v>1174</v>
      </c>
      <c r="J116" s="1495">
        <f>J9-I9</f>
        <v>587.29</v>
      </c>
      <c r="K116" s="1496">
        <f>K9-J9</f>
        <v>445.36999999999989</v>
      </c>
      <c r="L116" s="1497">
        <f>L9-K9</f>
        <v>111.96000000000004</v>
      </c>
      <c r="M116" s="1496">
        <f>X9-L9</f>
        <v>-333.73</v>
      </c>
      <c r="N116" s="1496">
        <f>AJ9-X9</f>
        <v>1032.6799999999998</v>
      </c>
    </row>
    <row r="117" spans="2:14">
      <c r="B117" s="1429" t="s">
        <v>1175</v>
      </c>
      <c r="J117" s="1495" t="e">
        <f>(J24-I24)*#REF!</f>
        <v>#REF!</v>
      </c>
      <c r="K117" s="1496" t="e">
        <f>(K24-J24)*#REF!</f>
        <v>#REF!</v>
      </c>
      <c r="L117" s="1496" t="e">
        <f>(L24-K25)*#REF!</f>
        <v>#REF!</v>
      </c>
      <c r="M117" s="1496" t="e">
        <f>(X24-L24)*#REF!</f>
        <v>#REF!</v>
      </c>
      <c r="N117" s="1496" t="e">
        <f>(AJ24-X24)*#REF!</f>
        <v>#REF!</v>
      </c>
    </row>
  </sheetData>
  <mergeCells count="38">
    <mergeCell ref="M5:Q5"/>
    <mergeCell ref="B5:B6"/>
    <mergeCell ref="R5:R6"/>
    <mergeCell ref="AD5:AD6"/>
    <mergeCell ref="Y5:AC5"/>
    <mergeCell ref="BC57:BG57"/>
    <mergeCell ref="BJ5:BJ6"/>
    <mergeCell ref="BN5:BN6"/>
    <mergeCell ref="BK5:BK6"/>
    <mergeCell ref="B40:DP40"/>
    <mergeCell ref="BB5:BB6"/>
    <mergeCell ref="AK5:AO5"/>
    <mergeCell ref="BM5:BM6"/>
    <mergeCell ref="AW5:BA5"/>
    <mergeCell ref="S5:W5"/>
    <mergeCell ref="BC5:BC6"/>
    <mergeCell ref="BE5:BE6"/>
    <mergeCell ref="AE5:AI5"/>
    <mergeCell ref="AQ5:AU5"/>
    <mergeCell ref="AP5:AP6"/>
    <mergeCell ref="B41:DP41"/>
    <mergeCell ref="BG5:BG6"/>
    <mergeCell ref="BD5:BD6"/>
    <mergeCell ref="CX5:CX6"/>
    <mergeCell ref="DJ5:DJ6"/>
    <mergeCell ref="CL5:CL6"/>
    <mergeCell ref="CA5:CK5"/>
    <mergeCell ref="BZ5:BZ6"/>
    <mergeCell ref="BL5:BL6"/>
    <mergeCell ref="BF5:BF6"/>
    <mergeCell ref="BI5:BI6"/>
    <mergeCell ref="BO5:BY5"/>
    <mergeCell ref="DK5:DQ5"/>
    <mergeCell ref="BZ8:DP8"/>
    <mergeCell ref="BZ22:DQ22"/>
    <mergeCell ref="BZ7:DQ7"/>
    <mergeCell ref="DR38:HV38"/>
    <mergeCell ref="CM5:CW5"/>
  </mergeCells>
  <phoneticPr fontId="0" type="noConversion"/>
  <pageMargins left="1.1299999999999999" right="0.43" top="1" bottom="1" header="0.5" footer="0.5"/>
  <pageSetup paperSize="9" scale="35" orientation="landscape" r:id="rId1"/>
  <headerFooter alignWithMargins="0"/>
  <ignoredErrors>
    <ignoredError sqref="CA5:CA6 CL5" numberStoredAsText="1"/>
  </ignoredErrors>
  <drawing r:id="rId2"/>
  <legacyDrawing r:id="rId3"/>
</worksheet>
</file>

<file path=xl/worksheets/sheet72.xml><?xml version="1.0" encoding="utf-8"?>
<worksheet xmlns="http://schemas.openxmlformats.org/spreadsheetml/2006/main" xmlns:r="http://schemas.openxmlformats.org/officeDocument/2006/relationships">
  <sheetPr codeName="Sheet34" enableFormatConditionsCalculation="0">
    <tabColor indexed="44"/>
  </sheetPr>
  <dimension ref="A1:DY42"/>
  <sheetViews>
    <sheetView workbookViewId="0">
      <pane xSplit="34" ySplit="5" topLeftCell="CE6" activePane="bottomRight" state="frozen"/>
      <selection pane="topRight" activeCell="AI1" sqref="AI1"/>
      <selection pane="bottomLeft" activeCell="A6" sqref="A6"/>
      <selection pane="bottomRight" activeCell="DI17" sqref="DI17"/>
    </sheetView>
  </sheetViews>
  <sheetFormatPr defaultRowHeight="12.75"/>
  <cols>
    <col min="1" max="1" width="34" customWidth="1"/>
    <col min="2" max="32" width="9" hidden="1" customWidth="1"/>
    <col min="33" max="33" width="7.5703125" hidden="1" customWidth="1"/>
    <col min="34" max="34" width="7.7109375" hidden="1" customWidth="1"/>
    <col min="35" max="35" width="7.85546875" hidden="1" customWidth="1"/>
    <col min="36" max="46" width="9" hidden="1" customWidth="1"/>
    <col min="47" max="47" width="7.42578125" hidden="1" customWidth="1"/>
    <col min="48" max="56" width="9" hidden="1" customWidth="1"/>
    <col min="57" max="57" width="7" hidden="1" customWidth="1"/>
    <col min="58" max="58" width="6.7109375" hidden="1" customWidth="1"/>
    <col min="59" max="59" width="7.85546875" hidden="1" customWidth="1"/>
    <col min="60" max="62" width="6.85546875" hidden="1" customWidth="1"/>
    <col min="63" max="63" width="7" hidden="1" customWidth="1"/>
    <col min="64" max="64" width="7.42578125" hidden="1" customWidth="1"/>
    <col min="65" max="65" width="7.28515625" hidden="1" customWidth="1"/>
    <col min="66" max="66" width="7.5703125" hidden="1" customWidth="1"/>
    <col min="67" max="67" width="7.28515625" hidden="1" customWidth="1"/>
    <col min="68" max="68" width="7.85546875" hidden="1" customWidth="1"/>
    <col min="69" max="69" width="6.28515625" hidden="1" customWidth="1"/>
    <col min="70" max="70" width="6.42578125" hidden="1" customWidth="1"/>
    <col min="71" max="71" width="10.42578125" hidden="1" customWidth="1"/>
    <col min="72" max="72" width="6.85546875" hidden="1" customWidth="1"/>
    <col min="73" max="73" width="7.85546875" hidden="1" customWidth="1"/>
    <col min="74" max="74" width="7.28515625" hidden="1" customWidth="1"/>
    <col min="75" max="75" width="7.85546875" hidden="1" customWidth="1"/>
    <col min="76" max="76" width="8" hidden="1" customWidth="1"/>
    <col min="77" max="77" width="7.5703125" hidden="1" customWidth="1"/>
    <col min="78" max="78" width="7.7109375" hidden="1" customWidth="1"/>
    <col min="79" max="79" width="7" hidden="1" customWidth="1"/>
    <col min="80" max="80" width="7.42578125" hidden="1" customWidth="1"/>
    <col min="81" max="81" width="7" hidden="1" customWidth="1"/>
    <col min="82" max="82" width="8.28515625" hidden="1" customWidth="1"/>
    <col min="83" max="83" width="7.5703125" customWidth="1"/>
    <col min="84" max="84" width="7.85546875" hidden="1" customWidth="1"/>
    <col min="85" max="91" width="8" hidden="1" customWidth="1"/>
    <col min="92" max="92" width="7.42578125" hidden="1" customWidth="1"/>
    <col min="93" max="93" width="7.28515625" hidden="1" customWidth="1"/>
    <col min="94" max="94" width="7.140625" hidden="1" customWidth="1"/>
    <col min="95" max="95" width="7.140625" customWidth="1"/>
    <col min="96" max="96" width="6.5703125" hidden="1" customWidth="1"/>
    <col min="97" max="98" width="0.140625" hidden="1" customWidth="1"/>
    <col min="99" max="100" width="8" hidden="1" customWidth="1"/>
    <col min="101" max="101" width="8" style="1524" hidden="1" customWidth="1"/>
    <col min="102" max="102" width="7.5703125" style="1622" customWidth="1"/>
    <col min="103" max="104" width="8.140625" style="1630" hidden="1" customWidth="1"/>
    <col min="105" max="105" width="6.85546875" style="1630" hidden="1" customWidth="1"/>
    <col min="106" max="106" width="8" style="1650" customWidth="1"/>
    <col min="107" max="107" width="8" style="1824" customWidth="1"/>
    <col min="108" max="108" width="8" style="1837" customWidth="1"/>
    <col min="109" max="109" width="9.140625" style="1919" bestFit="1" customWidth="1"/>
    <col min="110" max="110" width="7.42578125" style="1406" customWidth="1"/>
    <col min="113" max="115" width="9.140625" style="1531"/>
    <col min="117" max="117" width="9.140625" style="1631"/>
    <col min="118" max="119" width="9.140625" style="1652"/>
    <col min="120" max="120" width="9.140625" style="1631"/>
    <col min="121" max="123" width="9.140625" style="1842"/>
  </cols>
  <sheetData>
    <row r="1" spans="1:129">
      <c r="A1" s="1527"/>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7"/>
      <c r="AQ1" s="1527"/>
      <c r="AR1" s="1527"/>
      <c r="AS1" s="1527"/>
      <c r="AT1" s="1527"/>
      <c r="AU1" s="1527"/>
      <c r="AV1" s="1527"/>
      <c r="AW1" s="1527"/>
      <c r="AX1" s="1527"/>
      <c r="AY1" s="1527"/>
      <c r="AZ1" s="1527"/>
      <c r="BA1" s="1527"/>
      <c r="BB1" s="1527"/>
      <c r="BC1" s="1527"/>
      <c r="BD1" s="1527"/>
      <c r="BE1" s="1527"/>
      <c r="BF1" s="1527"/>
      <c r="BG1" s="1527"/>
      <c r="BH1" s="1527"/>
      <c r="BI1" s="1527"/>
      <c r="BJ1" s="1527"/>
      <c r="BK1" s="1527"/>
      <c r="BL1" s="1527"/>
      <c r="BM1" s="1527"/>
      <c r="BN1" s="1527"/>
      <c r="BO1" s="1527"/>
      <c r="BP1" s="1527"/>
      <c r="BQ1" s="1527"/>
      <c r="BR1" s="1527"/>
      <c r="BS1" s="1527"/>
      <c r="BT1" s="1527"/>
      <c r="BU1" s="1527"/>
      <c r="BV1" s="1527"/>
      <c r="BW1" s="1527"/>
      <c r="BX1" s="1527"/>
      <c r="BY1" s="1527"/>
      <c r="BZ1" s="1527"/>
      <c r="CA1" s="1527"/>
      <c r="CB1" s="1527"/>
      <c r="CC1" s="1527"/>
      <c r="CD1" s="1527"/>
      <c r="CE1" s="1527"/>
      <c r="CF1" s="1527"/>
      <c r="CG1" s="1527"/>
      <c r="CH1" s="1527"/>
      <c r="CI1" s="1527"/>
      <c r="CJ1" s="1527"/>
      <c r="CK1" s="1527"/>
      <c r="CL1" s="1527">
        <v>0</v>
      </c>
      <c r="CM1" s="1527"/>
      <c r="CN1" s="1527"/>
      <c r="CO1" s="1527"/>
      <c r="CP1" s="1527"/>
      <c r="CQ1" s="1527"/>
      <c r="CR1" s="1527"/>
      <c r="CS1" s="1527"/>
      <c r="CT1" s="1527"/>
      <c r="CU1" s="1527"/>
      <c r="CV1" s="1527"/>
      <c r="CW1" s="1527"/>
      <c r="CX1" s="1527"/>
      <c r="CY1" s="1527"/>
      <c r="CZ1" s="1527"/>
      <c r="DA1" s="1527"/>
      <c r="DB1" s="1527"/>
      <c r="DC1" s="1825"/>
      <c r="DD1" s="1838"/>
      <c r="DE1" s="1910"/>
    </row>
    <row r="2" spans="1:129" ht="17.25" customHeight="1">
      <c r="A2" s="4925" t="s">
        <v>633</v>
      </c>
      <c r="B2" s="4925"/>
      <c r="C2" s="4925"/>
      <c r="D2" s="4925"/>
      <c r="E2" s="4925"/>
      <c r="F2" s="4925"/>
      <c r="G2" s="4925"/>
      <c r="H2" s="4925"/>
      <c r="I2" s="4925"/>
      <c r="J2" s="4925"/>
      <c r="K2" s="4925"/>
      <c r="L2" s="4925"/>
      <c r="M2" s="4925"/>
      <c r="N2" s="4925"/>
      <c r="O2" s="4925"/>
      <c r="P2" s="4925"/>
      <c r="Q2" s="4925"/>
      <c r="R2" s="4925"/>
      <c r="S2" s="4925"/>
      <c r="T2" s="4925"/>
      <c r="U2" s="4925"/>
      <c r="V2" s="4925"/>
      <c r="W2" s="4925"/>
      <c r="X2" s="4925"/>
      <c r="Y2" s="4925"/>
      <c r="Z2" s="4925"/>
      <c r="AA2" s="4925"/>
      <c r="AB2" s="4925"/>
      <c r="AC2" s="4925"/>
      <c r="AD2" s="4925"/>
      <c r="AE2" s="4925"/>
      <c r="AF2" s="4925"/>
      <c r="AG2" s="4925"/>
      <c r="AH2" s="4925"/>
      <c r="AI2" s="4925"/>
      <c r="AJ2" s="4925"/>
      <c r="AK2" s="4925"/>
      <c r="AL2" s="4925"/>
      <c r="AM2" s="4925"/>
      <c r="AN2" s="4925"/>
      <c r="AO2" s="4925"/>
      <c r="AP2" s="4925"/>
      <c r="AQ2" s="4925"/>
      <c r="AR2" s="4925"/>
      <c r="AS2" s="4925"/>
      <c r="AT2" s="4925"/>
      <c r="AU2" s="4925"/>
      <c r="AV2" s="4925"/>
      <c r="AW2" s="4925"/>
      <c r="AX2" s="4925"/>
      <c r="AY2" s="4925"/>
      <c r="AZ2" s="4925"/>
      <c r="BA2" s="4925"/>
      <c r="BB2" s="4925"/>
      <c r="BC2" s="4925"/>
      <c r="BD2" s="4925"/>
      <c r="BE2" s="4925"/>
      <c r="BF2" s="4925"/>
      <c r="BG2" s="4925"/>
      <c r="BH2" s="4925"/>
      <c r="BI2" s="4925"/>
      <c r="BJ2" s="4925"/>
      <c r="BK2" s="1537"/>
      <c r="BL2" s="1537"/>
      <c r="BM2" s="1537"/>
      <c r="BN2" s="1527"/>
      <c r="BO2" s="1527"/>
      <c r="BP2" s="1527"/>
      <c r="BQ2" s="1527"/>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825"/>
      <c r="DD2" s="1838"/>
      <c r="DE2" s="1910"/>
    </row>
    <row r="3" spans="1:129" ht="12" customHeight="1">
      <c r="A3" s="1538" t="s">
        <v>227</v>
      </c>
      <c r="B3" s="1538"/>
      <c r="C3" s="1538"/>
      <c r="D3" s="1538"/>
      <c r="E3" s="1538"/>
      <c r="F3" s="1538"/>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8" t="s">
        <v>217</v>
      </c>
      <c r="AE3" s="1538"/>
      <c r="AF3" s="1539"/>
      <c r="AG3" s="1539"/>
      <c r="AH3" s="1539"/>
      <c r="AI3" s="1539"/>
      <c r="AJ3" s="1539"/>
      <c r="AK3" s="1539"/>
      <c r="AL3" s="1539"/>
      <c r="AM3" s="1539"/>
      <c r="AN3" s="1539"/>
      <c r="AO3" s="1539"/>
      <c r="AP3" s="1539"/>
      <c r="AQ3" s="1539"/>
      <c r="AR3" s="1540"/>
      <c r="AS3" s="1539"/>
      <c r="AT3" s="1539"/>
      <c r="AU3" s="1540"/>
      <c r="AV3" s="1540"/>
      <c r="AW3" s="1540"/>
      <c r="AX3" s="1540"/>
      <c r="AY3" s="1540"/>
      <c r="AZ3" s="1540"/>
      <c r="BA3" s="1540"/>
      <c r="BB3" s="1540"/>
      <c r="BC3" s="1540"/>
      <c r="BD3" s="1540"/>
      <c r="BE3" s="1540"/>
      <c r="BF3" s="1540"/>
      <c r="BG3" s="1540"/>
      <c r="BH3" s="1541"/>
      <c r="BI3" s="1541"/>
      <c r="BJ3" s="1541"/>
      <c r="BK3" s="1542"/>
      <c r="BL3" s="1542"/>
      <c r="BM3" s="1542"/>
      <c r="BN3" s="1543"/>
      <c r="BO3" s="1527"/>
      <c r="BP3" s="1527"/>
      <c r="BQ3" s="1527"/>
      <c r="BR3" s="1527"/>
      <c r="BS3" s="1527"/>
      <c r="BT3" s="1527"/>
      <c r="BU3" s="1527"/>
      <c r="BV3" s="1527"/>
      <c r="BW3" s="1527"/>
      <c r="BX3" s="1527"/>
      <c r="BY3" s="1527"/>
      <c r="BZ3" s="1527"/>
      <c r="CA3" s="1527"/>
      <c r="CB3" s="1527"/>
      <c r="CC3" s="1527"/>
      <c r="CD3" s="1527"/>
      <c r="CE3" s="1527"/>
      <c r="CF3" s="1527"/>
      <c r="CG3" s="1527"/>
      <c r="CH3" s="1527"/>
      <c r="CI3" s="1527"/>
      <c r="CJ3" s="1527"/>
      <c r="CK3" s="1527"/>
      <c r="CL3" s="1527"/>
      <c r="CM3" s="1527"/>
      <c r="CN3" s="1527"/>
      <c r="CO3" s="1527"/>
      <c r="CP3" s="1527"/>
      <c r="CQ3" s="1527"/>
      <c r="CR3" s="1527"/>
      <c r="CS3" s="1527"/>
      <c r="CT3" s="1659"/>
      <c r="CU3" s="1659"/>
      <c r="CV3" s="1659"/>
      <c r="CW3" s="1659"/>
      <c r="CX3" s="1659"/>
      <c r="CY3" s="1659"/>
      <c r="CZ3" s="1659"/>
      <c r="DA3" s="1659"/>
      <c r="DB3" s="1659"/>
      <c r="DC3" s="1827"/>
      <c r="DD3" s="1840"/>
      <c r="DE3" s="1916"/>
    </row>
    <row r="4" spans="1:129" s="515" customFormat="1" ht="12" customHeight="1">
      <c r="A4" s="4928"/>
      <c r="B4" s="4934" t="s">
        <v>240</v>
      </c>
      <c r="C4" s="4926" t="s">
        <v>241</v>
      </c>
      <c r="D4" s="4926" t="s">
        <v>195</v>
      </c>
      <c r="E4" s="4930" t="s">
        <v>452</v>
      </c>
      <c r="F4" s="1544"/>
      <c r="G4" s="1544"/>
      <c r="H4" s="1544"/>
      <c r="I4" s="1544"/>
      <c r="J4" s="1544"/>
      <c r="K4" s="4926" t="s">
        <v>609</v>
      </c>
      <c r="L4" s="1545"/>
      <c r="M4" s="1545"/>
      <c r="N4" s="1545"/>
      <c r="O4" s="1545"/>
      <c r="P4" s="1545"/>
      <c r="Q4" s="1545"/>
      <c r="R4" s="1545"/>
      <c r="S4" s="1545"/>
      <c r="T4" s="1546"/>
      <c r="U4" s="1545"/>
      <c r="V4" s="1547"/>
      <c r="W4" s="4932" t="s">
        <v>877</v>
      </c>
      <c r="X4" s="1548"/>
      <c r="Y4" s="1548"/>
      <c r="Z4" s="1548"/>
      <c r="AA4" s="1548"/>
      <c r="AB4" s="1548"/>
      <c r="AC4" s="1549">
        <v>2004</v>
      </c>
      <c r="AD4" s="1549"/>
      <c r="AE4" s="1549"/>
      <c r="AF4" s="1549"/>
      <c r="AG4" s="1549"/>
      <c r="AH4" s="1545"/>
      <c r="AI4" s="4926" t="s">
        <v>1164</v>
      </c>
      <c r="AJ4" s="1545"/>
      <c r="AK4" s="1545"/>
      <c r="AL4" s="1545"/>
      <c r="AM4" s="1545"/>
      <c r="AN4" s="1545"/>
      <c r="AO4" s="1549">
        <v>2005</v>
      </c>
      <c r="AP4" s="1550"/>
      <c r="AQ4" s="1550"/>
      <c r="AR4" s="1550"/>
      <c r="AS4" s="1550"/>
      <c r="AT4" s="1550"/>
      <c r="AU4" s="4941" t="s">
        <v>998</v>
      </c>
      <c r="AV4" s="1551"/>
      <c r="AW4" s="1552"/>
      <c r="AX4" s="1552"/>
      <c r="AY4" s="1552"/>
      <c r="AZ4" s="1552"/>
      <c r="BA4" s="1552"/>
      <c r="BB4" s="1552"/>
      <c r="BC4" s="1552"/>
      <c r="BD4" s="1552"/>
      <c r="BE4" s="1552"/>
      <c r="BF4" s="1552"/>
      <c r="BG4" s="4939" t="s">
        <v>805</v>
      </c>
      <c r="BH4" s="4936">
        <v>2007</v>
      </c>
      <c r="BI4" s="4937"/>
      <c r="BJ4" s="4937"/>
      <c r="BK4" s="4937"/>
      <c r="BL4" s="4937"/>
      <c r="BM4" s="4938"/>
      <c r="BN4" s="4944">
        <v>2008</v>
      </c>
      <c r="BO4" s="4945"/>
      <c r="BP4" s="4945"/>
      <c r="BQ4" s="4945"/>
      <c r="BR4" s="4945"/>
      <c r="BS4" s="4946" t="s">
        <v>806</v>
      </c>
      <c r="BT4" s="4952">
        <v>2008</v>
      </c>
      <c r="BU4" s="4953"/>
      <c r="BV4" s="4953"/>
      <c r="BW4" s="4953"/>
      <c r="BX4" s="4953"/>
      <c r="BY4" s="4954"/>
      <c r="BZ4" s="1654">
        <v>2009</v>
      </c>
      <c r="CA4" s="1655"/>
      <c r="CB4" s="1655"/>
      <c r="CC4" s="1655"/>
      <c r="CD4" s="1863"/>
      <c r="CE4" s="4949" t="s">
        <v>807</v>
      </c>
      <c r="CF4" s="4948">
        <v>2009</v>
      </c>
      <c r="CG4" s="4948"/>
      <c r="CH4" s="4948"/>
      <c r="CI4" s="4948"/>
      <c r="CJ4" s="4948"/>
      <c r="CK4" s="4948"/>
      <c r="CL4" s="1869">
        <v>2010</v>
      </c>
      <c r="CM4" s="1644"/>
      <c r="CN4" s="1644"/>
      <c r="CO4" s="1644"/>
      <c r="CP4" s="1644"/>
      <c r="CQ4" s="4946" t="s">
        <v>1390</v>
      </c>
      <c r="CR4" s="1616">
        <v>2010</v>
      </c>
      <c r="CS4" s="1616"/>
      <c r="CT4" s="1647">
        <v>2010</v>
      </c>
      <c r="CU4" s="1648"/>
      <c r="CV4" s="1648"/>
      <c r="CW4" s="1648"/>
      <c r="CX4" s="1649">
        <v>2010</v>
      </c>
      <c r="CY4" s="4955">
        <v>2011</v>
      </c>
      <c r="CZ4" s="4956"/>
      <c r="DA4" s="4956"/>
      <c r="DB4" s="4956"/>
      <c r="DC4" s="4956"/>
      <c r="DD4" s="4956"/>
      <c r="DE4" s="4957"/>
      <c r="DF4" s="1422" t="s">
        <v>1429</v>
      </c>
      <c r="DG4" s="1422" t="s">
        <v>1430</v>
      </c>
      <c r="DH4" s="59"/>
      <c r="DI4" s="1532"/>
      <c r="DJ4" s="1532"/>
      <c r="DK4" s="1532"/>
      <c r="DL4" s="59"/>
      <c r="DM4" s="1632"/>
      <c r="DN4" s="1653"/>
      <c r="DO4" s="1653"/>
      <c r="DP4" s="1632"/>
      <c r="DQ4" s="1653"/>
      <c r="DR4" s="1653"/>
      <c r="DS4" s="1653"/>
      <c r="DT4" s="1508" t="s">
        <v>1464</v>
      </c>
      <c r="DU4" s="1509"/>
      <c r="DV4" s="1510"/>
      <c r="DW4" s="59"/>
      <c r="DX4" s="59"/>
      <c r="DY4" s="59"/>
    </row>
    <row r="5" spans="1:129" ht="15.75" customHeight="1">
      <c r="A5" s="4929"/>
      <c r="B5" s="4935"/>
      <c r="C5" s="4927"/>
      <c r="D5" s="4927"/>
      <c r="E5" s="4931"/>
      <c r="F5" s="1553">
        <v>37622</v>
      </c>
      <c r="G5" s="1554" t="s">
        <v>162</v>
      </c>
      <c r="H5" s="1554" t="s">
        <v>163</v>
      </c>
      <c r="I5" s="1554" t="s">
        <v>164</v>
      </c>
      <c r="J5" s="1554" t="s">
        <v>165</v>
      </c>
      <c r="K5" s="4927"/>
      <c r="L5" s="1555" t="s">
        <v>832</v>
      </c>
      <c r="M5" s="1556" t="s">
        <v>168</v>
      </c>
      <c r="N5" s="1556" t="s">
        <v>169</v>
      </c>
      <c r="O5" s="1557" t="s">
        <v>170</v>
      </c>
      <c r="P5" s="1556" t="s">
        <v>171</v>
      </c>
      <c r="Q5" s="1556" t="s">
        <v>148</v>
      </c>
      <c r="R5" s="1555" t="s">
        <v>967</v>
      </c>
      <c r="S5" s="1556" t="s">
        <v>162</v>
      </c>
      <c r="T5" s="1556" t="s">
        <v>163</v>
      </c>
      <c r="U5" s="1556" t="s">
        <v>164</v>
      </c>
      <c r="V5" s="1558" t="s">
        <v>165</v>
      </c>
      <c r="W5" s="4933"/>
      <c r="X5" s="1559" t="s">
        <v>368</v>
      </c>
      <c r="Y5" s="1657" t="s">
        <v>168</v>
      </c>
      <c r="Z5" s="1657" t="s">
        <v>169</v>
      </c>
      <c r="AA5" s="1657" t="s">
        <v>170</v>
      </c>
      <c r="AB5" s="1657" t="s">
        <v>171</v>
      </c>
      <c r="AC5" s="1657" t="s">
        <v>148</v>
      </c>
      <c r="AD5" s="1560" t="s">
        <v>367</v>
      </c>
      <c r="AE5" s="1561" t="s">
        <v>162</v>
      </c>
      <c r="AF5" s="1561" t="s">
        <v>163</v>
      </c>
      <c r="AG5" s="1561" t="s">
        <v>164</v>
      </c>
      <c r="AH5" s="1657" t="s">
        <v>165</v>
      </c>
      <c r="AI5" s="4927"/>
      <c r="AJ5" s="1559" t="s">
        <v>719</v>
      </c>
      <c r="AK5" s="1657" t="s">
        <v>168</v>
      </c>
      <c r="AL5" s="1657" t="s">
        <v>169</v>
      </c>
      <c r="AM5" s="1657" t="s">
        <v>170</v>
      </c>
      <c r="AN5" s="1657" t="s">
        <v>171</v>
      </c>
      <c r="AO5" s="1657" t="s">
        <v>148</v>
      </c>
      <c r="AP5" s="1559" t="s">
        <v>369</v>
      </c>
      <c r="AQ5" s="1559" t="s">
        <v>162</v>
      </c>
      <c r="AR5" s="1559" t="s">
        <v>163</v>
      </c>
      <c r="AS5" s="1559" t="s">
        <v>164</v>
      </c>
      <c r="AT5" s="1562" t="s">
        <v>165</v>
      </c>
      <c r="AU5" s="4942"/>
      <c r="AV5" s="1563" t="s">
        <v>366</v>
      </c>
      <c r="AW5" s="1656" t="s">
        <v>168</v>
      </c>
      <c r="AX5" s="1656" t="s">
        <v>169</v>
      </c>
      <c r="AY5" s="1656" t="s">
        <v>170</v>
      </c>
      <c r="AZ5" s="1658" t="s">
        <v>171</v>
      </c>
      <c r="BA5" s="1656" t="s">
        <v>148</v>
      </c>
      <c r="BB5" s="1564" t="s">
        <v>1292</v>
      </c>
      <c r="BC5" s="1563" t="s">
        <v>162</v>
      </c>
      <c r="BD5" s="1658" t="s">
        <v>163</v>
      </c>
      <c r="BE5" s="1656" t="s">
        <v>164</v>
      </c>
      <c r="BF5" s="1656" t="s">
        <v>165</v>
      </c>
      <c r="BG5" s="4940"/>
      <c r="BH5" s="1565" t="s">
        <v>167</v>
      </c>
      <c r="BI5" s="1565" t="s">
        <v>168</v>
      </c>
      <c r="BJ5" s="1565" t="s">
        <v>169</v>
      </c>
      <c r="BK5" s="1565" t="s">
        <v>170</v>
      </c>
      <c r="BL5" s="1565" t="s">
        <v>171</v>
      </c>
      <c r="BM5" s="1565" t="s">
        <v>148</v>
      </c>
      <c r="BN5" s="1565" t="s">
        <v>161</v>
      </c>
      <c r="BO5" s="1565" t="s">
        <v>162</v>
      </c>
      <c r="BP5" s="1565" t="s">
        <v>163</v>
      </c>
      <c r="BQ5" s="1565" t="s">
        <v>164</v>
      </c>
      <c r="BR5" s="1565" t="s">
        <v>165</v>
      </c>
      <c r="BS5" s="4951"/>
      <c r="BT5" s="1625" t="s">
        <v>167</v>
      </c>
      <c r="BU5" s="1625" t="s">
        <v>168</v>
      </c>
      <c r="BV5" s="1625" t="s">
        <v>169</v>
      </c>
      <c r="BW5" s="1625" t="s">
        <v>170</v>
      </c>
      <c r="BX5" s="1625" t="s">
        <v>171</v>
      </c>
      <c r="BY5" s="1625" t="s">
        <v>148</v>
      </c>
      <c r="BZ5" s="1625" t="s">
        <v>161</v>
      </c>
      <c r="CA5" s="1625" t="s">
        <v>162</v>
      </c>
      <c r="CB5" s="1625" t="s">
        <v>163</v>
      </c>
      <c r="CC5" s="1625" t="s">
        <v>164</v>
      </c>
      <c r="CD5" s="1626" t="s">
        <v>165</v>
      </c>
      <c r="CE5" s="4950" t="s">
        <v>166</v>
      </c>
      <c r="CF5" s="1867" t="s">
        <v>167</v>
      </c>
      <c r="CG5" s="1867" t="s">
        <v>168</v>
      </c>
      <c r="CH5" s="1867" t="s">
        <v>169</v>
      </c>
      <c r="CI5" s="1867" t="s">
        <v>170</v>
      </c>
      <c r="CJ5" s="1867" t="s">
        <v>171</v>
      </c>
      <c r="CK5" s="1867" t="s">
        <v>148</v>
      </c>
      <c r="CL5" s="1627" t="s">
        <v>161</v>
      </c>
      <c r="CM5" s="1627" t="s">
        <v>162</v>
      </c>
      <c r="CN5" s="1627" t="s">
        <v>163</v>
      </c>
      <c r="CO5" s="1627" t="s">
        <v>164</v>
      </c>
      <c r="CP5" s="1627" t="s">
        <v>165</v>
      </c>
      <c r="CQ5" s="4947" t="s">
        <v>166</v>
      </c>
      <c r="CR5" s="1875" t="s">
        <v>167</v>
      </c>
      <c r="CS5" s="1876"/>
      <c r="CT5" s="1877"/>
      <c r="CU5" s="1878"/>
      <c r="CV5" s="1878"/>
      <c r="CW5" s="1878"/>
      <c r="CX5" s="1879" t="s">
        <v>148</v>
      </c>
      <c r="CY5" s="1924" t="s">
        <v>161</v>
      </c>
      <c r="CZ5" s="1661" t="s">
        <v>162</v>
      </c>
      <c r="DA5" s="1924" t="s">
        <v>163</v>
      </c>
      <c r="DB5" s="1923" t="s">
        <v>164</v>
      </c>
      <c r="DC5" s="1914" t="s">
        <v>165</v>
      </c>
      <c r="DD5" s="1914" t="s">
        <v>166</v>
      </c>
      <c r="DE5" s="1925" t="s">
        <v>167</v>
      </c>
      <c r="DF5" s="1422" t="s">
        <v>815</v>
      </c>
      <c r="DG5" s="1514" t="s">
        <v>168</v>
      </c>
      <c r="DH5" s="1503" t="s">
        <v>183</v>
      </c>
      <c r="DI5" s="1424" t="s">
        <v>170</v>
      </c>
      <c r="DJ5" s="1424" t="s">
        <v>171</v>
      </c>
      <c r="DK5" s="1424" t="s">
        <v>148</v>
      </c>
      <c r="DL5" s="1634" t="s">
        <v>1476</v>
      </c>
      <c r="DM5" s="1424" t="s">
        <v>162</v>
      </c>
      <c r="DN5" s="1424" t="s">
        <v>163</v>
      </c>
      <c r="DO5" s="1424" t="s">
        <v>164</v>
      </c>
      <c r="DP5" s="1424" t="s">
        <v>165</v>
      </c>
      <c r="DQ5" s="1424" t="s">
        <v>166</v>
      </c>
      <c r="DR5" s="1653"/>
      <c r="DS5" s="1653"/>
      <c r="DT5" s="1511" t="s">
        <v>806</v>
      </c>
      <c r="DU5" s="1507" t="s">
        <v>807</v>
      </c>
      <c r="DV5" s="1512" t="s">
        <v>1390</v>
      </c>
    </row>
    <row r="6" spans="1:129" ht="17.25" customHeight="1">
      <c r="A6" s="1566" t="s">
        <v>635</v>
      </c>
      <c r="B6" s="1567" t="e">
        <f>B8+(B7/#REF!)</f>
        <v>#REF!</v>
      </c>
      <c r="C6" s="1567" t="e">
        <f>C8+(C7/#REF!)</f>
        <v>#REF!</v>
      </c>
      <c r="D6" s="1567" t="e">
        <f>D8+(D7/#REF!)</f>
        <v>#REF!</v>
      </c>
      <c r="E6" s="1568" t="e">
        <f>E8+(E7/#REF!)</f>
        <v>#REF!</v>
      </c>
      <c r="F6" s="1568" t="e">
        <f>F8+(F7/#REF!)</f>
        <v>#REF!</v>
      </c>
      <c r="G6" s="1568" t="e">
        <f>G8+(G7/#REF!)</f>
        <v>#REF!</v>
      </c>
      <c r="H6" s="1568" t="e">
        <f>H8+(H7/#REF!)</f>
        <v>#REF!</v>
      </c>
      <c r="I6" s="1568" t="e">
        <f>I8+(I7/#REF!)</f>
        <v>#REF!</v>
      </c>
      <c r="J6" s="1568" t="e">
        <f>J8+(J7/#REF!)</f>
        <v>#REF!</v>
      </c>
      <c r="K6" s="1567" t="e">
        <f>K8+(K7/#REF!)</f>
        <v>#REF!</v>
      </c>
      <c r="L6" s="1568" t="e">
        <f>L8+(L7/#REF!)</f>
        <v>#REF!</v>
      </c>
      <c r="M6" s="1568" t="e">
        <f>M8+(M7/#REF!)</f>
        <v>#REF!</v>
      </c>
      <c r="N6" s="1568" t="e">
        <f>N8+(N7/#REF!)</f>
        <v>#REF!</v>
      </c>
      <c r="O6" s="1568" t="e">
        <f>O8+(O7/#REF!)</f>
        <v>#REF!</v>
      </c>
      <c r="P6" s="1568" t="e">
        <f>P8+(P7/#REF!)</f>
        <v>#REF!</v>
      </c>
      <c r="Q6" s="1568" t="e">
        <f>Q8+(Q7/#REF!)</f>
        <v>#REF!</v>
      </c>
      <c r="R6" s="1568" t="e">
        <f>R8+(R7/#REF!)</f>
        <v>#REF!</v>
      </c>
      <c r="S6" s="1568" t="e">
        <f>S8+(S7/#REF!)</f>
        <v>#REF!</v>
      </c>
      <c r="T6" s="1568" t="e">
        <f>T8+(T7/#REF!)</f>
        <v>#REF!</v>
      </c>
      <c r="U6" s="1568" t="e">
        <f>U8+(U7/#REF!)</f>
        <v>#REF!</v>
      </c>
      <c r="V6" s="1568" t="e">
        <f>V8+(V7/#REF!)</f>
        <v>#REF!</v>
      </c>
      <c r="W6" s="1569" t="e">
        <f>W8+(W7/#REF!)</f>
        <v>#REF!</v>
      </c>
      <c r="X6" s="1570" t="e">
        <f>X8+(X7/#REF!)</f>
        <v>#REF!</v>
      </c>
      <c r="Y6" s="1570" t="e">
        <f>Y8+(Y7/#REF!)</f>
        <v>#REF!</v>
      </c>
      <c r="Z6" s="1570" t="e">
        <f>Z8+(Z7/#REF!)</f>
        <v>#REF!</v>
      </c>
      <c r="AA6" s="1570" t="e">
        <f>AA8+(AA7/#REF!)</f>
        <v>#REF!</v>
      </c>
      <c r="AB6" s="1570" t="e">
        <f>AB8+(AB7/#REF!)</f>
        <v>#REF!</v>
      </c>
      <c r="AC6" s="1570" t="e">
        <f>AC8+(AC7/#REF!)</f>
        <v>#REF!</v>
      </c>
      <c r="AD6" s="1570" t="e">
        <f>AD8+(AD7/#REF!)</f>
        <v>#REF!</v>
      </c>
      <c r="AE6" s="1570" t="e">
        <f>AE8+(AE7/#REF!)</f>
        <v>#REF!</v>
      </c>
      <c r="AF6" s="1570" t="e">
        <f>AF8+(AF7/#REF!)</f>
        <v>#REF!</v>
      </c>
      <c r="AG6" s="1570" t="e">
        <f>AG8+(AG7/#REF!)</f>
        <v>#REF!</v>
      </c>
      <c r="AH6" s="1570" t="e">
        <f>AH8+(AH7/#REF!)</f>
        <v>#REF!</v>
      </c>
      <c r="AI6" s="1571" t="e">
        <f>AI8+(AI7/#REF!)</f>
        <v>#REF!</v>
      </c>
      <c r="AJ6" s="1570" t="e">
        <f>AJ8+(AJ7/#REF!)</f>
        <v>#REF!</v>
      </c>
      <c r="AK6" s="1570" t="e">
        <f>AK8+(AK7/#REF!)</f>
        <v>#REF!</v>
      </c>
      <c r="AL6" s="1570" t="e">
        <f>AL8+(AL7/#REF!)</f>
        <v>#REF!</v>
      </c>
      <c r="AM6" s="1570" t="e">
        <f>AM8+(AM7/#REF!)</f>
        <v>#REF!</v>
      </c>
      <c r="AN6" s="1570" t="e">
        <f>AN8+(AN7/#REF!)</f>
        <v>#REF!</v>
      </c>
      <c r="AO6" s="1570" t="e">
        <f>AO8+(AO7/#REF!)</f>
        <v>#REF!</v>
      </c>
      <c r="AP6" s="1570" t="e">
        <f>AP8+(AP7/#REF!)</f>
        <v>#REF!</v>
      </c>
      <c r="AQ6" s="1570" t="e">
        <f>AQ8+(AQ7/#REF!)</f>
        <v>#REF!</v>
      </c>
      <c r="AR6" s="1570" t="e">
        <f>AR8+(AR7/#REF!)</f>
        <v>#REF!</v>
      </c>
      <c r="AS6" s="1570" t="e">
        <f>AS8+(AS7/#REF!)</f>
        <v>#REF!</v>
      </c>
      <c r="AT6" s="1570" t="e">
        <f>AT8+(AT7/#REF!)</f>
        <v>#REF!</v>
      </c>
      <c r="AU6" s="1571" t="e">
        <f>AU8+(AU7/#REF!)</f>
        <v>#REF!</v>
      </c>
      <c r="AV6" s="1569" t="e">
        <f>AV8+(AV7/#REF!)</f>
        <v>#REF!</v>
      </c>
      <c r="AW6" s="1571" t="e">
        <f>AW8+(AW7/#REF!)</f>
        <v>#REF!</v>
      </c>
      <c r="AX6" s="1569" t="e">
        <f>AX8+(AX7/#REF!)</f>
        <v>#REF!</v>
      </c>
      <c r="AY6" s="1571" t="e">
        <f>AY8+(AY7/#REF!)</f>
        <v>#REF!</v>
      </c>
      <c r="AZ6" s="1569" t="e">
        <f>AZ8+(AZ7/#REF!)</f>
        <v>#REF!</v>
      </c>
      <c r="BA6" s="1571" t="e">
        <f>BA8+(BA7/#REF!)</f>
        <v>#REF!</v>
      </c>
      <c r="BB6" s="1572" t="e">
        <f>BB8+(BB7/#REF!)</f>
        <v>#REF!</v>
      </c>
      <c r="BC6" s="1573" t="e">
        <f>BC8+(BC7/#REF!)</f>
        <v>#REF!</v>
      </c>
      <c r="BD6" s="1572" t="e">
        <f>BD8+(BD7/#REF!)</f>
        <v>#REF!</v>
      </c>
      <c r="BE6" s="1573" t="e">
        <f>BE8+(BE7/#REF!)</f>
        <v>#REF!</v>
      </c>
      <c r="BF6" s="1573" t="e">
        <f>BF8+(BF7/#REF!)</f>
        <v>#REF!</v>
      </c>
      <c r="BG6" s="1573" t="e">
        <f>BG8+(BG7/#REF!)</f>
        <v>#REF!</v>
      </c>
      <c r="BH6" s="1573" t="e">
        <f>BH8+(BH7/#REF!)</f>
        <v>#REF!</v>
      </c>
      <c r="BI6" s="1573" t="e">
        <f>BI8+(BI7/#REF!)</f>
        <v>#REF!</v>
      </c>
      <c r="BJ6" s="1573" t="e">
        <f>BJ8+(BJ7/#REF!)</f>
        <v>#REF!</v>
      </c>
      <c r="BK6" s="1573" t="e">
        <f>BK8+(BK7/#REF!)</f>
        <v>#REF!</v>
      </c>
      <c r="BL6" s="1573" t="e">
        <f>BL8+(BL7/#REF!)</f>
        <v>#REF!</v>
      </c>
      <c r="BM6" s="1573" t="e">
        <f>BM8+(BM7/#REF!)</f>
        <v>#REF!</v>
      </c>
      <c r="BN6" s="1573" t="e">
        <f>BN8+(BN7/#REF!)</f>
        <v>#REF!</v>
      </c>
      <c r="BO6" s="1573" t="e">
        <f>BO8+(BO7/#REF!)</f>
        <v>#REF!</v>
      </c>
      <c r="BP6" s="1573" t="e">
        <f>BP8+(BP7/#REF!)</f>
        <v>#REF!</v>
      </c>
      <c r="BQ6" s="1573" t="e">
        <f>BQ8+(BQ7/#REF!)</f>
        <v>#REF!</v>
      </c>
      <c r="BR6" s="1573" t="e">
        <f>BR8+(BR7/#REF!)</f>
        <v>#REF!</v>
      </c>
      <c r="BS6" s="1574" t="e">
        <f>BS8+(BS7/#REF!)</f>
        <v>#REF!</v>
      </c>
      <c r="BT6" s="1574" t="e">
        <f>BT8+(BT7/#REF!)</f>
        <v>#REF!</v>
      </c>
      <c r="BU6" s="1574" t="e">
        <f>BU8+(BU7/#REF!)</f>
        <v>#REF!</v>
      </c>
      <c r="BV6" s="1574" t="e">
        <f>BV8+(BV7/#REF!)</f>
        <v>#REF!</v>
      </c>
      <c r="BW6" s="1574" t="e">
        <f>BW8+(BW7/#REF!)</f>
        <v>#REF!</v>
      </c>
      <c r="BX6" s="1574" t="e">
        <f>BX8+(BX7/#REF!)</f>
        <v>#REF!</v>
      </c>
      <c r="BY6" s="1574" t="e">
        <f>BY8+(BY7/#REF!)</f>
        <v>#REF!</v>
      </c>
      <c r="BZ6" s="1574" t="e">
        <f>BZ8+(BZ7/#REF!)</f>
        <v>#REF!</v>
      </c>
      <c r="CA6" s="1574" t="e">
        <f>CA8+(CA7/#REF!)</f>
        <v>#REF!</v>
      </c>
      <c r="CB6" s="1574" t="e">
        <f>CB8+(CB7/#REF!)</f>
        <v>#REF!</v>
      </c>
      <c r="CC6" s="1574" t="e">
        <f>CC8+(CC7/#REF!)</f>
        <v>#REF!</v>
      </c>
      <c r="CD6" s="1575" t="e">
        <f>CD8+(CD7/#REF!)</f>
        <v>#REF!</v>
      </c>
      <c r="CE6" s="1575" t="e">
        <f>CE8+(CE7/#REF!)</f>
        <v>#REF!</v>
      </c>
      <c r="CF6" s="1880" t="e">
        <f>CF8+(CF7/#REF!)</f>
        <v>#REF!</v>
      </c>
      <c r="CG6" s="1880" t="e">
        <f>CG8+(CG7/#REF!)</f>
        <v>#REF!</v>
      </c>
      <c r="CH6" s="1880" t="e">
        <f>CH8+(CH7/#REF!)</f>
        <v>#REF!</v>
      </c>
      <c r="CI6" s="1880" t="e">
        <f>CI8+(CI7/#REF!)</f>
        <v>#REF!</v>
      </c>
      <c r="CJ6" s="1880" t="e">
        <f>CJ8+(CJ7/#REF!)</f>
        <v>#REF!</v>
      </c>
      <c r="CK6" s="1880" t="e">
        <f>CK8+(CK7/#REF!)</f>
        <v>#REF!</v>
      </c>
      <c r="CL6" s="1881" t="e">
        <f>CL8+(CL7/#REF!)</f>
        <v>#REF!</v>
      </c>
      <c r="CM6" s="1881" t="e">
        <f>CM8+(CM7/#REF!)</f>
        <v>#REF!</v>
      </c>
      <c r="CN6" s="1880" t="e">
        <f>CN8+(CN7/#REF!)</f>
        <v>#REF!</v>
      </c>
      <c r="CO6" s="1880" t="e">
        <f>CO8+(CO7/#REF!)</f>
        <v>#REF!</v>
      </c>
      <c r="CP6" s="1880" t="e">
        <f>CP8+(CP7/#REF!)</f>
        <v>#REF!</v>
      </c>
      <c r="CQ6" s="1880" t="e">
        <f>CQ8+(CQ7/#REF!)</f>
        <v>#REF!</v>
      </c>
      <c r="CR6" s="1880" t="e">
        <f>CR8+(CR7/#REF!)</f>
        <v>#REF!</v>
      </c>
      <c r="CS6" s="1880"/>
      <c r="CT6" s="1880" t="e">
        <f>CT8+(CT7/#REF!)</f>
        <v>#REF!</v>
      </c>
      <c r="CU6" s="1880" t="e">
        <f>CU8+(CU7/#REF!)</f>
        <v>#REF!</v>
      </c>
      <c r="CV6" s="1880" t="e">
        <f>CV8+(CV7/#REF!)</f>
        <v>#REF!</v>
      </c>
      <c r="CW6" s="1880" t="e">
        <f>CW8+(CW7/#REF!)</f>
        <v>#REF!</v>
      </c>
      <c r="CX6" s="1880" t="e">
        <f>CX8+(CX7/#REF!)</f>
        <v>#REF!</v>
      </c>
      <c r="CY6" s="1880" t="e">
        <f>CY8+(CY7/#REF!)</f>
        <v>#REF!</v>
      </c>
      <c r="CZ6" s="1880" t="e">
        <f>CZ8+(CZ7/#REF!)</f>
        <v>#REF!</v>
      </c>
      <c r="DA6" s="1880" t="e">
        <f>DA8+(DA7/#REF!)</f>
        <v>#REF!</v>
      </c>
      <c r="DB6" s="1576" t="e">
        <f>DB8+(DB7/#REF!)</f>
        <v>#REF!</v>
      </c>
      <c r="DC6" s="1576" t="e">
        <f>DC8+(DC7/#REF!)</f>
        <v>#REF!</v>
      </c>
      <c r="DD6" s="1576" t="e">
        <f>DD8+(DD7/#REF!)</f>
        <v>#REF!</v>
      </c>
      <c r="DE6" s="1870" t="e">
        <f>DE8+(DE7/#REF!)</f>
        <v>#REF!</v>
      </c>
      <c r="DF6" s="1874" t="e">
        <f>((CT6-CR6)/CR6)*100</f>
        <v>#REF!</v>
      </c>
      <c r="DG6" s="1423" t="e">
        <f t="shared" ref="DG6:DQ6" si="0">((CT6-CG6)/CG6)*100</f>
        <v>#REF!</v>
      </c>
      <c r="DH6" s="1423" t="e">
        <f t="shared" si="0"/>
        <v>#REF!</v>
      </c>
      <c r="DI6" s="1423" t="e">
        <f t="shared" si="0"/>
        <v>#REF!</v>
      </c>
      <c r="DJ6" s="1423" t="e">
        <f t="shared" si="0"/>
        <v>#REF!</v>
      </c>
      <c r="DK6" s="1423" t="e">
        <f t="shared" si="0"/>
        <v>#REF!</v>
      </c>
      <c r="DL6" s="1423" t="e">
        <f t="shared" si="0"/>
        <v>#REF!</v>
      </c>
      <c r="DM6" s="1423" t="e">
        <f t="shared" si="0"/>
        <v>#REF!</v>
      </c>
      <c r="DN6" s="1423" t="e">
        <f t="shared" si="0"/>
        <v>#REF!</v>
      </c>
      <c r="DO6" s="1423" t="e">
        <f t="shared" si="0"/>
        <v>#REF!</v>
      </c>
      <c r="DP6" s="1423" t="e">
        <f t="shared" si="0"/>
        <v>#REF!</v>
      </c>
      <c r="DQ6" s="1423" t="e">
        <f t="shared" si="0"/>
        <v>#REF!</v>
      </c>
      <c r="DT6" s="1513" t="e">
        <f>BS6-'[72]Reserves-ICBS'!$G$40</f>
        <v>#REF!</v>
      </c>
      <c r="DU6" t="e">
        <f>CE6-'[72]Reserves-ICBS'!$H$40</f>
        <v>#REF!</v>
      </c>
      <c r="DV6" t="e">
        <f>CQ6-'[72]Reserves-ICBS'!$I$40</f>
        <v>#REF!</v>
      </c>
    </row>
    <row r="7" spans="1:129" ht="15" customHeight="1">
      <c r="A7" s="1578" t="s">
        <v>636</v>
      </c>
      <c r="B7" s="1528">
        <f>Reserves!I9</f>
        <v>2519.2600000000002</v>
      </c>
      <c r="C7" s="1528">
        <f>Reserves!J9</f>
        <v>3106.55</v>
      </c>
      <c r="D7" s="1528">
        <f>Reserves!K9</f>
        <v>3551.92</v>
      </c>
      <c r="E7" s="1579">
        <f>Reserves!L9</f>
        <v>3663.88</v>
      </c>
      <c r="F7" s="1579">
        <f>Reserves!S9</f>
        <v>3937.2999999999997</v>
      </c>
      <c r="G7" s="1579">
        <f>Reserves!T9</f>
        <v>3397.04</v>
      </c>
      <c r="H7" s="1579">
        <f>Reserves!U9</f>
        <v>3544.9300000000003</v>
      </c>
      <c r="I7" s="1579">
        <f>Reserves!V9</f>
        <v>4212.76</v>
      </c>
      <c r="J7" s="1579">
        <f>Reserves!W9</f>
        <v>3642.72</v>
      </c>
      <c r="K7" s="1528">
        <f>Reserves!X9</f>
        <v>3330.15</v>
      </c>
      <c r="L7" s="1579">
        <f>Reserves!Y9</f>
        <v>3353.93</v>
      </c>
      <c r="M7" s="1579">
        <f>Reserves!Z9</f>
        <v>3358.3399999999997</v>
      </c>
      <c r="N7" s="1579">
        <f>Reserves!AA9</f>
        <v>3627.25</v>
      </c>
      <c r="O7" s="1579">
        <f>Reserves!AB9</f>
        <v>3040.7200000000003</v>
      </c>
      <c r="P7" s="1579">
        <f>Reserves!AC9</f>
        <v>3455.95</v>
      </c>
      <c r="Q7" s="1579">
        <f>Reserves!AD9</f>
        <v>3554.9900000000002</v>
      </c>
      <c r="R7" s="1579">
        <f>Reserves!AE9</f>
        <v>4168.38</v>
      </c>
      <c r="S7" s="1579">
        <f>Reserves!AF9</f>
        <v>4184.4800000000005</v>
      </c>
      <c r="T7" s="1579">
        <f>Reserves!AG9</f>
        <v>4200.2</v>
      </c>
      <c r="U7" s="1579">
        <f>Reserves!AH9</f>
        <v>5371.82</v>
      </c>
      <c r="V7" s="1579">
        <f>Reserves!AI9</f>
        <v>3975.35</v>
      </c>
      <c r="W7" s="1580">
        <f>Reserves!AJ9</f>
        <v>4362.83</v>
      </c>
      <c r="X7" s="1581">
        <f>Reserves!AK9</f>
        <v>3302.7</v>
      </c>
      <c r="Y7" s="1581">
        <f>Reserves!AL9</f>
        <v>2977.1800000000003</v>
      </c>
      <c r="Z7" s="1581">
        <f>Reserves!AM9</f>
        <v>2886.04</v>
      </c>
      <c r="AA7" s="1581">
        <f>Reserves!AN9</f>
        <v>4674.8</v>
      </c>
      <c r="AB7" s="1581">
        <f>Reserves!AO9</f>
        <v>6105.37</v>
      </c>
      <c r="AC7" s="1581">
        <f>Reserves!AP9</f>
        <v>5431.99</v>
      </c>
      <c r="AD7" s="1581">
        <f>Reserves!AQ9</f>
        <v>5528.6599999999989</v>
      </c>
      <c r="AE7" s="1581">
        <f>Reserves!AR9</f>
        <v>5198.8599999999997</v>
      </c>
      <c r="AF7" s="1581">
        <f>Reserves!AS9</f>
        <v>5555.97</v>
      </c>
      <c r="AG7" s="1581">
        <f>Reserves!AT9</f>
        <v>4152.45</v>
      </c>
      <c r="AH7" s="1581">
        <f>Reserves!AU9</f>
        <v>4581.46</v>
      </c>
      <c r="AI7" s="1582">
        <f>Reserves!AV9</f>
        <v>3578.2599999999998</v>
      </c>
      <c r="AJ7" s="1581">
        <f>Reserves!AW9</f>
        <v>2993.9007844600001</v>
      </c>
      <c r="AK7" s="1581">
        <f>Reserves!AX9</f>
        <v>2799.2146397699998</v>
      </c>
      <c r="AL7" s="1581">
        <f>Reserves!AY9</f>
        <v>2515.8716840299999</v>
      </c>
      <c r="AM7" s="1581">
        <f>Reserves!AZ9</f>
        <v>3072.9112871799998</v>
      </c>
      <c r="AN7" s="1581">
        <f>Reserves!BA9</f>
        <v>5435.3851241299999</v>
      </c>
      <c r="AO7" s="1581">
        <f>Reserves!BB9</f>
        <v>4737.3443555599997</v>
      </c>
      <c r="AP7" s="1581">
        <f>Reserves!BC9</f>
        <v>5290.0269797999999</v>
      </c>
      <c r="AQ7" s="1581">
        <f>Reserves!BD9</f>
        <v>4546.3216580299995</v>
      </c>
      <c r="AR7" s="1581">
        <f>Reserves!BE9</f>
        <v>4008.84887493</v>
      </c>
      <c r="AS7" s="1581">
        <f>Reserves!BF9</f>
        <v>5732.5840343</v>
      </c>
      <c r="AT7" s="1581">
        <f>Reserves!BG9</f>
        <v>3895.4335707099999</v>
      </c>
      <c r="AU7" s="1582">
        <f>Reserves!BH9</f>
        <v>3127.6998914300002</v>
      </c>
      <c r="AV7" s="1580">
        <f>Reserves!BI9</f>
        <v>2607.1665536700002</v>
      </c>
      <c r="AW7" s="1582">
        <f>Reserves!BJ9</f>
        <v>2006.3332910300001</v>
      </c>
      <c r="AX7" s="1580">
        <f>Reserves!BK9</f>
        <v>1802.7724886699998</v>
      </c>
      <c r="AY7" s="1582">
        <f>Reserves!BL9</f>
        <v>2225.0168996699999</v>
      </c>
      <c r="AZ7" s="1580">
        <f>Reserves!BM9</f>
        <v>3308.1438032800002</v>
      </c>
      <c r="BA7" s="1582">
        <f>Reserves!BN9</f>
        <v>3768.4866715500002</v>
      </c>
      <c r="BB7" s="1580">
        <f>Reserves!BO9</f>
        <v>3251.0948770100003</v>
      </c>
      <c r="BC7" s="1582">
        <f>Reserves!BP9</f>
        <v>2973.4220959899999</v>
      </c>
      <c r="BD7" s="1580">
        <f>Reserves!BQ9</f>
        <v>2354.2249818</v>
      </c>
      <c r="BE7" s="1582">
        <f>Reserves!BR9</f>
        <v>1110.25187177</v>
      </c>
      <c r="BF7" s="1582">
        <f>Reserves!BS9</f>
        <v>1010.8947175600001</v>
      </c>
      <c r="BG7" s="1582">
        <f>Reserves!BT9</f>
        <v>769.58624621000001</v>
      </c>
      <c r="BH7" s="1582">
        <f>Reserves!BU9</f>
        <v>619.78224788</v>
      </c>
      <c r="BI7" s="1582">
        <f>Reserves!BV9</f>
        <v>1706.67396495</v>
      </c>
      <c r="BJ7" s="1582">
        <f>Reserves!BW9</f>
        <v>1543.7846111899999</v>
      </c>
      <c r="BK7" s="1582">
        <f>Reserves!BX9</f>
        <v>2135.5553086300001</v>
      </c>
      <c r="BL7" s="1582">
        <f>Reserves!BY9</f>
        <v>3584.5524214799998</v>
      </c>
      <c r="BM7" s="1582">
        <f>Reserves!BZ9</f>
        <v>4000.0460260699992</v>
      </c>
      <c r="BN7" s="1582">
        <f>Reserves!CA9</f>
        <v>782.62035053999989</v>
      </c>
      <c r="BO7" s="1582">
        <f>Reserves!CB9</f>
        <v>782.62035053999989</v>
      </c>
      <c r="BP7" s="1582">
        <f>Reserves!CC9</f>
        <v>986.58396472000004</v>
      </c>
      <c r="BQ7" s="1582">
        <f>Reserves!CD9</f>
        <v>975.63163785999996</v>
      </c>
      <c r="BR7" s="1582">
        <f>Reserves!CE9</f>
        <v>970.12200825000002</v>
      </c>
      <c r="BS7" s="1583">
        <f>Reserves!CF9</f>
        <v>858.20576038000002</v>
      </c>
      <c r="BT7" s="1583">
        <f>Reserves!CG9</f>
        <v>788.18963357999996</v>
      </c>
      <c r="BU7" s="1583">
        <f>Reserves!CH9</f>
        <v>644.32600644000001</v>
      </c>
      <c r="BV7" s="1583">
        <f>Reserves!CI9</f>
        <v>2093.91579159</v>
      </c>
      <c r="BW7" s="1583">
        <f>Reserves!CJ9</f>
        <v>2329.9385103299996</v>
      </c>
      <c r="BX7" s="1583">
        <f>Reserves!CK9</f>
        <v>3775.0547124100003</v>
      </c>
      <c r="BY7" s="1583">
        <f>Reserves!CL9</f>
        <v>3407.8861669000003</v>
      </c>
      <c r="BZ7" s="1583">
        <f>Reserves!CM9</f>
        <v>2290.92904198</v>
      </c>
      <c r="CA7" s="1583">
        <f>Reserves!CN9</f>
        <v>896.75335174000008</v>
      </c>
      <c r="CB7" s="1583">
        <f>Reserves!CO9</f>
        <v>906.75753095999994</v>
      </c>
      <c r="CC7" s="1583">
        <f>Reserves!CP9</f>
        <v>2136.9484276100002</v>
      </c>
      <c r="CD7" s="1864">
        <f>Reserves!CQ9</f>
        <v>2070.70724204</v>
      </c>
      <c r="CE7" s="1864">
        <f>Reserves!CR9</f>
        <v>628.05977479000001</v>
      </c>
      <c r="CF7" s="1868">
        <f>Reserves!CS9</f>
        <v>1748.0999770299995</v>
      </c>
      <c r="CG7" s="1868">
        <f>Reserves!CT9</f>
        <v>2473.5935595600004</v>
      </c>
      <c r="CH7" s="1868">
        <f>Reserves!CU9</f>
        <v>2912.7674293099999</v>
      </c>
      <c r="CI7" s="1868">
        <f>Reserves!CV9</f>
        <v>2431.7092317299998</v>
      </c>
      <c r="CJ7" s="1868">
        <f>Reserves!CW9</f>
        <v>5269.4466589800004</v>
      </c>
      <c r="CK7" s="1868">
        <f>Reserves!CX9</f>
        <v>5519.3487934099994</v>
      </c>
      <c r="CL7" s="1534">
        <f>Reserves!CY9</f>
        <v>1844.1993181600003</v>
      </c>
      <c r="CM7" s="1534">
        <f>Reserves!CZ9</f>
        <v>4754.1935628399988</v>
      </c>
      <c r="CN7" s="1584">
        <f>Reserves!DA9</f>
        <v>2957.1339460700001</v>
      </c>
      <c r="CO7" s="1584">
        <f>Reserves!DB9</f>
        <v>1780.9777097000001</v>
      </c>
      <c r="CP7" s="1584">
        <f>Reserves!DC9</f>
        <v>1843.98696399</v>
      </c>
      <c r="CQ7" s="1584">
        <f>Reserves!DD9</f>
        <v>1378.55935965</v>
      </c>
      <c r="CR7" s="1584">
        <f>Reserves!DE9</f>
        <v>1620.7033266400001</v>
      </c>
      <c r="CS7" s="1584"/>
      <c r="CT7" s="1584">
        <f>Reserves!DF9</f>
        <v>6723.3296231000004</v>
      </c>
      <c r="CU7" s="1584">
        <f>Reserves!DG9</f>
        <v>5453.1756056699996</v>
      </c>
      <c r="CV7" s="1584">
        <f>Reserves!DH9</f>
        <v>4021.9580445399997</v>
      </c>
      <c r="CW7" s="1584">
        <f>Reserves!DI9</f>
        <v>5735.9914301600002</v>
      </c>
      <c r="CX7" s="1584">
        <f>Reserves!DJ9</f>
        <v>6035.1563509399994</v>
      </c>
      <c r="CY7" s="1584">
        <f>Reserves!DK9</f>
        <v>1283.8390489400001</v>
      </c>
      <c r="CZ7" s="1584">
        <f>Reserves!DL9</f>
        <v>788.31888477999996</v>
      </c>
      <c r="DA7" s="1584">
        <f>Reserves!DM9</f>
        <v>1135.07709718</v>
      </c>
      <c r="DB7" s="1584">
        <f>Reserves!DN9</f>
        <v>1269.60568792</v>
      </c>
      <c r="DC7" s="1584">
        <f>Reserves!DO9</f>
        <v>717.88371719999986</v>
      </c>
      <c r="DD7" s="1584">
        <f>Reserves!DP9</f>
        <v>774.57534202000011</v>
      </c>
      <c r="DE7" s="1871">
        <f>Reserves!DQ9</f>
        <v>826.9604615400001</v>
      </c>
      <c r="DF7" s="1874">
        <f>((CT7-CR7)/CR7)*100</f>
        <v>314.84024328120756</v>
      </c>
      <c r="DG7" s="1423">
        <f t="shared" ref="DG7:DL8" si="1">((CT7-CG7)/CG7)*100</f>
        <v>171.80413682415707</v>
      </c>
      <c r="DH7" s="1423">
        <f t="shared" si="1"/>
        <v>87.216306760261745</v>
      </c>
      <c r="DI7" s="1423">
        <f t="shared" si="1"/>
        <v>65.39633900549218</v>
      </c>
      <c r="DJ7" s="1423">
        <f t="shared" si="1"/>
        <v>8.8537715888048893</v>
      </c>
      <c r="DK7" s="1423">
        <f t="shared" si="1"/>
        <v>9.3454423127935797</v>
      </c>
      <c r="DL7" s="1423">
        <f t="shared" si="1"/>
        <v>-30.385016614098109</v>
      </c>
      <c r="DM7" s="1423">
        <f>((CZ7-CM7)/CM7)*100</f>
        <v>-83.418452060056964</v>
      </c>
      <c r="DN7" s="1423">
        <f>((DA7-CN7)/CN7)*100</f>
        <v>-61.615634669220668</v>
      </c>
      <c r="DO7" s="1423">
        <f t="shared" ref="DO7:DQ8" si="2">((DB7-CO7)/CO7)*100</f>
        <v>-28.712993935569187</v>
      </c>
      <c r="DP7" s="1423">
        <f t="shared" si="2"/>
        <v>-61.0689375131671</v>
      </c>
      <c r="DQ7" s="1423">
        <f t="shared" si="2"/>
        <v>-43.812695724857605</v>
      </c>
      <c r="DT7" s="1513"/>
      <c r="DU7" s="1507"/>
      <c r="DV7" s="1512"/>
    </row>
    <row r="8" spans="1:129" ht="18" customHeight="1">
      <c r="A8" s="1585" t="s">
        <v>712</v>
      </c>
      <c r="B8" s="1528" t="e">
        <f>Reserves!I24</f>
        <v>#REF!</v>
      </c>
      <c r="C8" s="1528" t="e">
        <f>Reserves!J24</f>
        <v>#REF!</v>
      </c>
      <c r="D8" s="1528" t="e">
        <f>Reserves!K24</f>
        <v>#REF!</v>
      </c>
      <c r="E8" s="1579" t="e">
        <f>Reserves!L24</f>
        <v>#REF!</v>
      </c>
      <c r="F8" s="1579" t="e">
        <f>Reserves!S24</f>
        <v>#REF!</v>
      </c>
      <c r="G8" s="1579" t="e">
        <f>Reserves!T24</f>
        <v>#REF!</v>
      </c>
      <c r="H8" s="1579" t="e">
        <f>Reserves!U24</f>
        <v>#REF!</v>
      </c>
      <c r="I8" s="1579" t="e">
        <f>Reserves!V24</f>
        <v>#REF!</v>
      </c>
      <c r="J8" s="1579" t="e">
        <f>Reserves!W24</f>
        <v>#REF!</v>
      </c>
      <c r="K8" s="1528" t="e">
        <f>Reserves!X24</f>
        <v>#REF!</v>
      </c>
      <c r="L8" s="1579" t="e">
        <f>Reserves!Y24</f>
        <v>#REF!</v>
      </c>
      <c r="M8" s="1579" t="e">
        <f>Reserves!Z24</f>
        <v>#REF!</v>
      </c>
      <c r="N8" s="1579" t="e">
        <f>Reserves!AA24</f>
        <v>#REF!</v>
      </c>
      <c r="O8" s="1579" t="e">
        <f>Reserves!AB24</f>
        <v>#REF!</v>
      </c>
      <c r="P8" s="1579" t="e">
        <f>Reserves!AC24</f>
        <v>#REF!</v>
      </c>
      <c r="Q8" s="1579" t="e">
        <f>Reserves!AD24</f>
        <v>#REF!</v>
      </c>
      <c r="R8" s="1579" t="e">
        <f>Reserves!AE24</f>
        <v>#REF!</v>
      </c>
      <c r="S8" s="1579" t="e">
        <f>Reserves!AF24</f>
        <v>#REF!</v>
      </c>
      <c r="T8" s="1579" t="e">
        <f>Reserves!AG24</f>
        <v>#REF!</v>
      </c>
      <c r="U8" s="1579" t="e">
        <f>Reserves!AH24</f>
        <v>#REF!</v>
      </c>
      <c r="V8" s="1579" t="e">
        <f>Reserves!AI24</f>
        <v>#REF!</v>
      </c>
      <c r="W8" s="1580" t="e">
        <f>Reserves!AJ24</f>
        <v>#REF!</v>
      </c>
      <c r="X8" s="1581" t="e">
        <f>Reserves!AK24</f>
        <v>#REF!</v>
      </c>
      <c r="Y8" s="1581" t="e">
        <f>Reserves!AL24</f>
        <v>#REF!</v>
      </c>
      <c r="Z8" s="1581" t="e">
        <f>Reserves!AM24</f>
        <v>#REF!</v>
      </c>
      <c r="AA8" s="1581" t="e">
        <f>Reserves!AN24</f>
        <v>#REF!</v>
      </c>
      <c r="AB8" s="1581" t="e">
        <f>Reserves!AO24</f>
        <v>#REF!</v>
      </c>
      <c r="AC8" s="1581" t="e">
        <f>Reserves!AP24</f>
        <v>#REF!</v>
      </c>
      <c r="AD8" s="1581" t="e">
        <f>Reserves!AQ24</f>
        <v>#REF!</v>
      </c>
      <c r="AE8" s="1581" t="e">
        <f>Reserves!AR24</f>
        <v>#REF!</v>
      </c>
      <c r="AF8" s="1581" t="e">
        <f>Reserves!AS24</f>
        <v>#REF!</v>
      </c>
      <c r="AG8" s="1581" t="e">
        <f>Reserves!AT24</f>
        <v>#REF!</v>
      </c>
      <c r="AH8" s="1581" t="e">
        <f>Reserves!AU24</f>
        <v>#REF!</v>
      </c>
      <c r="AI8" s="1582" t="e">
        <f>Reserves!AV24</f>
        <v>#REF!</v>
      </c>
      <c r="AJ8" s="1581" t="e">
        <f>Reserves!AW24</f>
        <v>#REF!</v>
      </c>
      <c r="AK8" s="1581" t="e">
        <f>Reserves!AX24</f>
        <v>#REF!</v>
      </c>
      <c r="AL8" s="1581" t="e">
        <f>Reserves!AY24</f>
        <v>#REF!</v>
      </c>
      <c r="AM8" s="1581" t="e">
        <f>Reserves!AZ24</f>
        <v>#REF!</v>
      </c>
      <c r="AN8" s="1581" t="e">
        <f>Reserves!BA24</f>
        <v>#REF!</v>
      </c>
      <c r="AO8" s="1581" t="e">
        <f>Reserves!BB24</f>
        <v>#REF!</v>
      </c>
      <c r="AP8" s="1581" t="e">
        <f>Reserves!BC24</f>
        <v>#REF!</v>
      </c>
      <c r="AQ8" s="1581" t="e">
        <f>Reserves!BD24</f>
        <v>#REF!</v>
      </c>
      <c r="AR8" s="1581" t="e">
        <f>Reserves!BE24</f>
        <v>#REF!</v>
      </c>
      <c r="AS8" s="1581" t="e">
        <f>Reserves!BF24</f>
        <v>#REF!</v>
      </c>
      <c r="AT8" s="1581" t="e">
        <f>Reserves!BG24</f>
        <v>#REF!</v>
      </c>
      <c r="AU8" s="1582" t="e">
        <f>Reserves!BH24</f>
        <v>#REF!</v>
      </c>
      <c r="AV8" s="1580" t="e">
        <f>Reserves!BI24</f>
        <v>#REF!</v>
      </c>
      <c r="AW8" s="1582" t="e">
        <f>Reserves!BJ24</f>
        <v>#REF!</v>
      </c>
      <c r="AX8" s="1580" t="e">
        <f>Reserves!BK24</f>
        <v>#REF!</v>
      </c>
      <c r="AY8" s="1582" t="e">
        <f>Reserves!BL24</f>
        <v>#REF!</v>
      </c>
      <c r="AZ8" s="1580" t="e">
        <f>Reserves!BM24</f>
        <v>#REF!</v>
      </c>
      <c r="BA8" s="1582" t="e">
        <f>Reserves!BN24</f>
        <v>#REF!</v>
      </c>
      <c r="BB8" s="1580" t="e">
        <f>Reserves!BO24</f>
        <v>#REF!</v>
      </c>
      <c r="BC8" s="1582" t="e">
        <f>Reserves!BP24</f>
        <v>#REF!</v>
      </c>
      <c r="BD8" s="1580" t="e">
        <f>Reserves!BQ24</f>
        <v>#REF!</v>
      </c>
      <c r="BE8" s="1582" t="e">
        <f>Reserves!BR24</f>
        <v>#REF!</v>
      </c>
      <c r="BF8" s="1582" t="e">
        <f>Reserves!BS24</f>
        <v>#REF!</v>
      </c>
      <c r="BG8" s="1582" t="e">
        <f>Reserves!BT24</f>
        <v>#REF!</v>
      </c>
      <c r="BH8" s="1582" t="e">
        <f>Reserves!BU24</f>
        <v>#REF!</v>
      </c>
      <c r="BI8" s="1582" t="e">
        <f>Reserves!BV24</f>
        <v>#REF!</v>
      </c>
      <c r="BJ8" s="1582" t="e">
        <f>Reserves!BW24</f>
        <v>#REF!</v>
      </c>
      <c r="BK8" s="1582" t="e">
        <f>Reserves!BX24</f>
        <v>#REF!</v>
      </c>
      <c r="BL8" s="1582" t="e">
        <f>Reserves!BY24</f>
        <v>#REF!</v>
      </c>
      <c r="BM8" s="1582" t="e">
        <f>Reserves!BZ24</f>
        <v>#REF!</v>
      </c>
      <c r="BN8" s="1582" t="e">
        <f>Reserves!CA24</f>
        <v>#REF!</v>
      </c>
      <c r="BO8" s="1582" t="e">
        <f>Reserves!CB24</f>
        <v>#REF!</v>
      </c>
      <c r="BP8" s="1582" t="e">
        <f>Reserves!CC24</f>
        <v>#REF!</v>
      </c>
      <c r="BQ8" s="1582" t="e">
        <f>Reserves!CD24</f>
        <v>#REF!</v>
      </c>
      <c r="BR8" s="1582" t="e">
        <f>Reserves!CE24</f>
        <v>#REF!</v>
      </c>
      <c r="BS8" s="1583" t="e">
        <f>Reserves!CF24</f>
        <v>#REF!</v>
      </c>
      <c r="BT8" s="1583" t="e">
        <f>Reserves!CG24</f>
        <v>#REF!</v>
      </c>
      <c r="BU8" s="1583" t="e">
        <f>Reserves!CH24</f>
        <v>#REF!</v>
      </c>
      <c r="BV8" s="1583" t="e">
        <f>Reserves!CI24</f>
        <v>#REF!</v>
      </c>
      <c r="BW8" s="1583" t="e">
        <f>Reserves!CJ24</f>
        <v>#REF!</v>
      </c>
      <c r="BX8" s="1583" t="e">
        <f>Reserves!CK24</f>
        <v>#REF!</v>
      </c>
      <c r="BY8" s="1583" t="e">
        <f>Reserves!CL24</f>
        <v>#REF!</v>
      </c>
      <c r="BZ8" s="1583" t="e">
        <f>Reserves!CM24</f>
        <v>#REF!</v>
      </c>
      <c r="CA8" s="1583" t="e">
        <f>Reserves!CN24</f>
        <v>#REF!</v>
      </c>
      <c r="CB8" s="1583" t="e">
        <f>Reserves!CO24</f>
        <v>#REF!</v>
      </c>
      <c r="CC8" s="1583" t="e">
        <f>Reserves!CP24</f>
        <v>#REF!</v>
      </c>
      <c r="CD8" s="1864" t="e">
        <f>Reserves!CQ24</f>
        <v>#REF!</v>
      </c>
      <c r="CE8" s="1864" t="e">
        <f>Reserves!CR24</f>
        <v>#REF!</v>
      </c>
      <c r="CF8" s="1868" t="e">
        <f>Reserves!CS24</f>
        <v>#REF!</v>
      </c>
      <c r="CG8" s="1868" t="e">
        <f>Reserves!CT24</f>
        <v>#REF!</v>
      </c>
      <c r="CH8" s="1868" t="e">
        <f>Reserves!CU24</f>
        <v>#REF!</v>
      </c>
      <c r="CI8" s="1868" t="e">
        <f>Reserves!CV24</f>
        <v>#REF!</v>
      </c>
      <c r="CJ8" s="1868" t="e">
        <f>Reserves!CW24</f>
        <v>#REF!</v>
      </c>
      <c r="CK8" s="1868" t="e">
        <f>Reserves!CX24</f>
        <v>#REF!</v>
      </c>
      <c r="CL8" s="1534" t="e">
        <f>Reserves!CY24</f>
        <v>#REF!</v>
      </c>
      <c r="CM8" s="1534" t="e">
        <f>Reserves!CZ24</f>
        <v>#REF!</v>
      </c>
      <c r="CN8" s="1584" t="e">
        <f>Reserves!DA24</f>
        <v>#REF!</v>
      </c>
      <c r="CO8" s="1584" t="e">
        <f>Reserves!DB24</f>
        <v>#REF!</v>
      </c>
      <c r="CP8" s="1584" t="e">
        <f>Reserves!DC24</f>
        <v>#REF!</v>
      </c>
      <c r="CQ8" s="1584" t="e">
        <f>Reserves!DD24</f>
        <v>#REF!</v>
      </c>
      <c r="CR8" s="1584" t="e">
        <f>Reserves!DE24</f>
        <v>#REF!</v>
      </c>
      <c r="CS8" s="1584"/>
      <c r="CT8" s="1584" t="e">
        <f>Reserves!DF24</f>
        <v>#REF!</v>
      </c>
      <c r="CU8" s="1584" t="e">
        <f>Reserves!DG24</f>
        <v>#REF!</v>
      </c>
      <c r="CV8" s="1584" t="e">
        <f>Reserves!DH24</f>
        <v>#REF!</v>
      </c>
      <c r="CW8" s="1584" t="e">
        <f>Reserves!DI24</f>
        <v>#REF!</v>
      </c>
      <c r="CX8" s="1584" t="e">
        <f>Reserves!DJ24</f>
        <v>#REF!</v>
      </c>
      <c r="CY8" s="1584" t="e">
        <f>Reserves!DK24</f>
        <v>#REF!</v>
      </c>
      <c r="CZ8" s="1584" t="e">
        <f>Reserves!DL24</f>
        <v>#REF!</v>
      </c>
      <c r="DA8" s="1584" t="e">
        <f>Reserves!DM24</f>
        <v>#REF!</v>
      </c>
      <c r="DB8" s="1584" t="e">
        <f>Reserves!DN24</f>
        <v>#REF!</v>
      </c>
      <c r="DC8" s="1584" t="e">
        <f>Reserves!DO24</f>
        <v>#REF!</v>
      </c>
      <c r="DD8" s="1584" t="e">
        <f>Reserves!DP24</f>
        <v>#REF!</v>
      </c>
      <c r="DE8" s="1871" t="e">
        <f>Reserves!DQ24</f>
        <v>#REF!</v>
      </c>
      <c r="DF8" s="1874" t="e">
        <f>((CT8-CR8)/CR8)*100</f>
        <v>#REF!</v>
      </c>
      <c r="DG8" s="1423" t="e">
        <f t="shared" si="1"/>
        <v>#REF!</v>
      </c>
      <c r="DH8" s="1423" t="e">
        <f t="shared" si="1"/>
        <v>#REF!</v>
      </c>
      <c r="DI8" s="1423" t="e">
        <f t="shared" si="1"/>
        <v>#REF!</v>
      </c>
      <c r="DJ8" s="1423" t="e">
        <f t="shared" si="1"/>
        <v>#REF!</v>
      </c>
      <c r="DK8" s="1423" t="e">
        <f t="shared" si="1"/>
        <v>#REF!</v>
      </c>
      <c r="DL8" s="1423" t="e">
        <f t="shared" si="1"/>
        <v>#REF!</v>
      </c>
      <c r="DM8" s="1423" t="e">
        <f>((CZ8-CM8)/CM8)*100</f>
        <v>#REF!</v>
      </c>
      <c r="DN8" s="1423" t="e">
        <f>((DA8-CN8)/CN8)*100</f>
        <v>#REF!</v>
      </c>
      <c r="DO8" s="1423" t="e">
        <f t="shared" si="2"/>
        <v>#REF!</v>
      </c>
      <c r="DP8" s="1423" t="e">
        <f t="shared" si="2"/>
        <v>#REF!</v>
      </c>
      <c r="DQ8" s="1423" t="e">
        <f t="shared" si="2"/>
        <v>#REF!</v>
      </c>
      <c r="DT8" s="1513"/>
      <c r="DU8" s="1507"/>
      <c r="DV8" s="1512"/>
    </row>
    <row r="9" spans="1:129" ht="15.75" customHeight="1">
      <c r="A9" s="1586" t="s">
        <v>875</v>
      </c>
      <c r="B9" s="1587"/>
      <c r="C9" s="1587"/>
      <c r="D9" s="1587"/>
      <c r="E9" s="1529"/>
      <c r="F9" s="1529"/>
      <c r="G9" s="1529"/>
      <c r="H9" s="1526"/>
      <c r="I9" s="1526"/>
      <c r="J9" s="1526"/>
      <c r="K9" s="1588"/>
      <c r="L9" s="1526"/>
      <c r="M9" s="1526"/>
      <c r="N9" s="1526"/>
      <c r="O9" s="1526"/>
      <c r="P9" s="1526"/>
      <c r="Q9" s="1526"/>
      <c r="R9" s="1526"/>
      <c r="S9" s="1526"/>
      <c r="T9" s="1526"/>
      <c r="U9" s="1526"/>
      <c r="V9" s="1526"/>
      <c r="W9" s="1589"/>
      <c r="X9" s="1590"/>
      <c r="Y9" s="1590"/>
      <c r="Z9" s="1590"/>
      <c r="AA9" s="1590"/>
      <c r="AB9" s="1590"/>
      <c r="AC9" s="1590"/>
      <c r="AD9" s="1590"/>
      <c r="AE9" s="1590"/>
      <c r="AF9" s="1590"/>
      <c r="AG9" s="1590"/>
      <c r="AH9" s="1590"/>
      <c r="AI9" s="1591"/>
      <c r="AJ9" s="1590"/>
      <c r="AK9" s="1590"/>
      <c r="AL9" s="1590"/>
      <c r="AM9" s="1590"/>
      <c r="AN9" s="1590"/>
      <c r="AO9" s="1590"/>
      <c r="AP9" s="1590"/>
      <c r="AQ9" s="1590"/>
      <c r="AR9" s="1590"/>
      <c r="AS9" s="1590"/>
      <c r="AT9" s="1590"/>
      <c r="AU9" s="1591"/>
      <c r="AV9" s="1589"/>
      <c r="AW9" s="1591"/>
      <c r="AX9" s="1589"/>
      <c r="AY9" s="1592"/>
      <c r="AZ9" s="1589"/>
      <c r="BA9" s="1591"/>
      <c r="BB9" s="1589"/>
      <c r="BC9" s="1591"/>
      <c r="BD9" s="1589"/>
      <c r="BE9" s="1591"/>
      <c r="BF9" s="1591"/>
      <c r="BG9" s="1593"/>
      <c r="BH9" s="1593"/>
      <c r="BI9" s="1593"/>
      <c r="BJ9" s="1593"/>
      <c r="BK9" s="1594"/>
      <c r="BL9" s="1594"/>
      <c r="BM9" s="1594"/>
      <c r="BN9" s="1595"/>
      <c r="BO9" s="1535"/>
      <c r="BP9" s="1595"/>
      <c r="BQ9" s="1595"/>
      <c r="BR9" s="1595"/>
      <c r="BS9" s="1596"/>
      <c r="BT9" s="1597"/>
      <c r="BU9" s="1596"/>
      <c r="BV9" s="1596"/>
      <c r="BW9" s="1596"/>
      <c r="BX9" s="1596"/>
      <c r="BY9" s="1596"/>
      <c r="BZ9" s="1596"/>
      <c r="CA9" s="1596"/>
      <c r="CB9" s="1596"/>
      <c r="CC9" s="1596"/>
      <c r="CD9" s="1865"/>
      <c r="CE9" s="1865"/>
      <c r="CF9" s="1534"/>
      <c r="CG9" s="1534"/>
      <c r="CH9" s="1534"/>
      <c r="CI9" s="1534"/>
      <c r="CJ9" s="1534"/>
      <c r="CK9" s="1534"/>
      <c r="CL9" s="1534"/>
      <c r="CM9" s="1534"/>
      <c r="CN9" s="1534"/>
      <c r="CO9" s="1534"/>
      <c r="CP9" s="1534"/>
      <c r="CQ9" s="1534"/>
      <c r="CR9" s="1534"/>
      <c r="CS9" s="1534"/>
      <c r="CT9" s="1533"/>
      <c r="CU9" s="1533"/>
      <c r="CV9" s="1844"/>
      <c r="CW9" s="1844"/>
      <c r="CX9" s="1844"/>
      <c r="CY9" s="1844"/>
      <c r="CZ9" s="1844"/>
      <c r="DA9" s="1844"/>
      <c r="DB9" s="1844"/>
      <c r="DC9" s="1844"/>
      <c r="DD9" s="1916"/>
      <c r="DE9" s="1917"/>
      <c r="DF9" s="1530"/>
      <c r="DT9" s="1511"/>
      <c r="DU9" s="1507"/>
      <c r="DV9" s="1512"/>
    </row>
    <row r="10" spans="1:129" ht="15.75" customHeight="1">
      <c r="A10" s="1566" t="s">
        <v>1368</v>
      </c>
      <c r="B10" s="1598"/>
      <c r="C10" s="1598"/>
      <c r="D10" s="1567" t="e">
        <f>-((D6*#REF!)/(BOPOverall!K12+BOPOverall!K18))*12</f>
        <v>#REF!</v>
      </c>
      <c r="E10" s="1568" t="e">
        <f>-((E6*#REF!)/(BOPOverall!L12+BOPOverall!L18))*12</f>
        <v>#REF!</v>
      </c>
      <c r="F10" s="1568" t="e">
        <f>-((F6*#REF!)/(BOPOverall!M12+BOPOverall!M18))*12</f>
        <v>#REF!</v>
      </c>
      <c r="G10" s="1568" t="e">
        <f>-((G6*#REF!)/(BOPOverall!M12+BOPOverall!M18))*12</f>
        <v>#REF!</v>
      </c>
      <c r="H10" s="1568" t="e">
        <f>-((H6*#REF!)/(BOPOverall!M12+BOPOverall!M18))*12</f>
        <v>#REF!</v>
      </c>
      <c r="I10" s="1568" t="e">
        <f>-((I6*#REF!)/(BOPOverall!M12+BOPOverall!M18))*12</f>
        <v>#REF!</v>
      </c>
      <c r="J10" s="1568" t="e">
        <f>-((J6*#REF!)/(BOPOverall!M12+BOPOverall!M18))*12</f>
        <v>#REF!</v>
      </c>
      <c r="K10" s="1567" t="e">
        <f>-((K6*#REF!)/(BOPOverall!$M$12+BOPOverall!M18))*12</f>
        <v>#REF!</v>
      </c>
      <c r="L10" s="1568" t="e">
        <f>-((L6*#REF!)/(BOPOverall!$N$12+BOPOverall!$N$18))*12</f>
        <v>#REF!</v>
      </c>
      <c r="M10" s="1568" t="e">
        <f>-((M6*#REF!)/(BOPOverall!$N$12+BOPOverall!$N$18))*12</f>
        <v>#REF!</v>
      </c>
      <c r="N10" s="1568" t="e">
        <f>-((N6*#REF!)/(BOPOverall!$N$12+BOPOverall!$N$18))*12</f>
        <v>#REF!</v>
      </c>
      <c r="O10" s="1568" t="e">
        <f>-((O6*#REF!)/(BOPOverall!$N$12+BOPOverall!$N$18))*12</f>
        <v>#REF!</v>
      </c>
      <c r="P10" s="1568" t="e">
        <f>-((P6*#REF!)/(BOPOverall!$N$12+BOPOverall!$N$18))*12</f>
        <v>#REF!</v>
      </c>
      <c r="Q10" s="1568" t="e">
        <f>-((Q6*#REF!)/(BOPOverall!$N$12+BOPOverall!$N$18))*12</f>
        <v>#REF!</v>
      </c>
      <c r="R10" s="1568" t="e">
        <f>-((R6*#REF!)/(BOPOverall!$N$12+BOPOverall!$N$18))*12</f>
        <v>#REF!</v>
      </c>
      <c r="S10" s="1568" t="e">
        <f>-((S6*#REF!)/(BOPOverall!$N$12+BOPOverall!$N$18))*12</f>
        <v>#REF!</v>
      </c>
      <c r="T10" s="1568" t="e">
        <f>-((T6*#REF!)/(BOPOverall!$N$12+BOPOverall!$N$18))*12</f>
        <v>#REF!</v>
      </c>
      <c r="U10" s="1568" t="e">
        <f>-((U6*#REF!)/(BOPOverall!$N$12+BOPOverall!$N$18))*12</f>
        <v>#REF!</v>
      </c>
      <c r="V10" s="1568" t="e">
        <f>-((V6*#REF!)/(BOPOverall!$N$12+BOPOverall!$N$18))*12</f>
        <v>#REF!</v>
      </c>
      <c r="W10" s="1569" t="e">
        <f>-((W6*#REF!)/(BOPOverall!$N$12+BOPOverall!N18))*12</f>
        <v>#REF!</v>
      </c>
      <c r="X10" s="1570" t="e">
        <f>-((X6*#REF!)/(BOPOverall!$O$12+BOPOverall!$O$18))*12</f>
        <v>#REF!</v>
      </c>
      <c r="Y10" s="1570" t="e">
        <f>-((Y6*#REF!)/(BOPOverall!$O$12+BOPOverall!$O$18))*12</f>
        <v>#REF!</v>
      </c>
      <c r="Z10" s="1570" t="e">
        <f>-((Z6*#REF!)/(BOPOverall!$O$12+BOPOverall!$O$18))*12</f>
        <v>#REF!</v>
      </c>
      <c r="AA10" s="1570" t="e">
        <f>-((AA6*#REF!)/(BOPOverall!$O$12+BOPOverall!$O$18))*12</f>
        <v>#REF!</v>
      </c>
      <c r="AB10" s="1570" t="e">
        <f>-((AB6*#REF!)/(BOPOverall!$O$12+BOPOverall!$O$18))*12</f>
        <v>#REF!</v>
      </c>
      <c r="AC10" s="1570" t="e">
        <f>-((AC6*#REF!)/(BOPOverall!$O$12+BOPOverall!$O$18))*12</f>
        <v>#REF!</v>
      </c>
      <c r="AD10" s="1570" t="e">
        <f>-((AD6*#REF!)/(BOPOverall!$O$12+BOPOverall!O18))*12</f>
        <v>#REF!</v>
      </c>
      <c r="AE10" s="1570" t="e">
        <f>-((AE6*#REF!)/(BOPOverall!$O$12+BOPOverall!O18))*12</f>
        <v>#REF!</v>
      </c>
      <c r="AF10" s="1570" t="e">
        <f>-((AF6*#REF!)/(BOPOverall!$O$12+BOPOverall!$O$18))*12</f>
        <v>#REF!</v>
      </c>
      <c r="AG10" s="1570" t="e">
        <f>-((AG6*#REF!)/(BOPOverall!$O$12+BOPOverall!$O$18))*12</f>
        <v>#REF!</v>
      </c>
      <c r="AH10" s="1570" t="e">
        <f>-((AH6*#REF!)/(BOPOverall!$O$12+BOPOverall!$O18))*12</f>
        <v>#REF!</v>
      </c>
      <c r="AI10" s="1571" t="e">
        <f>-((AI6*#REF!)/('[73]Overall BOP'!$J$127+'[73]Overall BOP'!$J$135))*12</f>
        <v>#REF!</v>
      </c>
      <c r="AJ10" s="1569" t="e">
        <f>-((AJ6*#REF!)/(BOPOverall!$P$12+BOPOverall!$P$18))*12</f>
        <v>#REF!</v>
      </c>
      <c r="AK10" s="1570" t="e">
        <f>-((AK6*#REF!)/(BOPOverall!$P$12+BOPOverall!$P$18))*12</f>
        <v>#REF!</v>
      </c>
      <c r="AL10" s="1570" t="e">
        <f>-((AL6*#REF!)/(BOPOverall!$P$12+BOPOverall!$P$18))*12</f>
        <v>#REF!</v>
      </c>
      <c r="AM10" s="1570" t="e">
        <f>-((AM6*#REF!)/(BOPOverall!$P$12+BOPOverall!$P$18))*12</f>
        <v>#REF!</v>
      </c>
      <c r="AN10" s="1570" t="e">
        <f>-((AN6*#REF!)/(BOPOverall!$P$12+BOPOverall!$P$18))*12</f>
        <v>#REF!</v>
      </c>
      <c r="AO10" s="1570" t="e">
        <f>-((AO6*#REF!)/(BOPOverall!$P$12+BOPOverall!$P$18))*12</f>
        <v>#REF!</v>
      </c>
      <c r="AP10" s="1570" t="e">
        <f>-((AP6*#REF!)/(BOPOverall!$P$12+BOPOverall!$P$18))*12</f>
        <v>#REF!</v>
      </c>
      <c r="AQ10" s="1570" t="e">
        <f>-((AQ6*#REF!)/(BOPOverall!$P$12+BOPOverall!$P$18))*12</f>
        <v>#REF!</v>
      </c>
      <c r="AR10" s="1570" t="e">
        <f>-((AR6*#REF!)/(BOPOverall!$P$12+BOPOverall!$P$18))*12</f>
        <v>#REF!</v>
      </c>
      <c r="AS10" s="1570" t="e">
        <f>-((AS6*#REF!)/(BOPOverall!$P$12+BOPOverall!$P$18))*12</f>
        <v>#REF!</v>
      </c>
      <c r="AT10" s="1599" t="e">
        <f>-((AT6*#REF!)/(BOPOverall!$P$12+BOPOverall!$P$18))*12</f>
        <v>#REF!</v>
      </c>
      <c r="AU10" s="1571" t="e">
        <f>-((AU6*#REF!)/('[73]Overall BOP'!$K$127+'[73]Overall BOP'!$K$135))*12</f>
        <v>#REF!</v>
      </c>
      <c r="AV10" s="1571" t="e">
        <f>-((AV6*#REF!)/(BOPOverall!$P$12+BOPOverall!$P$18))*12</f>
        <v>#REF!</v>
      </c>
      <c r="AW10" s="1571" t="e">
        <f>-((AW6*#REF!)/(BOPOverall!$P$12+BOPOverall!$P$18))*12</f>
        <v>#REF!</v>
      </c>
      <c r="AX10" s="1571" t="e">
        <f>-((AX6*#REF!)/(BOPOverall!$P$12+BOPOverall!$P$18))*12</f>
        <v>#REF!</v>
      </c>
      <c r="AY10" s="1571" t="e">
        <f>-((AY6*#REF!)/(BOPOverall!$P$12+BOPOverall!$P$18))*12</f>
        <v>#REF!</v>
      </c>
      <c r="AZ10" s="1571" t="e">
        <f>-((AZ6*#REF!)/(BOPOverall!$P$12+BOPOverall!$P$18))*12</f>
        <v>#REF!</v>
      </c>
      <c r="BA10" s="1571" t="e">
        <f>-((BA6*#REF!)/(BOPOverall!$P$12+BOPOverall!$P$18))*12</f>
        <v>#REF!</v>
      </c>
      <c r="BB10" s="1571" t="e">
        <f>-((BB6*#REF!)/(BOPOverall!$P$12+BOPOverall!$P$18))*12</f>
        <v>#REF!</v>
      </c>
      <c r="BC10" s="1571" t="e">
        <f>-((BC6*#REF!)/(BOPOverall!$P$12+BOPOverall!$P$18))*12</f>
        <v>#REF!</v>
      </c>
      <c r="BD10" s="1571" t="e">
        <f>-((BD6*#REF!)/(BOPOverall!$P$12+BOPOverall!$P$18))*12</f>
        <v>#REF!</v>
      </c>
      <c r="BE10" s="1571" t="e">
        <f>-((BE6*#REF!)/(BOPOverall!$P$12+BOPOverall!$P$18))*12</f>
        <v>#REF!</v>
      </c>
      <c r="BF10" s="1571" t="e">
        <f>-((BF6*#REF!)/(BOPOverall!$P$12+BOPOverall!$P$18))*12</f>
        <v>#REF!</v>
      </c>
      <c r="BG10" s="1571" t="e">
        <f>-((BG6*#REF!)/('[73]Overall BOP'!$L$127+'[73]Overall BOP'!$L$135))*12</f>
        <v>#REF!</v>
      </c>
      <c r="BH10" s="1571" t="e">
        <f>-((BH6*#REF!)/(BOPOverall!$P$12+BOPOverall!$P$18))*12</f>
        <v>#REF!</v>
      </c>
      <c r="BI10" s="1571" t="e">
        <f>-((BI6*#REF!)/(BOPOverall!$Q$12+BOPOverall!$Q$18))*12</f>
        <v>#REF!</v>
      </c>
      <c r="BJ10" s="1571" t="e">
        <f>-((BJ6*#REF!)/(BOPOverall!$Q$12+BOPOverall!$Q$18))*12</f>
        <v>#REF!</v>
      </c>
      <c r="BK10" s="1571" t="e">
        <f>-((BK6*#REF!)/(BOPOverall!$Q$12+BOPOverall!$Q$18))*12</f>
        <v>#REF!</v>
      </c>
      <c r="BL10" s="1571" t="e">
        <f>-((BL6*#REF!)/(BOPOverall!$Q$12+BOPOverall!$Q$18))*12</f>
        <v>#REF!</v>
      </c>
      <c r="BM10" s="1571" t="e">
        <f>-((BM6*#REF!)/(BOPOverall!$Q$12+BOPOverall!$Q$18))*12</f>
        <v>#REF!</v>
      </c>
      <c r="BN10" s="1571" t="e">
        <f>-((BN6*#REF!)/(BOPOverall!$Q$12+BOPOverall!$Q$18))*12</f>
        <v>#REF!</v>
      </c>
      <c r="BO10" s="1571" t="e">
        <f>-((BO6*#REF!)/(BOPOverall!$Q$12+BOPOverall!$Q$18))*12</f>
        <v>#REF!</v>
      </c>
      <c r="BP10" s="1571" t="e">
        <f>-((BP6*#REF!)/(BOPOverall!$Q$12+BOPOverall!$Q$18))*12</f>
        <v>#REF!</v>
      </c>
      <c r="BQ10" s="1571" t="e">
        <f>-((BQ6*#REF!)/(BOPOverall!$Q$12+BOPOverall!$Q$18))*12</f>
        <v>#REF!</v>
      </c>
      <c r="BR10" s="1571" t="e">
        <f>-((BR6*#REF!)/(BOPOverall!$Q$12+BOPOverall!$Q$18))*12</f>
        <v>#REF!</v>
      </c>
      <c r="BS10" s="1577" t="e">
        <f>-((BS6*#REF!)/('[73]Overall BOP'!$M$127+'[73]Overall BOP'!$M$135))*12</f>
        <v>#REF!</v>
      </c>
      <c r="BT10" s="1577" t="e">
        <f>-((BT6*#REF!)/('[74]Overall BOP'!$N$127+'[74]Overall BOP'!$N$135))*12</f>
        <v>#REF!</v>
      </c>
      <c r="BU10" s="1577" t="e">
        <f>-((BU6*#REF!)/('[74]Overall BOP'!$N$127+'[74]Overall BOP'!$N$135))*12</f>
        <v>#REF!</v>
      </c>
      <c r="BV10" s="1577" t="e">
        <f>-((BV6*#REF!)/('[74]Overall BOP'!$N$127+'[74]Overall BOP'!$N$135))*12</f>
        <v>#REF!</v>
      </c>
      <c r="BW10" s="1577" t="e">
        <f>-((BW6*#REF!)/('[74]Overall BOP'!$N$127+'[74]Overall BOP'!$N$135))*12</f>
        <v>#REF!</v>
      </c>
      <c r="BX10" s="1577" t="e">
        <f>-((BX6*#REF!)/('[74]Overall BOP'!$N$127+'[74]Overall BOP'!$N$135))*12</f>
        <v>#REF!</v>
      </c>
      <c r="BY10" s="1577" t="e">
        <f>-((BY6*#REF!)/('[74]Overall BOP'!$N$127+'[74]Overall BOP'!$N$135))*12</f>
        <v>#REF!</v>
      </c>
      <c r="BZ10" s="1577" t="e">
        <f>-((BZ6*#REF!)/('[74]Overall BOP'!$N$127+'[74]Overall BOP'!$N$135))*12</f>
        <v>#REF!</v>
      </c>
      <c r="CA10" s="1577" t="e">
        <f>-((CA6*#REF!)/('[74]Overall BOP'!$N$127+'[74]Overall BOP'!$N$135))*12</f>
        <v>#REF!</v>
      </c>
      <c r="CB10" s="1577" t="e">
        <f>-((CB6*#REF!)/('[74]Overall BOP'!$N$127+'[74]Overall BOP'!$N$135))*12</f>
        <v>#REF!</v>
      </c>
      <c r="CC10" s="1577" t="e">
        <f>-((CC6*#REF!)/('[74]Overall BOP'!$N$127+'[74]Overall BOP'!$N$135))*12</f>
        <v>#REF!</v>
      </c>
      <c r="CD10" s="1646" t="e">
        <f>-((CD6*#REF!)/('[74]Overall BOP'!$N$127+'[74]Overall BOP'!$N$135))*12</f>
        <v>#REF!</v>
      </c>
      <c r="CE10" s="1646" t="e">
        <f>-((CE6*#REF!)/('[74]Overall BOP'!$N$127+'[74]Overall BOP'!$N$135))*12</f>
        <v>#REF!</v>
      </c>
      <c r="CF10" s="1576" t="e">
        <f>-((CF6*#REF!)/('[74]Overall BOP'!$O$127+'[74]Overall BOP'!$O$135))*12</f>
        <v>#REF!</v>
      </c>
      <c r="CG10" s="1576" t="e">
        <f>-((CG6*#REF!)/('[74]Overall BOP'!$O$127+'[74]Overall BOP'!$O$135))*12</f>
        <v>#REF!</v>
      </c>
      <c r="CH10" s="1576" t="e">
        <f>-((CH6*#REF!)/('[74]Overall BOP'!$O$127+'[74]Overall BOP'!$O$135))*12</f>
        <v>#REF!</v>
      </c>
      <c r="CI10" s="1576" t="e">
        <f>-((CI6*#REF!)/('[74]Overall BOP'!$O$127+'[74]Overall BOP'!$O$135))*12</f>
        <v>#REF!</v>
      </c>
      <c r="CJ10" s="1576" t="e">
        <f>-((CJ6*#REF!)/('[74]Overall BOP'!$O$127+'[74]Overall BOP'!$O$135))*12</f>
        <v>#REF!</v>
      </c>
      <c r="CK10" s="1576" t="e">
        <f>-((CK6*#REF!)/('[74]Overall BOP'!$O$127+'[74]Overall BOP'!$O$135))*12</f>
        <v>#REF!</v>
      </c>
      <c r="CL10" s="1534" t="e">
        <f>-((CL6*#REF!)/('[74]Overall BOP'!$O$127+'[74]Overall BOP'!$O$135))*12</f>
        <v>#REF!</v>
      </c>
      <c r="CM10" s="1534" t="e">
        <f>-((CM6*#REF!)/('[74]Overall BOP'!$O$127+'[74]Overall BOP'!$O$135))*12</f>
        <v>#REF!</v>
      </c>
      <c r="CN10" s="1576" t="e">
        <f>-((CN6*#REF!)/('[74]Overall BOP'!$O$127+'[74]Overall BOP'!$O$135))*12</f>
        <v>#REF!</v>
      </c>
      <c r="CO10" s="1576" t="e">
        <f>-((CO6*#REF!)/('[74]Overall BOP'!$O$127+'[74]Overall BOP'!$O$135))*12</f>
        <v>#REF!</v>
      </c>
      <c r="CP10" s="1576" t="e">
        <f>-((CP6*#REF!)/('[74]Overall BOP'!O127+'[74]Overall BOP'!O135))*12</f>
        <v>#REF!</v>
      </c>
      <c r="CQ10" s="1576" t="e">
        <f>-((CQ6*#REF!)/('[74]Overall BOP'!O127+'[74]Overall BOP'!O135))*12</f>
        <v>#REF!</v>
      </c>
      <c r="CR10" s="1576" t="e">
        <f>-((CR6*#REF!)/('[74]Overall BOP'!$O$127+'[74]Overall BOP'!$O$135))*12</f>
        <v>#REF!</v>
      </c>
      <c r="CS10" s="1576"/>
      <c r="CT10" s="1576" t="e">
        <f>-((CT6*#REF!)/('[74]Overall BOP'!$O$127+'[74]Overall BOP'!$O$135))*12</f>
        <v>#REF!</v>
      </c>
      <c r="CU10" s="1576" t="e">
        <f>-((CU6*#REF!)/('[74]Overall BOP'!$O$127+'[74]Overall BOP'!$O$135))*12</f>
        <v>#REF!</v>
      </c>
      <c r="CV10" s="1576" t="e">
        <f>-((CV6*#REF!)/('[74]Overall BOP'!$O$127+'[74]Overall BOP'!$O$135))*12</f>
        <v>#REF!</v>
      </c>
      <c r="CW10" s="1576" t="e">
        <f>-((CW6*#REF!)/('[74]Overall BOP'!$O$127+'[74]Overall BOP'!$O$135))*12</f>
        <v>#REF!</v>
      </c>
      <c r="CX10" s="1576" t="e">
        <f>-((CX6*#REF!)/('[74]Overall BOP'!O127+'[74]Overall BOP'!O135))*12</f>
        <v>#REF!</v>
      </c>
      <c r="CY10" s="1576" t="e">
        <f>-((CY6*#REF!)/('[74]Overall BOP'!O127+'[74]Overall BOP'!O135))*12</f>
        <v>#REF!</v>
      </c>
      <c r="CZ10" s="1576" t="e">
        <f>-((CZ6*#REF!)/('[74]Overall BOP'!O127+'[74]Overall BOP'!O135))*12</f>
        <v>#REF!</v>
      </c>
      <c r="DA10" s="1576" t="e">
        <f>-((DA6*#REF!)/('[74]Overall BOP'!O127+'[74]Overall BOP'!O135))*12</f>
        <v>#REF!</v>
      </c>
      <c r="DB10" s="1576" t="e">
        <f>-((DB6*#REF!)/('[74]Overall BOP'!O127+'[74]Overall BOP'!O135))*12</f>
        <v>#REF!</v>
      </c>
      <c r="DC10" s="1576" t="e">
        <f>-((DC6*#REF!)/('[74]Overall BOP'!O127+'[74]Overall BOP'!O135))*12</f>
        <v>#REF!</v>
      </c>
      <c r="DD10" s="1576" t="e">
        <f>-((DD6*#REF!)/('[74]Overall BOP'!O127+'[74]Overall BOP'!O135))*12</f>
        <v>#REF!</v>
      </c>
      <c r="DE10" s="1870" t="e">
        <f>-((DE6*#REF!)/('[74]Overall BOP'!P127+'[74]Overall BOP'!P135))*12</f>
        <v>#REF!</v>
      </c>
      <c r="DF10" s="1530" t="s">
        <v>968</v>
      </c>
      <c r="DT10" s="1511"/>
      <c r="DU10" s="1507"/>
      <c r="DV10" s="1512"/>
    </row>
    <row r="11" spans="1:129" ht="15" customHeight="1">
      <c r="A11" s="1586" t="s">
        <v>1369</v>
      </c>
      <c r="B11" s="1528" t="e">
        <f>-((B6*#REF!)/BOPOverall!I12)*12</f>
        <v>#REF!</v>
      </c>
      <c r="C11" s="1528" t="e">
        <f>-((C6*#REF!)/BOPOverall!J12)*12</f>
        <v>#REF!</v>
      </c>
      <c r="D11" s="1528" t="e">
        <f>-((D6*#REF!)/BOPOverall!K12)*12</f>
        <v>#REF!</v>
      </c>
      <c r="E11" s="1579" t="e">
        <f>-((E6*#REF!)/BOPOverall!L12)*12</f>
        <v>#REF!</v>
      </c>
      <c r="F11" s="1579" t="e">
        <f>-((F6*#REF!)/BOPOverall!$M$12)*12</f>
        <v>#REF!</v>
      </c>
      <c r="G11" s="1579" t="e">
        <f>-((G6*#REF!)/BOPOverall!$M$12)*12</f>
        <v>#REF!</v>
      </c>
      <c r="H11" s="1579" t="e">
        <f>-((H6*#REF!)/BOPOverall!$M$12)*12</f>
        <v>#REF!</v>
      </c>
      <c r="I11" s="1579" t="e">
        <f>-((I6*#REF!)/BOPOverall!$M$12)*12</f>
        <v>#REF!</v>
      </c>
      <c r="J11" s="1579" t="e">
        <f>-((J6*#REF!)/BOPOverall!$M$12)*12</f>
        <v>#REF!</v>
      </c>
      <c r="K11" s="1528" t="e">
        <f>-((K6*#REF!)/BOPOverall!$M$12)*12</f>
        <v>#REF!</v>
      </c>
      <c r="L11" s="1579" t="e">
        <f>-((L6*#REF!)/BOPOverall!$N$12)*12</f>
        <v>#REF!</v>
      </c>
      <c r="M11" s="1579" t="e">
        <f>-((M6*#REF!)/BOPOverall!$N$12)*12</f>
        <v>#REF!</v>
      </c>
      <c r="N11" s="1579" t="e">
        <f>-((N6*#REF!)/BOPOverall!$N$12)*12</f>
        <v>#REF!</v>
      </c>
      <c r="O11" s="1579" t="e">
        <f>-((O6*#REF!)/BOPOverall!$N$12)*12</f>
        <v>#REF!</v>
      </c>
      <c r="P11" s="1579" t="e">
        <f>-((P6*#REF!)/BOPOverall!$N$12)*12</f>
        <v>#REF!</v>
      </c>
      <c r="Q11" s="1579" t="e">
        <f>-((Q6*#REF!)/BOPOverall!$N$12)*12</f>
        <v>#REF!</v>
      </c>
      <c r="R11" s="1579" t="e">
        <f>-((R6*#REF!)/BOPOverall!$N$12)*12</f>
        <v>#REF!</v>
      </c>
      <c r="S11" s="1579" t="e">
        <f>-((S6*#REF!)/BOPOverall!$N$12)*12</f>
        <v>#REF!</v>
      </c>
      <c r="T11" s="1579" t="e">
        <f>-((T6*#REF!)/BOPOverall!$N$12)*12</f>
        <v>#REF!</v>
      </c>
      <c r="U11" s="1579" t="e">
        <f>-((U6*#REF!)/BOPOverall!$N$12)*12</f>
        <v>#REF!</v>
      </c>
      <c r="V11" s="1579" t="e">
        <f>-((V6*#REF!)/BOPOverall!$N$12)*12</f>
        <v>#REF!</v>
      </c>
      <c r="W11" s="1580" t="e">
        <f>-((W6*#REF!)/BOPOverall!$N$12)*12</f>
        <v>#REF!</v>
      </c>
      <c r="X11" s="1581" t="e">
        <f>-((X6*#REF!)/BOPOverall!$O$12)*12</f>
        <v>#REF!</v>
      </c>
      <c r="Y11" s="1581" t="e">
        <f>-((Y6*#REF!)/BOPOverall!$O$12)*12</f>
        <v>#REF!</v>
      </c>
      <c r="Z11" s="1581" t="e">
        <f>-((Z6*#REF!)/BOPOverall!$O$12)*12</f>
        <v>#REF!</v>
      </c>
      <c r="AA11" s="1581" t="e">
        <f>-((AA6*#REF!)/BOPOverall!$O$12)*12</f>
        <v>#REF!</v>
      </c>
      <c r="AB11" s="1581" t="e">
        <f>-((AB6*#REF!)/BOPOverall!$O$12)*12</f>
        <v>#REF!</v>
      </c>
      <c r="AC11" s="1581" t="e">
        <f>-((AC6*#REF!)/BOPOverall!$O$12)*12</f>
        <v>#REF!</v>
      </c>
      <c r="AD11" s="1581" t="e">
        <f>-((AD6*#REF!)/BOPOverall!$O$12)*12</f>
        <v>#REF!</v>
      </c>
      <c r="AE11" s="1581" t="e">
        <f>-((AE6*#REF!)/BOPOverall!$O$12)*12</f>
        <v>#REF!</v>
      </c>
      <c r="AF11" s="1581" t="e">
        <f>-((AF6*#REF!)/BOPOverall!$O$12)*12</f>
        <v>#REF!</v>
      </c>
      <c r="AG11" s="1581" t="e">
        <f>-((AG6*#REF!)/BOPOverall!$O$12)*12</f>
        <v>#REF!</v>
      </c>
      <c r="AH11" s="1581" t="e">
        <f>-((AH6*#REF!)/BOPOverall!$O$12)*12</f>
        <v>#REF!</v>
      </c>
      <c r="AI11" s="1582" t="e">
        <f>-((AI6*#REF!)/'[75]Overall BOP'!J127)*12</f>
        <v>#REF!</v>
      </c>
      <c r="AJ11" s="1581" t="e">
        <f>-((AJ6*#REF!)/BOPOverall!$P$12)*12</f>
        <v>#REF!</v>
      </c>
      <c r="AK11" s="1581" t="e">
        <f>-((AK6*#REF!)/BOPOverall!$P$12)*12</f>
        <v>#REF!</v>
      </c>
      <c r="AL11" s="1581" t="e">
        <f>-((AL6*#REF!)/BOPOverall!$P$12)*12</f>
        <v>#REF!</v>
      </c>
      <c r="AM11" s="1581" t="e">
        <f>-((AM6*#REF!)/BOPOverall!$P$12)*12</f>
        <v>#REF!</v>
      </c>
      <c r="AN11" s="1581" t="e">
        <f>-((AN6*#REF!)/BOPOverall!$P$12)*12</f>
        <v>#REF!</v>
      </c>
      <c r="AO11" s="1581" t="e">
        <f>-((AO6*#REF!)/BOPOverall!$P$12)*12</f>
        <v>#REF!</v>
      </c>
      <c r="AP11" s="1581" t="e">
        <f>-((AP6*#REF!)/BOPOverall!$P$12)*12</f>
        <v>#REF!</v>
      </c>
      <c r="AQ11" s="1581" t="e">
        <f>-((AQ6*#REF!)/BOPOverall!$P$12)*12</f>
        <v>#REF!</v>
      </c>
      <c r="AR11" s="1581" t="e">
        <f>-((AR6*#REF!)/BOPOverall!$P$12)*12</f>
        <v>#REF!</v>
      </c>
      <c r="AS11" s="1581" t="e">
        <f>-((AS6*#REF!)/BOPOverall!$P$12)*12</f>
        <v>#REF!</v>
      </c>
      <c r="AT11" s="1581" t="e">
        <f>-((AT6*#REF!)/BOPOverall!$P$12)*12</f>
        <v>#REF!</v>
      </c>
      <c r="AU11" s="1582" t="e">
        <f>-((AU6*#REF!)/'[75]Overall BOP'!$K$127)*12</f>
        <v>#REF!</v>
      </c>
      <c r="AV11" s="1580" t="e">
        <f>-((AV6*#REF!)/BOPOverall!$P$12)*12</f>
        <v>#REF!</v>
      </c>
      <c r="AW11" s="1582" t="e">
        <f>-((AW6*#REF!)/BOPOverall!$P$12)*12</f>
        <v>#REF!</v>
      </c>
      <c r="AX11" s="1580" t="e">
        <f>-((AX6*#REF!)/BOPOverall!$P$12)*12</f>
        <v>#REF!</v>
      </c>
      <c r="AY11" s="1582" t="e">
        <f>-((AY6*#REF!)/BOPOverall!$P$12)*12</f>
        <v>#REF!</v>
      </c>
      <c r="AZ11" s="1580" t="e">
        <f>-((AZ6*#REF!)/BOPOverall!$P$12)*12</f>
        <v>#REF!</v>
      </c>
      <c r="BA11" s="1582" t="e">
        <f>-((BA6*#REF!)/BOPOverall!$P$12)*12</f>
        <v>#REF!</v>
      </c>
      <c r="BB11" s="1580" t="e">
        <f>-((BB6*#REF!)/BOPOverall!$P$12)*12</f>
        <v>#REF!</v>
      </c>
      <c r="BC11" s="1582" t="e">
        <f>-((BC6*#REF!)/BOPOverall!$P$12)*12</f>
        <v>#REF!</v>
      </c>
      <c r="BD11" s="1580" t="e">
        <f>-((BD6*#REF!)/BOPOverall!$P$12)*12</f>
        <v>#REF!</v>
      </c>
      <c r="BE11" s="1582" t="e">
        <f>-((BE6*#REF!)/BOPOverall!$P$12)*12</f>
        <v>#REF!</v>
      </c>
      <c r="BF11" s="1582" t="e">
        <f>-((BF6*#REF!)/BOPOverall!$P$12)*12</f>
        <v>#REF!</v>
      </c>
      <c r="BG11" s="1582" t="e">
        <f>-((BG6*#REF!)/'[75]Overall BOP'!$L$127)*12</f>
        <v>#REF!</v>
      </c>
      <c r="BH11" s="1582" t="e">
        <f>-((BH6*#REF!)/BOPOverall!$Q$12)*12</f>
        <v>#REF!</v>
      </c>
      <c r="BI11" s="1582" t="e">
        <f>-((BI6*#REF!)/BOPOverall!$Q$12)*12</f>
        <v>#REF!</v>
      </c>
      <c r="BJ11" s="1582" t="e">
        <f>-((BJ6*#REF!)/BOPOverall!$Q$12)*12</f>
        <v>#REF!</v>
      </c>
      <c r="BK11" s="1582" t="e">
        <f>-((BK6*#REF!)/BOPOverall!$Q$12)*12</f>
        <v>#REF!</v>
      </c>
      <c r="BL11" s="1582" t="e">
        <f>-((BL6*#REF!)/BOPOverall!$Q$12)*12</f>
        <v>#REF!</v>
      </c>
      <c r="BM11" s="1582" t="e">
        <f>-((BM6*#REF!)/BOPOverall!$Q$12)*12</f>
        <v>#REF!</v>
      </c>
      <c r="BN11" s="1582" t="e">
        <f>-((BN6*#REF!)/BOPOverall!$Q$12)*12</f>
        <v>#REF!</v>
      </c>
      <c r="BO11" s="1582" t="e">
        <f>-((BO6*#REF!)/BOPOverall!$Q$12)*12</f>
        <v>#REF!</v>
      </c>
      <c r="BP11" s="1582" t="e">
        <f>-((BP6*#REF!)/BOPOverall!$Q$12)*12</f>
        <v>#REF!</v>
      </c>
      <c r="BQ11" s="1582" t="e">
        <f>-((BQ6*#REF!)/BOPOverall!$Q$12)*12</f>
        <v>#REF!</v>
      </c>
      <c r="BR11" s="1582" t="e">
        <f>-((BR6*#REF!)/BOPOverall!$Q$12)*12</f>
        <v>#REF!</v>
      </c>
      <c r="BS11" s="1583" t="e">
        <f>-((BS6*#REF!)/'[75]Overall BOP'!$M$127)*12</f>
        <v>#REF!</v>
      </c>
      <c r="BT11" s="1583" t="e">
        <f>-((BT6*#REF!)/('[74]Overall BOP'!$N$127)*12)</f>
        <v>#REF!</v>
      </c>
      <c r="BU11" s="1583" t="e">
        <f>-((BU6*#REF!)/'[74]Overall BOP'!$N$127)*12</f>
        <v>#REF!</v>
      </c>
      <c r="BV11" s="1583" t="e">
        <f>-((BV6*#REF!)/'[74]Overall BOP'!$N$127)*12</f>
        <v>#REF!</v>
      </c>
      <c r="BW11" s="1583" t="e">
        <f>-((BW6*#REF!)/'[74]Overall BOP'!$N$127)*12</f>
        <v>#REF!</v>
      </c>
      <c r="BX11" s="1583" t="e">
        <f>-((BX6*#REF!)/'[74]Overall BOP'!$N$127)*12</f>
        <v>#REF!</v>
      </c>
      <c r="BY11" s="1583" t="e">
        <f>-((BY6*#REF!)/'[74]Overall BOP'!$N$127)*12</f>
        <v>#REF!</v>
      </c>
      <c r="BZ11" s="1583" t="e">
        <f>-((BZ6*#REF!)/'[74]Overall BOP'!$N$127)*12</f>
        <v>#REF!</v>
      </c>
      <c r="CA11" s="1583" t="e">
        <f>-((CA6*#REF!)/'[74]Overall BOP'!$N$127)*12</f>
        <v>#REF!</v>
      </c>
      <c r="CB11" s="1583" t="e">
        <f>-((CB6*#REF!)/'[74]Overall BOP'!$N$127)*12</f>
        <v>#REF!</v>
      </c>
      <c r="CC11" s="1583" t="e">
        <f>-((CC6*#REF!)/'[74]Overall BOP'!$N$127)*12</f>
        <v>#REF!</v>
      </c>
      <c r="CD11" s="1864" t="e">
        <f>-((CD6*#REF!)/'[74]Overall BOP'!$N$127)*12</f>
        <v>#REF!</v>
      </c>
      <c r="CE11" s="1864" t="e">
        <f>-((CE6*#REF!)/'[74]Overall BOP'!$N$127)*12</f>
        <v>#REF!</v>
      </c>
      <c r="CF11" s="1868" t="e">
        <f>-((CF6*#REF!)/'[74]Overall BOP'!$O$127)*12</f>
        <v>#REF!</v>
      </c>
      <c r="CG11" s="1868" t="e">
        <f>-((CG6*#REF!)/'[74]Overall BOP'!$O$127)*12</f>
        <v>#REF!</v>
      </c>
      <c r="CH11" s="1868" t="e">
        <f>-((CH6*#REF!)/'[74]Overall BOP'!$O$127)*12</f>
        <v>#REF!</v>
      </c>
      <c r="CI11" s="1868" t="e">
        <f>-((CI6*#REF!)/'[74]Overall BOP'!$O$127)*12</f>
        <v>#REF!</v>
      </c>
      <c r="CJ11" s="1868" t="e">
        <f>-((CJ6*#REF!)/'[74]Overall BOP'!$O$127)*12</f>
        <v>#REF!</v>
      </c>
      <c r="CK11" s="1868" t="e">
        <f>-((CK6*#REF!)/'[74]Overall BOP'!$O$127)*12</f>
        <v>#REF!</v>
      </c>
      <c r="CL11" s="1534" t="e">
        <f>-((CL6*#REF!)/'[74]Overall BOP'!$O$127)*12</f>
        <v>#REF!</v>
      </c>
      <c r="CM11" s="1534" t="e">
        <f>-((CM6*#REF!)/'[74]Overall BOP'!$O$127)*12</f>
        <v>#REF!</v>
      </c>
      <c r="CN11" s="1584" t="e">
        <f>-((CN6*#REF!)/'[74]Overall BOP'!$O$127)*12</f>
        <v>#REF!</v>
      </c>
      <c r="CO11" s="1584" t="e">
        <f>-((CO6*#REF!)/'[74]Overall BOP'!$O$127)*12</f>
        <v>#REF!</v>
      </c>
      <c r="CP11" s="1584" t="e">
        <f>-((CP6*#REF!)/'[74]Overall BOP'!$O$127)*12</f>
        <v>#REF!</v>
      </c>
      <c r="CQ11" s="1584" t="e">
        <f>-((CQ6*#REF!)/'[74]Overall BOP'!$O$127)*12</f>
        <v>#REF!</v>
      </c>
      <c r="CR11" s="1584" t="e">
        <f>-((CR6*#REF!)/'[74]Overall BOP'!$O$127)*12</f>
        <v>#REF!</v>
      </c>
      <c r="CS11" s="1584"/>
      <c r="CT11" s="1584" t="e">
        <f>-((CT6*#REF!)/'[74]Overall BOP'!$O$127)*12</f>
        <v>#REF!</v>
      </c>
      <c r="CU11" s="1584" t="e">
        <f>-((CU6*#REF!)/'[74]Overall BOP'!$O$127)*12</f>
        <v>#REF!</v>
      </c>
      <c r="CV11" s="1637" t="e">
        <f>-((CV6*#REF!)/'[74]Overall BOP'!$O$127)*12</f>
        <v>#REF!</v>
      </c>
      <c r="CW11" s="1637" t="e">
        <f>-((CW6*#REF!)/'[74]Overall BOP'!$O$127)*12</f>
        <v>#REF!</v>
      </c>
      <c r="CX11" s="1637" t="e">
        <f>-((CX6*#REF!)/'[74]Overall BOP'!$O$127)*12</f>
        <v>#REF!</v>
      </c>
      <c r="CY11" s="1637" t="e">
        <f>-((CY6*#REF!)/'[74]Overall BOP'!$O$127)*12</f>
        <v>#REF!</v>
      </c>
      <c r="CZ11" s="1584" t="e">
        <f>-((CZ6*#REF!)/'[74]Overall BOP'!$O$127)*12</f>
        <v>#REF!</v>
      </c>
      <c r="DA11" s="1584" t="e">
        <f>-((DA6*#REF!)/'[74]Overall BOP'!$O$127)*12</f>
        <v>#REF!</v>
      </c>
      <c r="DB11" s="1584" t="e">
        <f>-((DB6*#REF!)/'[74]Overall BOP'!$O$127)*12</f>
        <v>#REF!</v>
      </c>
      <c r="DC11" s="1584" t="e">
        <f>-((DC6*#REF!)/'[74]Overall BOP'!$O$127)*12</f>
        <v>#REF!</v>
      </c>
      <c r="DD11" s="1584" t="e">
        <f>-((DD6*#REF!)/'[74]Overall BOP'!$O$127)*12</f>
        <v>#REF!</v>
      </c>
      <c r="DE11" s="1871" t="e">
        <f>-((DE6*#REF!)/'[74]Overall BOP'!$O$127)*12</f>
        <v>#REF!</v>
      </c>
      <c r="DF11" s="1530"/>
      <c r="DT11" s="1511"/>
      <c r="DU11" t="e">
        <f>CE11-'[72]Reserves-ICBS'!$H$47</f>
        <v>#REF!</v>
      </c>
      <c r="DV11" t="e">
        <f>CQ11-'[72]Reserves-ICBS'!$I$47</f>
        <v>#REF!</v>
      </c>
    </row>
    <row r="12" spans="1:129" ht="15" customHeight="1">
      <c r="A12" s="1578" t="s">
        <v>141</v>
      </c>
      <c r="B12" s="1528">
        <f>-(B7/BOPIndia!H11)*12</f>
        <v>6.1454484100283171</v>
      </c>
      <c r="C12" s="1528">
        <f>-(C7/BOPIndia!I11)*12</f>
        <v>6.1457933201554322</v>
      </c>
      <c r="D12" s="1528">
        <f>-(D7/BOPIndia!J11)*12</f>
        <v>6.061912714179341</v>
      </c>
      <c r="E12" s="1579">
        <f>-(E7/BOPIndia!K11)*12</f>
        <v>5.6448596893307039</v>
      </c>
      <c r="F12" s="1579">
        <f>-(F7/BOPIndia!$L$11)*12</f>
        <v>5.2458796615318732</v>
      </c>
      <c r="G12" s="1579">
        <f>-(G7/BOPIndia!$L$11)*12</f>
        <v>4.526061779750143</v>
      </c>
      <c r="H12" s="1579">
        <f>-(H7/BOPIndia!$L$11)*12</f>
        <v>4.7231036975984022</v>
      </c>
      <c r="I12" s="1579">
        <f>-(I7/BOPIndia!$L$11)*12</f>
        <v>5.6128900522985337</v>
      </c>
      <c r="J12" s="1579">
        <f>-(J7/BOPIndia!$L$11)*12</f>
        <v>4.8533946513233399</v>
      </c>
      <c r="K12" s="1528">
        <f>-(K7/BOPIndia!$L$11)*12</f>
        <v>4.4369405823407853</v>
      </c>
      <c r="L12" s="1579">
        <f>-(L7/BOPIndia!$M$11)*12</f>
        <v>3.8006719116634584</v>
      </c>
      <c r="M12" s="1579">
        <f>-(M7/BOPIndia!$M$11)*12</f>
        <v>3.8056693216065502</v>
      </c>
      <c r="N12" s="1579">
        <f>-(N7/BOPIndia!$M$11)*12</f>
        <v>4.1103980081818285</v>
      </c>
      <c r="O12" s="1579">
        <f>-(O7/BOPIndia!$M$11)*12</f>
        <v>3.4457424857505412</v>
      </c>
      <c r="P12" s="1579">
        <f>-(P7/BOPIndia!$M$11)*12</f>
        <v>3.9162809280793955</v>
      </c>
      <c r="Q12" s="1579">
        <f>-(Q7/BOPIndia!$M$11)*12</f>
        <v>4.0285130098852626</v>
      </c>
      <c r="R12" s="1579">
        <f>-(R7/BOPIndia!$M$11)*12</f>
        <v>4.7236062717885368</v>
      </c>
      <c r="S12" s="1579">
        <f>-(S7/BOPIndia!$M$11)*12</f>
        <v>4.7418507842791922</v>
      </c>
      <c r="T12" s="1579">
        <f>-(T7/BOPIndia!$M$11)*12</f>
        <v>4.7596646809470853</v>
      </c>
      <c r="U12" s="1579">
        <f>-(U7/BOPIndia!$M$11)*12</f>
        <v>6.0873439184813023</v>
      </c>
      <c r="V12" s="1579">
        <f>-(V7/BOPIndia!$M$11)*12</f>
        <v>4.5048647658213881</v>
      </c>
      <c r="W12" s="1580">
        <f>-(W7/BOPIndia!$M$11)*12</f>
        <v>4.9439569210933696</v>
      </c>
      <c r="X12" s="1581">
        <f>-(X7/BOPIndia!$N$11)*12</f>
        <v>3.2320472860708138</v>
      </c>
      <c r="Y12" s="1581">
        <f>-(Y7/BOPIndia!$N$11)*12</f>
        <v>2.9134909435141876</v>
      </c>
      <c r="Z12" s="1581">
        <f>-(Z7/BOPIndia!$N$11)*12</f>
        <v>2.8243006478008335</v>
      </c>
      <c r="AA12" s="1581">
        <f>-(AA7/BOPIndia!$N$11)*12</f>
        <v>4.5747947597189702</v>
      </c>
      <c r="AB12" s="1581">
        <f>-(AB7/BOPIndia!$N$11)*12</f>
        <v>5.9747614191292477</v>
      </c>
      <c r="AC12" s="1581">
        <f>-(AC7/BOPIndia!$N$11)*12</f>
        <v>5.3157866404650136</v>
      </c>
      <c r="AD12" s="1581">
        <f>-(AD7/BOPIndia!$N$11)*12</f>
        <v>5.4103886361486859</v>
      </c>
      <c r="AE12" s="1581">
        <f>-(AE7/BOPIndia!$N$11)*12</f>
        <v>5.0876438531087027</v>
      </c>
      <c r="AF12" s="1581">
        <f>-(AF7/BOPIndia!$N$11)*12</f>
        <v>5.4371144094198272</v>
      </c>
      <c r="AG12" s="1581">
        <f>-(AG7/BOPIndia!$N$11)*12</f>
        <v>4.0636190853074003</v>
      </c>
      <c r="AH12" s="1581">
        <f>-(AH7/BOPIndia!$N$11)*12</f>
        <v>4.4834515273085636</v>
      </c>
      <c r="AI12" s="1582">
        <f>-(AI7/'[75]BOP India Report'!$J$65)*12</f>
        <v>3.5017123934525545</v>
      </c>
      <c r="AJ12" s="1581">
        <f>-(AJ7/BOPIndia!$O$11)*12</f>
        <v>2.6069537152758397</v>
      </c>
      <c r="AK12" s="1581">
        <f>-(AK7/BOPIndia!$O$11)*12</f>
        <v>2.437429804915574</v>
      </c>
      <c r="AL12" s="1581">
        <f>-(AL7/BOPIndia!$O$11)*12</f>
        <v>2.1907075437779655</v>
      </c>
      <c r="AM12" s="1581">
        <f>-(AM7/BOPIndia!$O$11)*12</f>
        <v>2.6757524960106083</v>
      </c>
      <c r="AN12" s="1581">
        <f>-(AN7/BOPIndia!$O$11)*12</f>
        <v>4.7328881160173424</v>
      </c>
      <c r="AO12" s="1581">
        <f>-(AO7/BOPIndia!$O$11)*12</f>
        <v>4.12506571105218</v>
      </c>
      <c r="AP12" s="1581">
        <f>-(AP7/BOPIndia!$O$11)*12</f>
        <v>4.6063168026412908</v>
      </c>
      <c r="AQ12" s="1581">
        <f>-(AQ7/BOPIndia!$O$11)*12</f>
        <v>3.9587317651804002</v>
      </c>
      <c r="AR12" s="1581">
        <f>-(AR7/BOPIndia!$O$11)*12</f>
        <v>3.4907247169725846</v>
      </c>
      <c r="AS12" s="1581">
        <f>-(AS7/BOPIndia!$O$11)*12</f>
        <v>4.9916755170779146</v>
      </c>
      <c r="AT12" s="1581">
        <f>-(AT7/BOPIndia!$O$11)*12</f>
        <v>3.3919677874710628</v>
      </c>
      <c r="AU12" s="1582">
        <f>-(AU7/'[75]BOP India Report'!$K$65)*12</f>
        <v>2.7234599404742621</v>
      </c>
      <c r="AV12" s="1582">
        <f>-(AV7/BOPIndia!$O$11)*12</f>
        <v>2.2702029969436088</v>
      </c>
      <c r="AW12" s="1582">
        <f>-(AW7/BOPIndia!$O$11)*12</f>
        <v>1.7470245020412907</v>
      </c>
      <c r="AX12" s="1582">
        <f>-(AX7/BOPIndia!$O$11)*12</f>
        <v>1.5697729402155205</v>
      </c>
      <c r="AY12" s="1582">
        <f>-(AY7/BOPIndia!$O$11)*12</f>
        <v>1.9374443212193673</v>
      </c>
      <c r="AZ12" s="1580">
        <f>-(AZ7/BOPIndia!$O$11)*12</f>
        <v>2.8805823571014084</v>
      </c>
      <c r="BA12" s="1582">
        <f>-(BA7/BOPIndia!$O$11)*12</f>
        <v>3.28142815565504</v>
      </c>
      <c r="BB12" s="1580">
        <f>-(BB7/BOPIndia!$O$11)*12</f>
        <v>2.8309067262107548</v>
      </c>
      <c r="BC12" s="1582">
        <f>-(BC7/BOPIndia!$O$11)*12</f>
        <v>2.5891217973753027</v>
      </c>
      <c r="BD12" s="1580">
        <f>-(BD7/BOPIndia!$O$11)*12</f>
        <v>2.0499528891388028</v>
      </c>
      <c r="BE12" s="1582">
        <f>-(BE7/BOPIndia!$O$11)*12</f>
        <v>0.96675723424976667</v>
      </c>
      <c r="BF12" s="1582">
        <f>-(BF7/BOPIndia!$O$11)*12</f>
        <v>0.8802415074590032</v>
      </c>
      <c r="BG12" s="1582">
        <f>-(BG7/'[75]BOP India Report'!$L$65)*12</f>
        <v>0.56094380850820491</v>
      </c>
      <c r="BH12" s="1582">
        <f>-(BH7/BOPIndia!$P$11)*12</f>
        <v>0.45175315474221112</v>
      </c>
      <c r="BI12" s="1582">
        <f>-(BI7/BOPIndia!$P$11)*12</f>
        <v>1.2439777848103801</v>
      </c>
      <c r="BJ12" s="1582">
        <f>-(BJ7/BOPIndia!$P$11)*12</f>
        <v>1.1252493448030962</v>
      </c>
      <c r="BK12" s="1582">
        <f>-(BK7/BOPIndia!$P$11)*12</f>
        <v>1.5565851572871594</v>
      </c>
      <c r="BL12" s="1582">
        <f>-(BL7/BOPIndia!$P$11)*12</f>
        <v>2.6127448314007715</v>
      </c>
      <c r="BM12" s="1582">
        <f>-(BM7/BOPIndia!$P$11)*12</f>
        <v>2.9155940131751534</v>
      </c>
      <c r="BN12" s="1582">
        <f>-(BN7/BOPIndia!$P$11)*12</f>
        <v>0.57044423832925495</v>
      </c>
      <c r="BO12" s="1582">
        <f>-(BO7/BOPIndia!$P$11)*12</f>
        <v>0.57044423832925495</v>
      </c>
      <c r="BP12" s="1582">
        <f>-(BP7/BOPIndia!$P$11)*12</f>
        <v>0.71911130079129293</v>
      </c>
      <c r="BQ12" s="1582">
        <f>-(BQ7/BOPIndia!$P$11)*12</f>
        <v>0.71112825799247614</v>
      </c>
      <c r="BR12" s="1582">
        <f>-(BR7/BOPIndia!$P$11)*12</f>
        <v>0.70711234342523532</v>
      </c>
      <c r="BS12" s="1583">
        <f>-(BS7/'[75]BOP India Report'!$M$65)*12</f>
        <v>0.4735002452573237</v>
      </c>
      <c r="BT12" s="1600">
        <f>-(BH7/'[74]BOP India Report'!$N$65)*12</f>
        <v>0.31609140104914391</v>
      </c>
      <c r="BU12" s="1600">
        <f>-(BI7/'[74]BOP India Report'!$N$65)*12</f>
        <v>0.8704104813592406</v>
      </c>
      <c r="BV12" s="1600">
        <f>-(BJ7/'[74]BOP India Report'!$N$65)*12</f>
        <v>0.78733626582288829</v>
      </c>
      <c r="BW12" s="1600">
        <f>-(BK7/'[74]BOP India Report'!$N$65)*12</f>
        <v>1.0891416652086663</v>
      </c>
      <c r="BX12" s="1600">
        <f>-(BL7/'[74]BOP India Report'!$N$65)*12</f>
        <v>1.8281359314749053</v>
      </c>
      <c r="BY12" s="1600">
        <f>-(BM7/'[74]BOP India Report'!$N$65)*12</f>
        <v>2.0400393153666627</v>
      </c>
      <c r="BZ12" s="1600">
        <f>-(BN7/'[74]BOP India Report'!$N$65)*12</f>
        <v>0.39913947832151753</v>
      </c>
      <c r="CA12" s="1600">
        <f>-(CA7/'[74]BOP India Report'!$N$65)*12</f>
        <v>0.45734776095409246</v>
      </c>
      <c r="CB12" s="1600">
        <f>-(CB7/'[74]BOP India Report'!$N$65)*12</f>
        <v>0.46244993197756584</v>
      </c>
      <c r="CC12" s="1600">
        <f>-(CC7/'[74]BOP India Report'!$N$65)*12</f>
        <v>1.0898521614058754</v>
      </c>
      <c r="CD12" s="1864">
        <f>-(CD7/'[74]BOP India Report'!$N$65)*12</f>
        <v>1.0560688944188033</v>
      </c>
      <c r="CE12" s="1864">
        <f>-(CE7/'[74]BOP India Report'!$N$65)*12</f>
        <v>0.32031297255615887</v>
      </c>
      <c r="CF12" s="1868">
        <f>-(CF7/'[74]BOP India Report'!$O$65)*12</f>
        <v>0.7407944210144648</v>
      </c>
      <c r="CG12" s="1868">
        <f>-(CG7/'[74]BOP India Report'!$O$65)*12</f>
        <v>1.0482377054272525</v>
      </c>
      <c r="CH12" s="1868">
        <f>-(CH7/'[74]BOP India Report'!$O$65)*12</f>
        <v>1.2343469422220936</v>
      </c>
      <c r="CI12" s="1868">
        <f>-(CI7/'[74]BOP India Report'!$O$65)*12</f>
        <v>1.0304883336566968</v>
      </c>
      <c r="CJ12" s="1868">
        <f>-(CJ7/'[74]BOP India Report'!$O$65)*12</f>
        <v>2.2330397220402829</v>
      </c>
      <c r="CK12" s="1868">
        <f>-(CK7/'[74]BOP India Report'!$O$65)*12</f>
        <v>2.338941048862492</v>
      </c>
      <c r="CL12" s="1534">
        <f>-(CL7/'[74]BOP India Report'!$O$65)*12</f>
        <v>0.78151855390600633</v>
      </c>
      <c r="CM12" s="1534">
        <f>-(CM7/'[74]BOP India Report'!$O$65)*12</f>
        <v>2.0146903003559231</v>
      </c>
      <c r="CN12" s="1584">
        <f>-(CN7/'[74]BOP India Report'!$O$65)*12</f>
        <v>1.253148194168503</v>
      </c>
      <c r="CO12" s="1584">
        <f>-(CO7/'[74]BOP India Report'!$O$65)*12</f>
        <v>0.75472705716661515</v>
      </c>
      <c r="CP12" s="1584">
        <f>-(CP7/'[74]BOP India Report'!$O$65)*12</f>
        <v>0.78142856432504282</v>
      </c>
      <c r="CQ12" s="1584">
        <f>-(CQ7/'[74]BOP India Report'!$O$65)*12</f>
        <v>0.58419375097816129</v>
      </c>
      <c r="CR12" s="1584">
        <f>-(CR7/'[74]BOP India Report'!$O$65)*12</f>
        <v>0.68680738989214685</v>
      </c>
      <c r="CS12" s="1584"/>
      <c r="CT12" s="1584">
        <f>-(CT7/'[74]BOP India Report'!$O$65)*12</f>
        <v>2.8491534471018936</v>
      </c>
      <c r="CU12" s="1584">
        <f>-(CU7/'[74]BOP India Report'!$O$65)*12</f>
        <v>2.310898757836426</v>
      </c>
      <c r="CV12" s="1584">
        <f>-(CV7/'[74]BOP India Report'!$O$65)*12</f>
        <v>1.7043899777468774</v>
      </c>
      <c r="CW12" s="1584">
        <f>-(CW7/'[74]BOP India Report'!$O$65)*12</f>
        <v>2.4307479585170131</v>
      </c>
      <c r="CX12" s="1584">
        <f>-(CX7/'[74]BOP India Report'!$O$65)*12</f>
        <v>2.5575254353141852</v>
      </c>
      <c r="CY12" s="1584">
        <f>-(CY7/'[74]BOP India Report'!$O$65)*12</f>
        <v>0.54405401145940702</v>
      </c>
      <c r="CZ12" s="1584">
        <f>-(CZ7/'[74]BOP India Report'!$O$65)*12</f>
        <v>0.33406683799489967</v>
      </c>
      <c r="DA12" s="1584">
        <f>-(DA7/'[74]BOP India Report'!$O$65)*12</f>
        <v>0.48101298098570211</v>
      </c>
      <c r="DB12" s="1584">
        <f>-(DB7/'[74]BOP India Report'!$O$65)*12</f>
        <v>0.53802232301226516</v>
      </c>
      <c r="DC12" s="1584">
        <f>-(DC7/'[74]BOP India Report'!$O$65)*12</f>
        <v>0.30421844266734366</v>
      </c>
      <c r="DD12" s="1584">
        <f>-(DD7/'[74]BOP India Report'!$O$65)*12</f>
        <v>0.32824272041846714</v>
      </c>
      <c r="DE12" s="1871">
        <f>-(DE7/'[74]BOP India Report'!$O$65)*12</f>
        <v>0.35044202526058715</v>
      </c>
      <c r="DF12" s="1530"/>
      <c r="DT12" s="1511"/>
      <c r="DU12">
        <f>CE12-'[72]Reserves-ICBS'!$H$49</f>
        <v>0</v>
      </c>
      <c r="DV12">
        <f>CQ12-'[72]Reserves-ICBS'!$I$49</f>
        <v>0</v>
      </c>
    </row>
    <row r="13" spans="1:129" ht="15" customHeight="1">
      <c r="A13" s="1601" t="s">
        <v>626</v>
      </c>
      <c r="B13" s="1602" t="e">
        <f>-((B8*#REF!)/BOPCOTI!H12)*12</f>
        <v>#REF!</v>
      </c>
      <c r="C13" s="1602" t="e">
        <f>-((C8*#REF!)/BOPCOTI!I12)*12</f>
        <v>#REF!</v>
      </c>
      <c r="D13" s="1602" t="e">
        <f>-((D8*#REF!)/BOPCOTI!J12)*12</f>
        <v>#REF!</v>
      </c>
      <c r="E13" s="1603" t="e">
        <f>-((E8*#REF!)/BOPCOTI!K12)*12</f>
        <v>#REF!</v>
      </c>
      <c r="F13" s="1603" t="e">
        <f>-((F8*#REF!)/BOPCOTI!$L$12)*12</f>
        <v>#REF!</v>
      </c>
      <c r="G13" s="1603" t="e">
        <f>-((G8*#REF!)/BOPCOTI!$L$12)*12</f>
        <v>#REF!</v>
      </c>
      <c r="H13" s="1603" t="e">
        <f>-((H8*#REF!)/BOPCOTI!$L$12)*12</f>
        <v>#REF!</v>
      </c>
      <c r="I13" s="1603" t="e">
        <f>-((I8*#REF!)/BOPCOTI!$L$12)*12</f>
        <v>#REF!</v>
      </c>
      <c r="J13" s="1603" t="e">
        <f>-((J8*#REF!)/BOPCOTI!$L$12)*12</f>
        <v>#REF!</v>
      </c>
      <c r="K13" s="1602" t="e">
        <f>-((K8*#REF!)/BOPCOTI!$L$12)*12</f>
        <v>#REF!</v>
      </c>
      <c r="L13" s="1603" t="e">
        <f>-((L8*#REF!)/BOPCOTI!M12)*12</f>
        <v>#REF!</v>
      </c>
      <c r="M13" s="1603" t="e">
        <f>-((M8*#REF!)/BOPCOTI!M12)*12</f>
        <v>#REF!</v>
      </c>
      <c r="N13" s="1603" t="e">
        <f>-((N8*#REF!)/BOPCOTI!M12)*12</f>
        <v>#REF!</v>
      </c>
      <c r="O13" s="1603" t="e">
        <f>-((O8*#REF!)/BOPCOTI!M12)*12</f>
        <v>#REF!</v>
      </c>
      <c r="P13" s="1603" t="e">
        <f>-((P8*#REF!)/BOPCOTI!M12)*12</f>
        <v>#REF!</v>
      </c>
      <c r="Q13" s="1603" t="e">
        <f>-((Q8*#REF!)/BOPCOTI!M12)*12</f>
        <v>#REF!</v>
      </c>
      <c r="R13" s="1603" t="e">
        <f>-((R8*#REF!)/BOPCOTI!M12)*12</f>
        <v>#REF!</v>
      </c>
      <c r="S13" s="1603" t="e">
        <f>-((S8*#REF!)/BOPCOTI!M12)*12</f>
        <v>#REF!</v>
      </c>
      <c r="T13" s="1603" t="e">
        <f>-((T8*#REF!)/BOPCOTI!M12)*12</f>
        <v>#REF!</v>
      </c>
      <c r="U13" s="1603" t="e">
        <f>-((U8*#REF!)/BOPCOTI!M12)*12</f>
        <v>#REF!</v>
      </c>
      <c r="V13" s="1603" t="e">
        <f>-((V8*#REF!)/BOPCOTI!M12)*12</f>
        <v>#REF!</v>
      </c>
      <c r="W13" s="1604" t="e">
        <f>-((W8*#REF!)/BOPCOTI!M12)*12</f>
        <v>#REF!</v>
      </c>
      <c r="X13" s="1605" t="e">
        <f>-((X8*#REF!)/BOPCOTI!N12)*12</f>
        <v>#REF!</v>
      </c>
      <c r="Y13" s="1605" t="e">
        <f>-((Y8*#REF!)/BOPCOTI!N12)*12</f>
        <v>#REF!</v>
      </c>
      <c r="Z13" s="1605" t="e">
        <f>-((Z8*#REF!)/BOPCOTI!N12)*12</f>
        <v>#REF!</v>
      </c>
      <c r="AA13" s="1605" t="e">
        <f>-((AA8*#REF!)/BOPCOTI!N12)*12</f>
        <v>#REF!</v>
      </c>
      <c r="AB13" s="1605" t="e">
        <f>-((AB8*#REF!)/BOPCOTI!N12)*12</f>
        <v>#REF!</v>
      </c>
      <c r="AC13" s="1605" t="e">
        <f>-((AC8*#REF!)/BOPCOTI!N12)*12</f>
        <v>#REF!</v>
      </c>
      <c r="AD13" s="1605" t="e">
        <f>-((AD8*#REF!)/BOPCOTI!N12)*12</f>
        <v>#REF!</v>
      </c>
      <c r="AE13" s="1605" t="e">
        <f>-((AE8*#REF!)/BOPCOTI!N12)*12</f>
        <v>#REF!</v>
      </c>
      <c r="AF13" s="1605" t="e">
        <f>-((AF8*#REF!)/BOPCOTI!N12)*12</f>
        <v>#REF!</v>
      </c>
      <c r="AG13" s="1605" t="e">
        <f>-((AG8*#REF!)/BOPCOTI!N12)*12</f>
        <v>#REF!</v>
      </c>
      <c r="AH13" s="1605" t="e">
        <f>-((AH8*#REF!)/BOPCOTI!N12)*12</f>
        <v>#REF!</v>
      </c>
      <c r="AI13" s="1606" t="e">
        <f>-((AI8*#REF!)/'[75]BOP COTI Report'!$J$12)*12</f>
        <v>#REF!</v>
      </c>
      <c r="AJ13" s="1605" t="e">
        <f>-((AJ8*#REF!)/BOPCOTI!$O$12)*12</f>
        <v>#REF!</v>
      </c>
      <c r="AK13" s="1605" t="e">
        <f>-((AK8*#REF!)/BOPCOTI!$O$12)*12</f>
        <v>#REF!</v>
      </c>
      <c r="AL13" s="1605" t="e">
        <f>-((AL8*#REF!)/BOPCOTI!$O$12)*12</f>
        <v>#REF!</v>
      </c>
      <c r="AM13" s="1605" t="e">
        <f>-((AM8*#REF!)/BOPCOTI!$O$12)*12</f>
        <v>#REF!</v>
      </c>
      <c r="AN13" s="1605" t="e">
        <f>-((AN8*#REF!)/BOPCOTI!$O$12)*12</f>
        <v>#REF!</v>
      </c>
      <c r="AO13" s="1605" t="e">
        <f>-((AO8*#REF!)/BOPCOTI!$O$12)*12</f>
        <v>#REF!</v>
      </c>
      <c r="AP13" s="1605" t="e">
        <f>-((AP8*#REF!)/BOPCOTI!$O$12)*12</f>
        <v>#REF!</v>
      </c>
      <c r="AQ13" s="1605" t="e">
        <f>-((AQ8*#REF!)/BOPCOTI!$O$12)*12</f>
        <v>#REF!</v>
      </c>
      <c r="AR13" s="1605" t="e">
        <f>-((AR8*#REF!)/BOPCOTI!$O$12)*12</f>
        <v>#REF!</v>
      </c>
      <c r="AS13" s="1605" t="e">
        <f>-((AS8*#REF!)/BOPCOTI!$O$12)*12</f>
        <v>#REF!</v>
      </c>
      <c r="AT13" s="1605" t="e">
        <f>-((AT8*#REF!)/BOPCOTI!$O$12)*12</f>
        <v>#REF!</v>
      </c>
      <c r="AU13" s="1606" t="e">
        <f>-((AU8*#REF!)/'[75]BOP COTI Report'!$K$12)*12</f>
        <v>#REF!</v>
      </c>
      <c r="AV13" s="1604" t="e">
        <f>-((AV8*#REF!)/BOPCOTI!$O$12)*12</f>
        <v>#REF!</v>
      </c>
      <c r="AW13" s="1606" t="e">
        <f>-((AW8*#REF!)/BOPCOTI!$O$12)*12</f>
        <v>#REF!</v>
      </c>
      <c r="AX13" s="1604" t="e">
        <f>-((AX8*#REF!)/BOPCOTI!$O$12)*12</f>
        <v>#REF!</v>
      </c>
      <c r="AY13" s="1606" t="e">
        <f>-((AY8*#REF!)/BOPCOTI!$O$12)*12</f>
        <v>#REF!</v>
      </c>
      <c r="AZ13" s="1604" t="e">
        <f>-((AZ8*#REF!)/BOPCOTI!$O$12)*12</f>
        <v>#REF!</v>
      </c>
      <c r="BA13" s="1606" t="e">
        <f>-((BA8*#REF!)/BOPCOTI!$O$12)*12</f>
        <v>#REF!</v>
      </c>
      <c r="BB13" s="1604" t="e">
        <f>-((BB8*#REF!)/BOPCOTI!$O$12)*12</f>
        <v>#REF!</v>
      </c>
      <c r="BC13" s="1606" t="e">
        <f>-((BC8*#REF!)/BOPCOTI!$O$12)*12</f>
        <v>#REF!</v>
      </c>
      <c r="BD13" s="1604" t="e">
        <f>-((BD8*#REF!)/BOPCOTI!$O$12)*12</f>
        <v>#REF!</v>
      </c>
      <c r="BE13" s="1606" t="e">
        <f>-((BE8*#REF!)/BOPCOTI!$O$12)*12</f>
        <v>#REF!</v>
      </c>
      <c r="BF13" s="1606" t="e">
        <f>-((BF8*#REF!)/BOPCOTI!$O$12)*12</f>
        <v>#REF!</v>
      </c>
      <c r="BG13" s="1606" t="e">
        <f>-((BG8*#REF!)/'[75]BOP COTI Report'!$L$12)*12</f>
        <v>#REF!</v>
      </c>
      <c r="BH13" s="1606" t="e">
        <f>-((BH8*#REF!)/BOPCOTI!$P$12)*12</f>
        <v>#REF!</v>
      </c>
      <c r="BI13" s="1606" t="e">
        <f>-((BI8*#REF!)/BOPCOTI!$P$12)*12</f>
        <v>#REF!</v>
      </c>
      <c r="BJ13" s="1606" t="e">
        <f>-((BJ8*#REF!)/BOPCOTI!$P$12)*12</f>
        <v>#REF!</v>
      </c>
      <c r="BK13" s="1606" t="e">
        <f>-((BK8*#REF!)/BOPCOTI!$P$12)*12</f>
        <v>#REF!</v>
      </c>
      <c r="BL13" s="1606" t="e">
        <f>-((BL8*#REF!)/BOPCOTI!$P$12)*12</f>
        <v>#REF!</v>
      </c>
      <c r="BM13" s="1606" t="e">
        <f>-((BM8*#REF!)/BOPCOTI!$P$12)*12</f>
        <v>#REF!</v>
      </c>
      <c r="BN13" s="1606" t="e">
        <f>-((BN8*#REF!)/BOPCOTI!$P$12)*12</f>
        <v>#REF!</v>
      </c>
      <c r="BO13" s="1606" t="e">
        <f>-((BO8*#REF!)/BOPCOTI!$P$12)*12</f>
        <v>#REF!</v>
      </c>
      <c r="BP13" s="1606" t="e">
        <f>-((BP8*#REF!)/BOPCOTI!$P$12)*12</f>
        <v>#REF!</v>
      </c>
      <c r="BQ13" s="1606" t="e">
        <f>-((BQ8*#REF!)/BOPCOTI!$P$12)*12</f>
        <v>#REF!</v>
      </c>
      <c r="BR13" s="1606" t="e">
        <f>-((BR8*#REF!)/BOPCOTI!$P$12)*12</f>
        <v>#REF!</v>
      </c>
      <c r="BS13" s="1607" t="e">
        <f>-((BS8*#REF!)/'[75]BOP COTI Report'!$M$12)*12</f>
        <v>#REF!</v>
      </c>
      <c r="BT13" s="1608" t="e">
        <f>-((BT8*#REF!)/'[74]BOP COTI Report'!$N$66)*12</f>
        <v>#REF!</v>
      </c>
      <c r="BU13" s="1608" t="e">
        <f>-((BU8*#REF!)/BOPCOTI!$Q$12)*12</f>
        <v>#REF!</v>
      </c>
      <c r="BV13" s="1608" t="e">
        <f>-((BV8*#REF!)/'[74]BOP COTI Report'!$N$66)*12</f>
        <v>#REF!</v>
      </c>
      <c r="BW13" s="1608" t="e">
        <f>-((BW8*#REF!)/'[74]BOP COTI Report'!$N$66)*12</f>
        <v>#REF!</v>
      </c>
      <c r="BX13" s="1608" t="e">
        <f>-((BX8*#REF!)/'[74]BOP COTI Report'!$N$66)*12</f>
        <v>#REF!</v>
      </c>
      <c r="BY13" s="1608" t="e">
        <f>-((BY8*#REF!)/'[74]BOP COTI Report'!$N$66)*12</f>
        <v>#REF!</v>
      </c>
      <c r="BZ13" s="1608" t="e">
        <f>-((BZ8*#REF!)/'[74]BOP COTI Report'!$N$66)*12</f>
        <v>#REF!</v>
      </c>
      <c r="CA13" s="1608" t="e">
        <f>-((CA8*#REF!)/'[74]BOP COTI Report'!$N$66)*12</f>
        <v>#REF!</v>
      </c>
      <c r="CB13" s="1608" t="e">
        <f>-((CB8*#REF!)/'[74]BOP COTI Report'!$N$66)*12</f>
        <v>#REF!</v>
      </c>
      <c r="CC13" s="1608" t="e">
        <f>-((CC8*#REF!)/'[74]BOP COTI Report'!$N$66)*12</f>
        <v>#REF!</v>
      </c>
      <c r="CD13" s="1866" t="e">
        <f>-((CD8*#REF!)/'[74]BOP COTI Report'!$N$66)*12</f>
        <v>#REF!</v>
      </c>
      <c r="CE13" s="1866" t="e">
        <f>-((CE8*#REF!)/'[74]BOP COTI Report'!$N$66)*12</f>
        <v>#REF!</v>
      </c>
      <c r="CF13" s="1872" t="e">
        <f>-((CF8*#REF!)/'[74]BOP COTI Report'!$O$66)*12</f>
        <v>#REF!</v>
      </c>
      <c r="CG13" s="1872" t="e">
        <f>-((CG8*#REF!)/'[74]BOP COTI Report'!$O$66)*12</f>
        <v>#REF!</v>
      </c>
      <c r="CH13" s="1872" t="e">
        <f>-((CH8*#REF!)/'[74]BOP COTI Report'!$O$66)*12</f>
        <v>#REF!</v>
      </c>
      <c r="CI13" s="1872" t="e">
        <f>-((CI8*#REF!)/'[74]BOP COTI Report'!$O$66)*12</f>
        <v>#REF!</v>
      </c>
      <c r="CJ13" s="1872" t="e">
        <f>-((CJ8*#REF!)/'[74]BOP COTI Report'!$O$66)*12</f>
        <v>#REF!</v>
      </c>
      <c r="CK13" s="1872" t="e">
        <f>-((CK8*#REF!)/'[74]BOP COTI Report'!$O$66)*12</f>
        <v>#REF!</v>
      </c>
      <c r="CL13" s="1635" t="e">
        <f>-((CL8*#REF!)/'[74]BOP COTI Report'!$O$66)*12</f>
        <v>#REF!</v>
      </c>
      <c r="CM13" s="1635" t="e">
        <f>-((CM8*#REF!)/'[74]BOP COTI Report'!$O$66)*12</f>
        <v>#REF!</v>
      </c>
      <c r="CN13" s="1645" t="e">
        <f>-((CN8*#REF!)/'[74]BOP COTI Report'!$O$66)*12</f>
        <v>#REF!</v>
      </c>
      <c r="CO13" s="1645" t="e">
        <f>-((CO8*#REF!)/'[74]BOP COTI Report'!$O$66)*12</f>
        <v>#REF!</v>
      </c>
      <c r="CP13" s="1645" t="e">
        <f>-((CP8*#REF!)/'[74]BOP COTI Report'!$O$66)*12</f>
        <v>#REF!</v>
      </c>
      <c r="CQ13" s="1645" t="e">
        <f>-((CQ8*#REF!)/'[74]BOP COTI Report'!$O$66)*12</f>
        <v>#REF!</v>
      </c>
      <c r="CR13" s="1645" t="e">
        <f>-((CR8*#REF!)/'[74]BOP COTI Report'!$O$66)*12</f>
        <v>#REF!</v>
      </c>
      <c r="CS13" s="1645"/>
      <c r="CT13" s="1645" t="e">
        <f>-((CT8*#REF!)/'[74]BOP COTI Report'!$O$66)*12</f>
        <v>#REF!</v>
      </c>
      <c r="CU13" s="1645" t="e">
        <f>-((CU8*#REF!)/'[74]BOP COTI Report'!$O$66)*12</f>
        <v>#REF!</v>
      </c>
      <c r="CV13" s="1645" t="e">
        <f>-((CV8*#REF!)/'[74]BOP COTI Report'!$O$66)*12</f>
        <v>#REF!</v>
      </c>
      <c r="CW13" s="1645" t="e">
        <f>-((CW8*#REF!)/'[74]BOP COTI Report'!$O$66)*12</f>
        <v>#REF!</v>
      </c>
      <c r="CX13" s="1645" t="e">
        <f>-((CX8*#REF!)/'[74]BOP COTI Report'!$O$66)*12</f>
        <v>#REF!</v>
      </c>
      <c r="CY13" s="1645" t="e">
        <f>-((CY8*#REF!)/'[74]BOP COTI Report'!$O$66)*12</f>
        <v>#REF!</v>
      </c>
      <c r="CZ13" s="1645" t="e">
        <f>-((CZ8*#REF!)/'[74]BOP COTI Report'!$O$66)*12</f>
        <v>#REF!</v>
      </c>
      <c r="DA13" s="1645" t="e">
        <f>-((DA8*#REF!)/'[74]BOP COTI Report'!$O$66)*12</f>
        <v>#REF!</v>
      </c>
      <c r="DB13" s="1645" t="e">
        <f>-((DB8*#REF!)/'[74]BOP COTI Report'!$O$66)*12</f>
        <v>#REF!</v>
      </c>
      <c r="DC13" s="1645" t="e">
        <f>-((DC8*#REF!)/'[74]BOP COTI Report'!$O$66)*12</f>
        <v>#REF!</v>
      </c>
      <c r="DD13" s="1645" t="e">
        <f>-((DD8*#REF!)/'[74]BOP COTI Report'!$O$66)*12</f>
        <v>#REF!</v>
      </c>
      <c r="DE13" s="1873" t="e">
        <f>-((DE8*#REF!)/'[74]BOP COTI Report'!$O$66)*12</f>
        <v>#REF!</v>
      </c>
      <c r="DF13" s="1530"/>
      <c r="DG13" s="117"/>
      <c r="DH13" s="117"/>
      <c r="DI13" s="117"/>
      <c r="DJ13" s="117"/>
      <c r="DK13" s="117"/>
      <c r="DL13" s="117"/>
      <c r="DM13" s="117"/>
      <c r="DN13" s="117"/>
      <c r="DO13" s="117"/>
      <c r="DP13" s="117"/>
      <c r="DQ13" s="117"/>
      <c r="DR13" s="117"/>
      <c r="DS13" s="117"/>
      <c r="DU13" t="e">
        <f>CE13-'[72]Reserves-ICBS'!$H$51</f>
        <v>#REF!</v>
      </c>
      <c r="DV13" t="e">
        <f>CQ13-'[72]Reserves-ICBS'!$I$51</f>
        <v>#REF!</v>
      </c>
    </row>
    <row r="14" spans="1:129" ht="15" hidden="1" customHeight="1">
      <c r="A14" s="1529" t="s">
        <v>347</v>
      </c>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537"/>
      <c r="AP14" s="1609"/>
      <c r="AQ14" s="1609"/>
      <c r="AR14" s="1609"/>
      <c r="AS14" s="1609"/>
      <c r="AT14" s="1609"/>
      <c r="AU14" s="1609"/>
      <c r="AV14" s="1609"/>
      <c r="AW14" s="1609"/>
      <c r="AX14" s="1610"/>
      <c r="AY14" s="1611" t="e">
        <f>((AX14-AW14)/AW14)*100</f>
        <v>#DIV/0!</v>
      </c>
      <c r="AZ14" s="1537"/>
      <c r="BA14" s="1537"/>
      <c r="BB14" s="1537"/>
      <c r="BC14" s="1537"/>
      <c r="BD14" s="1537"/>
      <c r="BE14" s="1537"/>
      <c r="BF14" s="1537"/>
      <c r="BG14" s="1537"/>
      <c r="BH14" s="1537"/>
      <c r="BI14" s="1537"/>
      <c r="BJ14" s="1537"/>
      <c r="BK14" s="1537"/>
      <c r="BL14" s="1537"/>
      <c r="BM14" s="1537"/>
      <c r="BN14" s="1527"/>
      <c r="BO14" s="1527"/>
      <c r="BP14" s="1527"/>
      <c r="BQ14" s="1527"/>
      <c r="BR14" s="1527"/>
      <c r="BS14" s="1527"/>
      <c r="BT14" s="1527"/>
      <c r="BU14" s="1527"/>
      <c r="BV14" s="1527"/>
      <c r="BW14" s="1527"/>
      <c r="BX14" s="1527"/>
      <c r="BY14" s="1527"/>
      <c r="BZ14" s="1527"/>
      <c r="CA14" s="1527"/>
      <c r="CB14" s="1527"/>
      <c r="CC14" s="1527"/>
      <c r="CD14" s="1527"/>
      <c r="CE14" s="1527"/>
      <c r="CF14" s="1527"/>
      <c r="CG14" s="1527"/>
      <c r="CH14" s="1527"/>
      <c r="CI14" s="1527"/>
      <c r="CJ14" s="1527"/>
      <c r="CK14" s="1527"/>
      <c r="CL14" s="1527"/>
      <c r="CM14" s="1527"/>
      <c r="CN14" s="1527"/>
      <c r="CO14" s="1612"/>
      <c r="CP14" s="1659"/>
      <c r="CQ14" s="1659"/>
      <c r="CR14" s="1659"/>
      <c r="CS14" s="1659"/>
      <c r="CT14" s="1659"/>
      <c r="CU14" s="1659"/>
      <c r="CV14" s="1659"/>
      <c r="CW14" s="1659"/>
      <c r="CX14" s="1659"/>
      <c r="CY14" s="1659"/>
      <c r="CZ14" s="1659"/>
      <c r="DA14" s="1659"/>
      <c r="DB14" s="1659"/>
      <c r="DC14" s="1827"/>
      <c r="DD14" s="1840"/>
      <c r="DE14" s="1916"/>
    </row>
    <row r="15" spans="1:129" ht="15" hidden="1" customHeight="1">
      <c r="A15" s="1613"/>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t="e">
        <f>((AO6*#REF!)/(('[76]BoPCOTI Revised'!$K$12/1000000)+[76]Finalnew!$O$18)*12)</f>
        <v>#REF!</v>
      </c>
      <c r="AP15" s="1609"/>
      <c r="AQ15" s="1609"/>
      <c r="AR15" s="1609"/>
      <c r="AS15" s="1609"/>
      <c r="AT15" s="1609"/>
      <c r="AU15" s="1609"/>
      <c r="AV15" s="1609"/>
      <c r="AW15" s="1609"/>
      <c r="AX15" s="1610"/>
      <c r="AY15" s="1611" t="e">
        <f>((AX15-AW15)/AW15)*100</f>
        <v>#DIV/0!</v>
      </c>
      <c r="AZ15" s="1537"/>
      <c r="BA15" s="1537"/>
      <c r="BB15" s="1537"/>
      <c r="BC15" s="1537"/>
      <c r="BD15" s="1537"/>
      <c r="BE15" s="1537"/>
      <c r="BF15" s="1537"/>
      <c r="BG15" s="1537"/>
      <c r="BH15" s="1537"/>
      <c r="BI15" s="1537"/>
      <c r="BJ15" s="1537"/>
      <c r="BK15" s="1537"/>
      <c r="BL15" s="1537"/>
      <c r="BM15" s="1537"/>
      <c r="BN15" s="1527"/>
      <c r="BO15" s="1527"/>
      <c r="BP15" s="1527"/>
      <c r="BQ15" s="1527"/>
      <c r="BR15" s="1527"/>
      <c r="BS15" s="1527"/>
      <c r="BT15" s="1527"/>
      <c r="BU15" s="1527"/>
      <c r="BV15" s="1527"/>
      <c r="BW15" s="1527"/>
      <c r="BX15" s="1527"/>
      <c r="BY15" s="1527"/>
      <c r="BZ15" s="1527"/>
      <c r="CA15" s="1527"/>
      <c r="CB15" s="1527"/>
      <c r="CC15" s="1527"/>
      <c r="CD15" s="1527"/>
      <c r="CE15" s="1527"/>
      <c r="CF15" s="1527"/>
      <c r="CG15" s="1527"/>
      <c r="CH15" s="1527"/>
      <c r="CI15" s="1527"/>
      <c r="CJ15" s="1527"/>
      <c r="CK15" s="1527"/>
      <c r="CL15" s="1527"/>
      <c r="CM15" s="1527"/>
      <c r="CN15" s="1527"/>
      <c r="CO15" s="1612"/>
      <c r="CP15" s="1659"/>
      <c r="CQ15" s="1659"/>
      <c r="CR15" s="1659"/>
      <c r="CS15" s="1659"/>
      <c r="CT15" s="1659"/>
      <c r="CU15" s="1659"/>
      <c r="CV15" s="1659"/>
      <c r="CW15" s="1659"/>
      <c r="CX15" s="1659"/>
      <c r="CY15" s="1659"/>
      <c r="CZ15" s="1659"/>
      <c r="DA15" s="1659"/>
      <c r="DB15" s="1659"/>
      <c r="DC15" s="1827"/>
      <c r="DD15" s="1840"/>
      <c r="DE15" s="1916"/>
    </row>
    <row r="16" spans="1:129" ht="25.5" customHeight="1">
      <c r="A16" s="4943" t="s">
        <v>1473</v>
      </c>
      <c r="B16" s="4943"/>
      <c r="C16" s="4943"/>
      <c r="D16" s="4943"/>
      <c r="E16" s="4943"/>
      <c r="F16" s="4943"/>
      <c r="G16" s="4943"/>
      <c r="H16" s="4943"/>
      <c r="I16" s="4943"/>
      <c r="J16" s="4943"/>
      <c r="K16" s="4943"/>
      <c r="L16" s="4943"/>
      <c r="M16" s="4943"/>
      <c r="N16" s="4943"/>
      <c r="O16" s="4943"/>
      <c r="P16" s="4943"/>
      <c r="Q16" s="4943"/>
      <c r="R16" s="4943"/>
      <c r="S16" s="4943"/>
      <c r="T16" s="4943"/>
      <c r="U16" s="4943"/>
      <c r="V16" s="4943"/>
      <c r="W16" s="4943"/>
      <c r="X16" s="4943"/>
      <c r="Y16" s="4943"/>
      <c r="Z16" s="4943"/>
      <c r="AA16" s="4943"/>
      <c r="AB16" s="4943"/>
      <c r="AC16" s="4943"/>
      <c r="AD16" s="4943"/>
      <c r="AE16" s="4943"/>
      <c r="AF16" s="4943"/>
      <c r="AG16" s="4943"/>
      <c r="AH16" s="4943"/>
      <c r="AI16" s="4943"/>
      <c r="AJ16" s="4943"/>
      <c r="AK16" s="4943"/>
      <c r="AL16" s="4943"/>
      <c r="AM16" s="4943"/>
      <c r="AN16" s="4943"/>
      <c r="AO16" s="4943"/>
      <c r="AP16" s="4943"/>
      <c r="AQ16" s="4943"/>
      <c r="AR16" s="4943"/>
      <c r="AS16" s="4943"/>
      <c r="AT16" s="4943"/>
      <c r="AU16" s="4943"/>
      <c r="AV16" s="4943"/>
      <c r="AW16" s="4943"/>
      <c r="AX16" s="4943"/>
      <c r="AY16" s="4943"/>
      <c r="AZ16" s="4943"/>
      <c r="BA16" s="4943"/>
      <c r="BB16" s="4943"/>
      <c r="BC16" s="4943"/>
      <c r="BD16" s="4943"/>
      <c r="BE16" s="4943"/>
      <c r="BF16" s="4943"/>
      <c r="BG16" s="4943"/>
      <c r="BH16" s="4943"/>
      <c r="BI16" s="4943"/>
      <c r="BJ16" s="4943"/>
      <c r="BK16" s="4943"/>
      <c r="BL16" s="4943"/>
      <c r="BM16" s="4943"/>
      <c r="BN16" s="4943"/>
      <c r="BO16" s="4943"/>
      <c r="BP16" s="4943"/>
      <c r="BQ16" s="4943"/>
      <c r="BR16" s="4943"/>
      <c r="BS16" s="4943"/>
      <c r="BT16" s="4943"/>
      <c r="BU16" s="4943"/>
      <c r="BV16" s="4943"/>
      <c r="BW16" s="4943"/>
      <c r="BX16" s="4943"/>
      <c r="BY16" s="4943"/>
      <c r="BZ16" s="4943"/>
      <c r="CA16" s="4943"/>
      <c r="CB16" s="4943"/>
      <c r="CC16" s="4943"/>
      <c r="CD16" s="4943"/>
      <c r="CE16" s="4943"/>
      <c r="CF16" s="4943"/>
      <c r="CG16" s="4943"/>
      <c r="CH16" s="4943"/>
      <c r="CI16" s="4943"/>
      <c r="CJ16" s="4943"/>
      <c r="CK16" s="4943"/>
      <c r="CL16" s="4943"/>
      <c r="CM16" s="4943"/>
      <c r="CN16" s="4943"/>
      <c r="CO16" s="4943"/>
      <c r="CP16" s="4943"/>
      <c r="CQ16" s="4943"/>
      <c r="CR16" s="4943"/>
      <c r="CS16" s="4943"/>
      <c r="CT16" s="4943"/>
      <c r="CU16" s="4943"/>
      <c r="CV16" s="4943"/>
      <c r="CW16" s="4943"/>
      <c r="CX16" s="4943"/>
      <c r="CY16" s="4943"/>
      <c r="CZ16" s="4943"/>
      <c r="DA16" s="4943"/>
      <c r="DB16" s="4943"/>
      <c r="DC16" s="4943"/>
      <c r="DD16" s="4943"/>
      <c r="DE16" s="1915"/>
      <c r="DF16" s="1407"/>
      <c r="DG16" s="59"/>
      <c r="DL16" s="59"/>
      <c r="DM16" s="1632"/>
      <c r="DN16" s="1653"/>
      <c r="DO16" s="1653"/>
      <c r="DP16" s="1632"/>
      <c r="DQ16" s="1653"/>
      <c r="DR16" s="1653"/>
      <c r="DS16" s="1653"/>
      <c r="DV16" s="59"/>
    </row>
    <row r="17" spans="1:126" ht="26.25" customHeight="1">
      <c r="A17" s="4943"/>
      <c r="B17" s="4943"/>
      <c r="C17" s="4943"/>
      <c r="D17" s="4943"/>
      <c r="E17" s="4943"/>
      <c r="F17" s="4943"/>
      <c r="G17" s="4943"/>
      <c r="H17" s="4943"/>
      <c r="I17" s="4943"/>
      <c r="J17" s="4943"/>
      <c r="K17" s="4943"/>
      <c r="L17" s="4943"/>
      <c r="M17" s="4943"/>
      <c r="N17" s="4943"/>
      <c r="O17" s="4943"/>
      <c r="P17" s="4943"/>
      <c r="Q17" s="4943"/>
      <c r="R17" s="4943"/>
      <c r="S17" s="4943"/>
      <c r="T17" s="4943"/>
      <c r="U17" s="4943"/>
      <c r="V17" s="4943"/>
      <c r="W17" s="4943"/>
      <c r="X17" s="4943"/>
      <c r="Y17" s="4943"/>
      <c r="Z17" s="4943"/>
      <c r="AA17" s="4943"/>
      <c r="AB17" s="4943"/>
      <c r="AC17" s="4943"/>
      <c r="AD17" s="4943"/>
      <c r="AE17" s="4943"/>
      <c r="AF17" s="4943"/>
      <c r="AG17" s="4943"/>
      <c r="AH17" s="4943"/>
      <c r="AI17" s="4943"/>
      <c r="AJ17" s="4943"/>
      <c r="AK17" s="4943"/>
      <c r="AL17" s="4943"/>
      <c r="AM17" s="4943"/>
      <c r="AN17" s="4943"/>
      <c r="AO17" s="4943"/>
      <c r="AP17" s="4943"/>
      <c r="AQ17" s="4943"/>
      <c r="AR17" s="4943"/>
      <c r="AS17" s="4943"/>
      <c r="AT17" s="4943"/>
      <c r="AU17" s="4943"/>
      <c r="AV17" s="4943"/>
      <c r="AW17" s="4943"/>
      <c r="AX17" s="4943"/>
      <c r="AY17" s="4943"/>
      <c r="AZ17" s="4943"/>
      <c r="BA17" s="4943"/>
      <c r="BB17" s="4943"/>
      <c r="BC17" s="4943"/>
      <c r="BD17" s="4943"/>
      <c r="BE17" s="4943"/>
      <c r="BF17" s="4943"/>
      <c r="BG17" s="4943"/>
      <c r="BH17" s="4943"/>
      <c r="BI17" s="4943"/>
      <c r="BJ17" s="4943"/>
      <c r="BK17" s="4943"/>
      <c r="BL17" s="4943"/>
      <c r="BM17" s="4943"/>
      <c r="BN17" s="4943"/>
      <c r="BO17" s="4943"/>
      <c r="BP17" s="4943"/>
      <c r="BQ17" s="4943"/>
      <c r="BR17" s="4943"/>
      <c r="BS17" s="4943"/>
      <c r="BT17" s="4943"/>
      <c r="BU17" s="4943"/>
      <c r="BV17" s="4943"/>
      <c r="BW17" s="4943"/>
      <c r="BX17" s="4943"/>
      <c r="BY17" s="4943"/>
      <c r="BZ17" s="4943"/>
      <c r="CA17" s="4943"/>
      <c r="CB17" s="4943"/>
      <c r="CC17" s="4943"/>
      <c r="CD17" s="4943"/>
      <c r="CE17" s="4943"/>
      <c r="CF17" s="4943"/>
      <c r="CG17" s="4943"/>
      <c r="CH17" s="4943"/>
      <c r="CI17" s="4943"/>
      <c r="CJ17" s="4943"/>
      <c r="CK17" s="4943"/>
      <c r="CL17" s="4943"/>
      <c r="CM17" s="4943"/>
      <c r="CN17" s="4943"/>
      <c r="CO17" s="4943"/>
      <c r="CP17" s="4943"/>
      <c r="CQ17" s="4943"/>
      <c r="CR17" s="4943"/>
      <c r="CS17" s="4943"/>
      <c r="CT17" s="4943"/>
      <c r="CU17" s="4943"/>
      <c r="CV17" s="4943"/>
      <c r="CW17" s="4943"/>
      <c r="CX17" s="4943"/>
      <c r="CY17" s="4943"/>
      <c r="CZ17" s="4943"/>
      <c r="DA17" s="4943"/>
      <c r="DB17" s="4943"/>
      <c r="DC17" s="4943"/>
      <c r="DD17" s="4943"/>
      <c r="DE17" s="1915"/>
      <c r="DI17" s="1663"/>
      <c r="DL17">
        <v>0</v>
      </c>
      <c r="DV17" s="59"/>
    </row>
    <row r="18" spans="1:126" s="854" customFormat="1" ht="16.5" customHeight="1">
      <c r="A18" s="854" t="s">
        <v>975</v>
      </c>
      <c r="B18" s="855"/>
      <c r="C18" s="855"/>
      <c r="D18" s="855"/>
      <c r="AX18" s="1234"/>
      <c r="DF18"/>
      <c r="DG18" s="854" t="e">
        <f>((CY6-CL6)/CL6)*100</f>
        <v>#REF!</v>
      </c>
      <c r="DJ18" s="1329"/>
      <c r="DL18" s="1329"/>
      <c r="DM18" s="1329"/>
      <c r="DN18" s="1329"/>
      <c r="DO18" s="1329"/>
      <c r="DP18" s="1329"/>
      <c r="DQ18" s="1329"/>
      <c r="DR18" s="1329"/>
      <c r="DS18" s="1329"/>
      <c r="DT18"/>
      <c r="DU18" s="1329"/>
    </row>
    <row r="19" spans="1:126" s="854" customFormat="1">
      <c r="A19" s="856" t="s">
        <v>152</v>
      </c>
      <c r="B19" s="855"/>
      <c r="C19" s="857" t="e">
        <f t="shared" ref="C19:E21" si="3">((C6/B6)-1)*100</f>
        <v>#REF!</v>
      </c>
      <c r="D19" s="857" t="e">
        <f t="shared" si="3"/>
        <v>#REF!</v>
      </c>
      <c r="E19" s="857" t="e">
        <f t="shared" si="3"/>
        <v>#REF!</v>
      </c>
      <c r="R19" s="858" t="e">
        <f>((R6/F6)-1)*100</f>
        <v>#REF!</v>
      </c>
      <c r="S19" s="858" t="e">
        <f t="shared" ref="S19:W21" si="4">((S6/G6)-1)*100</f>
        <v>#REF!</v>
      </c>
      <c r="T19" s="858" t="e">
        <f t="shared" si="4"/>
        <v>#REF!</v>
      </c>
      <c r="U19" s="858" t="e">
        <f t="shared" si="4"/>
        <v>#REF!</v>
      </c>
      <c r="V19" s="858" t="e">
        <f t="shared" si="4"/>
        <v>#REF!</v>
      </c>
      <c r="W19" s="858" t="e">
        <f t="shared" si="4"/>
        <v>#REF!</v>
      </c>
      <c r="X19" s="858" t="e">
        <f t="shared" ref="X19:AK21" si="5">((X6/L6)-1)*100</f>
        <v>#REF!</v>
      </c>
      <c r="Y19" s="858" t="e">
        <f t="shared" si="5"/>
        <v>#REF!</v>
      </c>
      <c r="Z19" s="858" t="e">
        <f t="shared" si="5"/>
        <v>#REF!</v>
      </c>
      <c r="AA19" s="858" t="e">
        <f t="shared" si="5"/>
        <v>#REF!</v>
      </c>
      <c r="AB19" s="858" t="e">
        <f t="shared" si="5"/>
        <v>#REF!</v>
      </c>
      <c r="AC19" s="858" t="e">
        <f t="shared" si="5"/>
        <v>#REF!</v>
      </c>
      <c r="AD19" s="858" t="e">
        <f t="shared" si="5"/>
        <v>#REF!</v>
      </c>
      <c r="AE19" s="858" t="e">
        <f t="shared" si="5"/>
        <v>#REF!</v>
      </c>
      <c r="AF19" s="858" t="e">
        <f t="shared" si="5"/>
        <v>#REF!</v>
      </c>
      <c r="AG19" s="858" t="e">
        <f t="shared" si="5"/>
        <v>#REF!</v>
      </c>
      <c r="AH19" s="858" t="e">
        <f t="shared" si="5"/>
        <v>#REF!</v>
      </c>
      <c r="AI19" s="858" t="e">
        <f t="shared" si="5"/>
        <v>#REF!</v>
      </c>
      <c r="AJ19" s="858" t="e">
        <f t="shared" si="5"/>
        <v>#REF!</v>
      </c>
      <c r="AK19" s="858" t="e">
        <f>((AK6/Y6)-1)*100</f>
        <v>#REF!</v>
      </c>
      <c r="AL19" s="858" t="e">
        <f t="shared" ref="AL19:AQ21" si="6">((AL6/Z6)-1)*100</f>
        <v>#REF!</v>
      </c>
      <c r="AM19" s="858" t="e">
        <f t="shared" si="6"/>
        <v>#REF!</v>
      </c>
      <c r="AN19" s="858" t="e">
        <f t="shared" si="6"/>
        <v>#REF!</v>
      </c>
      <c r="AO19" s="858" t="e">
        <f t="shared" si="6"/>
        <v>#REF!</v>
      </c>
      <c r="AP19" s="1170" t="e">
        <f t="shared" si="6"/>
        <v>#REF!</v>
      </c>
      <c r="AQ19" s="1170" t="e">
        <f t="shared" si="6"/>
        <v>#REF!</v>
      </c>
      <c r="AR19" s="1170" t="e">
        <f t="shared" ref="AR19:AT20" si="7">((AR6/AF6)-1)*100</f>
        <v>#REF!</v>
      </c>
      <c r="AS19" s="1170" t="e">
        <f t="shared" si="7"/>
        <v>#REF!</v>
      </c>
      <c r="AT19" s="1170" t="e">
        <f t="shared" si="7"/>
        <v>#REF!</v>
      </c>
      <c r="AU19" s="1170" t="e">
        <f t="shared" ref="AU19:AV21" si="8">((AU6/AI6)-1)*100</f>
        <v>#REF!</v>
      </c>
      <c r="AV19" s="1170" t="e">
        <f t="shared" si="8"/>
        <v>#REF!</v>
      </c>
      <c r="AW19" s="1170" t="e">
        <f t="shared" ref="AW19:BD21" si="9">((AW6/AK6)-1)*100</f>
        <v>#REF!</v>
      </c>
      <c r="AX19" s="1170" t="e">
        <f t="shared" si="9"/>
        <v>#REF!</v>
      </c>
      <c r="AY19" s="1170" t="e">
        <f t="shared" si="9"/>
        <v>#REF!</v>
      </c>
      <c r="AZ19" s="1170" t="e">
        <f t="shared" si="9"/>
        <v>#REF!</v>
      </c>
      <c r="BA19" s="1170" t="e">
        <f t="shared" si="9"/>
        <v>#REF!</v>
      </c>
      <c r="BB19" s="1170" t="e">
        <f t="shared" si="9"/>
        <v>#REF!</v>
      </c>
      <c r="BC19" s="1170" t="e">
        <f t="shared" si="9"/>
        <v>#REF!</v>
      </c>
      <c r="BD19" s="1170" t="e">
        <f t="shared" si="9"/>
        <v>#REF!</v>
      </c>
      <c r="BE19" s="1170" t="e">
        <f t="shared" ref="BE19:BF21" si="10">((BE6/AS6)-1)*100</f>
        <v>#REF!</v>
      </c>
      <c r="BF19" s="1170" t="e">
        <f t="shared" si="10"/>
        <v>#REF!</v>
      </c>
      <c r="BG19" s="1170" t="e">
        <f t="shared" ref="BG19:BJ21" si="11">((BG6/AU6)-1)*100</f>
        <v>#REF!</v>
      </c>
      <c r="BH19" s="1170" t="e">
        <f t="shared" si="11"/>
        <v>#REF!</v>
      </c>
      <c r="BI19" s="1170" t="e">
        <f>((BI6/AW6)-1)*100</f>
        <v>#REF!</v>
      </c>
      <c r="BJ19" s="1170" t="e">
        <f>((BJ6/AX6)-1)*100</f>
        <v>#REF!</v>
      </c>
      <c r="BK19" s="1170" t="e">
        <f t="shared" ref="BK19:BQ21" si="12">((BK6/AY6)-1)*100</f>
        <v>#REF!</v>
      </c>
      <c r="BL19" s="1170" t="e">
        <f t="shared" si="12"/>
        <v>#REF!</v>
      </c>
      <c r="BM19" s="1170" t="e">
        <f t="shared" si="12"/>
        <v>#REF!</v>
      </c>
      <c r="BN19" s="1170" t="e">
        <f t="shared" si="12"/>
        <v>#REF!</v>
      </c>
      <c r="BO19" s="1170" t="e">
        <f>((BO6/BC6)-1)*100</f>
        <v>#REF!</v>
      </c>
      <c r="BP19" s="1170" t="e">
        <f t="shared" si="12"/>
        <v>#REF!</v>
      </c>
      <c r="BQ19" s="1170" t="e">
        <f t="shared" si="12"/>
        <v>#REF!</v>
      </c>
      <c r="BR19" s="1170" t="e">
        <f t="shared" ref="BR19:BY20" si="13">((BR6/BF6)-1)*100</f>
        <v>#REF!</v>
      </c>
      <c r="BS19" s="1170" t="e">
        <f t="shared" si="13"/>
        <v>#REF!</v>
      </c>
      <c r="BT19" s="1170" t="e">
        <f t="shared" si="13"/>
        <v>#REF!</v>
      </c>
      <c r="BU19" s="1170" t="e">
        <f t="shared" si="13"/>
        <v>#REF!</v>
      </c>
      <c r="BV19" s="1170" t="e">
        <f t="shared" si="13"/>
        <v>#REF!</v>
      </c>
      <c r="BW19" s="1170" t="e">
        <f t="shared" si="13"/>
        <v>#REF!</v>
      </c>
      <c r="BX19" s="1170" t="e">
        <f t="shared" si="13"/>
        <v>#REF!</v>
      </c>
      <c r="BY19" s="1170" t="e">
        <f t="shared" si="13"/>
        <v>#REF!</v>
      </c>
      <c r="BZ19" s="1170" t="e">
        <f t="shared" ref="BZ19:CE21" si="14">((BZ6/BN6)-1)*100</f>
        <v>#REF!</v>
      </c>
      <c r="CA19" s="1170" t="e">
        <f t="shared" si="14"/>
        <v>#REF!</v>
      </c>
      <c r="CB19" s="1170" t="e">
        <f t="shared" si="14"/>
        <v>#REF!</v>
      </c>
      <c r="CC19" s="1170" t="e">
        <f t="shared" si="14"/>
        <v>#REF!</v>
      </c>
      <c r="CD19" s="1170" t="e">
        <f t="shared" si="14"/>
        <v>#REF!</v>
      </c>
      <c r="CE19" s="1170" t="e">
        <f t="shared" si="14"/>
        <v>#REF!</v>
      </c>
      <c r="CF19" s="1170" t="e">
        <f t="shared" ref="CF19:CL21" si="15">((CF6/BT6)-1)*100</f>
        <v>#REF!</v>
      </c>
      <c r="CG19" s="1170" t="e">
        <f t="shared" si="15"/>
        <v>#REF!</v>
      </c>
      <c r="CH19" s="1170" t="e">
        <f t="shared" si="15"/>
        <v>#REF!</v>
      </c>
      <c r="CI19" s="1170" t="e">
        <f t="shared" si="15"/>
        <v>#REF!</v>
      </c>
      <c r="CJ19" s="1170" t="e">
        <f t="shared" si="15"/>
        <v>#REF!</v>
      </c>
      <c r="CK19" s="1170" t="e">
        <f t="shared" si="15"/>
        <v>#REF!</v>
      </c>
      <c r="CL19" s="1170" t="e">
        <f t="shared" si="15"/>
        <v>#REF!</v>
      </c>
      <c r="CM19" s="792" t="e">
        <f t="shared" ref="CM19:CP21" si="16">((CM6/CA6)-1)*100</f>
        <v>#REF!</v>
      </c>
      <c r="CN19" s="792" t="e">
        <f t="shared" si="16"/>
        <v>#REF!</v>
      </c>
      <c r="CO19" s="792" t="e">
        <f t="shared" si="16"/>
        <v>#REF!</v>
      </c>
      <c r="CP19" s="792" t="e">
        <f t="shared" si="16"/>
        <v>#REF!</v>
      </c>
      <c r="CQ19" s="792" t="e">
        <f t="shared" ref="CQ19:CR21" si="17">((CQ6/CE6)-1)*100</f>
        <v>#REF!</v>
      </c>
      <c r="CR19" s="792" t="e">
        <f t="shared" si="17"/>
        <v>#REF!</v>
      </c>
      <c r="CS19" s="792"/>
      <c r="CT19" s="792" t="e">
        <f t="shared" ref="CT19:CY21" si="18">((CT6/CG6)-1)*100</f>
        <v>#REF!</v>
      </c>
      <c r="CU19" s="792" t="e">
        <f t="shared" si="18"/>
        <v>#REF!</v>
      </c>
      <c r="CV19" s="792" t="e">
        <f t="shared" si="18"/>
        <v>#REF!</v>
      </c>
      <c r="CW19" s="792" t="e">
        <f t="shared" si="18"/>
        <v>#REF!</v>
      </c>
      <c r="CX19" s="792" t="e">
        <f t="shared" si="18"/>
        <v>#REF!</v>
      </c>
      <c r="CY19" s="792" t="e">
        <f t="shared" si="18"/>
        <v>#REF!</v>
      </c>
      <c r="CZ19" s="792" t="e">
        <f t="shared" ref="CZ19:DA21" si="19">((CZ6/CM6)-1)*100</f>
        <v>#REF!</v>
      </c>
      <c r="DA19" s="792" t="e">
        <f t="shared" si="19"/>
        <v>#REF!</v>
      </c>
      <c r="DB19" s="792"/>
      <c r="DC19" s="792"/>
      <c r="DD19" s="792"/>
      <c r="DE19" s="792"/>
      <c r="DF19" s="792"/>
      <c r="DG19" s="1329"/>
      <c r="DL19" s="1329"/>
      <c r="DM19" s="1329"/>
      <c r="DN19" s="1329"/>
      <c r="DO19" s="1329"/>
      <c r="DP19" s="1329"/>
      <c r="DQ19" s="1329"/>
      <c r="DR19" s="1329"/>
      <c r="DS19" s="1329"/>
      <c r="DU19" s="1329"/>
    </row>
    <row r="20" spans="1:126" s="854" customFormat="1">
      <c r="A20" s="859" t="s">
        <v>141</v>
      </c>
      <c r="B20" s="855"/>
      <c r="C20" s="857">
        <f t="shared" si="3"/>
        <v>23.312004318728508</v>
      </c>
      <c r="D20" s="857">
        <f t="shared" si="3"/>
        <v>14.336482593230437</v>
      </c>
      <c r="E20" s="857">
        <f t="shared" si="3"/>
        <v>3.152098020225691</v>
      </c>
      <c r="R20" s="858">
        <f>((R7/F7)-1)*100</f>
        <v>5.8689965204582029</v>
      </c>
      <c r="S20" s="858">
        <f t="shared" si="4"/>
        <v>23.180180392341576</v>
      </c>
      <c r="T20" s="858">
        <f t="shared" si="4"/>
        <v>18.484709147994451</v>
      </c>
      <c r="U20" s="858">
        <f t="shared" si="4"/>
        <v>27.51307931142528</v>
      </c>
      <c r="V20" s="858">
        <f t="shared" si="4"/>
        <v>9.1313633768173261</v>
      </c>
      <c r="W20" s="858">
        <f t="shared" si="4"/>
        <v>31.010014563908527</v>
      </c>
      <c r="X20" s="858">
        <f t="shared" si="5"/>
        <v>-1.5274618134546669</v>
      </c>
      <c r="Y20" s="858">
        <f t="shared" si="5"/>
        <v>-11.349654889022531</v>
      </c>
      <c r="Z20" s="858">
        <f t="shared" si="5"/>
        <v>-20.434488937900618</v>
      </c>
      <c r="AA20" s="858">
        <f t="shared" si="5"/>
        <v>53.739903707016758</v>
      </c>
      <c r="AB20" s="858">
        <f t="shared" si="5"/>
        <v>76.662567456126411</v>
      </c>
      <c r="AC20" s="858">
        <f t="shared" si="5"/>
        <v>52.799023344650742</v>
      </c>
      <c r="AD20" s="858">
        <f t="shared" si="5"/>
        <v>32.633301186552053</v>
      </c>
      <c r="AE20" s="858">
        <f t="shared" si="5"/>
        <v>24.241482812679216</v>
      </c>
      <c r="AF20" s="858">
        <f t="shared" si="5"/>
        <v>32.27870101423742</v>
      </c>
      <c r="AG20" s="858">
        <f t="shared" si="5"/>
        <v>-22.699383076871527</v>
      </c>
      <c r="AH20" s="858">
        <f t="shared" si="5"/>
        <v>15.246707837045804</v>
      </c>
      <c r="AI20" s="858">
        <f t="shared" si="5"/>
        <v>-17.983052284870148</v>
      </c>
      <c r="AJ20" s="858">
        <f t="shared" si="5"/>
        <v>-9.3499020661882639</v>
      </c>
      <c r="AK20" s="858">
        <f t="shared" si="5"/>
        <v>-5.9776486551031631</v>
      </c>
      <c r="AL20" s="858">
        <f t="shared" si="6"/>
        <v>-12.826167203850257</v>
      </c>
      <c r="AM20" s="858">
        <f t="shared" si="6"/>
        <v>-34.266465149739034</v>
      </c>
      <c r="AN20" s="858">
        <f t="shared" si="6"/>
        <v>-10.97369816849757</v>
      </c>
      <c r="AO20" s="1170">
        <f t="shared" si="6"/>
        <v>-12.788050869754919</v>
      </c>
      <c r="AP20" s="1170">
        <f t="shared" si="6"/>
        <v>-4.3162903886294179</v>
      </c>
      <c r="AQ20" s="1170">
        <f t="shared" si="6"/>
        <v>-12.551565958113898</v>
      </c>
      <c r="AR20" s="1170">
        <f t="shared" si="7"/>
        <v>-27.846102931981275</v>
      </c>
      <c r="AS20" s="1170">
        <f t="shared" si="7"/>
        <v>38.053053842912021</v>
      </c>
      <c r="AT20" s="1170">
        <f t="shared" si="7"/>
        <v>-14.973969636098538</v>
      </c>
      <c r="AU20" s="1170">
        <f t="shared" si="8"/>
        <v>-12.591597831627654</v>
      </c>
      <c r="AV20" s="1170">
        <f t="shared" si="8"/>
        <v>-12.917403034775376</v>
      </c>
      <c r="AW20" s="1170">
        <f t="shared" si="9"/>
        <v>-28.325135824709303</v>
      </c>
      <c r="AX20" s="1170">
        <f t="shared" si="9"/>
        <v>-28.344020877000219</v>
      </c>
      <c r="AY20" s="1170">
        <f t="shared" si="9"/>
        <v>-27.592543626214137</v>
      </c>
      <c r="AZ20" s="1170">
        <f t="shared" si="9"/>
        <v>-39.136901475596744</v>
      </c>
      <c r="BA20" s="1170">
        <f t="shared" si="9"/>
        <v>-20.451493733464755</v>
      </c>
      <c r="BB20" s="1170">
        <f t="shared" si="9"/>
        <v>-38.542943364479513</v>
      </c>
      <c r="BC20" s="1170">
        <f t="shared" si="9"/>
        <v>-34.597190439920709</v>
      </c>
      <c r="BD20" s="1170">
        <f t="shared" si="9"/>
        <v>-41.274289571688882</v>
      </c>
      <c r="BE20" s="1170">
        <f t="shared" si="10"/>
        <v>-80.632610614567795</v>
      </c>
      <c r="BF20" s="1170">
        <f t="shared" si="10"/>
        <v>-74.049237415804541</v>
      </c>
      <c r="BG20" s="1170">
        <f t="shared" si="11"/>
        <v>-75.39449841979112</v>
      </c>
      <c r="BH20" s="1170">
        <f t="shared" si="11"/>
        <v>-76.227746286191106</v>
      </c>
      <c r="BI20" s="1170">
        <f t="shared" si="11"/>
        <v>-14.9356703305343</v>
      </c>
      <c r="BJ20" s="1170">
        <f t="shared" si="11"/>
        <v>-14.366087740282129</v>
      </c>
      <c r="BK20" s="1170">
        <f t="shared" si="12"/>
        <v>-4.0207151259510905</v>
      </c>
      <c r="BL20" s="1170">
        <f t="shared" si="12"/>
        <v>8.3553991191659414</v>
      </c>
      <c r="BM20" s="1170">
        <f t="shared" si="12"/>
        <v>6.1446244793206928</v>
      </c>
      <c r="BN20" s="1170">
        <f t="shared" si="12"/>
        <v>-75.927483504887178</v>
      </c>
      <c r="BO20" s="1170">
        <f t="shared" ref="BO20:BR21" si="20">((BO7/BC7)-1)*100</f>
        <v>-73.679473506453959</v>
      </c>
      <c r="BP20" s="1170">
        <f t="shared" si="20"/>
        <v>-58.093046656667667</v>
      </c>
      <c r="BQ20" s="1170">
        <f t="shared" si="20"/>
        <v>-12.125197654058805</v>
      </c>
      <c r="BR20" s="1170">
        <f t="shared" si="13"/>
        <v>-4.0333289512495707</v>
      </c>
      <c r="BS20" s="1170">
        <f t="shared" si="13"/>
        <v>11.515215429904924</v>
      </c>
      <c r="BT20" s="1170">
        <f t="shared" si="13"/>
        <v>27.17202473546909</v>
      </c>
      <c r="BU20" s="1170">
        <f t="shared" si="13"/>
        <v>-62.246684506089792</v>
      </c>
      <c r="BV20" s="1170">
        <f t="shared" ref="BV20:BY21" si="21">((BV7/BJ7)-1)*100</f>
        <v>35.635228931058016</v>
      </c>
      <c r="BW20" s="1170">
        <f t="shared" si="21"/>
        <v>9.1022321414236718</v>
      </c>
      <c r="BX20" s="1170">
        <f t="shared" si="21"/>
        <v>5.3145349413343368</v>
      </c>
      <c r="BY20" s="1170">
        <f t="shared" si="21"/>
        <v>-14.803826138765441</v>
      </c>
      <c r="BZ20" s="1170">
        <f t="shared" si="14"/>
        <v>192.72546265878248</v>
      </c>
      <c r="CA20" s="1170">
        <f t="shared" si="14"/>
        <v>14.583444082593754</v>
      </c>
      <c r="CB20" s="1170">
        <f t="shared" si="14"/>
        <v>-8.0911951353938143</v>
      </c>
      <c r="CC20" s="1170">
        <f t="shared" si="14"/>
        <v>119.03230119692422</v>
      </c>
      <c r="CD20" s="1170">
        <f t="shared" si="14"/>
        <v>113.44812553787355</v>
      </c>
      <c r="CE20" s="1170">
        <f t="shared" si="14"/>
        <v>-26.817110326560268</v>
      </c>
      <c r="CF20" s="1170">
        <f t="shared" si="15"/>
        <v>121.78672524402975</v>
      </c>
      <c r="CG20" s="1170">
        <f t="shared" si="15"/>
        <v>283.90403845826182</v>
      </c>
      <c r="CH20" s="1170">
        <f t="shared" si="15"/>
        <v>39.106235360984165</v>
      </c>
      <c r="CI20" s="1170">
        <f t="shared" si="15"/>
        <v>4.3679573923856907</v>
      </c>
      <c r="CJ20" s="1170">
        <f t="shared" si="15"/>
        <v>39.585967897561368</v>
      </c>
      <c r="CK20" s="1170">
        <f t="shared" si="15"/>
        <v>61.958132493336791</v>
      </c>
      <c r="CL20" s="1170">
        <f t="shared" si="15"/>
        <v>-19.499937171074532</v>
      </c>
      <c r="CM20" s="792">
        <f t="shared" si="16"/>
        <v>430.15620779284296</v>
      </c>
      <c r="CN20" s="792">
        <f t="shared" si="16"/>
        <v>226.12179608138803</v>
      </c>
      <c r="CO20" s="792">
        <f t="shared" si="16"/>
        <v>-16.657899334899895</v>
      </c>
      <c r="CP20" s="792">
        <f t="shared" si="16"/>
        <v>-10.948929595022893</v>
      </c>
      <c r="CQ20" s="792">
        <f t="shared" si="17"/>
        <v>119.49492946128247</v>
      </c>
      <c r="CR20" s="792">
        <f t="shared" si="17"/>
        <v>-7.2877210722492425</v>
      </c>
      <c r="CS20" s="792"/>
      <c r="CT20" s="792">
        <f t="shared" si="18"/>
        <v>171.80413682415704</v>
      </c>
      <c r="CU20" s="792">
        <f t="shared" si="18"/>
        <v>87.216306760261759</v>
      </c>
      <c r="CV20" s="792">
        <f t="shared" si="18"/>
        <v>65.39633900549218</v>
      </c>
      <c r="CW20" s="792">
        <f t="shared" si="18"/>
        <v>8.8537715888048929</v>
      </c>
      <c r="CX20" s="792">
        <f t="shared" si="18"/>
        <v>9.3454423127935726</v>
      </c>
      <c r="CY20" s="792">
        <f t="shared" si="18"/>
        <v>-30.385016614098113</v>
      </c>
      <c r="CZ20" s="792">
        <f t="shared" si="19"/>
        <v>-83.418452060056964</v>
      </c>
      <c r="DA20" s="792">
        <f t="shared" si="19"/>
        <v>-61.615634669220668</v>
      </c>
      <c r="DB20" s="792"/>
      <c r="DC20" s="792"/>
      <c r="DD20" s="792"/>
      <c r="DE20" s="792"/>
      <c r="DF20" s="1412"/>
      <c r="DG20" s="1329"/>
      <c r="DH20" s="1329"/>
      <c r="DI20" s="1329"/>
      <c r="DJ20" s="1329"/>
      <c r="DK20" s="1329"/>
      <c r="DL20" s="1329"/>
      <c r="DM20" s="1329"/>
      <c r="DN20" s="1329"/>
      <c r="DO20" s="1329"/>
      <c r="DP20" s="1329"/>
      <c r="DQ20" s="1329"/>
      <c r="DR20" s="1329"/>
      <c r="DS20" s="1329"/>
      <c r="DT20" s="1329"/>
      <c r="DU20" s="1329"/>
      <c r="DV20" s="1329"/>
    </row>
    <row r="21" spans="1:126" s="854" customFormat="1">
      <c r="A21" s="860" t="s">
        <v>626</v>
      </c>
      <c r="B21" s="855"/>
      <c r="C21" s="857" t="e">
        <f t="shared" si="3"/>
        <v>#REF!</v>
      </c>
      <c r="D21" s="857" t="e">
        <f t="shared" si="3"/>
        <v>#REF!</v>
      </c>
      <c r="E21" s="857" t="e">
        <f t="shared" si="3"/>
        <v>#REF!</v>
      </c>
      <c r="R21" s="858" t="e">
        <f>((R8/F8)-1)*100</f>
        <v>#REF!</v>
      </c>
      <c r="S21" s="858" t="e">
        <f t="shared" si="4"/>
        <v>#REF!</v>
      </c>
      <c r="T21" s="858" t="e">
        <f t="shared" si="4"/>
        <v>#REF!</v>
      </c>
      <c r="U21" s="858" t="e">
        <f t="shared" si="4"/>
        <v>#REF!</v>
      </c>
      <c r="V21" s="858" t="e">
        <f t="shared" si="4"/>
        <v>#REF!</v>
      </c>
      <c r="W21" s="858" t="e">
        <f t="shared" si="4"/>
        <v>#REF!</v>
      </c>
      <c r="X21" s="858" t="e">
        <f t="shared" si="5"/>
        <v>#REF!</v>
      </c>
      <c r="Y21" s="858" t="e">
        <f t="shared" si="5"/>
        <v>#REF!</v>
      </c>
      <c r="Z21" s="858" t="e">
        <f t="shared" si="5"/>
        <v>#REF!</v>
      </c>
      <c r="AA21" s="858" t="e">
        <f t="shared" si="5"/>
        <v>#REF!</v>
      </c>
      <c r="AB21" s="858" t="e">
        <f t="shared" si="5"/>
        <v>#REF!</v>
      </c>
      <c r="AC21" s="858" t="e">
        <f t="shared" si="5"/>
        <v>#REF!</v>
      </c>
      <c r="AD21" s="858" t="e">
        <f t="shared" si="5"/>
        <v>#REF!</v>
      </c>
      <c r="AE21" s="858" t="e">
        <f t="shared" si="5"/>
        <v>#REF!</v>
      </c>
      <c r="AF21" s="858" t="e">
        <f t="shared" si="5"/>
        <v>#REF!</v>
      </c>
      <c r="AG21" s="858" t="e">
        <f t="shared" si="5"/>
        <v>#REF!</v>
      </c>
      <c r="AH21" s="858" t="e">
        <f t="shared" si="5"/>
        <v>#REF!</v>
      </c>
      <c r="AI21" s="858" t="e">
        <f t="shared" si="5"/>
        <v>#REF!</v>
      </c>
      <c r="AJ21" s="858" t="e">
        <f t="shared" si="5"/>
        <v>#REF!</v>
      </c>
      <c r="AK21" s="858" t="e">
        <f t="shared" si="5"/>
        <v>#REF!</v>
      </c>
      <c r="AL21" s="858" t="e">
        <f t="shared" si="6"/>
        <v>#REF!</v>
      </c>
      <c r="AM21" s="858" t="e">
        <f t="shared" si="6"/>
        <v>#REF!</v>
      </c>
      <c r="AN21" s="858" t="e">
        <f t="shared" si="6"/>
        <v>#REF!</v>
      </c>
      <c r="AO21" s="1170" t="e">
        <f t="shared" ref="AO21:AT21" si="22">((AO8/AC8)-1)*100</f>
        <v>#REF!</v>
      </c>
      <c r="AP21" s="1170" t="e">
        <f t="shared" si="22"/>
        <v>#REF!</v>
      </c>
      <c r="AQ21" s="1170" t="e">
        <f t="shared" si="22"/>
        <v>#REF!</v>
      </c>
      <c r="AR21" s="1170" t="e">
        <f t="shared" si="22"/>
        <v>#REF!</v>
      </c>
      <c r="AS21" s="1170" t="e">
        <f t="shared" si="22"/>
        <v>#REF!</v>
      </c>
      <c r="AT21" s="1170" t="e">
        <f t="shared" si="22"/>
        <v>#REF!</v>
      </c>
      <c r="AU21" s="1170" t="e">
        <f t="shared" si="8"/>
        <v>#REF!</v>
      </c>
      <c r="AV21" s="1170" t="e">
        <f t="shared" si="8"/>
        <v>#REF!</v>
      </c>
      <c r="AW21" s="1170" t="e">
        <f t="shared" si="9"/>
        <v>#REF!</v>
      </c>
      <c r="AX21" s="1170" t="e">
        <f t="shared" si="9"/>
        <v>#REF!</v>
      </c>
      <c r="AY21" s="1170" t="e">
        <f t="shared" si="9"/>
        <v>#REF!</v>
      </c>
      <c r="AZ21" s="1170" t="e">
        <f t="shared" si="9"/>
        <v>#REF!</v>
      </c>
      <c r="BA21" s="1170" t="e">
        <f t="shared" si="9"/>
        <v>#REF!</v>
      </c>
      <c r="BB21" s="1170" t="e">
        <f t="shared" si="9"/>
        <v>#REF!</v>
      </c>
      <c r="BC21" s="1170" t="e">
        <f t="shared" si="9"/>
        <v>#REF!</v>
      </c>
      <c r="BD21" s="1170" t="e">
        <f t="shared" si="9"/>
        <v>#REF!</v>
      </c>
      <c r="BE21" s="1170" t="e">
        <f t="shared" si="10"/>
        <v>#REF!</v>
      </c>
      <c r="BF21" s="1170" t="e">
        <f t="shared" si="10"/>
        <v>#REF!</v>
      </c>
      <c r="BG21" s="1170" t="e">
        <f t="shared" si="11"/>
        <v>#REF!</v>
      </c>
      <c r="BH21" s="1170" t="e">
        <f t="shared" si="11"/>
        <v>#REF!</v>
      </c>
      <c r="BI21" s="1170" t="e">
        <f t="shared" si="11"/>
        <v>#REF!</v>
      </c>
      <c r="BJ21" s="1170" t="e">
        <f t="shared" si="11"/>
        <v>#REF!</v>
      </c>
      <c r="BK21" s="1170" t="e">
        <f t="shared" si="12"/>
        <v>#REF!</v>
      </c>
      <c r="BL21" s="1170" t="e">
        <f t="shared" si="12"/>
        <v>#REF!</v>
      </c>
      <c r="BM21" s="1170" t="e">
        <f t="shared" si="12"/>
        <v>#REF!</v>
      </c>
      <c r="BN21" s="1170" t="e">
        <f t="shared" si="12"/>
        <v>#REF!</v>
      </c>
      <c r="BO21" s="1170" t="e">
        <f t="shared" si="20"/>
        <v>#REF!</v>
      </c>
      <c r="BP21" s="1170" t="e">
        <f t="shared" si="20"/>
        <v>#REF!</v>
      </c>
      <c r="BQ21" s="1170" t="e">
        <f t="shared" si="20"/>
        <v>#REF!</v>
      </c>
      <c r="BR21" s="1170" t="e">
        <f t="shared" si="20"/>
        <v>#REF!</v>
      </c>
      <c r="BS21" s="1170" t="e">
        <f>((BS8/BG8)-1)*100</f>
        <v>#REF!</v>
      </c>
      <c r="BT21" s="1170" t="e">
        <f>((BT8/BH8)-1)*100</f>
        <v>#REF!</v>
      </c>
      <c r="BU21" s="1170" t="e">
        <f>((BU8/BI8)-1)*100</f>
        <v>#REF!</v>
      </c>
      <c r="BV21" s="1170" t="e">
        <f t="shared" si="21"/>
        <v>#REF!</v>
      </c>
      <c r="BW21" s="1170" t="e">
        <f t="shared" si="21"/>
        <v>#REF!</v>
      </c>
      <c r="BX21" s="1170" t="e">
        <f t="shared" si="21"/>
        <v>#REF!</v>
      </c>
      <c r="BY21" s="1170" t="e">
        <f t="shared" si="21"/>
        <v>#REF!</v>
      </c>
      <c r="BZ21" s="1170" t="e">
        <f t="shared" si="14"/>
        <v>#REF!</v>
      </c>
      <c r="CA21" s="1170" t="e">
        <f t="shared" si="14"/>
        <v>#REF!</v>
      </c>
      <c r="CB21" s="1170" t="e">
        <f t="shared" si="14"/>
        <v>#REF!</v>
      </c>
      <c r="CC21" s="1170" t="e">
        <f t="shared" si="14"/>
        <v>#REF!</v>
      </c>
      <c r="CD21" s="1170" t="e">
        <f t="shared" si="14"/>
        <v>#REF!</v>
      </c>
      <c r="CE21" s="1170" t="e">
        <f t="shared" si="14"/>
        <v>#REF!</v>
      </c>
      <c r="CF21" s="1170" t="e">
        <f t="shared" si="15"/>
        <v>#REF!</v>
      </c>
      <c r="CG21" s="1170" t="e">
        <f t="shared" si="15"/>
        <v>#REF!</v>
      </c>
      <c r="CH21" s="1170" t="e">
        <f t="shared" si="15"/>
        <v>#REF!</v>
      </c>
      <c r="CI21" s="1170" t="e">
        <f t="shared" si="15"/>
        <v>#REF!</v>
      </c>
      <c r="CJ21" s="1170" t="e">
        <f t="shared" si="15"/>
        <v>#REF!</v>
      </c>
      <c r="CK21" s="1170" t="e">
        <f t="shared" si="15"/>
        <v>#REF!</v>
      </c>
      <c r="CL21" s="1170" t="e">
        <f t="shared" si="15"/>
        <v>#REF!</v>
      </c>
      <c r="CM21" s="792" t="e">
        <f t="shared" si="16"/>
        <v>#REF!</v>
      </c>
      <c r="CN21" s="792" t="e">
        <f t="shared" si="16"/>
        <v>#REF!</v>
      </c>
      <c r="CO21" s="792" t="e">
        <f t="shared" si="16"/>
        <v>#REF!</v>
      </c>
      <c r="CP21" s="792" t="e">
        <f t="shared" si="16"/>
        <v>#REF!</v>
      </c>
      <c r="CQ21" s="792" t="e">
        <f t="shared" si="17"/>
        <v>#REF!</v>
      </c>
      <c r="CR21" s="792" t="e">
        <f t="shared" si="17"/>
        <v>#REF!</v>
      </c>
      <c r="CS21" s="792"/>
      <c r="CT21" s="792" t="e">
        <f t="shared" si="18"/>
        <v>#REF!</v>
      </c>
      <c r="CU21" s="792" t="e">
        <f t="shared" si="18"/>
        <v>#REF!</v>
      </c>
      <c r="CV21" s="792" t="e">
        <f t="shared" si="18"/>
        <v>#REF!</v>
      </c>
      <c r="CW21" s="792" t="e">
        <f t="shared" si="18"/>
        <v>#REF!</v>
      </c>
      <c r="CX21" s="792" t="e">
        <f t="shared" si="18"/>
        <v>#REF!</v>
      </c>
      <c r="CY21" s="792" t="e">
        <f t="shared" si="18"/>
        <v>#REF!</v>
      </c>
      <c r="CZ21" s="792" t="e">
        <f t="shared" si="19"/>
        <v>#REF!</v>
      </c>
      <c r="DA21" s="792" t="e">
        <f t="shared" si="19"/>
        <v>#REF!</v>
      </c>
      <c r="DB21" s="792"/>
      <c r="DC21" s="792"/>
      <c r="DD21" s="792"/>
      <c r="DE21" s="792"/>
      <c r="DF21" s="1412"/>
      <c r="DG21" s="1329"/>
      <c r="DH21" s="1329"/>
      <c r="DI21" s="1329"/>
      <c r="DJ21" s="1329"/>
      <c r="DK21" s="1329"/>
      <c r="DL21" s="1329"/>
      <c r="DM21" s="1329"/>
      <c r="DN21" s="1329"/>
      <c r="DO21" s="1329"/>
      <c r="DP21" s="1329"/>
      <c r="DQ21" s="1329"/>
      <c r="DR21" s="1329"/>
      <c r="DS21" s="1329"/>
      <c r="DT21" s="1329"/>
      <c r="DU21" s="1329"/>
      <c r="DV21" s="1329"/>
    </row>
    <row r="22" spans="1:126">
      <c r="B22" s="175"/>
      <c r="C22" s="175"/>
      <c r="D22" s="175"/>
      <c r="DG22" s="59"/>
      <c r="DH22" s="59"/>
      <c r="DI22" s="1532"/>
      <c r="DJ22" s="1532"/>
      <c r="DK22" s="1532"/>
      <c r="DL22" s="59"/>
      <c r="DM22" s="1632"/>
      <c r="DN22" s="1653"/>
      <c r="DO22" s="1653"/>
      <c r="DP22" s="1632"/>
      <c r="DQ22" s="1653"/>
      <c r="DR22" s="1653"/>
      <c r="DS22" s="1653"/>
      <c r="DT22" s="59"/>
      <c r="DU22" s="59"/>
      <c r="DV22" s="59"/>
    </row>
    <row r="23" spans="1:126" s="1223" customFormat="1">
      <c r="A23" s="1224" t="s">
        <v>309</v>
      </c>
      <c r="DG23" s="1501"/>
      <c r="DH23" s="1501"/>
      <c r="DI23" s="1501"/>
      <c r="DJ23" s="1501"/>
      <c r="DK23" s="1501"/>
      <c r="DL23" s="1501"/>
      <c r="DM23" s="1501"/>
      <c r="DN23" s="1501"/>
      <c r="DO23" s="1501"/>
      <c r="DP23" s="1501"/>
      <c r="DQ23" s="1501"/>
      <c r="DR23" s="1501"/>
      <c r="DS23" s="1501"/>
      <c r="DT23" s="1501"/>
      <c r="DU23" s="1501"/>
      <c r="DV23" s="1501"/>
    </row>
    <row r="24" spans="1:126" s="1223" customFormat="1">
      <c r="A24" s="1223" t="s">
        <v>84</v>
      </c>
      <c r="W24" s="1226">
        <f>(([77]Reserves!N11+([77]Reserves!N25*[77]Reserves!N64))/-([77]Finalnew!N12+[77]Finalnew!N18))*12</f>
        <v>12.228557871547032</v>
      </c>
      <c r="X24" s="1226" t="e">
        <f>(([77]Reserves!O11+([77]Reserves!O25*[77]Reserves!O64))/-([77]Finalnew!O12+[77]Finalnew!O18))*12</f>
        <v>#REF!</v>
      </c>
      <c r="Y24" s="1226" t="e">
        <f>(([77]Reserves!P11+([77]Reserves!P25*[77]Reserves!P64))/-([77]Finalnew!P12+[77]Finalnew!P18))*12</f>
        <v>#REF!</v>
      </c>
      <c r="Z24" s="1226">
        <f>(([77]Reserves!Q11+([77]Reserves!Q25*[77]Reserves!Q64))/-([77]Finalnew!Q12+[77]Finalnew!Q18))*12</f>
        <v>-6797.6035712183366</v>
      </c>
      <c r="AA24" s="1226">
        <f>(([77]Reserves!R11+([77]Reserves!R25*[77]Reserves!R64))/-([77]Finalnew!R12+[77]Finalnew!R18))*12</f>
        <v>942.24272330827421</v>
      </c>
      <c r="AB24" s="1226" t="e">
        <f>(([77]Reserves!S11+([77]Reserves!S25*[77]Reserves!S64))/-([77]Finalnew!S12+[77]Finalnew!S18))*12</f>
        <v>#VALUE!</v>
      </c>
      <c r="AC24" s="1226" t="e">
        <f>(([77]Reserves!T11+([77]Reserves!T25*[77]Reserves!T64))/-([77]Finalnew!T12+[77]Finalnew!T18))*12</f>
        <v>#REF!</v>
      </c>
      <c r="AD24" s="1226" t="e">
        <f>(([77]Reserves!U11+([77]Reserves!U25*[77]Reserves!U64))/-([77]Finalnew!U12+[77]Finalnew!U18))*12</f>
        <v>#REF!</v>
      </c>
      <c r="AE24" s="1226" t="e">
        <f>(([77]Reserves!V11+([77]Reserves!V25*[77]Reserves!V64))/-([77]Finalnew!V12+[77]Finalnew!V18))*12</f>
        <v>#REF!</v>
      </c>
      <c r="AF24" s="1226" t="e">
        <f>(([77]Reserves!W11+([77]Reserves!W25*[77]Reserves!W64))/-([77]Finalnew!W12+[77]Finalnew!W18))*12</f>
        <v>#REF!</v>
      </c>
      <c r="AG24" s="1226" t="e">
        <f>(([77]Reserves!X11+([77]Reserves!X25*[77]Reserves!X64))/-([77]Finalnew!X12+[77]Finalnew!X18))*12</f>
        <v>#REF!</v>
      </c>
      <c r="AH24" s="1226" t="e">
        <f>(([77]Reserves!Y11+([77]Reserves!Y25*[77]Reserves!Y64))/-([77]Finalnew!Y12+[77]Finalnew!Y18))*12</f>
        <v>#REF!</v>
      </c>
      <c r="AI24" s="1226">
        <f>(([77]Reserves!Q11+([77]Reserves!Q25*[77]Reserves!Q64))/-([77]Finalnew!O12+[77]Finalnew!O18))*12</f>
        <v>7.555926519323493</v>
      </c>
      <c r="AJ24" s="1226" t="e">
        <f>(([77]Reserves!AA11+([77]Reserves!AA25*[77]Reserves!AA64))/-([77]Finalnew!AA12+[77]Finalnew!AA18))*12</f>
        <v>#REF!</v>
      </c>
      <c r="AK24" s="1226" t="e">
        <f>(([77]Reserves!AB11+([77]Reserves!AB25*[77]Reserves!AB64))/-([77]Finalnew!AB12+[77]Finalnew!AB18))*12</f>
        <v>#REF!</v>
      </c>
      <c r="AL24" s="1226" t="e">
        <f>(([77]Reserves!AC11+([77]Reserves!AC25*[77]Reserves!AC64))/-([77]Finalnew!AC12+[77]Finalnew!AC18))*12</f>
        <v>#REF!</v>
      </c>
      <c r="AM24" s="1226" t="e">
        <f>(([77]Reserves!AD11+([77]Reserves!AD25*[77]Reserves!AD64))/-([77]Finalnew!AD12+[77]Finalnew!AD18))*12</f>
        <v>#REF!</v>
      </c>
      <c r="AN24" s="1226" t="e">
        <f>(([77]Reserves!AE11+([77]Reserves!AE25*[77]Reserves!AE64))/-([77]Finalnew!AE12+[77]Finalnew!AE18))*12</f>
        <v>#REF!</v>
      </c>
      <c r="AO24" s="1226" t="e">
        <f>(([77]Reserves!AF11+([77]Reserves!AF25*[77]Reserves!AF64))/-([77]Finalnew!AF12+[77]Finalnew!AF18))*12</f>
        <v>#REF!</v>
      </c>
      <c r="AP24" s="1226" t="e">
        <f>(([77]Reserves!AG11+([77]Reserves!AG25*[77]Reserves!AG64))/-([77]Finalnew!AG12+[77]Finalnew!AG18))*12</f>
        <v>#REF!</v>
      </c>
      <c r="AQ24" s="1226" t="e">
        <f>(([77]Reserves!AH11+([77]Reserves!AH25*[77]Reserves!AH64))/-([77]Finalnew!AH12+[77]Finalnew!AH18))*12</f>
        <v>#REF!</v>
      </c>
      <c r="AR24" s="1226" t="e">
        <f>((Reserves!BE11+(Reserves!BE26*#REF!))/-([77]Finalnew!$O$12+[77]Finalnew!$O$18))*12</f>
        <v>#REF!</v>
      </c>
      <c r="AS24" s="1226" t="e">
        <f>((Reserves!BF11+(Reserves!BF26*#REF!))/-([77]Finalnew!$O$12+[77]Finalnew!$O$18))*12</f>
        <v>#REF!</v>
      </c>
      <c r="AT24" s="1226" t="e">
        <f>((Reserves!BG11+(Reserves!BG26*#REF!))/-([77]Finalnew!$O$12+[77]Finalnew!$O$18))*12</f>
        <v>#REF!</v>
      </c>
      <c r="AU24" s="1226" t="e">
        <f>((Reserves!BH11+(Reserves!BH26*#REF!))/-([77]Finalnew!$O$12+[77]Finalnew!$O$18))*12</f>
        <v>#REF!</v>
      </c>
      <c r="AV24" s="1226"/>
      <c r="AW24" s="1226"/>
      <c r="DG24" s="1501"/>
      <c r="DH24" s="1501"/>
      <c r="DI24" s="1501"/>
      <c r="DJ24" s="1501"/>
      <c r="DK24" s="1501"/>
      <c r="DL24" s="1501"/>
      <c r="DM24" s="1501"/>
      <c r="DN24" s="1501"/>
      <c r="DO24" s="1501"/>
      <c r="DP24" s="1501"/>
      <c r="DQ24" s="1501"/>
      <c r="DR24" s="1501"/>
      <c r="DS24" s="1501"/>
      <c r="DT24" s="1501"/>
      <c r="DU24" s="1501"/>
      <c r="DV24" s="1501"/>
    </row>
    <row r="25" spans="1:126" s="1223" customFormat="1">
      <c r="A25" s="1223" t="s">
        <v>85</v>
      </c>
      <c r="W25" s="1226">
        <f>(([77]Reserves!N11+([77]Reserves!N25*[77]Reserves!N64))/-[77]Finalnew!N12)*12</f>
        <v>14.1925488873948</v>
      </c>
      <c r="X25" s="1226" t="e">
        <f>(([77]Reserves!O11+([77]Reserves!O25*[77]Reserves!O64))/-[77]Finalnew!O12)*12</f>
        <v>#REF!</v>
      </c>
      <c r="Y25" s="1226" t="e">
        <f>(([77]Reserves!P11+([77]Reserves!P25*[77]Reserves!P64))/-[77]Finalnew!P12)*12</f>
        <v>#REF!</v>
      </c>
      <c r="Z25" s="1226">
        <f>(([77]Reserves!Q11+([77]Reserves!Q25*[77]Reserves!Q64))/-[77]Finalnew!Q12)*12</f>
        <v>-146354.627411756</v>
      </c>
      <c r="AA25" s="1226">
        <f>(([77]Reserves!R11+([77]Reserves!R25*[77]Reserves!R64))/-[77]Finalnew!R12)*12</f>
        <v>1149.1605897576051</v>
      </c>
      <c r="AB25" s="1226" t="e">
        <f>(([77]Reserves!S11+([77]Reserves!S25*[77]Reserves!S64))/-[77]Finalnew!S12)*12</f>
        <v>#VALUE!</v>
      </c>
      <c r="AC25" s="1226" t="e">
        <f>(([77]Reserves!T11+([77]Reserves!T25*[77]Reserves!T64))/-[77]Finalnew!T12)*12</f>
        <v>#REF!</v>
      </c>
      <c r="AD25" s="1226" t="e">
        <f>(([77]Reserves!U11+([77]Reserves!U25*[77]Reserves!U64))/-[77]Finalnew!U12)*12</f>
        <v>#REF!</v>
      </c>
      <c r="AE25" s="1226" t="e">
        <f>(([77]Reserves!V11+([77]Reserves!V25*[77]Reserves!V64))/-[77]Finalnew!V12)*12</f>
        <v>#REF!</v>
      </c>
      <c r="AF25" s="1226" t="e">
        <f>(([77]Reserves!W11+([77]Reserves!W25*[77]Reserves!W64))/-[77]Finalnew!W12)*12</f>
        <v>#REF!</v>
      </c>
      <c r="AG25" s="1226" t="e">
        <f>(([77]Reserves!X11+([77]Reserves!X25*[77]Reserves!X64))/-[77]Finalnew!X12)*12</f>
        <v>#REF!</v>
      </c>
      <c r="AH25" s="1226" t="e">
        <f>(([77]Reserves!Y11+([77]Reserves!Y25*[77]Reserves!Y64))/-[77]Finalnew!Y12)*12</f>
        <v>#REF!</v>
      </c>
      <c r="AI25" s="1226">
        <f>(([77]Reserves!Q11+([77]Reserves!Q25*[77]Reserves!Q64))/-[77]Finalnew!O12)*12</f>
        <v>8.5956557261004729</v>
      </c>
      <c r="AR25" s="1226" t="e">
        <f>((Reserves!BE11+(Reserves!BE26*#REF!))/-[77]Finalnew!$O$12)*12</f>
        <v>#REF!</v>
      </c>
      <c r="AS25" s="1226" t="e">
        <f>((Reserves!BF11+(Reserves!BF26*#REF!))/-[77]Finalnew!$O$12)*12</f>
        <v>#REF!</v>
      </c>
      <c r="AT25" s="1226" t="e">
        <f>((Reserves!BG11+(Reserves!BG26*#REF!))/-[77]Finalnew!$O$12)*12</f>
        <v>#REF!</v>
      </c>
      <c r="AU25" s="1226" t="e">
        <f>((Reserves!BH11+(Reserves!BH26*#REF!))/-[77]Finalnew!$O$12)*12</f>
        <v>#REF!</v>
      </c>
      <c r="AV25" s="1226"/>
      <c r="AW25" s="1226"/>
    </row>
    <row r="26" spans="1:126" s="1223" customFormat="1">
      <c r="A26" s="1223" t="s">
        <v>141</v>
      </c>
      <c r="W26" s="1226">
        <f>[77]Reserves!$N$52</f>
        <v>2.2338824709512002</v>
      </c>
      <c r="X26" s="1225">
        <f>((Reserves!BF11)/-[77]Indianew!$N$11)*12</f>
        <v>2.9800116003796084</v>
      </c>
      <c r="Y26" s="1225">
        <f>((Reserves!BG11)/-[77]Indianew!$N$11)*12</f>
        <v>2.7720343288984548</v>
      </c>
      <c r="Z26" s="1225">
        <f>((Reserves!BH11)/-[77]Indianew!$N$11)*12</f>
        <v>1.7872931906739677</v>
      </c>
      <c r="AA26" s="1225">
        <f>((Reserves!BM11)/-[77]Indianew!$N$11)*12</f>
        <v>0.29949865330448328</v>
      </c>
      <c r="AB26" s="1225">
        <f>((Reserves!CB11)/-[77]Indianew!$N$11)*12</f>
        <v>0.26504148455620524</v>
      </c>
      <c r="AC26" s="1225">
        <f>((Reserves!CC11)/-[77]Indianew!$N$11)*12</f>
        <v>0.14228603318080962</v>
      </c>
      <c r="AD26" s="1225">
        <f>((Reserves!CD11)/-[77]Indianew!$N$11)*12</f>
        <v>0.17385923812402634</v>
      </c>
      <c r="AE26" s="1225">
        <f>((Reserves!CE11)/-[77]Indianew!$N$11)*12</f>
        <v>0.11904953109973296</v>
      </c>
      <c r="AF26" s="1225">
        <f>((Reserves!CF11)/-[77]Indianew!$N$11)*12</f>
        <v>0.16019844849536452</v>
      </c>
      <c r="AG26" s="1225">
        <f>((Reserves!CG11)/-[77]Indianew!$N$11)*12</f>
        <v>9.9462232086620195E-2</v>
      </c>
      <c r="AH26" s="1225">
        <f>((Reserves!CH11)/-[77]Indianew!$N$11)*12</f>
        <v>6.0774545335804467E-2</v>
      </c>
      <c r="AI26" s="1226">
        <f>[77]Reserves!$Q$52</f>
        <v>2.4539563252484404</v>
      </c>
      <c r="AJ26" s="1225"/>
      <c r="AK26" s="1225"/>
      <c r="AL26" s="1225"/>
      <c r="AM26" s="1225"/>
      <c r="AN26" s="1225"/>
      <c r="AO26" s="1225"/>
      <c r="AP26" s="1225"/>
      <c r="AQ26" s="1225"/>
      <c r="AR26" s="1226">
        <f>((Reserves!BE11)/-[77]Indianew!$N$11)*12</f>
        <v>1.6225215048080766</v>
      </c>
      <c r="AS26" s="1226">
        <f>((Reserves!BF11)/-[77]Indianew!$N$11)*12</f>
        <v>2.9800116003796084</v>
      </c>
      <c r="AT26" s="1226">
        <f>((Reserves!BG11)/-[77]Indianew!$N$11)*12</f>
        <v>2.7720343288984548</v>
      </c>
      <c r="AU26" s="1226">
        <f>((Reserves!BH11)/-[77]Indianew!$N$11)*12</f>
        <v>1.7872931906739677</v>
      </c>
      <c r="AV26" s="1226"/>
      <c r="AW26" s="1226"/>
    </row>
    <row r="27" spans="1:126" s="1223" customFormat="1">
      <c r="A27" s="1223" t="s">
        <v>978</v>
      </c>
      <c r="W27" s="1226">
        <f>[77]Reserves!$N$53</f>
        <v>101.95024522849926</v>
      </c>
      <c r="X27" s="1226"/>
      <c r="Y27" s="1226"/>
      <c r="Z27" s="1226"/>
      <c r="AA27" s="1226"/>
      <c r="AB27" s="1226"/>
      <c r="AC27" s="1226"/>
      <c r="AD27" s="1226"/>
      <c r="AE27" s="1226"/>
      <c r="AF27" s="1226"/>
      <c r="AG27" s="1226"/>
      <c r="AH27" s="1226"/>
      <c r="AI27" s="1226">
        <f>[77]Reserves!$Q$53</f>
        <v>16.183087746999806</v>
      </c>
      <c r="AR27" s="1226" t="e">
        <f>((Reserves!BE26*#REF!)/-[77]COTInew!$N$12)*12</f>
        <v>#REF!</v>
      </c>
      <c r="AS27" s="1226" t="e">
        <f>((Reserves!BF26*#REF!)/-[77]COTInew!$N$12)*12</f>
        <v>#REF!</v>
      </c>
      <c r="AT27" s="1226" t="e">
        <f>((Reserves!BG26*#REF!)/-[77]COTInew!$N$12)*12</f>
        <v>#REF!</v>
      </c>
      <c r="AU27" s="1226" t="e">
        <f>((Reserves!BH26*#REF!)/-[77]COTInew!$N$12)*12</f>
        <v>#REF!</v>
      </c>
      <c r="AV27" s="1226"/>
      <c r="AW27" s="1226"/>
    </row>
    <row r="28" spans="1:126">
      <c r="A28" t="s">
        <v>847</v>
      </c>
      <c r="B28" s="175"/>
      <c r="C28" s="175"/>
      <c r="D28" s="175"/>
      <c r="AO28" s="4" t="e">
        <f>((AO6-AC6)/AC6)*100</f>
        <v>#REF!</v>
      </c>
      <c r="CE28" s="700"/>
      <c r="CF28" s="700"/>
      <c r="CG28" s="700"/>
      <c r="CH28" s="700"/>
      <c r="CI28" s="1420"/>
      <c r="CJ28" s="1420"/>
      <c r="CK28" s="1420"/>
      <c r="CL28" s="1420"/>
      <c r="CM28" s="1420"/>
      <c r="CN28" s="1420"/>
      <c r="CO28" s="1420"/>
      <c r="CP28" s="1420"/>
      <c r="CQ28" s="1420"/>
      <c r="CR28" s="1420"/>
      <c r="CS28" s="1420"/>
      <c r="CT28" s="1420"/>
      <c r="CU28" s="1420"/>
      <c r="CV28" s="1420"/>
      <c r="CW28" s="1420"/>
      <c r="CX28" s="1420"/>
      <c r="CY28" s="1420"/>
      <c r="CZ28" s="1420"/>
      <c r="DA28" s="1420"/>
      <c r="DB28" s="1420"/>
      <c r="DC28" s="1420"/>
      <c r="DD28" s="1420"/>
      <c r="DE28" s="1420"/>
      <c r="DF28" s="1498"/>
      <c r="DG28" s="700"/>
      <c r="DV28" s="1500"/>
    </row>
    <row r="29" spans="1:126">
      <c r="B29" s="175"/>
      <c r="C29" s="175"/>
      <c r="D29" s="175"/>
      <c r="BG29">
        <f>((BQ7-BE7)/BE7)*100</f>
        <v>-12.125197654058805</v>
      </c>
      <c r="CE29" s="1420"/>
      <c r="CF29" s="1420"/>
      <c r="CG29" s="1420"/>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700"/>
      <c r="DG29" s="700"/>
    </row>
    <row r="30" spans="1:126">
      <c r="A30" s="1505" t="s">
        <v>1463</v>
      </c>
      <c r="B30" s="1505"/>
      <c r="C30" s="1505"/>
      <c r="D30" s="1505"/>
      <c r="E30" s="1505"/>
      <c r="F30" s="1505"/>
      <c r="G30" s="1505"/>
      <c r="H30" s="1505"/>
      <c r="I30" s="1505"/>
      <c r="J30" s="1505"/>
      <c r="K30" s="1505"/>
      <c r="L30" s="1505"/>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505"/>
      <c r="BX30" s="1505"/>
      <c r="BY30" s="1505"/>
      <c r="BZ30" s="1505"/>
      <c r="CA30" s="1505"/>
      <c r="CB30" s="1505"/>
      <c r="CC30" s="1505"/>
      <c r="CD30" s="1505"/>
      <c r="CE30" s="1506"/>
      <c r="CF30" s="1506"/>
      <c r="CG30" s="1506"/>
      <c r="CH30" s="1506"/>
      <c r="CI30" s="1506"/>
      <c r="CJ30" s="1506"/>
      <c r="CK30" s="1506"/>
      <c r="CL30" s="1506"/>
      <c r="CM30" s="1506"/>
      <c r="CN30" s="1506"/>
      <c r="CO30" s="1506"/>
      <c r="CP30" s="1506"/>
      <c r="CQ30" s="1420"/>
      <c r="CR30" s="1420"/>
      <c r="CS30" s="1420"/>
      <c r="CT30" s="1420"/>
      <c r="CU30" s="1420"/>
      <c r="CV30" s="1420"/>
      <c r="CW30" s="1420"/>
      <c r="CX30" s="1420"/>
      <c r="CY30" s="1420"/>
      <c r="CZ30" s="1420"/>
      <c r="DA30" s="1420"/>
      <c r="DB30" s="1420"/>
      <c r="DC30" s="1420"/>
      <c r="DD30" s="1420"/>
      <c r="DE30" s="1420"/>
      <c r="DF30" s="700"/>
      <c r="DG30" s="700"/>
    </row>
    <row r="31" spans="1:126" ht="13.5" thickBot="1">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row>
    <row r="32" spans="1:126">
      <c r="A32" s="537" t="s">
        <v>1241</v>
      </c>
      <c r="B32" s="538"/>
      <c r="C32" s="538"/>
      <c r="D32" s="538"/>
      <c r="E32" s="539"/>
      <c r="F32" s="540"/>
      <c r="G32" s="541"/>
      <c r="H32" s="542"/>
      <c r="I32" s="542"/>
      <c r="J32" s="542"/>
      <c r="K32" s="543"/>
      <c r="L32" s="543"/>
      <c r="M32" s="543"/>
      <c r="N32" s="543"/>
      <c r="O32" s="543"/>
      <c r="P32" s="543"/>
      <c r="Q32" s="543"/>
      <c r="R32" s="543"/>
      <c r="S32" s="543"/>
      <c r="T32" s="543"/>
      <c r="U32" s="543"/>
      <c r="V32" s="543"/>
      <c r="W32" s="543"/>
      <c r="X32" s="543"/>
      <c r="Y32" s="543"/>
      <c r="Z32" s="538"/>
      <c r="AA32" s="538"/>
      <c r="AB32" s="538"/>
      <c r="AC32" s="538"/>
      <c r="AD32" s="544"/>
      <c r="AE32" s="59"/>
    </row>
    <row r="33" spans="1:106">
      <c r="A33" s="545"/>
      <c r="B33" s="59"/>
      <c r="C33" s="59"/>
      <c r="D33" s="59"/>
      <c r="E33" s="59"/>
      <c r="F33" s="59" t="s">
        <v>1239</v>
      </c>
      <c r="G33" s="59" t="s">
        <v>162</v>
      </c>
      <c r="H33" s="59" t="s">
        <v>163</v>
      </c>
      <c r="I33" s="59" t="s">
        <v>164</v>
      </c>
      <c r="J33" s="59" t="s">
        <v>165</v>
      </c>
      <c r="K33" s="59" t="s">
        <v>166</v>
      </c>
      <c r="L33" s="59" t="s">
        <v>167</v>
      </c>
      <c r="M33" s="59" t="s">
        <v>168</v>
      </c>
      <c r="N33" s="59" t="s">
        <v>169</v>
      </c>
      <c r="O33" s="59" t="s">
        <v>170</v>
      </c>
      <c r="P33" s="59" t="s">
        <v>171</v>
      </c>
      <c r="Q33" s="59" t="s">
        <v>148</v>
      </c>
      <c r="R33" s="59" t="s">
        <v>1240</v>
      </c>
      <c r="S33" s="59" t="s">
        <v>162</v>
      </c>
      <c r="T33" s="59" t="s">
        <v>163</v>
      </c>
      <c r="U33" s="59" t="s">
        <v>164</v>
      </c>
      <c r="V33" s="59" t="s">
        <v>165</v>
      </c>
      <c r="W33" s="59" t="s">
        <v>166</v>
      </c>
      <c r="X33" s="59" t="s">
        <v>167</v>
      </c>
      <c r="Y33" s="59" t="s">
        <v>168</v>
      </c>
      <c r="Z33" s="59" t="s">
        <v>169</v>
      </c>
      <c r="AA33" s="59" t="s">
        <v>170</v>
      </c>
      <c r="AB33" s="173" t="s">
        <v>171</v>
      </c>
      <c r="AC33" s="173" t="s">
        <v>148</v>
      </c>
      <c r="AD33" s="674">
        <v>38353</v>
      </c>
      <c r="AE33" s="721"/>
      <c r="AX33" s="117"/>
      <c r="AY33" s="117"/>
      <c r="AZ33" s="117"/>
      <c r="BA33" s="117"/>
      <c r="BB33" s="117"/>
      <c r="BC33" s="117"/>
      <c r="BD33" s="117"/>
      <c r="BE33" s="117"/>
      <c r="BF33" s="117"/>
      <c r="BG33" s="117"/>
      <c r="BH33" s="117"/>
      <c r="BI33" s="117"/>
      <c r="BJ33" s="117"/>
    </row>
    <row r="34" spans="1:106">
      <c r="A34" s="547" t="s">
        <v>635</v>
      </c>
      <c r="B34" s="59"/>
      <c r="C34" s="59"/>
      <c r="D34" s="59"/>
      <c r="E34" s="59"/>
      <c r="F34" s="180" t="e">
        <f>SUM(F35:F36)</f>
        <v>#REF!</v>
      </c>
      <c r="G34" s="180" t="e">
        <f>SUM(G35:G36)</f>
        <v>#REF!</v>
      </c>
      <c r="H34" s="180" t="e">
        <f>SUM(H35:H36)</f>
        <v>#REF!</v>
      </c>
      <c r="I34" s="180" t="e">
        <f t="shared" ref="I34:Q34" si="23">SUM(I35:I36)</f>
        <v>#REF!</v>
      </c>
      <c r="J34" s="180" t="e">
        <f t="shared" si="23"/>
        <v>#REF!</v>
      </c>
      <c r="K34" s="180" t="e">
        <f t="shared" si="23"/>
        <v>#REF!</v>
      </c>
      <c r="L34" s="180" t="e">
        <f t="shared" si="23"/>
        <v>#REF!</v>
      </c>
      <c r="M34" s="180" t="e">
        <f t="shared" si="23"/>
        <v>#REF!</v>
      </c>
      <c r="N34" s="180" t="e">
        <f t="shared" si="23"/>
        <v>#REF!</v>
      </c>
      <c r="O34" s="180" t="e">
        <f t="shared" si="23"/>
        <v>#REF!</v>
      </c>
      <c r="P34" s="180" t="e">
        <f t="shared" si="23"/>
        <v>#REF!</v>
      </c>
      <c r="Q34" s="180" t="e">
        <f t="shared" si="23"/>
        <v>#REF!</v>
      </c>
      <c r="R34" s="180" t="e">
        <f t="shared" ref="R34:Y34" si="24">SUM(R35:R36)</f>
        <v>#REF!</v>
      </c>
      <c r="S34" s="180" t="e">
        <f t="shared" si="24"/>
        <v>#REF!</v>
      </c>
      <c r="T34" s="180" t="e">
        <f t="shared" si="24"/>
        <v>#REF!</v>
      </c>
      <c r="U34" s="180" t="e">
        <f t="shared" si="24"/>
        <v>#REF!</v>
      </c>
      <c r="V34" s="180" t="e">
        <f t="shared" si="24"/>
        <v>#REF!</v>
      </c>
      <c r="W34" s="180" t="e">
        <f t="shared" si="24"/>
        <v>#REF!</v>
      </c>
      <c r="X34" s="180" t="e">
        <f t="shared" si="24"/>
        <v>#REF!</v>
      </c>
      <c r="Y34" s="180" t="e">
        <f t="shared" si="24"/>
        <v>#REF!</v>
      </c>
      <c r="Z34" s="180" t="e">
        <f>SUM(Z35:Z36)</f>
        <v>#REF!</v>
      </c>
      <c r="AA34" s="59"/>
      <c r="AB34" s="59"/>
      <c r="AC34" s="59"/>
      <c r="AD34" s="546"/>
      <c r="AE34" s="59"/>
      <c r="AX34" s="117"/>
      <c r="AY34" s="117"/>
      <c r="AZ34" s="117"/>
      <c r="BA34" s="117"/>
      <c r="BB34" s="117"/>
      <c r="BC34" s="117"/>
      <c r="BD34" s="117"/>
      <c r="BE34" s="117"/>
      <c r="BF34" s="117"/>
      <c r="BG34" s="117"/>
      <c r="BH34" s="117"/>
      <c r="BI34" s="117"/>
      <c r="BJ34" s="117"/>
    </row>
    <row r="35" spans="1:106">
      <c r="A35" s="548" t="s">
        <v>1242</v>
      </c>
      <c r="B35" s="59"/>
      <c r="C35" s="59"/>
      <c r="D35" s="59"/>
      <c r="E35" s="59"/>
      <c r="F35" s="180">
        <f t="shared" ref="F35:Z35" si="25">F7/F37</f>
        <v>82.146880867932396</v>
      </c>
      <c r="G35" s="180">
        <f t="shared" si="25"/>
        <v>71.163063516004698</v>
      </c>
      <c r="H35" s="180">
        <f t="shared" si="25"/>
        <v>74.396734454028419</v>
      </c>
      <c r="I35" s="180">
        <f t="shared" si="25"/>
        <v>88.918063236101148</v>
      </c>
      <c r="J35" s="180">
        <f t="shared" si="25"/>
        <v>77.368052163201156</v>
      </c>
      <c r="K35" s="180">
        <f t="shared" si="25"/>
        <v>71.281947001155871</v>
      </c>
      <c r="L35" s="180">
        <f t="shared" si="25"/>
        <v>72.548777849881034</v>
      </c>
      <c r="M35" s="180">
        <f t="shared" si="25"/>
        <v>73.113883264755174</v>
      </c>
      <c r="N35" s="180">
        <f t="shared" si="25"/>
        <v>79.116408925338618</v>
      </c>
      <c r="O35" s="180">
        <f t="shared" si="25"/>
        <v>66.995395157203603</v>
      </c>
      <c r="P35" s="180">
        <f t="shared" si="25"/>
        <v>75.918237335793677</v>
      </c>
      <c r="Q35" s="180">
        <f t="shared" si="25"/>
        <v>77.980828288146</v>
      </c>
      <c r="R35" s="180">
        <f t="shared" si="25"/>
        <v>91.701425554382254</v>
      </c>
      <c r="S35" s="180">
        <f t="shared" si="25"/>
        <v>92.429757907757562</v>
      </c>
      <c r="T35" s="180">
        <f t="shared" si="25"/>
        <v>93.300457594739882</v>
      </c>
      <c r="U35" s="180">
        <f t="shared" si="25"/>
        <v>122.27857321709044</v>
      </c>
      <c r="V35" s="180">
        <f t="shared" si="25"/>
        <v>87.851097213321253</v>
      </c>
      <c r="W35" s="180">
        <f t="shared" si="25"/>
        <v>95.871624145735822</v>
      </c>
      <c r="X35" s="180">
        <f t="shared" si="25"/>
        <v>71.732954545454533</v>
      </c>
      <c r="Y35" s="180">
        <f t="shared" si="25"/>
        <v>64.245052976845557</v>
      </c>
      <c r="Z35" s="180">
        <f t="shared" si="25"/>
        <v>62.610695303178218</v>
      </c>
      <c r="AA35" s="59"/>
      <c r="AB35" s="59"/>
      <c r="AC35" s="59"/>
      <c r="AD35" s="546"/>
      <c r="AE35" s="59"/>
    </row>
    <row r="36" spans="1:106">
      <c r="A36" s="549" t="s">
        <v>1243</v>
      </c>
      <c r="B36" s="59"/>
      <c r="C36" s="59"/>
      <c r="D36" s="59"/>
      <c r="E36" s="59"/>
      <c r="F36" s="180" t="e">
        <f t="shared" ref="F36:Y36" si="26">F8</f>
        <v>#REF!</v>
      </c>
      <c r="G36" s="180" t="e">
        <f t="shared" si="26"/>
        <v>#REF!</v>
      </c>
      <c r="H36" s="180" t="e">
        <f t="shared" si="26"/>
        <v>#REF!</v>
      </c>
      <c r="I36" s="180" t="e">
        <f t="shared" si="26"/>
        <v>#REF!</v>
      </c>
      <c r="J36" s="180" t="e">
        <f t="shared" si="26"/>
        <v>#REF!</v>
      </c>
      <c r="K36" s="180" t="e">
        <f t="shared" si="26"/>
        <v>#REF!</v>
      </c>
      <c r="L36" s="180" t="e">
        <f t="shared" si="26"/>
        <v>#REF!</v>
      </c>
      <c r="M36" s="180" t="e">
        <f t="shared" si="26"/>
        <v>#REF!</v>
      </c>
      <c r="N36" s="180" t="e">
        <f t="shared" si="26"/>
        <v>#REF!</v>
      </c>
      <c r="O36" s="180" t="e">
        <f t="shared" si="26"/>
        <v>#REF!</v>
      </c>
      <c r="P36" s="180" t="e">
        <f t="shared" si="26"/>
        <v>#REF!</v>
      </c>
      <c r="Q36" s="180" t="e">
        <f t="shared" si="26"/>
        <v>#REF!</v>
      </c>
      <c r="R36" s="180" t="e">
        <f t="shared" si="26"/>
        <v>#REF!</v>
      </c>
      <c r="S36" s="180" t="e">
        <f t="shared" si="26"/>
        <v>#REF!</v>
      </c>
      <c r="T36" s="180" t="e">
        <f t="shared" si="26"/>
        <v>#REF!</v>
      </c>
      <c r="U36" s="180" t="e">
        <f t="shared" si="26"/>
        <v>#REF!</v>
      </c>
      <c r="V36" s="180" t="e">
        <f t="shared" si="26"/>
        <v>#REF!</v>
      </c>
      <c r="W36" s="180" t="e">
        <f t="shared" si="26"/>
        <v>#REF!</v>
      </c>
      <c r="X36" s="180" t="e">
        <f t="shared" si="26"/>
        <v>#REF!</v>
      </c>
      <c r="Y36" s="180" t="e">
        <f t="shared" si="26"/>
        <v>#REF!</v>
      </c>
      <c r="Z36" s="180" t="e">
        <f>Z8</f>
        <v>#REF!</v>
      </c>
      <c r="AA36" s="59"/>
      <c r="AB36" s="59"/>
      <c r="AC36" s="59"/>
      <c r="AD36" s="546"/>
      <c r="AE36" s="59"/>
    </row>
    <row r="37" spans="1:106">
      <c r="A37" s="545" t="s">
        <v>1244</v>
      </c>
      <c r="B37" s="59"/>
      <c r="C37" s="59"/>
      <c r="D37" s="59"/>
      <c r="E37" s="59"/>
      <c r="F37" s="180">
        <v>47.93</v>
      </c>
      <c r="G37" s="180">
        <v>47.735999999999997</v>
      </c>
      <c r="H37" s="180">
        <v>47.649000000000001</v>
      </c>
      <c r="I37" s="180">
        <v>47.378</v>
      </c>
      <c r="J37" s="180">
        <v>47.082999999999998</v>
      </c>
      <c r="K37" s="180">
        <v>46.718000000000004</v>
      </c>
      <c r="L37" s="180">
        <v>46.23</v>
      </c>
      <c r="M37" s="180">
        <v>45.933</v>
      </c>
      <c r="N37" s="180">
        <v>45.847000000000001</v>
      </c>
      <c r="O37" s="180">
        <v>45.387</v>
      </c>
      <c r="P37" s="180">
        <v>45.521999999999998</v>
      </c>
      <c r="Q37" s="180">
        <v>45.588000000000001</v>
      </c>
      <c r="R37" s="180">
        <v>45.456000000000003</v>
      </c>
      <c r="S37" s="180">
        <v>45.271999999999998</v>
      </c>
      <c r="T37" s="180">
        <v>45.018000000000001</v>
      </c>
      <c r="U37" s="180">
        <v>43.930999999999997</v>
      </c>
      <c r="V37" s="180">
        <v>45.250999999999998</v>
      </c>
      <c r="W37" s="180">
        <v>45.506999999999998</v>
      </c>
      <c r="X37" s="180">
        <v>46.041600000000003</v>
      </c>
      <c r="Y37" s="180">
        <v>46.341000000000001</v>
      </c>
      <c r="Z37" s="180">
        <v>46.094999999999999</v>
      </c>
      <c r="AA37" s="180"/>
      <c r="AB37" s="180"/>
      <c r="AC37" s="180"/>
      <c r="AD37" s="550"/>
      <c r="AE37" s="180"/>
      <c r="AJ37" s="180"/>
      <c r="AK37" s="180"/>
      <c r="AL37" s="180"/>
      <c r="AM37" s="180"/>
      <c r="AN37" s="180"/>
      <c r="DB37" s="1650" t="e">
        <f>((DD6-DA6)/DA6)*100</f>
        <v>#REF!</v>
      </c>
    </row>
    <row r="38" spans="1:106">
      <c r="A38" s="54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46"/>
      <c r="AE38" s="59"/>
    </row>
    <row r="39" spans="1:106">
      <c r="A39" s="547" t="s">
        <v>1245</v>
      </c>
      <c r="B39" s="59"/>
      <c r="C39" s="59"/>
      <c r="D39" s="59"/>
      <c r="E39" s="59"/>
      <c r="F39" s="98" t="e">
        <f t="shared" ref="F39:K39" si="27">SUM(F40:F41)</f>
        <v>#REF!</v>
      </c>
      <c r="G39" s="98" t="e">
        <f t="shared" si="27"/>
        <v>#REF!</v>
      </c>
      <c r="H39" s="98" t="e">
        <f t="shared" si="27"/>
        <v>#REF!</v>
      </c>
      <c r="I39" s="98" t="e">
        <f t="shared" si="27"/>
        <v>#REF!</v>
      </c>
      <c r="J39" s="98" t="e">
        <f t="shared" si="27"/>
        <v>#REF!</v>
      </c>
      <c r="K39" s="98" t="e">
        <f t="shared" si="27"/>
        <v>#REF!</v>
      </c>
      <c r="L39" s="98" t="e">
        <f>SUM(L40:L41)</f>
        <v>#REF!</v>
      </c>
      <c r="M39" s="98" t="e">
        <f t="shared" ref="M39:Y39" si="28">SUM(M40:M41)</f>
        <v>#REF!</v>
      </c>
      <c r="N39" s="98" t="e">
        <f t="shared" si="28"/>
        <v>#REF!</v>
      </c>
      <c r="O39" s="98" t="e">
        <f t="shared" si="28"/>
        <v>#REF!</v>
      </c>
      <c r="P39" s="98" t="e">
        <f t="shared" si="28"/>
        <v>#REF!</v>
      </c>
      <c r="Q39" s="98" t="e">
        <f t="shared" si="28"/>
        <v>#REF!</v>
      </c>
      <c r="R39" s="98" t="e">
        <f t="shared" si="28"/>
        <v>#REF!</v>
      </c>
      <c r="S39" s="98" t="e">
        <f t="shared" si="28"/>
        <v>#REF!</v>
      </c>
      <c r="T39" s="98" t="e">
        <f t="shared" si="28"/>
        <v>#REF!</v>
      </c>
      <c r="U39" s="98" t="e">
        <f t="shared" si="28"/>
        <v>#REF!</v>
      </c>
      <c r="V39" s="98" t="e">
        <f t="shared" si="28"/>
        <v>#REF!</v>
      </c>
      <c r="W39" s="98" t="e">
        <f t="shared" si="28"/>
        <v>#REF!</v>
      </c>
      <c r="X39" s="98" t="e">
        <f t="shared" si="28"/>
        <v>#REF!</v>
      </c>
      <c r="Y39" s="98" t="e">
        <f t="shared" si="28"/>
        <v>#REF!</v>
      </c>
      <c r="Z39" s="98" t="e">
        <f>SUM(Z40:Z41)</f>
        <v>#REF!</v>
      </c>
      <c r="AA39" s="59"/>
      <c r="AB39" s="59"/>
      <c r="AC39" s="59"/>
      <c r="AD39" s="546"/>
      <c r="AE39" s="59"/>
    </row>
    <row r="40" spans="1:106">
      <c r="A40" s="548" t="s">
        <v>1242</v>
      </c>
      <c r="B40" s="59"/>
      <c r="C40" s="59"/>
      <c r="D40" s="59"/>
      <c r="E40" s="59"/>
      <c r="F40" s="98">
        <f t="shared" ref="F40:K40" si="29">F7</f>
        <v>3937.2999999999997</v>
      </c>
      <c r="G40" s="98">
        <f t="shared" si="29"/>
        <v>3397.04</v>
      </c>
      <c r="H40" s="98">
        <f t="shared" si="29"/>
        <v>3544.9300000000003</v>
      </c>
      <c r="I40" s="98">
        <f t="shared" si="29"/>
        <v>4212.76</v>
      </c>
      <c r="J40" s="98">
        <f t="shared" si="29"/>
        <v>3642.72</v>
      </c>
      <c r="K40" s="98">
        <f t="shared" si="29"/>
        <v>3330.15</v>
      </c>
      <c r="L40" s="98">
        <f>L7</f>
        <v>3353.93</v>
      </c>
      <c r="M40" s="98">
        <f t="shared" ref="M40:Y40" si="30">M7</f>
        <v>3358.3399999999997</v>
      </c>
      <c r="N40" s="98">
        <f t="shared" si="30"/>
        <v>3627.25</v>
      </c>
      <c r="O40" s="98">
        <f t="shared" si="30"/>
        <v>3040.7200000000003</v>
      </c>
      <c r="P40" s="98">
        <f t="shared" si="30"/>
        <v>3455.95</v>
      </c>
      <c r="Q40" s="98">
        <f t="shared" si="30"/>
        <v>3554.9900000000002</v>
      </c>
      <c r="R40" s="98">
        <f t="shared" si="30"/>
        <v>4168.38</v>
      </c>
      <c r="S40" s="98">
        <f t="shared" si="30"/>
        <v>4184.4800000000005</v>
      </c>
      <c r="T40" s="98">
        <f t="shared" si="30"/>
        <v>4200.2</v>
      </c>
      <c r="U40" s="98">
        <f t="shared" si="30"/>
        <v>5371.82</v>
      </c>
      <c r="V40" s="98">
        <f t="shared" si="30"/>
        <v>3975.35</v>
      </c>
      <c r="W40" s="98">
        <f t="shared" si="30"/>
        <v>4362.83</v>
      </c>
      <c r="X40" s="98">
        <f t="shared" si="30"/>
        <v>3302.7</v>
      </c>
      <c r="Y40" s="98">
        <f t="shared" si="30"/>
        <v>2977.1800000000003</v>
      </c>
      <c r="Z40" s="98">
        <f>Z7</f>
        <v>2886.04</v>
      </c>
      <c r="AA40" s="59"/>
      <c r="AB40" s="59"/>
      <c r="AC40" s="59"/>
      <c r="AD40" s="546"/>
      <c r="AE40" s="59"/>
    </row>
    <row r="41" spans="1:106">
      <c r="A41" s="549" t="s">
        <v>1243</v>
      </c>
      <c r="B41" s="59"/>
      <c r="C41" s="59"/>
      <c r="D41" s="59"/>
      <c r="E41" s="59"/>
      <c r="F41" s="59" t="e">
        <f t="shared" ref="F41:Z41" si="31">F8*F37</f>
        <v>#REF!</v>
      </c>
      <c r="G41" s="59" t="e">
        <f t="shared" si="31"/>
        <v>#REF!</v>
      </c>
      <c r="H41" s="59" t="e">
        <f t="shared" si="31"/>
        <v>#REF!</v>
      </c>
      <c r="I41" s="59" t="e">
        <f t="shared" si="31"/>
        <v>#REF!</v>
      </c>
      <c r="J41" s="59" t="e">
        <f t="shared" si="31"/>
        <v>#REF!</v>
      </c>
      <c r="K41" s="59" t="e">
        <f t="shared" si="31"/>
        <v>#REF!</v>
      </c>
      <c r="L41" s="59" t="e">
        <f t="shared" si="31"/>
        <v>#REF!</v>
      </c>
      <c r="M41" s="59" t="e">
        <f t="shared" si="31"/>
        <v>#REF!</v>
      </c>
      <c r="N41" s="59" t="e">
        <f t="shared" si="31"/>
        <v>#REF!</v>
      </c>
      <c r="O41" s="59" t="e">
        <f t="shared" si="31"/>
        <v>#REF!</v>
      </c>
      <c r="P41" s="59" t="e">
        <f t="shared" si="31"/>
        <v>#REF!</v>
      </c>
      <c r="Q41" s="59" t="e">
        <f t="shared" si="31"/>
        <v>#REF!</v>
      </c>
      <c r="R41" s="59" t="e">
        <f t="shared" si="31"/>
        <v>#REF!</v>
      </c>
      <c r="S41" s="59" t="e">
        <f t="shared" si="31"/>
        <v>#REF!</v>
      </c>
      <c r="T41" s="59" t="e">
        <f t="shared" si="31"/>
        <v>#REF!</v>
      </c>
      <c r="U41" s="59" t="e">
        <f t="shared" si="31"/>
        <v>#REF!</v>
      </c>
      <c r="V41" s="59" t="e">
        <f t="shared" si="31"/>
        <v>#REF!</v>
      </c>
      <c r="W41" s="59" t="e">
        <f t="shared" si="31"/>
        <v>#REF!</v>
      </c>
      <c r="X41" s="59" t="e">
        <f t="shared" si="31"/>
        <v>#REF!</v>
      </c>
      <c r="Y41" s="59" t="e">
        <f t="shared" si="31"/>
        <v>#REF!</v>
      </c>
      <c r="Z41" s="59" t="e">
        <f t="shared" si="31"/>
        <v>#REF!</v>
      </c>
      <c r="AA41" s="59"/>
      <c r="AB41" s="59"/>
      <c r="AC41" s="59"/>
      <c r="AD41" s="546"/>
      <c r="AE41" s="59"/>
    </row>
    <row r="42" spans="1:106" ht="13.5" thickBot="1">
      <c r="A42" s="551"/>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3"/>
      <c r="AE42" s="59"/>
    </row>
  </sheetData>
  <mergeCells count="20">
    <mergeCell ref="A16:DD17"/>
    <mergeCell ref="BN4:BR4"/>
    <mergeCell ref="CQ4:CQ5"/>
    <mergeCell ref="CF4:CK4"/>
    <mergeCell ref="CE4:CE5"/>
    <mergeCell ref="BS4:BS5"/>
    <mergeCell ref="BT4:BY4"/>
    <mergeCell ref="CY4:DE4"/>
    <mergeCell ref="A2:BJ2"/>
    <mergeCell ref="D4:D5"/>
    <mergeCell ref="K4:K5"/>
    <mergeCell ref="A4:A5"/>
    <mergeCell ref="E4:E5"/>
    <mergeCell ref="W4:W5"/>
    <mergeCell ref="B4:B5"/>
    <mergeCell ref="C4:C5"/>
    <mergeCell ref="BH4:BM4"/>
    <mergeCell ref="AI4:AI5"/>
    <mergeCell ref="BG4:BG5"/>
    <mergeCell ref="AU4:AU5"/>
  </mergeCells>
  <phoneticPr fontId="0" type="noConversion"/>
  <pageMargins left="1.41" right="0.75" top="1.1100000000000001" bottom="1" header="0.5" footer="0.5"/>
  <pageSetup scale="80" orientation="landscape" r:id="rId1"/>
  <headerFooter alignWithMargins="0"/>
  <ignoredErrors>
    <ignoredError sqref="AU12" formula="1"/>
    <ignoredError sqref="DE10" evalError="1"/>
  </ignoredErrors>
  <drawing r:id="rId2"/>
  <legacyDrawing r:id="rId3"/>
</worksheet>
</file>

<file path=xl/worksheets/sheet73.xml><?xml version="1.0" encoding="utf-8"?>
<worksheet xmlns="http://schemas.openxmlformats.org/spreadsheetml/2006/main" xmlns:r="http://schemas.openxmlformats.org/officeDocument/2006/relationships">
  <sheetPr codeName="Sheet36"/>
  <dimension ref="A1:W96"/>
  <sheetViews>
    <sheetView zoomScale="60" zoomScaleNormal="50" workbookViewId="0">
      <pane xSplit="6" ySplit="7" topLeftCell="K8" activePane="bottomRight" state="frozen"/>
      <selection pane="topRight" activeCell="G1" sqref="G1"/>
      <selection pane="bottomLeft" activeCell="A8" sqref="A8"/>
      <selection pane="bottomRight" activeCell="W32" sqref="W32"/>
    </sheetView>
  </sheetViews>
  <sheetFormatPr defaultColWidth="11.28515625" defaultRowHeight="15"/>
  <cols>
    <col min="1" max="1" width="34" style="5" customWidth="1"/>
    <col min="2" max="2" width="12.5703125" style="5" hidden="1" customWidth="1"/>
    <col min="3" max="3" width="0.85546875" style="5" hidden="1" customWidth="1"/>
    <col min="4" max="4" width="8.28515625" style="5" hidden="1" customWidth="1"/>
    <col min="5" max="5" width="2.28515625" style="5" hidden="1" customWidth="1"/>
    <col min="6" max="6" width="15.85546875" style="5" hidden="1" customWidth="1"/>
    <col min="7" max="7" width="16.7109375" style="5" customWidth="1"/>
    <col min="8" max="10" width="16.28515625" style="5" customWidth="1"/>
    <col min="11" max="11" width="16.42578125" style="5" customWidth="1"/>
    <col min="12" max="12" width="16.140625" style="5" customWidth="1"/>
    <col min="13" max="13" width="18.85546875" style="5" customWidth="1"/>
    <col min="14" max="14" width="18.85546875" style="105" customWidth="1"/>
    <col min="15" max="19" width="15.28515625" style="105" customWidth="1"/>
    <col min="20" max="20" width="11.85546875" style="5" customWidth="1"/>
    <col min="21" max="21" width="11.5703125" style="5" bestFit="1" customWidth="1"/>
    <col min="22" max="22" width="12.140625" style="5" bestFit="1" customWidth="1"/>
    <col min="23" max="23" width="11.5703125" style="5" bestFit="1" customWidth="1"/>
    <col min="24" max="16384" width="11.28515625" style="5"/>
  </cols>
  <sheetData>
    <row r="1" spans="1:23" ht="15.75">
      <c r="A1" s="89" t="s">
        <v>130</v>
      </c>
      <c r="B1" s="89"/>
      <c r="C1" s="89"/>
      <c r="D1" s="89"/>
      <c r="E1" s="89"/>
      <c r="F1" s="89"/>
      <c r="G1" s="89"/>
      <c r="H1" s="89"/>
      <c r="I1" s="89"/>
    </row>
    <row r="2" spans="1:23" ht="15.75">
      <c r="A2" s="89"/>
      <c r="B2" s="89"/>
      <c r="C2" s="89"/>
      <c r="D2" s="89"/>
      <c r="E2" s="89"/>
      <c r="F2" s="89"/>
      <c r="G2" s="89"/>
      <c r="H2" s="89"/>
      <c r="I2" s="89"/>
    </row>
    <row r="3" spans="1:23" ht="15.75">
      <c r="A3" s="832" t="s">
        <v>546</v>
      </c>
      <c r="B3" s="833"/>
      <c r="C3" s="833"/>
      <c r="D3" s="833"/>
      <c r="E3" s="833"/>
      <c r="F3" s="834"/>
      <c r="G3" s="834"/>
      <c r="H3" s="835"/>
      <c r="I3" s="835"/>
      <c r="J3" s="836"/>
      <c r="K3" s="836"/>
      <c r="L3" s="836"/>
      <c r="M3" s="836"/>
      <c r="N3" s="1332"/>
      <c r="O3" s="1332"/>
      <c r="P3" s="1332"/>
      <c r="Q3" s="1332"/>
      <c r="R3" s="1332"/>
      <c r="S3" s="1332"/>
    </row>
    <row r="4" spans="1:23">
      <c r="A4" s="633"/>
      <c r="B4" s="835"/>
      <c r="C4" s="835"/>
      <c r="D4" s="835"/>
      <c r="E4" s="837"/>
      <c r="F4" s="837"/>
      <c r="G4" s="837"/>
      <c r="H4" s="838"/>
      <c r="I4" s="839"/>
      <c r="J4" s="840"/>
      <c r="K4" s="840"/>
      <c r="L4" s="840"/>
      <c r="M4" s="840"/>
      <c r="N4" s="1333"/>
      <c r="O4" s="1333"/>
      <c r="P4" s="1334"/>
      <c r="Q4" s="1359"/>
      <c r="R4" s="1359"/>
      <c r="S4" s="1359"/>
    </row>
    <row r="5" spans="1:23">
      <c r="A5" s="611" t="s">
        <v>142</v>
      </c>
      <c r="B5" s="836"/>
      <c r="C5" s="832"/>
      <c r="D5" s="832" t="s">
        <v>140</v>
      </c>
      <c r="E5" s="841" t="s">
        <v>140</v>
      </c>
      <c r="F5" s="841" t="s">
        <v>140</v>
      </c>
      <c r="G5" s="841" t="s">
        <v>140</v>
      </c>
      <c r="H5" s="835"/>
      <c r="I5" s="842"/>
      <c r="J5" s="843"/>
      <c r="K5" s="843"/>
      <c r="L5" s="843"/>
      <c r="M5" s="843"/>
      <c r="N5" s="1335"/>
      <c r="O5" s="1335"/>
      <c r="P5" s="1336"/>
      <c r="Q5" s="1359"/>
      <c r="R5" s="1359"/>
      <c r="S5" s="1359"/>
    </row>
    <row r="6" spans="1:23">
      <c r="A6" s="633"/>
      <c r="B6" s="844"/>
      <c r="C6" s="614"/>
      <c r="D6" s="614"/>
      <c r="E6" s="615"/>
      <c r="F6" s="616"/>
      <c r="G6" s="616"/>
      <c r="H6" s="616"/>
      <c r="I6" s="617"/>
      <c r="J6" s="13"/>
      <c r="K6" s="13"/>
      <c r="L6" s="13"/>
      <c r="M6" s="845"/>
      <c r="N6" s="1337"/>
      <c r="O6" s="1337"/>
      <c r="P6" s="1337"/>
      <c r="Q6" s="1360"/>
      <c r="R6" s="1360"/>
      <c r="S6" s="1360"/>
      <c r="T6" s="5">
        <f>(N8/[78]GDPnom!N38)*100</f>
        <v>-17.310629886107034</v>
      </c>
    </row>
    <row r="7" spans="1:23" ht="15" customHeight="1">
      <c r="A7" s="846" t="s">
        <v>146</v>
      </c>
      <c r="B7" s="847" t="s">
        <v>547</v>
      </c>
      <c r="C7" s="94" t="s">
        <v>548</v>
      </c>
      <c r="D7" s="94" t="s">
        <v>549</v>
      </c>
      <c r="E7" s="620" t="s">
        <v>236</v>
      </c>
      <c r="F7" s="95" t="s">
        <v>550</v>
      </c>
      <c r="G7" s="95" t="s">
        <v>293</v>
      </c>
      <c r="H7" s="95" t="s">
        <v>294</v>
      </c>
      <c r="I7" s="621" t="s">
        <v>551</v>
      </c>
      <c r="J7" s="652" t="s">
        <v>552</v>
      </c>
      <c r="K7" s="652" t="s">
        <v>553</v>
      </c>
      <c r="L7" s="652" t="s">
        <v>452</v>
      </c>
      <c r="M7" s="652" t="s">
        <v>609</v>
      </c>
      <c r="N7" s="1338" t="s">
        <v>877</v>
      </c>
      <c r="O7" s="1338" t="s">
        <v>1164</v>
      </c>
      <c r="P7" s="1338" t="s">
        <v>1034</v>
      </c>
      <c r="Q7" s="1361" t="s">
        <v>805</v>
      </c>
      <c r="R7" s="1361" t="s">
        <v>806</v>
      </c>
      <c r="S7" s="1361" t="s">
        <v>807</v>
      </c>
      <c r="U7" s="5" t="s">
        <v>131</v>
      </c>
    </row>
    <row r="8" spans="1:23" s="17" customFormat="1" ht="15.75">
      <c r="A8" s="848" t="s">
        <v>554</v>
      </c>
      <c r="B8" s="640"/>
      <c r="C8" s="640"/>
      <c r="D8" s="849">
        <v>-1253.58</v>
      </c>
      <c r="E8" s="849">
        <v>-1071.54</v>
      </c>
      <c r="F8" s="849">
        <v>1556.296566666666</v>
      </c>
      <c r="G8" s="849">
        <v>653.46608333333347</v>
      </c>
      <c r="H8" s="849">
        <v>1487.6341000000011</v>
      </c>
      <c r="I8" s="849">
        <v>240.09687335178205</v>
      </c>
      <c r="J8" s="849">
        <v>-1847.9049149534915</v>
      </c>
      <c r="K8" s="849">
        <v>-1978.9742336760942</v>
      </c>
      <c r="L8" s="849">
        <v>-3893.6425646908569</v>
      </c>
      <c r="M8" s="849">
        <v>-6597.4807180879498</v>
      </c>
      <c r="N8" s="1339">
        <v>-5519.3212328863665</v>
      </c>
      <c r="O8" s="1342">
        <v>-10487.427247351825</v>
      </c>
      <c r="P8" s="1339">
        <v>-1695.7309086676569</v>
      </c>
      <c r="Q8" s="1362">
        <v>6417.2</v>
      </c>
      <c r="R8" s="1362">
        <v>-1080.2</v>
      </c>
      <c r="S8" s="1362">
        <v>-2627</v>
      </c>
      <c r="T8" s="17">
        <f>((M8-L8)/L8)*100</f>
        <v>69.442382254514129</v>
      </c>
      <c r="U8" s="17">
        <f>M8/47.93</f>
        <v>-137.648251994324</v>
      </c>
    </row>
    <row r="9" spans="1:23" ht="15.75">
      <c r="A9" s="633"/>
      <c r="B9" s="170"/>
      <c r="C9" s="170"/>
      <c r="D9" s="170"/>
      <c r="E9" s="170"/>
      <c r="F9" s="634"/>
      <c r="G9" s="170"/>
      <c r="H9" s="850"/>
      <c r="I9" s="850"/>
      <c r="J9" s="850"/>
      <c r="K9" s="850"/>
      <c r="L9" s="850"/>
      <c r="M9" s="850"/>
      <c r="N9" s="1340"/>
      <c r="O9" s="1340"/>
      <c r="P9" s="1340"/>
      <c r="Q9" s="828"/>
      <c r="R9" s="828"/>
      <c r="S9" s="828"/>
      <c r="T9" s="17"/>
      <c r="V9" s="5">
        <f>N17+N21+N25</f>
        <v>6130.908435101579</v>
      </c>
    </row>
    <row r="10" spans="1:23" ht="15.75">
      <c r="A10" s="633" t="s">
        <v>555</v>
      </c>
      <c r="B10" s="170">
        <v>1129.57</v>
      </c>
      <c r="C10" s="170" t="e">
        <v>#REF!</v>
      </c>
      <c r="D10" s="170">
        <v>1990.33</v>
      </c>
      <c r="E10" s="170">
        <v>2196.6799999999998</v>
      </c>
      <c r="F10" s="170">
        <v>3349.13</v>
      </c>
      <c r="G10" s="170">
        <v>3553.77</v>
      </c>
      <c r="H10" s="170">
        <v>4274.18</v>
      </c>
      <c r="I10" s="170">
        <v>4460</v>
      </c>
      <c r="J10" s="170">
        <v>4987.8599999999997</v>
      </c>
      <c r="K10" s="170">
        <v>4615.8417380000001</v>
      </c>
      <c r="L10" s="170">
        <v>4994.7520709999999</v>
      </c>
      <c r="M10" s="170">
        <v>5405.8953600000004</v>
      </c>
      <c r="N10" s="1340">
        <v>7157.4688973000002</v>
      </c>
      <c r="O10" s="1340">
        <v>9457.0527279999988</v>
      </c>
      <c r="P10" s="1340">
        <v>13959.811698000001</v>
      </c>
      <c r="Q10" s="828">
        <v>25333.8</v>
      </c>
      <c r="R10" s="828">
        <v>24170.799999999999</v>
      </c>
      <c r="S10" s="828">
        <v>21833.7</v>
      </c>
      <c r="T10" s="17">
        <f>((M10-L10)/L10)*100</f>
        <v>8.2315054512342485</v>
      </c>
      <c r="U10" s="5">
        <f>M10/47.93</f>
        <v>112.78730148132695</v>
      </c>
      <c r="W10" s="5">
        <f>((L10-K10)/K10)*100</f>
        <v>8.2089108445944685</v>
      </c>
    </row>
    <row r="11" spans="1:23" ht="15.75">
      <c r="A11" s="611" t="s">
        <v>142</v>
      </c>
      <c r="B11" s="170"/>
      <c r="C11" s="170"/>
      <c r="D11" s="170"/>
      <c r="E11" s="170"/>
      <c r="F11" s="634"/>
      <c r="G11" s="170"/>
      <c r="H11" s="850"/>
      <c r="I11" s="850"/>
      <c r="J11" s="850"/>
      <c r="K11" s="850"/>
      <c r="L11" s="850"/>
      <c r="M11" s="850"/>
      <c r="N11" s="1340"/>
      <c r="O11" s="1340"/>
      <c r="P11" s="1340"/>
      <c r="Q11" s="828"/>
      <c r="R11" s="828"/>
      <c r="S11" s="828"/>
      <c r="T11" s="17"/>
      <c r="U11" s="5">
        <f>(8203.5/9042.1)*100</f>
        <v>90.725605777418963</v>
      </c>
    </row>
    <row r="12" spans="1:23" ht="15.75">
      <c r="A12" s="633" t="s">
        <v>556</v>
      </c>
      <c r="B12" s="170">
        <v>-1254.92</v>
      </c>
      <c r="C12" s="170" t="e">
        <v>#REF!</v>
      </c>
      <c r="D12" s="170">
        <v>-2914.2</v>
      </c>
      <c r="E12" s="170">
        <v>-3053.18</v>
      </c>
      <c r="F12" s="170">
        <v>-3802.34</v>
      </c>
      <c r="G12" s="170">
        <v>-4697.21</v>
      </c>
      <c r="H12" s="170">
        <v>-5226.1000000000004</v>
      </c>
      <c r="I12" s="170">
        <v>-6913.67</v>
      </c>
      <c r="J12" s="170">
        <v>-8075.18</v>
      </c>
      <c r="K12" s="170">
        <v>-8674.9731890000003</v>
      </c>
      <c r="L12" s="170">
        <v>-9790.203164999999</v>
      </c>
      <c r="M12" s="170">
        <v>-9886.8995032245148</v>
      </c>
      <c r="N12" s="1340">
        <v>-11923.490308369754</v>
      </c>
      <c r="O12" s="1340">
        <v>-20556.013614084062</v>
      </c>
      <c r="P12" s="1340">
        <v>-19456.541194378107</v>
      </c>
      <c r="Q12" s="828">
        <v>-23271.9</v>
      </c>
      <c r="R12" s="828">
        <v>-27092.400000000001</v>
      </c>
      <c r="S12" s="828">
        <v>-29406.799999999999</v>
      </c>
      <c r="T12" s="17">
        <f>((M12-L12)/L12)*100</f>
        <v>0.98768469453428143</v>
      </c>
      <c r="U12" s="5">
        <f>M12/47.93</f>
        <v>-206.27789491392687</v>
      </c>
      <c r="V12" s="5">
        <f>(M14/[78]GDPnom!M41)*100</f>
        <v>-16.129743865319874</v>
      </c>
      <c r="W12" s="5">
        <f>((L12-K12)/K12)*100</f>
        <v>12.855716688717003</v>
      </c>
    </row>
    <row r="13" spans="1:23" ht="15.75">
      <c r="A13" s="611" t="s">
        <v>142</v>
      </c>
      <c r="B13" s="170"/>
      <c r="C13" s="170"/>
      <c r="D13" s="170"/>
      <c r="E13" s="170"/>
      <c r="F13" s="634"/>
      <c r="G13" s="170"/>
      <c r="H13" s="850"/>
      <c r="I13" s="850"/>
      <c r="J13" s="850"/>
      <c r="K13" s="850"/>
      <c r="L13" s="850"/>
      <c r="M13" s="850"/>
      <c r="N13" s="1340"/>
      <c r="O13" s="829"/>
      <c r="P13" s="1340"/>
      <c r="Q13" s="828"/>
      <c r="R13" s="828"/>
      <c r="S13" s="828"/>
      <c r="T13" s="17"/>
    </row>
    <row r="14" spans="1:23" ht="15.75">
      <c r="A14" s="633" t="s">
        <v>560</v>
      </c>
      <c r="B14" s="170">
        <v>-125.35</v>
      </c>
      <c r="C14" s="170" t="e">
        <v>#REF!</v>
      </c>
      <c r="D14" s="170">
        <v>-923.87</v>
      </c>
      <c r="E14" s="170">
        <v>-856.5</v>
      </c>
      <c r="F14" s="170">
        <v>-453.21000000000049</v>
      </c>
      <c r="G14" s="170">
        <v>-1143.44</v>
      </c>
      <c r="H14" s="170">
        <v>-951.91999999999916</v>
      </c>
      <c r="I14" s="170">
        <v>-2453.67</v>
      </c>
      <c r="J14" s="632">
        <v>-3087.32</v>
      </c>
      <c r="K14" s="632">
        <v>-4059.1314510000002</v>
      </c>
      <c r="L14" s="632">
        <v>-4795.4510939999991</v>
      </c>
      <c r="M14" s="632">
        <v>-4481.0041432245143</v>
      </c>
      <c r="N14" s="829">
        <v>-4766.0214110697534</v>
      </c>
      <c r="O14" s="1340">
        <v>-11098.960886084064</v>
      </c>
      <c r="P14" s="829">
        <v>-5496.729496378106</v>
      </c>
      <c r="Q14" s="828">
        <v>2061.8000000000002</v>
      </c>
      <c r="R14" s="828">
        <f>R10+R12</f>
        <v>-2921.6000000000022</v>
      </c>
      <c r="S14" s="828">
        <f>S10+S12</f>
        <v>-7573.0999999999985</v>
      </c>
      <c r="T14" s="17">
        <f>((M14-L14)/L14)*100</f>
        <v>-6.5571923185478083</v>
      </c>
    </row>
    <row r="15" spans="1:23" ht="15.75">
      <c r="A15" s="633"/>
      <c r="B15" s="170"/>
      <c r="C15" s="170"/>
      <c r="D15" s="170"/>
      <c r="E15" s="170"/>
      <c r="F15" s="170"/>
      <c r="G15" s="170"/>
      <c r="H15" s="850"/>
      <c r="I15" s="850"/>
      <c r="J15" s="850"/>
      <c r="K15" s="850"/>
      <c r="L15" s="850"/>
      <c r="M15" s="850"/>
      <c r="N15" s="1340"/>
      <c r="O15" s="1340"/>
      <c r="P15" s="1340"/>
      <c r="Q15" s="828"/>
      <c r="R15" s="828"/>
      <c r="S15" s="828"/>
      <c r="T15" s="17"/>
      <c r="U15" s="653"/>
    </row>
    <row r="16" spans="1:23" ht="15.75">
      <c r="A16" s="633" t="s">
        <v>1145</v>
      </c>
      <c r="B16" s="170"/>
      <c r="C16" s="170" t="e">
        <v>#REF!</v>
      </c>
      <c r="D16" s="170">
        <v>-329.71</v>
      </c>
      <c r="E16" s="170">
        <v>-215.04</v>
      </c>
      <c r="F16" s="170">
        <v>51.441499999999962</v>
      </c>
      <c r="G16" s="170">
        <v>157.38616666666667</v>
      </c>
      <c r="H16" s="170">
        <v>-334.03069999999991</v>
      </c>
      <c r="I16" s="170">
        <v>-12.777649999999994</v>
      </c>
      <c r="J16" s="170">
        <v>-338.55583450745712</v>
      </c>
      <c r="K16" s="170">
        <v>20.783791335376918</v>
      </c>
      <c r="L16" s="170">
        <v>-815.27665552903659</v>
      </c>
      <c r="M16" s="170">
        <v>-3199.9674824831654</v>
      </c>
      <c r="N16" s="1340">
        <v>-2213.4126693141843</v>
      </c>
      <c r="O16" s="1340">
        <v>-1753.0537931009037</v>
      </c>
      <c r="P16" s="1340">
        <v>-572.99296059016342</v>
      </c>
      <c r="Q16" s="828">
        <v>137</v>
      </c>
      <c r="R16" s="828">
        <f>R17+R18</f>
        <v>-1562.6</v>
      </c>
      <c r="S16" s="828">
        <f>S17+S18</f>
        <v>-778</v>
      </c>
      <c r="T16" s="17">
        <f t="shared" ref="T16:T46" si="0">((M16-L16)/L16)*100</f>
        <v>292.50081071028495</v>
      </c>
      <c r="U16" s="5">
        <f>M16/47.93</f>
        <v>-66.763352440708644</v>
      </c>
      <c r="V16" s="5">
        <f>(420.853/N17)*100</f>
        <v>33.605491297651341</v>
      </c>
    </row>
    <row r="17" spans="1:22" ht="15.75">
      <c r="A17" s="633" t="s">
        <v>617</v>
      </c>
      <c r="B17" s="170"/>
      <c r="C17" s="170"/>
      <c r="D17" s="170">
        <v>847.4</v>
      </c>
      <c r="E17" s="170">
        <v>886.45</v>
      </c>
      <c r="F17" s="170">
        <v>442.39689999999996</v>
      </c>
      <c r="G17" s="170">
        <v>575.89029166666671</v>
      </c>
      <c r="H17" s="170">
        <v>568.23613333333344</v>
      </c>
      <c r="I17" s="170">
        <v>758.1405666666667</v>
      </c>
      <c r="J17" s="170">
        <v>869.84781670319649</v>
      </c>
      <c r="K17" s="170">
        <v>1122.0946603504676</v>
      </c>
      <c r="L17" s="170">
        <v>1085.2919695530538</v>
      </c>
      <c r="M17" s="170">
        <v>977.87759620888733</v>
      </c>
      <c r="N17" s="1340">
        <v>1252.3340196767576</v>
      </c>
      <c r="O17" s="1340">
        <v>1894.8958958528176</v>
      </c>
      <c r="P17" s="1340">
        <v>2313.8319833768201</v>
      </c>
      <c r="Q17" s="828">
        <v>2661.1660047114287</v>
      </c>
      <c r="R17" s="828">
        <v>2206.9</v>
      </c>
      <c r="S17" s="828">
        <v>2534.9</v>
      </c>
      <c r="T17" s="17">
        <f t="shared" si="0"/>
        <v>-9.8972789219477981</v>
      </c>
      <c r="U17" s="5">
        <f>M17/47.93</f>
        <v>20.402203133922121</v>
      </c>
    </row>
    <row r="18" spans="1:22" ht="15.75">
      <c r="A18" s="633" t="s">
        <v>618</v>
      </c>
      <c r="B18" s="170"/>
      <c r="C18" s="170"/>
      <c r="D18" s="170">
        <v>-1177.1099999999999</v>
      </c>
      <c r="E18" s="170">
        <v>-1101.49</v>
      </c>
      <c r="F18" s="170">
        <v>-390.9554</v>
      </c>
      <c r="G18" s="170">
        <v>-418.50412500000004</v>
      </c>
      <c r="H18" s="170">
        <v>-902.26683333333335</v>
      </c>
      <c r="I18" s="170">
        <v>-770.91821666666669</v>
      </c>
      <c r="J18" s="170">
        <v>-1208.4036512106536</v>
      </c>
      <c r="K18" s="170">
        <v>-1101.3108690150907</v>
      </c>
      <c r="L18" s="170">
        <v>-1900.5686250820904</v>
      </c>
      <c r="M18" s="170">
        <v>-4177.845078692053</v>
      </c>
      <c r="N18" s="1340">
        <v>-3465.7466889909419</v>
      </c>
      <c r="O18" s="1340">
        <v>-3647.9496889537213</v>
      </c>
      <c r="P18" s="1340">
        <v>-2886.8249439669835</v>
      </c>
      <c r="Q18" s="828">
        <v>-2524.1999999999998</v>
      </c>
      <c r="R18" s="828">
        <v>-3769.5</v>
      </c>
      <c r="S18" s="828">
        <v>-3312.9</v>
      </c>
      <c r="T18" s="17">
        <f t="shared" si="0"/>
        <v>119.82079592162063</v>
      </c>
      <c r="U18" s="5">
        <f>M18/47.93</f>
        <v>-87.165555574630773</v>
      </c>
      <c r="V18" s="5">
        <f>((M18-L18)/L18)*100</f>
        <v>119.82079592162063</v>
      </c>
    </row>
    <row r="19" spans="1:22" ht="15.75">
      <c r="A19" s="633"/>
      <c r="B19" s="170">
        <v>228.68</v>
      </c>
      <c r="C19" s="170"/>
      <c r="D19" s="170"/>
      <c r="E19" s="170"/>
      <c r="F19" s="170"/>
      <c r="G19" s="170"/>
      <c r="H19" s="850"/>
      <c r="I19" s="850"/>
      <c r="J19" s="850"/>
      <c r="K19" s="850"/>
      <c r="L19" s="850"/>
      <c r="M19" s="850"/>
      <c r="N19" s="1340"/>
      <c r="O19" s="1340"/>
      <c r="P19" s="1340"/>
      <c r="Q19" s="828"/>
      <c r="R19" s="828"/>
      <c r="S19" s="828"/>
      <c r="T19" s="17"/>
    </row>
    <row r="20" spans="1:22" ht="15.75">
      <c r="A20" s="633" t="s">
        <v>561</v>
      </c>
      <c r="B20" s="170"/>
      <c r="C20" s="638" t="s">
        <v>244</v>
      </c>
      <c r="D20" s="638" t="s">
        <v>244</v>
      </c>
      <c r="E20" s="638" t="s">
        <v>244</v>
      </c>
      <c r="F20" s="170">
        <v>-13.717733333333314</v>
      </c>
      <c r="G20" s="170">
        <v>-7.1539166666666745</v>
      </c>
      <c r="H20" s="170">
        <v>395.46163333333334</v>
      </c>
      <c r="I20" s="170">
        <v>408.88479999999998</v>
      </c>
      <c r="J20" s="170">
        <v>-170.08622850282995</v>
      </c>
      <c r="K20" s="170">
        <v>118.14468050595985</v>
      </c>
      <c r="L20" s="170">
        <v>-237.09660396700008</v>
      </c>
      <c r="M20" s="170">
        <v>-544.83272577299999</v>
      </c>
      <c r="N20" s="1340">
        <v>-739.61121790798734</v>
      </c>
      <c r="O20" s="1340">
        <v>-707.71790618939099</v>
      </c>
      <c r="P20" s="1340">
        <v>-312.51328199264776</v>
      </c>
      <c r="Q20" s="828">
        <v>-9.6</v>
      </c>
      <c r="R20" s="828">
        <f>R21+R22</f>
        <v>-1310.0999999999999</v>
      </c>
      <c r="S20" s="828">
        <f>S21+S22</f>
        <v>-1922.8</v>
      </c>
      <c r="T20" s="17">
        <f t="shared" si="0"/>
        <v>129.79355952682968</v>
      </c>
      <c r="U20" s="69">
        <f>M20/47.93</f>
        <v>-11.367259039703734</v>
      </c>
    </row>
    <row r="21" spans="1:22" ht="15.75">
      <c r="A21" s="633" t="s">
        <v>617</v>
      </c>
      <c r="B21" s="170"/>
      <c r="C21" s="638"/>
      <c r="D21" s="638" t="s">
        <v>244</v>
      </c>
      <c r="E21" s="638" t="s">
        <v>244</v>
      </c>
      <c r="F21" s="170">
        <v>219.48373333333336</v>
      </c>
      <c r="G21" s="170">
        <v>193.15575000000001</v>
      </c>
      <c r="H21" s="170">
        <v>526.00236666666672</v>
      </c>
      <c r="I21" s="170">
        <v>511.10599999999999</v>
      </c>
      <c r="J21" s="170">
        <v>605.66377149717005</v>
      </c>
      <c r="K21" s="170">
        <v>803.77643301595992</v>
      </c>
      <c r="L21" s="170">
        <v>523.06018485300001</v>
      </c>
      <c r="M21" s="170">
        <v>561.43628354871998</v>
      </c>
      <c r="N21" s="1340">
        <v>436.31929799201248</v>
      </c>
      <c r="O21" s="1340">
        <v>537.21940341568279</v>
      </c>
      <c r="P21" s="1340">
        <v>813.26775993552224</v>
      </c>
      <c r="Q21" s="828">
        <v>1159.5077645355188</v>
      </c>
      <c r="R21" s="828">
        <v>1419.9</v>
      </c>
      <c r="S21" s="828">
        <v>830.2</v>
      </c>
      <c r="T21" s="17">
        <f t="shared" si="0"/>
        <v>7.336841879200791</v>
      </c>
      <c r="U21" s="5">
        <f>M21/47.93</f>
        <v>11.713671678462758</v>
      </c>
      <c r="V21" s="5">
        <f>((M21-L21)/L21)*100</f>
        <v>7.336841879200791</v>
      </c>
    </row>
    <row r="22" spans="1:22" ht="15.75">
      <c r="A22" s="633" t="s">
        <v>618</v>
      </c>
      <c r="B22" s="170"/>
      <c r="C22" s="638"/>
      <c r="D22" s="638" t="s">
        <v>244</v>
      </c>
      <c r="E22" s="638" t="s">
        <v>244</v>
      </c>
      <c r="F22" s="170">
        <v>-233.20146666666668</v>
      </c>
      <c r="G22" s="170">
        <v>-200.30966666666669</v>
      </c>
      <c r="H22" s="170">
        <v>-130.54073333333335</v>
      </c>
      <c r="I22" s="170">
        <v>-102.22120000000001</v>
      </c>
      <c r="J22" s="170">
        <v>-775.75</v>
      </c>
      <c r="K22" s="170">
        <v>-685.63175251000007</v>
      </c>
      <c r="L22" s="170">
        <v>-760.15678882000009</v>
      </c>
      <c r="M22" s="170">
        <v>-1106.26900932172</v>
      </c>
      <c r="N22" s="1340">
        <v>-1175.9305158999998</v>
      </c>
      <c r="O22" s="1340">
        <v>-1244.9373096050738</v>
      </c>
      <c r="P22" s="1340">
        <v>-1125.78104192817</v>
      </c>
      <c r="Q22" s="828">
        <v>-1169.0999999999999</v>
      </c>
      <c r="R22" s="828">
        <v>-2730</v>
      </c>
      <c r="S22" s="828">
        <v>-2753</v>
      </c>
      <c r="T22" s="17">
        <f t="shared" si="0"/>
        <v>45.531688408518164</v>
      </c>
      <c r="U22" s="5">
        <f>M22/47.93</f>
        <v>-23.080930718166492</v>
      </c>
    </row>
    <row r="23" spans="1:22" ht="15.75">
      <c r="A23" s="633"/>
      <c r="B23" s="170"/>
      <c r="C23" s="638"/>
      <c r="D23" s="638"/>
      <c r="E23" s="638"/>
      <c r="F23" s="170"/>
      <c r="G23" s="638"/>
      <c r="H23" s="170"/>
      <c r="I23" s="170"/>
      <c r="J23" s="170"/>
      <c r="K23" s="170"/>
      <c r="L23" s="170"/>
      <c r="M23" s="170"/>
      <c r="N23" s="1340"/>
      <c r="O23" s="1340"/>
      <c r="P23" s="1340"/>
      <c r="Q23" s="828"/>
      <c r="R23" s="828"/>
      <c r="S23" s="828"/>
      <c r="T23" s="17"/>
    </row>
    <row r="24" spans="1:22" ht="15.75">
      <c r="A24" s="633" t="s">
        <v>562</v>
      </c>
      <c r="B24" s="170">
        <v>-342.16</v>
      </c>
      <c r="C24" s="638" t="s">
        <v>244</v>
      </c>
      <c r="D24" s="638" t="s">
        <v>244</v>
      </c>
      <c r="E24" s="638" t="s">
        <v>244</v>
      </c>
      <c r="F24" s="170">
        <v>1971.7828</v>
      </c>
      <c r="G24" s="170">
        <v>1646.6738333333335</v>
      </c>
      <c r="H24" s="170">
        <v>2378.1231666666667</v>
      </c>
      <c r="I24" s="170">
        <v>2297.6597233517823</v>
      </c>
      <c r="J24" s="170">
        <v>1748.0571480567958</v>
      </c>
      <c r="K24" s="170">
        <v>1941.2287454825691</v>
      </c>
      <c r="L24" s="170">
        <v>1954.1817888051787</v>
      </c>
      <c r="M24" s="170">
        <v>1628.3236333927298</v>
      </c>
      <c r="N24" s="1340">
        <v>2199.7240654055586</v>
      </c>
      <c r="O24" s="1340">
        <v>3072.3053380225329</v>
      </c>
      <c r="P24" s="1340">
        <v>4686.5048302932601</v>
      </c>
      <c r="Q24" s="828">
        <v>4228</v>
      </c>
      <c r="R24" s="828">
        <f>R25+R27</f>
        <v>4714</v>
      </c>
      <c r="S24" s="828">
        <f>S25+S27</f>
        <v>7646.7999999999993</v>
      </c>
      <c r="T24" s="17">
        <f t="shared" si="0"/>
        <v>-16.674915162917589</v>
      </c>
      <c r="U24" s="69">
        <f>M24/47.93</f>
        <v>33.972952918688293</v>
      </c>
      <c r="V24" s="5">
        <f>(420.853701/N17)*100</f>
        <v>33.605547273133041</v>
      </c>
    </row>
    <row r="25" spans="1:22" ht="15.75">
      <c r="A25" s="633" t="s">
        <v>617</v>
      </c>
      <c r="B25" s="170"/>
      <c r="C25" s="638"/>
      <c r="D25" s="638" t="s">
        <v>244</v>
      </c>
      <c r="E25" s="638" t="s">
        <v>244</v>
      </c>
      <c r="F25" s="170">
        <v>3168.6550333333334</v>
      </c>
      <c r="G25" s="170">
        <v>2887.8783750000002</v>
      </c>
      <c r="H25" s="170">
        <v>3913.8965000000003</v>
      </c>
      <c r="I25" s="170">
        <v>5023.5583900184492</v>
      </c>
      <c r="J25" s="170">
        <v>3698.6729259260401</v>
      </c>
      <c r="K25" s="170">
        <v>3864.0738557320001</v>
      </c>
      <c r="L25" s="170">
        <v>4223.2076408725998</v>
      </c>
      <c r="M25" s="170">
        <v>4146.7076481912</v>
      </c>
      <c r="N25" s="1340">
        <v>4442.2551174328091</v>
      </c>
      <c r="O25" s="1340">
        <v>5492.7898712806364</v>
      </c>
      <c r="P25" s="1340">
        <v>7313.7144302000424</v>
      </c>
      <c r="Q25" s="828">
        <v>6536.1</v>
      </c>
      <c r="R25" s="828">
        <v>6780.2</v>
      </c>
      <c r="S25" s="828">
        <v>10618.9</v>
      </c>
      <c r="T25" s="17">
        <f t="shared" si="0"/>
        <v>-1.8114191672942082</v>
      </c>
      <c r="U25" s="5">
        <f>M25/47.93</f>
        <v>86.51591170855832</v>
      </c>
    </row>
    <row r="26" spans="1:22" ht="15.75">
      <c r="A26" s="651" t="s">
        <v>1263</v>
      </c>
      <c r="B26" s="170"/>
      <c r="C26" s="638"/>
      <c r="D26" s="638"/>
      <c r="E26" s="638"/>
      <c r="F26" s="170">
        <v>2836</v>
      </c>
      <c r="G26" s="170">
        <v>2662.53</v>
      </c>
      <c r="H26" s="170">
        <v>3280.39</v>
      </c>
      <c r="I26" s="170">
        <v>5146.18</v>
      </c>
      <c r="J26" s="170">
        <v>3633.1326349999999</v>
      </c>
      <c r="K26" s="170">
        <v>3711.5</v>
      </c>
      <c r="L26" s="170">
        <v>4126.7</v>
      </c>
      <c r="M26" s="170">
        <v>4059.6</v>
      </c>
      <c r="N26" s="1340">
        <v>4287.0092810000006</v>
      </c>
      <c r="O26" s="1340">
        <v>5348.58</v>
      </c>
      <c r="P26" s="1340">
        <v>7181.4740000000002</v>
      </c>
      <c r="Q26" s="828">
        <v>6000.9</v>
      </c>
      <c r="R26" s="828">
        <v>5935.4</v>
      </c>
      <c r="S26" s="828">
        <v>9485.1</v>
      </c>
      <c r="T26" s="17">
        <f t="shared" si="0"/>
        <v>-1.6259965589938672</v>
      </c>
      <c r="U26" s="5">
        <f>M26/47.93</f>
        <v>84.698518673064882</v>
      </c>
    </row>
    <row r="27" spans="1:22" ht="15.75">
      <c r="A27" s="633" t="s">
        <v>618</v>
      </c>
      <c r="B27" s="170"/>
      <c r="C27" s="638"/>
      <c r="D27" s="638" t="s">
        <v>244</v>
      </c>
      <c r="E27" s="638" t="s">
        <v>244</v>
      </c>
      <c r="F27" s="170">
        <v>-1196.8722333333335</v>
      </c>
      <c r="G27" s="170">
        <v>-1241.2045416666667</v>
      </c>
      <c r="H27" s="170">
        <v>-1535.7733333333335</v>
      </c>
      <c r="I27" s="170">
        <v>-2725.8986666666669</v>
      </c>
      <c r="J27" s="170">
        <v>-1950.6157778692443</v>
      </c>
      <c r="K27" s="170">
        <v>-1922.8451102494309</v>
      </c>
      <c r="L27" s="170">
        <v>-2269.0258520674211</v>
      </c>
      <c r="M27" s="170">
        <v>-2518.3840147984702</v>
      </c>
      <c r="N27" s="1340">
        <v>-2242.5310520272506</v>
      </c>
      <c r="O27" s="1340">
        <v>-2420.4845332581035</v>
      </c>
      <c r="P27" s="1340">
        <v>-2627.2095999067824</v>
      </c>
      <c r="Q27" s="828">
        <v>-2308.1</v>
      </c>
      <c r="R27" s="828">
        <v>-2066.1999999999998</v>
      </c>
      <c r="S27" s="828">
        <v>-2972.1</v>
      </c>
      <c r="T27" s="17">
        <f t="shared" si="0"/>
        <v>10.989657191602582</v>
      </c>
      <c r="U27" s="5">
        <f>M27/47.93</f>
        <v>-52.542958789870021</v>
      </c>
    </row>
    <row r="28" spans="1:22" ht="15.75">
      <c r="A28" s="611" t="s">
        <v>142</v>
      </c>
      <c r="B28" s="170"/>
      <c r="C28" s="170"/>
      <c r="D28" s="170"/>
      <c r="E28" s="170"/>
      <c r="F28" s="170"/>
      <c r="G28" s="170"/>
      <c r="H28" s="170"/>
      <c r="I28" s="170"/>
      <c r="J28" s="170"/>
      <c r="K28" s="170"/>
      <c r="L28" s="170"/>
      <c r="M28" s="170"/>
      <c r="N28" s="1340"/>
      <c r="O28" s="1341"/>
      <c r="P28" s="1340"/>
      <c r="Q28" s="828"/>
      <c r="R28" s="828"/>
      <c r="S28" s="828"/>
      <c r="T28" s="17"/>
    </row>
    <row r="29" spans="1:22" ht="15.75">
      <c r="A29" s="611" t="s">
        <v>142</v>
      </c>
      <c r="B29" s="170"/>
      <c r="C29" s="170"/>
      <c r="D29" s="170"/>
      <c r="E29" s="170"/>
      <c r="F29" s="170"/>
      <c r="G29" s="170"/>
      <c r="H29" s="170"/>
      <c r="I29" s="653"/>
      <c r="J29" s="162"/>
      <c r="K29" s="163"/>
      <c r="L29" s="163"/>
      <c r="M29" s="163"/>
      <c r="N29" s="1341"/>
      <c r="O29" s="1342"/>
      <c r="P29" s="1341"/>
      <c r="Q29" s="1363"/>
      <c r="R29" s="1363"/>
      <c r="S29" s="1363"/>
      <c r="T29" s="17"/>
    </row>
    <row r="30" spans="1:22" s="17" customFormat="1" ht="15.75">
      <c r="A30" s="639" t="s">
        <v>563</v>
      </c>
      <c r="B30" s="640"/>
      <c r="C30" s="640"/>
      <c r="D30" s="640">
        <v>1939.33</v>
      </c>
      <c r="E30" s="640">
        <v>1621.73</v>
      </c>
      <c r="F30" s="640">
        <v>-415.71</v>
      </c>
      <c r="G30" s="640">
        <v>194.08</v>
      </c>
      <c r="H30" s="640">
        <v>167.27</v>
      </c>
      <c r="I30" s="640">
        <v>1151.71</v>
      </c>
      <c r="J30" s="640">
        <v>4703.58</v>
      </c>
      <c r="K30" s="640">
        <v>3430.3128080000001</v>
      </c>
      <c r="L30" s="640">
        <v>5460.13148</v>
      </c>
      <c r="M30" s="640">
        <v>10864.47027989116</v>
      </c>
      <c r="N30" s="1342">
        <v>8801.570532282869</v>
      </c>
      <c r="O30" s="1340">
        <v>9473.3476398750154</v>
      </c>
      <c r="P30" s="1342">
        <v>5847.0943357116657</v>
      </c>
      <c r="Q30" s="1364">
        <v>5095.5</v>
      </c>
      <c r="R30" s="1364">
        <f>R32+R34+R36+R38+R40+R42</f>
        <v>4118.3</v>
      </c>
      <c r="S30" s="1364">
        <f>S32+S34+S36+S38+S40+S42</f>
        <v>5035</v>
      </c>
      <c r="T30" s="17">
        <f t="shared" si="0"/>
        <v>98.978180647971499</v>
      </c>
      <c r="U30" s="17">
        <f>M30/47.93</f>
        <v>226.6736966386639</v>
      </c>
    </row>
    <row r="31" spans="1:22" ht="15.75">
      <c r="A31" s="639"/>
      <c r="B31" s="170"/>
      <c r="C31" s="170"/>
      <c r="D31" s="170"/>
      <c r="E31" s="170"/>
      <c r="F31" s="170"/>
      <c r="G31" s="170"/>
      <c r="H31" s="170"/>
      <c r="I31" s="170"/>
      <c r="J31" s="170"/>
      <c r="K31" s="170"/>
      <c r="L31" s="170"/>
      <c r="M31" s="170"/>
      <c r="N31" s="1340"/>
      <c r="O31" s="1343"/>
      <c r="P31" s="1340"/>
      <c r="Q31" s="828"/>
      <c r="R31" s="828"/>
      <c r="S31" s="828"/>
      <c r="T31" s="17"/>
    </row>
    <row r="32" spans="1:22" ht="15.75">
      <c r="A32" s="830" t="s">
        <v>87</v>
      </c>
      <c r="B32" s="170"/>
      <c r="C32" s="170"/>
      <c r="D32" s="170"/>
      <c r="E32" s="170"/>
      <c r="F32" s="170"/>
      <c r="G32" s="636" t="s">
        <v>244</v>
      </c>
      <c r="H32" s="636" t="s">
        <v>244</v>
      </c>
      <c r="I32" s="636" t="s">
        <v>244</v>
      </c>
      <c r="J32" s="165">
        <v>2910</v>
      </c>
      <c r="K32" s="165">
        <v>2001.712</v>
      </c>
      <c r="L32" s="165">
        <v>2512.6819999999998</v>
      </c>
      <c r="M32" s="165">
        <v>6219.02</v>
      </c>
      <c r="N32" s="1343">
        <v>5071.973</v>
      </c>
      <c r="O32" s="1340">
        <v>4586.3704399999997</v>
      </c>
      <c r="P32" s="1343">
        <v>1751.5204413599999</v>
      </c>
      <c r="Q32" s="1363">
        <v>1111.796</v>
      </c>
      <c r="R32" s="1363">
        <v>635.5</v>
      </c>
      <c r="S32" s="1363">
        <v>1733.2</v>
      </c>
      <c r="T32" s="17"/>
    </row>
    <row r="33" spans="1:21" ht="15.75">
      <c r="A33" s="639"/>
      <c r="B33" s="170"/>
      <c r="C33" s="170"/>
      <c r="D33" s="170"/>
      <c r="E33" s="170"/>
      <c r="F33" s="170"/>
      <c r="G33" s="170"/>
      <c r="H33" s="170"/>
      <c r="I33" s="170"/>
      <c r="J33" s="170"/>
      <c r="K33" s="170"/>
      <c r="L33" s="170"/>
      <c r="M33" s="170"/>
      <c r="N33" s="1340"/>
      <c r="O33" s="1344"/>
      <c r="P33" s="1340"/>
      <c r="Q33" s="828"/>
      <c r="R33" s="828"/>
      <c r="S33" s="828"/>
      <c r="T33" s="17"/>
    </row>
    <row r="34" spans="1:21" ht="15.75">
      <c r="A34" s="187" t="s">
        <v>619</v>
      </c>
      <c r="B34" s="170"/>
      <c r="C34" s="170" t="e">
        <v>#REF!</v>
      </c>
      <c r="D34" s="638" t="s">
        <v>244</v>
      </c>
      <c r="E34" s="638" t="s">
        <v>244</v>
      </c>
      <c r="F34" s="638" t="s">
        <v>244</v>
      </c>
      <c r="G34" s="636">
        <v>0</v>
      </c>
      <c r="H34" s="636">
        <v>0</v>
      </c>
      <c r="I34" s="636">
        <v>45.22</v>
      </c>
      <c r="J34" s="636">
        <v>0</v>
      </c>
      <c r="K34" s="636">
        <v>0</v>
      </c>
      <c r="L34" s="636">
        <v>101.24299999999999</v>
      </c>
      <c r="M34" s="636">
        <v>117.9099935</v>
      </c>
      <c r="N34" s="1344">
        <v>156.989284</v>
      </c>
      <c r="O34" s="1340">
        <v>401.47332585708324</v>
      </c>
      <c r="P34" s="1344">
        <v>273.93889088750001</v>
      </c>
      <c r="Q34" s="1365">
        <v>3238.1363844573998</v>
      </c>
      <c r="R34" s="1365">
        <v>1198.0999999999999</v>
      </c>
      <c r="S34" s="1365">
        <v>814.2</v>
      </c>
      <c r="T34" s="17">
        <f t="shared" si="0"/>
        <v>16.46236628705195</v>
      </c>
      <c r="U34" s="5">
        <f>M34/47.93</f>
        <v>2.4600457646567913</v>
      </c>
    </row>
    <row r="35" spans="1:21" ht="15.75">
      <c r="A35" s="639"/>
      <c r="B35" s="170"/>
      <c r="C35" s="170"/>
      <c r="D35" s="170"/>
      <c r="E35" s="170"/>
      <c r="F35" s="170"/>
      <c r="G35" s="636"/>
      <c r="H35" s="170"/>
      <c r="I35" s="170"/>
      <c r="J35" s="170"/>
      <c r="K35" s="170"/>
      <c r="L35" s="170"/>
      <c r="M35" s="170"/>
      <c r="N35" s="1340"/>
      <c r="O35" s="1344"/>
      <c r="P35" s="1340"/>
      <c r="Q35" s="828"/>
      <c r="R35" s="828"/>
      <c r="S35" s="828"/>
      <c r="T35" s="17"/>
    </row>
    <row r="36" spans="1:21" ht="15.75">
      <c r="A36" s="187" t="s">
        <v>1267</v>
      </c>
      <c r="B36" s="170"/>
      <c r="C36" s="170"/>
      <c r="D36" s="170"/>
      <c r="E36" s="170"/>
      <c r="F36" s="638" t="s">
        <v>244</v>
      </c>
      <c r="G36" s="636">
        <v>0</v>
      </c>
      <c r="H36" s="636">
        <v>0</v>
      </c>
      <c r="I36" s="636">
        <v>0</v>
      </c>
      <c r="J36" s="636">
        <v>0</v>
      </c>
      <c r="K36" s="636">
        <v>-881.41</v>
      </c>
      <c r="L36" s="636">
        <v>0</v>
      </c>
      <c r="M36" s="636">
        <v>0</v>
      </c>
      <c r="N36" s="1344">
        <v>0</v>
      </c>
      <c r="O36" s="1340">
        <v>0</v>
      </c>
      <c r="P36" s="1344">
        <v>0</v>
      </c>
      <c r="Q36" s="1365">
        <v>0</v>
      </c>
      <c r="R36" s="1365">
        <v>0</v>
      </c>
      <c r="S36" s="1365">
        <v>0</v>
      </c>
      <c r="T36" s="17"/>
    </row>
    <row r="37" spans="1:21" ht="15.75">
      <c r="A37" s="639"/>
      <c r="B37" s="170"/>
      <c r="C37" s="170"/>
      <c r="D37" s="170"/>
      <c r="E37" s="170"/>
      <c r="F37" s="170"/>
      <c r="G37" s="170"/>
      <c r="H37" s="170"/>
      <c r="I37" s="170"/>
      <c r="J37" s="170"/>
      <c r="K37" s="170"/>
      <c r="L37" s="170"/>
      <c r="M37" s="170"/>
      <c r="N37" s="1340"/>
      <c r="O37" s="1340"/>
      <c r="P37" s="1340"/>
      <c r="Q37" s="828"/>
      <c r="R37" s="828"/>
      <c r="S37" s="828"/>
      <c r="T37" s="17"/>
    </row>
    <row r="38" spans="1:21" ht="15.75">
      <c r="A38" s="633" t="s">
        <v>1146</v>
      </c>
      <c r="B38" s="170">
        <v>730.43</v>
      </c>
      <c r="C38" s="170" t="e">
        <v>#REF!</v>
      </c>
      <c r="D38" s="170">
        <v>1780.55</v>
      </c>
      <c r="E38" s="170">
        <v>1692.71</v>
      </c>
      <c r="F38" s="170">
        <v>-338.21</v>
      </c>
      <c r="G38" s="170">
        <v>204.84</v>
      </c>
      <c r="H38" s="170">
        <v>257.82</v>
      </c>
      <c r="I38" s="170">
        <v>1404.64</v>
      </c>
      <c r="J38" s="170">
        <v>1793.58</v>
      </c>
      <c r="K38" s="170">
        <v>2310.010808</v>
      </c>
      <c r="L38" s="170">
        <v>2846.2064799999998</v>
      </c>
      <c r="M38" s="170">
        <v>4527.5402863911604</v>
      </c>
      <c r="N38" s="1340">
        <v>4666.22944254507</v>
      </c>
      <c r="O38" s="1340">
        <v>2939.3712665598987</v>
      </c>
      <c r="P38" s="1340">
        <v>3474.6802925271259</v>
      </c>
      <c r="Q38" s="828">
        <v>783.3</v>
      </c>
      <c r="R38" s="828">
        <v>-517.20000000000005</v>
      </c>
      <c r="S38" s="828">
        <v>1243.8</v>
      </c>
      <c r="T38" s="17">
        <f t="shared" si="0"/>
        <v>59.072798063166545</v>
      </c>
      <c r="U38" s="5">
        <f>M38/47.93</f>
        <v>94.461512338643033</v>
      </c>
    </row>
    <row r="39" spans="1:21" ht="15.75">
      <c r="A39" s="611" t="s">
        <v>142</v>
      </c>
      <c r="B39" s="170"/>
      <c r="C39" s="170"/>
      <c r="D39" s="170"/>
      <c r="E39" s="170"/>
      <c r="F39" s="170"/>
      <c r="G39" s="170"/>
      <c r="H39" s="850"/>
      <c r="I39" s="850"/>
      <c r="J39" s="850"/>
      <c r="K39" s="850"/>
      <c r="L39" s="850"/>
      <c r="M39" s="850"/>
      <c r="N39" s="1340"/>
      <c r="O39" s="1340"/>
      <c r="P39" s="1340"/>
      <c r="Q39" s="828"/>
      <c r="R39" s="828"/>
      <c r="S39" s="828"/>
      <c r="T39" s="17"/>
    </row>
    <row r="40" spans="1:21" ht="15.75">
      <c r="A40" s="633" t="s">
        <v>564</v>
      </c>
      <c r="B40" s="170">
        <v>-2.14</v>
      </c>
      <c r="C40" s="170" t="e">
        <v>#REF!</v>
      </c>
      <c r="D40" s="170">
        <v>158.78</v>
      </c>
      <c r="E40" s="170">
        <v>-70.98</v>
      </c>
      <c r="F40" s="170">
        <v>-77.5</v>
      </c>
      <c r="G40" s="170">
        <v>-10.76</v>
      </c>
      <c r="H40" s="170">
        <v>-90.55</v>
      </c>
      <c r="I40" s="170">
        <v>-298.14999999999998</v>
      </c>
      <c r="J40" s="170">
        <v>0</v>
      </c>
      <c r="K40" s="170">
        <v>0</v>
      </c>
      <c r="L40" s="170">
        <v>0</v>
      </c>
      <c r="M40" s="170">
        <v>0</v>
      </c>
      <c r="N40" s="1340">
        <v>363.29436516799996</v>
      </c>
      <c r="O40" s="1340">
        <v>89.217048027833329</v>
      </c>
      <c r="P40" s="1340">
        <v>346.95471093704003</v>
      </c>
      <c r="Q40" s="828">
        <v>-37.752175989199998</v>
      </c>
      <c r="R40" s="828">
        <v>2801.9</v>
      </c>
      <c r="S40" s="828">
        <v>617.79999999999995</v>
      </c>
      <c r="T40" s="17"/>
    </row>
    <row r="41" spans="1:21" ht="15.75">
      <c r="A41" s="187" t="s">
        <v>142</v>
      </c>
      <c r="B41" s="170"/>
      <c r="C41" s="170"/>
      <c r="D41" s="170"/>
      <c r="E41" s="170"/>
      <c r="F41" s="170"/>
      <c r="G41" s="170"/>
      <c r="H41" s="170"/>
      <c r="I41" s="170"/>
      <c r="J41" s="170"/>
      <c r="K41" s="170"/>
      <c r="L41" s="170"/>
      <c r="M41" s="170"/>
      <c r="N41" s="1340"/>
      <c r="O41" s="1340"/>
      <c r="P41" s="1340"/>
      <c r="Q41" s="828"/>
      <c r="R41" s="828"/>
      <c r="S41" s="828"/>
      <c r="T41" s="17"/>
    </row>
    <row r="42" spans="1:21" ht="15.75">
      <c r="A42" s="831" t="s">
        <v>88</v>
      </c>
      <c r="B42" s="170"/>
      <c r="C42" s="170"/>
      <c r="D42" s="170"/>
      <c r="E42" s="170"/>
      <c r="F42" s="170"/>
      <c r="G42" s="170">
        <v>0</v>
      </c>
      <c r="H42" s="170">
        <v>0</v>
      </c>
      <c r="I42" s="170">
        <v>0</v>
      </c>
      <c r="J42" s="170">
        <v>0</v>
      </c>
      <c r="K42" s="170">
        <v>0</v>
      </c>
      <c r="L42" s="170">
        <v>0</v>
      </c>
      <c r="M42" s="170">
        <v>0</v>
      </c>
      <c r="N42" s="1340">
        <v>-1456.9155594302001</v>
      </c>
      <c r="O42" s="1340">
        <v>1456.9155594302001</v>
      </c>
      <c r="P42" s="1340">
        <v>0</v>
      </c>
      <c r="Q42" s="828">
        <v>0</v>
      </c>
      <c r="R42" s="828">
        <v>0</v>
      </c>
      <c r="S42" s="828">
        <v>626</v>
      </c>
      <c r="T42" s="17"/>
    </row>
    <row r="43" spans="1:21" ht="15.75">
      <c r="A43" s="187"/>
      <c r="B43" s="170"/>
      <c r="C43" s="170"/>
      <c r="D43" s="170"/>
      <c r="E43" s="170"/>
      <c r="F43" s="170"/>
      <c r="G43" s="170"/>
      <c r="H43" s="850"/>
      <c r="I43" s="850"/>
      <c r="J43" s="850"/>
      <c r="K43" s="850"/>
      <c r="L43" s="850"/>
      <c r="M43" s="850"/>
      <c r="N43" s="1340"/>
      <c r="O43" s="1342"/>
      <c r="P43" s="1340"/>
      <c r="Q43" s="828"/>
      <c r="R43" s="828"/>
      <c r="S43" s="828"/>
      <c r="T43" s="17"/>
    </row>
    <row r="44" spans="1:21" ht="15.75">
      <c r="A44" s="639" t="s">
        <v>620</v>
      </c>
      <c r="B44" s="640"/>
      <c r="C44" s="640" t="e">
        <v>#REF!</v>
      </c>
      <c r="D44" s="640">
        <v>-293.04410000000001</v>
      </c>
      <c r="E44" s="640">
        <v>-109.46839999999963</v>
      </c>
      <c r="F44" s="640">
        <v>321.21418333333395</v>
      </c>
      <c r="G44" s="640">
        <v>905.28141000000016</v>
      </c>
      <c r="H44" s="640">
        <v>1546.8344099999993</v>
      </c>
      <c r="I44" s="640">
        <v>2129.6092799815515</v>
      </c>
      <c r="J44" s="640">
        <v>-1322.6091738506129</v>
      </c>
      <c r="K44" s="640">
        <v>-1215.1621696278182</v>
      </c>
      <c r="L44" s="640">
        <v>-323.83641349390723</v>
      </c>
      <c r="M44" s="640">
        <v>-1653.4133789501443</v>
      </c>
      <c r="N44" s="1342">
        <v>-2912.1828611229084</v>
      </c>
      <c r="O44" s="1342">
        <v>95.457664121736798</v>
      </c>
      <c r="P44" s="1342">
        <v>1057.7341632372759</v>
      </c>
      <c r="Q44" s="1364">
        <v>-6458</v>
      </c>
      <c r="R44" s="1364">
        <v>-1081.0999999999999</v>
      </c>
      <c r="S44" s="1364">
        <v>3893.5</v>
      </c>
      <c r="T44" s="17">
        <f t="shared" si="0"/>
        <v>410.57055663113442</v>
      </c>
      <c r="U44" s="5">
        <f>M44/47.93</f>
        <v>-34.496419339665017</v>
      </c>
    </row>
    <row r="45" spans="1:21" ht="15.75">
      <c r="A45" s="633"/>
      <c r="B45" s="638" t="s">
        <v>244</v>
      </c>
      <c r="C45" s="170"/>
      <c r="D45" s="170"/>
      <c r="E45" s="170"/>
      <c r="F45" s="170"/>
      <c r="G45" s="170"/>
      <c r="H45" s="850"/>
      <c r="I45" s="850"/>
      <c r="J45" s="850"/>
      <c r="K45" s="850"/>
      <c r="L45" s="850"/>
      <c r="M45" s="850"/>
      <c r="N45" s="1340"/>
      <c r="O45" s="1340"/>
      <c r="P45" s="1340"/>
      <c r="Q45" s="828"/>
      <c r="R45" s="828"/>
      <c r="S45" s="828"/>
      <c r="T45" s="17"/>
    </row>
    <row r="46" spans="1:21" ht="15.75">
      <c r="A46" s="848" t="s">
        <v>1147</v>
      </c>
      <c r="B46" s="170"/>
      <c r="C46" s="640" t="e">
        <v>#REF!</v>
      </c>
      <c r="D46" s="640">
        <v>392.70589999999999</v>
      </c>
      <c r="E46" s="640">
        <v>440.72159999999997</v>
      </c>
      <c r="F46" s="640">
        <v>838.18065000000001</v>
      </c>
      <c r="G46" s="640">
        <v>1111.6509100000001</v>
      </c>
      <c r="H46" s="640">
        <v>1766.47721</v>
      </c>
      <c r="I46" s="640">
        <v>1847.43292</v>
      </c>
      <c r="J46" s="640">
        <v>1533.0659111958953</v>
      </c>
      <c r="K46" s="640">
        <v>236.17640469608816</v>
      </c>
      <c r="L46" s="640">
        <v>1242.652501815234</v>
      </c>
      <c r="M46" s="640">
        <v>2613.576182853064</v>
      </c>
      <c r="N46" s="1342">
        <v>370.06643827359494</v>
      </c>
      <c r="O46" s="1342">
        <v>-918.6219433550724</v>
      </c>
      <c r="P46" s="1342">
        <v>5209.0975902812843</v>
      </c>
      <c r="Q46" s="1364">
        <v>5054.7</v>
      </c>
      <c r="R46" s="1364">
        <v>1957</v>
      </c>
      <c r="S46" s="1364">
        <v>5057.8</v>
      </c>
      <c r="T46" s="17">
        <f t="shared" si="0"/>
        <v>110.32236920902834</v>
      </c>
      <c r="U46" s="5">
        <f>M46/47.93</f>
        <v>54.529025304674818</v>
      </c>
    </row>
    <row r="47" spans="1:21" ht="15.75">
      <c r="A47" s="618"/>
      <c r="B47" s="96"/>
      <c r="C47" s="96"/>
      <c r="D47" s="654"/>
      <c r="E47" s="654"/>
      <c r="F47" s="645"/>
      <c r="G47" s="654"/>
      <c r="H47" s="654"/>
      <c r="I47" s="654"/>
      <c r="J47" s="655"/>
      <c r="K47" s="656"/>
      <c r="L47" s="657"/>
      <c r="M47" s="657"/>
      <c r="N47" s="1345"/>
      <c r="O47" s="1345"/>
      <c r="P47" s="1345"/>
      <c r="Q47" s="1366"/>
      <c r="R47" s="1366"/>
      <c r="S47" s="1366"/>
      <c r="T47" s="17"/>
    </row>
    <row r="48" spans="1:21">
      <c r="A48" s="4958" t="s">
        <v>86</v>
      </c>
      <c r="B48" s="4959"/>
      <c r="C48" s="4959"/>
      <c r="D48" s="4959"/>
      <c r="E48" s="4959"/>
      <c r="F48" s="4959"/>
      <c r="G48" s="4959"/>
      <c r="H48" s="4959"/>
      <c r="I48" s="4959"/>
      <c r="J48" s="4959"/>
      <c r="K48" s="4959"/>
      <c r="L48" s="4959"/>
      <c r="M48" s="4959"/>
      <c r="N48" s="4959"/>
    </row>
    <row r="49" spans="1:19">
      <c r="A49" s="4959"/>
      <c r="B49" s="4959"/>
      <c r="C49" s="4959"/>
      <c r="D49" s="4959"/>
      <c r="E49" s="4959"/>
      <c r="F49" s="4959"/>
      <c r="G49" s="4959"/>
      <c r="H49" s="4959"/>
      <c r="I49" s="4959"/>
      <c r="J49" s="4959"/>
      <c r="K49" s="4959"/>
      <c r="L49" s="4959"/>
      <c r="M49" s="4959"/>
      <c r="N49" s="4959"/>
    </row>
    <row r="50" spans="1:19">
      <c r="A50" s="4959"/>
      <c r="B50" s="4959"/>
      <c r="C50" s="4959"/>
      <c r="D50" s="4959"/>
      <c r="E50" s="4959"/>
      <c r="F50" s="4959"/>
      <c r="G50" s="4959"/>
      <c r="H50" s="4959"/>
      <c r="I50" s="4959"/>
      <c r="J50" s="4959"/>
      <c r="K50" s="4959"/>
      <c r="L50" s="4959"/>
      <c r="M50" s="4959"/>
      <c r="N50" s="4959"/>
    </row>
    <row r="51" spans="1:19">
      <c r="A51" s="4960" t="s">
        <v>97</v>
      </c>
      <c r="B51" s="4961"/>
      <c r="C51" s="4961"/>
      <c r="D51" s="4961"/>
      <c r="E51" s="4961"/>
      <c r="F51" s="4961"/>
      <c r="G51" s="4961"/>
      <c r="H51" s="4961"/>
      <c r="I51" s="4961"/>
      <c r="J51" s="4961"/>
      <c r="K51" s="4961"/>
      <c r="L51" s="4961"/>
      <c r="M51" s="4961"/>
      <c r="N51" s="4961"/>
    </row>
    <row r="52" spans="1:19" ht="13.5" customHeight="1">
      <c r="A52" s="4961"/>
      <c r="B52" s="4961"/>
      <c r="C52" s="4961"/>
      <c r="D52" s="4961"/>
      <c r="E52" s="4961"/>
      <c r="F52" s="4961"/>
      <c r="G52" s="4961"/>
      <c r="H52" s="4961"/>
      <c r="I52" s="4961"/>
      <c r="J52" s="4961"/>
      <c r="K52" s="4961"/>
      <c r="L52" s="4961"/>
      <c r="M52" s="4961"/>
      <c r="N52" s="4961"/>
    </row>
    <row r="53" spans="1:19" ht="16.5">
      <c r="A53" s="649" t="s">
        <v>1259</v>
      </c>
    </row>
    <row r="54" spans="1:19" ht="16.5">
      <c r="A54" s="649"/>
    </row>
    <row r="55" spans="1:19">
      <c r="A55" s="1227" t="s">
        <v>742</v>
      </c>
      <c r="B55" s="1228"/>
      <c r="C55" s="1228"/>
      <c r="D55" s="1228"/>
      <c r="E55" s="1228"/>
      <c r="F55" s="1228"/>
      <c r="G55" s="1228"/>
      <c r="H55" s="1228"/>
      <c r="I55" s="1228"/>
      <c r="J55" s="1228"/>
      <c r="K55" s="1228"/>
      <c r="L55" s="1228"/>
      <c r="M55" s="1228"/>
      <c r="N55" s="1346"/>
      <c r="O55" s="1347">
        <f>4107454023/1000000</f>
        <v>4107.4540230000002</v>
      </c>
      <c r="P55" s="1348"/>
      <c r="Q55" s="1348"/>
      <c r="R55" s="1348"/>
      <c r="S55" s="1348"/>
    </row>
    <row r="56" spans="1:19">
      <c r="A56" s="1229" t="s">
        <v>743</v>
      </c>
      <c r="B56" s="1230"/>
      <c r="C56" s="1230"/>
      <c r="D56" s="1230"/>
      <c r="E56" s="1230"/>
      <c r="F56" s="1230"/>
      <c r="G56" s="1230"/>
      <c r="H56" s="1230"/>
      <c r="I56" s="1230"/>
      <c r="J56" s="1230"/>
      <c r="K56" s="1230"/>
      <c r="L56" s="1230"/>
      <c r="M56" s="1230"/>
      <c r="N56" s="1349"/>
      <c r="O56" s="1350">
        <f>-O12-O55</f>
        <v>16448.559591084064</v>
      </c>
      <c r="P56" s="1351"/>
      <c r="Q56" s="1351"/>
      <c r="R56" s="1351"/>
      <c r="S56" s="1351"/>
    </row>
    <row r="57" spans="1:19">
      <c r="O57" s="722"/>
      <c r="P57" s="722"/>
      <c r="Q57" s="722"/>
      <c r="R57" s="722"/>
      <c r="S57" s="722"/>
    </row>
    <row r="58" spans="1:19" ht="15.75">
      <c r="A58" s="1161"/>
      <c r="B58" s="1161"/>
      <c r="C58" s="1161"/>
      <c r="D58" s="1161"/>
      <c r="E58" s="1161"/>
      <c r="F58" s="1161"/>
      <c r="G58" s="1162">
        <v>1996</v>
      </c>
      <c r="H58" s="1162">
        <v>1997</v>
      </c>
      <c r="I58" s="1162">
        <v>1998</v>
      </c>
      <c r="J58" s="1162">
        <v>1999</v>
      </c>
      <c r="K58" s="1162">
        <v>2000</v>
      </c>
      <c r="L58" s="1162">
        <v>2001</v>
      </c>
      <c r="M58" s="1162">
        <v>2002</v>
      </c>
      <c r="N58" s="1352">
        <v>2003</v>
      </c>
      <c r="O58" s="1352">
        <v>2004</v>
      </c>
      <c r="P58" s="1352"/>
      <c r="Q58" s="1352"/>
      <c r="R58" s="1352"/>
      <c r="S58" s="1352"/>
    </row>
    <row r="59" spans="1:19" ht="15.75">
      <c r="A59" s="1162" t="s">
        <v>346</v>
      </c>
      <c r="B59" s="1161"/>
      <c r="C59" s="1161"/>
      <c r="D59" s="1161"/>
      <c r="E59" s="1161"/>
      <c r="F59" s="1161"/>
      <c r="G59" s="1161">
        <v>11159.1</v>
      </c>
      <c r="H59" s="1161">
        <v>13322.94</v>
      </c>
      <c r="I59" s="1161">
        <v>15477.99</v>
      </c>
      <c r="J59" s="1161">
        <v>17925.099999999999</v>
      </c>
      <c r="K59" s="1161">
        <v>20084.599999999999</v>
      </c>
      <c r="L59" s="1161">
        <v>22956.76</v>
      </c>
      <c r="M59" s="1161">
        <v>26314.36</v>
      </c>
      <c r="N59" s="105">
        <v>29181</v>
      </c>
      <c r="O59" s="105">
        <v>33104.120000000003</v>
      </c>
    </row>
    <row r="62" spans="1:19">
      <c r="A62" s="5" t="s">
        <v>102</v>
      </c>
    </row>
    <row r="63" spans="1:19" s="37" customFormat="1">
      <c r="A63" s="37" t="s">
        <v>101</v>
      </c>
      <c r="K63" s="37">
        <f>K26/[78]ExRate!U28</f>
        <v>80.013078611798775</v>
      </c>
      <c r="L63" s="37">
        <f>L26/[78]ExRate!V28</f>
        <v>85.601974775970788</v>
      </c>
      <c r="M63" s="37">
        <f>M26/[78]ExRate!W28</f>
        <v>84.696898835302903</v>
      </c>
      <c r="N63" s="723"/>
      <c r="O63" s="723"/>
      <c r="P63" s="723"/>
      <c r="Q63" s="723"/>
      <c r="R63" s="723"/>
      <c r="S63" s="723"/>
    </row>
    <row r="64" spans="1:19">
      <c r="D64" s="658" t="s">
        <v>235</v>
      </c>
      <c r="E64" s="658" t="s">
        <v>236</v>
      </c>
      <c r="F64" s="658" t="s">
        <v>237</v>
      </c>
      <c r="G64" s="658" t="s">
        <v>293</v>
      </c>
      <c r="H64" s="658" t="s">
        <v>294</v>
      </c>
      <c r="I64" s="658" t="s">
        <v>240</v>
      </c>
      <c r="J64" s="29" t="s">
        <v>241</v>
      </c>
      <c r="K64" s="658" t="s">
        <v>195</v>
      </c>
      <c r="L64" s="658" t="s">
        <v>80</v>
      </c>
    </row>
    <row r="65" spans="1:23">
      <c r="A65" s="5" t="s">
        <v>98</v>
      </c>
      <c r="J65" s="5" t="e">
        <f>((J8/[78]GDPnom!L41)*100)</f>
        <v>#REF!</v>
      </c>
      <c r="K65" s="5">
        <f>(K8/[78]GDPnom!O38)*100</f>
        <v>-1978.9742336760942</v>
      </c>
      <c r="L65" s="5">
        <f>(L8/[78]GDPnom!Q38)*100</f>
        <v>-12.031154604612851</v>
      </c>
    </row>
    <row r="67" spans="1:23">
      <c r="A67" s="5" t="s">
        <v>99</v>
      </c>
      <c r="D67" s="5">
        <f t="shared" ref="D67:L67" si="1">D10</f>
        <v>1990.33</v>
      </c>
      <c r="E67" s="5">
        <f t="shared" si="1"/>
        <v>2196.6799999999998</v>
      </c>
      <c r="F67" s="5">
        <f t="shared" si="1"/>
        <v>3349.13</v>
      </c>
      <c r="G67" s="5">
        <f t="shared" si="1"/>
        <v>3553.77</v>
      </c>
      <c r="H67" s="5">
        <f t="shared" si="1"/>
        <v>4274.18</v>
      </c>
      <c r="I67" s="5">
        <f t="shared" si="1"/>
        <v>4460</v>
      </c>
      <c r="J67" s="5">
        <f t="shared" si="1"/>
        <v>4987.8599999999997</v>
      </c>
      <c r="K67" s="5">
        <f t="shared" si="1"/>
        <v>4615.8417380000001</v>
      </c>
      <c r="L67" s="5">
        <f t="shared" si="1"/>
        <v>4994.7520709999999</v>
      </c>
    </row>
    <row r="68" spans="1:23">
      <c r="A68" s="5" t="s">
        <v>100</v>
      </c>
      <c r="D68" s="5">
        <f t="shared" ref="D68:L68" si="2">D12</f>
        <v>-2914.2</v>
      </c>
      <c r="E68" s="5">
        <f t="shared" si="2"/>
        <v>-3053.18</v>
      </c>
      <c r="F68" s="5">
        <f t="shared" si="2"/>
        <v>-3802.34</v>
      </c>
      <c r="G68" s="5">
        <f t="shared" si="2"/>
        <v>-4697.21</v>
      </c>
      <c r="H68" s="5">
        <f t="shared" si="2"/>
        <v>-5226.1000000000004</v>
      </c>
      <c r="I68" s="5">
        <f t="shared" si="2"/>
        <v>-6913.67</v>
      </c>
      <c r="J68" s="5">
        <f t="shared" si="2"/>
        <v>-8075.18</v>
      </c>
      <c r="K68" s="5">
        <f t="shared" si="2"/>
        <v>-8674.9731890000003</v>
      </c>
      <c r="L68" s="5">
        <f t="shared" si="2"/>
        <v>-9790.203164999999</v>
      </c>
    </row>
    <row r="69" spans="1:23">
      <c r="A69" s="5" t="s">
        <v>587</v>
      </c>
      <c r="D69" s="5">
        <f t="shared" ref="D69:L69" si="3">D14</f>
        <v>-923.87</v>
      </c>
      <c r="E69" s="5">
        <f t="shared" si="3"/>
        <v>-856.5</v>
      </c>
      <c r="F69" s="5">
        <f t="shared" si="3"/>
        <v>-453.21000000000049</v>
      </c>
      <c r="G69" s="5">
        <f t="shared" si="3"/>
        <v>-1143.44</v>
      </c>
      <c r="H69" s="5">
        <f t="shared" si="3"/>
        <v>-951.91999999999916</v>
      </c>
      <c r="I69" s="5">
        <f t="shared" si="3"/>
        <v>-2453.67</v>
      </c>
      <c r="J69" s="5">
        <f t="shared" si="3"/>
        <v>-3087.32</v>
      </c>
      <c r="K69" s="5">
        <f t="shared" si="3"/>
        <v>-4059.1314510000002</v>
      </c>
      <c r="L69" s="5">
        <f t="shared" si="3"/>
        <v>-4795.4510939999991</v>
      </c>
    </row>
    <row r="70" spans="1:23">
      <c r="A70" s="5" t="s">
        <v>588</v>
      </c>
      <c r="D70" s="5">
        <f t="shared" ref="D70:L70" si="4">D8</f>
        <v>-1253.58</v>
      </c>
      <c r="E70" s="5">
        <f t="shared" si="4"/>
        <v>-1071.54</v>
      </c>
      <c r="F70" s="5">
        <f t="shared" si="4"/>
        <v>1556.296566666666</v>
      </c>
      <c r="G70" s="5">
        <f t="shared" si="4"/>
        <v>653.46608333333347</v>
      </c>
      <c r="H70" s="5">
        <f t="shared" si="4"/>
        <v>1487.6341000000011</v>
      </c>
      <c r="I70" s="5">
        <f t="shared" si="4"/>
        <v>240.09687335178205</v>
      </c>
      <c r="J70" s="5">
        <f t="shared" si="4"/>
        <v>-1847.9049149534915</v>
      </c>
      <c r="K70" s="5">
        <f t="shared" si="4"/>
        <v>-1978.9742336760942</v>
      </c>
      <c r="L70" s="5">
        <f t="shared" si="4"/>
        <v>-3893.6425646908569</v>
      </c>
    </row>
    <row r="71" spans="1:23">
      <c r="A71" s="5" t="s">
        <v>581</v>
      </c>
      <c r="D71" s="5">
        <f t="shared" ref="D71:L71" si="5">D46</f>
        <v>392.70589999999999</v>
      </c>
      <c r="E71" s="5">
        <f t="shared" si="5"/>
        <v>440.72159999999997</v>
      </c>
      <c r="F71" s="5">
        <f t="shared" si="5"/>
        <v>838.18065000000001</v>
      </c>
      <c r="G71" s="5">
        <f t="shared" si="5"/>
        <v>1111.6509100000001</v>
      </c>
      <c r="H71" s="5">
        <f t="shared" si="5"/>
        <v>1766.47721</v>
      </c>
      <c r="I71" s="5">
        <f t="shared" si="5"/>
        <v>1847.43292</v>
      </c>
      <c r="J71" s="5">
        <f t="shared" si="5"/>
        <v>1533.0659111958953</v>
      </c>
      <c r="K71" s="5">
        <f t="shared" si="5"/>
        <v>236.17640469608816</v>
      </c>
      <c r="L71" s="5">
        <f t="shared" si="5"/>
        <v>1242.652501815234</v>
      </c>
      <c r="U71" s="5">
        <f>(1272*0.09)+1272</f>
        <v>1386.48</v>
      </c>
      <c r="V71" s="308" t="s">
        <v>1270</v>
      </c>
    </row>
    <row r="72" spans="1:23">
      <c r="U72" s="5">
        <f t="shared" ref="U72:U79" si="6">(U71*0.09)+U71</f>
        <v>1511.2632000000001</v>
      </c>
    </row>
    <row r="73" spans="1:23">
      <c r="U73" s="5">
        <f t="shared" si="6"/>
        <v>1647.2768880000001</v>
      </c>
    </row>
    <row r="74" spans="1:23" s="327" customFormat="1" ht="15.75">
      <c r="A74" s="327" t="s">
        <v>1269</v>
      </c>
      <c r="G74" s="659">
        <f>((G17-F17)/F17)*100</f>
        <v>30.17502872797408</v>
      </c>
      <c r="H74" s="659">
        <f t="shared" ref="H74:M74" si="7">((H17-G17)/G17)*100</f>
        <v>-1.3291000810556473</v>
      </c>
      <c r="I74" s="659">
        <f t="shared" si="7"/>
        <v>33.419985494293314</v>
      </c>
      <c r="J74" s="659">
        <f t="shared" si="7"/>
        <v>14.734371823377757</v>
      </c>
      <c r="K74" s="659">
        <v>33.4</v>
      </c>
      <c r="L74" s="659">
        <f t="shared" si="7"/>
        <v>-3.2798205087188523</v>
      </c>
      <c r="M74" s="659">
        <f t="shared" si="7"/>
        <v>-9.8972789219477981</v>
      </c>
      <c r="N74" s="1353"/>
      <c r="O74" s="105"/>
      <c r="P74" s="105"/>
      <c r="Q74" s="105"/>
      <c r="R74" s="105"/>
      <c r="S74" s="105"/>
      <c r="T74" s="5"/>
      <c r="U74" s="660">
        <f t="shared" si="6"/>
        <v>1795.5318079200001</v>
      </c>
      <c r="V74" s="661">
        <f>SUM(O74:U74)</f>
        <v>1795.5318079200001</v>
      </c>
      <c r="W74" s="327">
        <f>(0.8/9.4)*100</f>
        <v>8.5106382978723403</v>
      </c>
    </row>
    <row r="75" spans="1:23">
      <c r="M75" s="5">
        <f>SUM(G74:M74)/7</f>
        <v>13.889026647703263</v>
      </c>
      <c r="U75" s="327">
        <f t="shared" si="6"/>
        <v>1957.1296706328001</v>
      </c>
    </row>
    <row r="76" spans="1:23">
      <c r="A76" s="5" t="s">
        <v>107</v>
      </c>
      <c r="U76" s="327">
        <f t="shared" si="6"/>
        <v>2133.2713409897519</v>
      </c>
    </row>
    <row r="77" spans="1:23">
      <c r="J77" s="29" t="s">
        <v>106</v>
      </c>
      <c r="K77" s="658" t="s">
        <v>195</v>
      </c>
      <c r="L77" s="29" t="s">
        <v>80</v>
      </c>
      <c r="U77" s="327">
        <f t="shared" si="6"/>
        <v>2325.2657616788297</v>
      </c>
    </row>
    <row r="78" spans="1:23">
      <c r="A78" s="5" t="s">
        <v>99</v>
      </c>
      <c r="J78" s="5">
        <v>4711.2</v>
      </c>
      <c r="K78" s="5">
        <v>4377</v>
      </c>
      <c r="L78" s="5">
        <v>4495.1000000000004</v>
      </c>
      <c r="U78" s="327">
        <f t="shared" si="6"/>
        <v>2534.5396802299242</v>
      </c>
    </row>
    <row r="79" spans="1:23">
      <c r="A79" s="5" t="s">
        <v>100</v>
      </c>
      <c r="J79" s="5">
        <v>-6065.7</v>
      </c>
      <c r="K79" s="5">
        <v>-7462.6</v>
      </c>
      <c r="L79" s="5">
        <v>-7664.1</v>
      </c>
      <c r="U79" s="327">
        <f t="shared" si="6"/>
        <v>2762.6482514506174</v>
      </c>
    </row>
    <row r="80" spans="1:23">
      <c r="A80" s="9" t="s">
        <v>594</v>
      </c>
      <c r="B80" s="9"/>
      <c r="C80" s="9"/>
      <c r="D80" s="9"/>
      <c r="E80" s="9"/>
      <c r="F80" s="9"/>
      <c r="G80" s="9"/>
      <c r="H80" s="9"/>
      <c r="I80" s="9"/>
      <c r="J80" s="9">
        <v>-570</v>
      </c>
      <c r="K80" s="9">
        <v>-105.1</v>
      </c>
      <c r="L80" s="9">
        <v>-116</v>
      </c>
    </row>
    <row r="81" spans="1:12">
      <c r="A81" s="9" t="s">
        <v>77</v>
      </c>
      <c r="B81" s="9"/>
      <c r="C81" s="9"/>
      <c r="D81" s="9"/>
      <c r="E81" s="9"/>
      <c r="F81" s="9"/>
      <c r="G81" s="9"/>
      <c r="H81" s="9"/>
      <c r="I81" s="9"/>
      <c r="J81" s="9">
        <v>99.1</v>
      </c>
      <c r="K81" s="9">
        <v>187.6</v>
      </c>
      <c r="L81" s="9">
        <v>118</v>
      </c>
    </row>
    <row r="82" spans="1:12">
      <c r="A82" s="9" t="s">
        <v>78</v>
      </c>
      <c r="B82" s="9"/>
      <c r="C82" s="9"/>
      <c r="D82" s="9"/>
      <c r="E82" s="9"/>
      <c r="F82" s="9"/>
      <c r="G82" s="9"/>
      <c r="H82" s="9"/>
      <c r="I82" s="9"/>
      <c r="J82" s="9">
        <v>2903.2</v>
      </c>
      <c r="K82" s="9">
        <v>2661.8</v>
      </c>
      <c r="L82" s="9">
        <v>2399.9</v>
      </c>
    </row>
    <row r="83" spans="1:12">
      <c r="A83" s="5" t="s">
        <v>104</v>
      </c>
      <c r="J83" s="5">
        <v>592.5</v>
      </c>
      <c r="K83" s="5">
        <v>1707.9</v>
      </c>
      <c r="L83" s="5">
        <v>1779.2</v>
      </c>
    </row>
    <row r="84" spans="1:12">
      <c r="A84" s="5" t="s">
        <v>105</v>
      </c>
      <c r="J84" s="5">
        <v>-1038.8</v>
      </c>
      <c r="K84" s="5">
        <v>-914.1</v>
      </c>
      <c r="L84" s="5">
        <v>-898.8</v>
      </c>
    </row>
    <row r="85" spans="1:12" ht="15.75">
      <c r="A85" s="17" t="s">
        <v>581</v>
      </c>
      <c r="J85" s="17">
        <v>631.5</v>
      </c>
      <c r="K85" s="17">
        <v>452.3</v>
      </c>
      <c r="L85" s="17">
        <v>113.3</v>
      </c>
    </row>
    <row r="86" spans="1:12" ht="15.75">
      <c r="A86" s="17"/>
      <c r="J86" s="17"/>
      <c r="K86" s="17"/>
      <c r="L86" s="17"/>
    </row>
    <row r="87" spans="1:12">
      <c r="J87" s="29" t="s">
        <v>106</v>
      </c>
      <c r="K87" s="658" t="s">
        <v>195</v>
      </c>
      <c r="L87" s="29" t="s">
        <v>80</v>
      </c>
    </row>
    <row r="88" spans="1:12">
      <c r="A88" s="5" t="s">
        <v>99</v>
      </c>
      <c r="J88" s="5">
        <v>276.60000000000002</v>
      </c>
      <c r="K88" s="5">
        <v>238.9</v>
      </c>
      <c r="L88" s="5">
        <v>245.3</v>
      </c>
    </row>
    <row r="89" spans="1:12">
      <c r="A89" s="5" t="s">
        <v>100</v>
      </c>
      <c r="J89" s="5">
        <v>-2009.5</v>
      </c>
      <c r="K89" s="5">
        <v>-1643.7</v>
      </c>
      <c r="L89" s="5">
        <v>-1688.1</v>
      </c>
    </row>
    <row r="90" spans="1:12">
      <c r="A90" s="9" t="s">
        <v>594</v>
      </c>
      <c r="J90" s="5">
        <v>104.2</v>
      </c>
      <c r="K90" s="5">
        <v>49.9</v>
      </c>
      <c r="L90" s="5">
        <v>-117.6</v>
      </c>
    </row>
    <row r="91" spans="1:12">
      <c r="A91" s="9" t="s">
        <v>77</v>
      </c>
      <c r="J91" s="5">
        <v>352.8</v>
      </c>
      <c r="K91" s="5">
        <v>435.2</v>
      </c>
      <c r="L91" s="5">
        <v>209.2</v>
      </c>
    </row>
    <row r="92" spans="1:12">
      <c r="A92" s="9" t="s">
        <v>81</v>
      </c>
      <c r="J92" s="5">
        <v>1328.1</v>
      </c>
      <c r="K92" s="5">
        <v>1305.2</v>
      </c>
      <c r="L92" s="5">
        <v>1254.8</v>
      </c>
    </row>
    <row r="93" spans="1:12">
      <c r="A93" s="9" t="s">
        <v>103</v>
      </c>
      <c r="J93" s="5">
        <v>0</v>
      </c>
      <c r="K93" s="5">
        <v>0</v>
      </c>
      <c r="L93" s="5">
        <v>86.677999999999997</v>
      </c>
    </row>
    <row r="94" spans="1:12">
      <c r="A94" s="5" t="s">
        <v>104</v>
      </c>
      <c r="J94" s="5">
        <v>219</v>
      </c>
      <c r="K94" s="5">
        <v>600.79999999999995</v>
      </c>
      <c r="L94" s="5">
        <v>983.5</v>
      </c>
    </row>
    <row r="95" spans="1:12">
      <c r="A95" s="5" t="s">
        <v>105</v>
      </c>
      <c r="J95" s="5">
        <v>686.4</v>
      </c>
      <c r="K95" s="5">
        <v>-314.60000000000002</v>
      </c>
      <c r="L95" s="5">
        <v>578.70000000000005</v>
      </c>
    </row>
    <row r="96" spans="1:12" ht="15.75">
      <c r="A96" s="17" t="s">
        <v>581</v>
      </c>
      <c r="J96" s="17">
        <v>957.6</v>
      </c>
      <c r="K96" s="17">
        <v>671.7</v>
      </c>
      <c r="L96" s="17">
        <v>1552.6</v>
      </c>
    </row>
  </sheetData>
  <mergeCells count="2">
    <mergeCell ref="A48:N50"/>
    <mergeCell ref="A51:N52"/>
  </mergeCells>
  <phoneticPr fontId="0" type="noConversion"/>
  <pageMargins left="0.75" right="0.75" top="1" bottom="1" header="0.5" footer="0.5"/>
  <pageSetup scale="50" orientation="landscape" r:id="rId1"/>
  <headerFooter alignWithMargins="0"/>
  <colBreaks count="1" manualBreakCount="1">
    <brk id="18" max="1048575" man="1"/>
  </colBreaks>
  <drawing r:id="rId2"/>
</worksheet>
</file>

<file path=xl/worksheets/sheet74.xml><?xml version="1.0" encoding="utf-8"?>
<worksheet xmlns="http://schemas.openxmlformats.org/spreadsheetml/2006/main" xmlns:r="http://schemas.openxmlformats.org/officeDocument/2006/relationships">
  <sheetPr codeName="Sheet37"/>
  <dimension ref="A1:AB56"/>
  <sheetViews>
    <sheetView zoomScale="75" workbookViewId="0">
      <selection activeCell="T30" sqref="T30"/>
    </sheetView>
  </sheetViews>
  <sheetFormatPr defaultColWidth="11.28515625" defaultRowHeight="15"/>
  <cols>
    <col min="1" max="1" width="40.140625" style="5" customWidth="1"/>
    <col min="2" max="2" width="3.28515625" style="5" hidden="1" customWidth="1"/>
    <col min="3" max="3" width="3.140625" style="5" hidden="1" customWidth="1"/>
    <col min="4" max="4" width="12.140625" style="5" hidden="1" customWidth="1"/>
    <col min="5" max="5" width="16" style="5" hidden="1" customWidth="1"/>
    <col min="6" max="6" width="16.42578125" style="5" hidden="1" customWidth="1"/>
    <col min="7" max="8" width="17" style="5" hidden="1" customWidth="1"/>
    <col min="9" max="9" width="16.7109375" style="5" hidden="1" customWidth="1"/>
    <col min="10" max="10" width="16.42578125" style="5" hidden="1" customWidth="1"/>
    <col min="11" max="11" width="16.42578125" style="5" customWidth="1"/>
    <col min="12" max="13" width="17.5703125" style="5" customWidth="1"/>
    <col min="14" max="15" width="16.85546875" style="5" customWidth="1"/>
    <col min="16" max="16" width="13.140625" style="5" customWidth="1"/>
    <col min="17" max="17" width="12" style="5" bestFit="1" customWidth="1"/>
    <col min="18" max="16384" width="11.28515625" style="5"/>
  </cols>
  <sheetData>
    <row r="1" spans="1:28" ht="15.75">
      <c r="A1" s="89" t="s">
        <v>1252</v>
      </c>
      <c r="B1" s="89"/>
      <c r="C1" s="89"/>
      <c r="D1" s="89"/>
      <c r="E1" s="89"/>
      <c r="F1" s="89"/>
      <c r="G1" s="89"/>
      <c r="H1" s="89"/>
    </row>
    <row r="2" spans="1:28" ht="15.75">
      <c r="A2" s="90" t="s">
        <v>546</v>
      </c>
      <c r="B2" s="606"/>
      <c r="C2" s="606"/>
      <c r="D2" s="606"/>
      <c r="E2" s="607"/>
      <c r="F2" s="607"/>
      <c r="G2" s="91"/>
      <c r="H2" s="91"/>
      <c r="I2" s="33"/>
      <c r="J2" s="33"/>
      <c r="K2" s="33"/>
    </row>
    <row r="3" spans="1:28">
      <c r="A3" s="608"/>
      <c r="B3" s="91"/>
      <c r="C3" s="91"/>
      <c r="D3" s="609"/>
      <c r="E3" s="609"/>
      <c r="F3" s="609"/>
      <c r="G3" s="92"/>
      <c r="H3" s="610"/>
      <c r="I3" s="155"/>
      <c r="J3" s="155"/>
      <c r="K3" s="155"/>
      <c r="L3" s="155"/>
      <c r="M3" s="155"/>
      <c r="N3" s="21"/>
      <c r="O3" s="22"/>
    </row>
    <row r="4" spans="1:28">
      <c r="A4" s="611" t="s">
        <v>142</v>
      </c>
      <c r="C4" s="90" t="s">
        <v>140</v>
      </c>
      <c r="D4" s="612" t="s">
        <v>140</v>
      </c>
      <c r="E4" s="612" t="s">
        <v>140</v>
      </c>
      <c r="F4" s="612" t="s">
        <v>140</v>
      </c>
      <c r="G4" s="91"/>
      <c r="H4" s="613"/>
      <c r="I4" s="157"/>
      <c r="J4" s="157"/>
      <c r="K4" s="157"/>
      <c r="L4" s="157"/>
      <c r="M4" s="157"/>
      <c r="N4" s="25"/>
      <c r="O4" s="1240"/>
    </row>
    <row r="5" spans="1:28">
      <c r="A5" s="608"/>
      <c r="B5" s="93"/>
      <c r="C5" s="614"/>
      <c r="D5" s="615"/>
      <c r="E5" s="616"/>
      <c r="F5" s="616"/>
      <c r="G5" s="616"/>
      <c r="H5" s="617"/>
      <c r="I5" s="159"/>
      <c r="J5" s="159"/>
      <c r="K5" s="159"/>
      <c r="L5" s="4962" t="s">
        <v>609</v>
      </c>
      <c r="M5" s="4964" t="s">
        <v>877</v>
      </c>
      <c r="N5" s="4966" t="s">
        <v>1164</v>
      </c>
      <c r="O5" s="4966" t="s">
        <v>998</v>
      </c>
    </row>
    <row r="6" spans="1:28" ht="15" customHeight="1">
      <c r="A6" s="618" t="s">
        <v>146</v>
      </c>
      <c r="B6" s="619" t="s">
        <v>547</v>
      </c>
      <c r="C6" s="94" t="s">
        <v>549</v>
      </c>
      <c r="D6" s="620" t="s">
        <v>236</v>
      </c>
      <c r="E6" s="95" t="s">
        <v>550</v>
      </c>
      <c r="F6" s="95" t="s">
        <v>293</v>
      </c>
      <c r="G6" s="95" t="s">
        <v>294</v>
      </c>
      <c r="H6" s="621" t="s">
        <v>551</v>
      </c>
      <c r="I6" s="622" t="s">
        <v>552</v>
      </c>
      <c r="J6" s="623" t="s">
        <v>553</v>
      </c>
      <c r="K6" s="623" t="s">
        <v>452</v>
      </c>
      <c r="L6" s="4963"/>
      <c r="M6" s="4965"/>
      <c r="N6" s="4967"/>
      <c r="O6" s="4967" t="s">
        <v>998</v>
      </c>
      <c r="P6" s="5" t="s">
        <v>197</v>
      </c>
      <c r="Q6" s="5" t="s">
        <v>198</v>
      </c>
      <c r="W6" s="17">
        <f>(L7/[78]GDPnom!M41)*100</f>
        <v>-25.59389438621853</v>
      </c>
      <c r="X6" s="17"/>
      <c r="Y6" s="17"/>
      <c r="Z6" s="17"/>
      <c r="AA6" s="17"/>
      <c r="AB6" s="17"/>
    </row>
    <row r="7" spans="1:28" s="17" customFormat="1" ht="15.75">
      <c r="A7" s="624" t="s">
        <v>554</v>
      </c>
      <c r="B7" s="640"/>
      <c r="C7" s="849">
        <v>-646.33000000000004</v>
      </c>
      <c r="D7" s="851">
        <v>-450.01</v>
      </c>
      <c r="E7" s="849">
        <v>336.44206666666651</v>
      </c>
      <c r="F7" s="849">
        <v>273.27266666666662</v>
      </c>
      <c r="G7" s="849">
        <v>42.366466666666952</v>
      </c>
      <c r="H7" s="849">
        <v>-921.41631666666706</v>
      </c>
      <c r="I7" s="627">
        <v>-1399.766746167742</v>
      </c>
      <c r="J7" s="627">
        <v>-1906.2643468301462</v>
      </c>
      <c r="K7" s="627">
        <v>-3137.0102954919321</v>
      </c>
      <c r="L7" s="627">
        <v>-7110.2397994353696</v>
      </c>
      <c r="M7" s="1241">
        <v>-5707.7015258495685</v>
      </c>
      <c r="N7" s="627">
        <v>-5253.9463118318099</v>
      </c>
      <c r="O7" s="627">
        <v>-2344.5560287225057</v>
      </c>
      <c r="P7" s="17">
        <v>5882.0951113006149</v>
      </c>
      <c r="Q7" s="17">
        <v>1559.6990861074219</v>
      </c>
      <c r="W7" s="5"/>
      <c r="X7" s="5"/>
      <c r="Y7" s="5"/>
      <c r="Z7" s="5"/>
      <c r="AA7" s="5"/>
      <c r="AB7" s="5"/>
    </row>
    <row r="8" spans="1:28" ht="15.75">
      <c r="A8" s="608"/>
      <c r="B8" s="170"/>
      <c r="C8" s="170"/>
      <c r="D8" s="170"/>
      <c r="E8" s="634"/>
      <c r="F8" s="170"/>
      <c r="G8" s="850"/>
      <c r="H8" s="850"/>
      <c r="I8" s="850"/>
      <c r="J8" s="850"/>
      <c r="K8" s="850"/>
      <c r="L8" s="850"/>
      <c r="M8" s="1237"/>
      <c r="N8" s="1246"/>
      <c r="O8" s="1246"/>
      <c r="P8" s="17"/>
      <c r="W8" s="5">
        <f>(L9/5405.9)*100</f>
        <v>94.254812501156152</v>
      </c>
      <c r="X8" s="5">
        <f>(L9/[78]Finalnew!M10)*100</f>
        <v>94.254893402154195</v>
      </c>
    </row>
    <row r="9" spans="1:28">
      <c r="A9" s="608" t="s">
        <v>555</v>
      </c>
      <c r="B9" s="170">
        <v>1129.57</v>
      </c>
      <c r="C9" s="170">
        <v>1785.98</v>
      </c>
      <c r="D9" s="170">
        <v>2059.81</v>
      </c>
      <c r="E9" s="634">
        <v>3078.95</v>
      </c>
      <c r="F9" s="170">
        <v>3226.98</v>
      </c>
      <c r="G9" s="170">
        <v>4041.94</v>
      </c>
      <c r="H9" s="653">
        <v>4181</v>
      </c>
      <c r="I9" s="162">
        <v>4711.2299999999996</v>
      </c>
      <c r="J9" s="162">
        <v>4376.9519710000004</v>
      </c>
      <c r="K9" s="162">
        <v>4700.4704229999998</v>
      </c>
      <c r="L9" s="162">
        <v>5095.320909</v>
      </c>
      <c r="M9" s="164">
        <v>6768.8240083000001</v>
      </c>
      <c r="N9" s="162">
        <v>8661.1462379999994</v>
      </c>
      <c r="O9" s="162">
        <v>10610.473082</v>
      </c>
      <c r="P9" s="5">
        <v>20911.0083405</v>
      </c>
      <c r="Q9" s="5">
        <v>16036.8617135</v>
      </c>
    </row>
    <row r="10" spans="1:28">
      <c r="A10" s="611" t="s">
        <v>142</v>
      </c>
      <c r="B10" s="170"/>
      <c r="C10" s="170"/>
      <c r="D10" s="170"/>
      <c r="E10" s="634"/>
      <c r="F10" s="170"/>
      <c r="G10" s="850"/>
      <c r="H10" s="850"/>
      <c r="I10" s="850"/>
      <c r="J10" s="850"/>
      <c r="K10" s="850"/>
      <c r="L10" s="850"/>
      <c r="M10" s="1237"/>
      <c r="N10" s="1246"/>
      <c r="O10" s="1246"/>
      <c r="W10" s="5">
        <f>(0.05*L9)+L9</f>
        <v>5350.0869544500001</v>
      </c>
      <c r="X10" s="5">
        <f>(M11/[78]Finalnew!N12)*100</f>
        <v>94.943714527066376</v>
      </c>
    </row>
    <row r="11" spans="1:28">
      <c r="A11" s="608" t="s">
        <v>622</v>
      </c>
      <c r="B11" s="170">
        <v>-1254.92</v>
      </c>
      <c r="C11" s="170">
        <v>-2065.9</v>
      </c>
      <c r="D11" s="170">
        <v>-2228.09</v>
      </c>
      <c r="E11" s="170">
        <v>-2790.52</v>
      </c>
      <c r="F11" s="170">
        <v>-3068.17</v>
      </c>
      <c r="G11" s="170">
        <v>-3684.74</v>
      </c>
      <c r="H11" s="653">
        <v>-4919.2700000000004</v>
      </c>
      <c r="I11" s="162">
        <v>-6065.71</v>
      </c>
      <c r="J11" s="162">
        <v>-7031.2856700000002</v>
      </c>
      <c r="K11" s="162">
        <v>-7788.7781839999998</v>
      </c>
      <c r="L11" s="162">
        <v>-9006.6114833833235</v>
      </c>
      <c r="M11" s="164">
        <v>-10589.485473999999</v>
      </c>
      <c r="N11" s="162">
        <v>-12262.320594999999</v>
      </c>
      <c r="O11" s="162">
        <v>-13781.145864999991</v>
      </c>
      <c r="P11" s="5">
        <v>-16463.386910500001</v>
      </c>
      <c r="Q11" s="5">
        <v>-16890.027945500002</v>
      </c>
      <c r="W11" s="5">
        <f>(0.05*W10+W10)</f>
        <v>5617.5913021725</v>
      </c>
      <c r="X11" s="5">
        <f>(M13/[78]Finalnew!N12)*100</f>
        <v>18.589672172029704</v>
      </c>
    </row>
    <row r="12" spans="1:28">
      <c r="A12" s="611" t="s">
        <v>142</v>
      </c>
      <c r="B12" s="170"/>
      <c r="C12" s="170"/>
      <c r="D12" s="170"/>
      <c r="E12" s="634"/>
      <c r="F12" s="850"/>
      <c r="G12" s="850"/>
      <c r="H12" s="850"/>
      <c r="I12" s="850"/>
      <c r="J12" s="850"/>
      <c r="K12" s="850"/>
      <c r="L12" s="850"/>
      <c r="M12" s="1237"/>
      <c r="N12" s="1246"/>
      <c r="O12" s="1246"/>
      <c r="W12" s="5">
        <f>(0.05*W11)+W11</f>
        <v>5898.4708672811248</v>
      </c>
    </row>
    <row r="13" spans="1:28">
      <c r="A13" s="628" t="s">
        <v>558</v>
      </c>
      <c r="B13" s="638" t="s">
        <v>244</v>
      </c>
      <c r="C13" s="638" t="s">
        <v>244</v>
      </c>
      <c r="D13" s="638" t="s">
        <v>244</v>
      </c>
      <c r="E13" s="852" t="s">
        <v>244</v>
      </c>
      <c r="F13" s="636">
        <v>0</v>
      </c>
      <c r="G13" s="170">
        <v>-28.29</v>
      </c>
      <c r="H13" s="653">
        <v>-1114.3499999999999</v>
      </c>
      <c r="I13" s="162">
        <v>-1479.05</v>
      </c>
      <c r="J13" s="162">
        <v>-1363.7375999999999</v>
      </c>
      <c r="K13" s="162">
        <v>-568.11199999999997</v>
      </c>
      <c r="L13" s="162">
        <v>-1786.6320000000001</v>
      </c>
      <c r="M13" s="164">
        <v>-2073.3870000000002</v>
      </c>
      <c r="N13" s="162">
        <v>-1653.418408</v>
      </c>
      <c r="O13" s="162">
        <v>-1341.679269</v>
      </c>
      <c r="P13" s="5">
        <v>-23.388817</v>
      </c>
      <c r="Q13" s="5">
        <v>-91.606543000000002</v>
      </c>
      <c r="W13" s="5">
        <f>(0.05*W12)+W12</f>
        <v>6193.3944106451809</v>
      </c>
    </row>
    <row r="14" spans="1:28">
      <c r="A14" s="611" t="s">
        <v>142</v>
      </c>
      <c r="B14" s="170"/>
      <c r="C14" s="170"/>
      <c r="D14" s="170"/>
      <c r="E14" s="634"/>
      <c r="F14" s="850"/>
      <c r="G14" s="850"/>
      <c r="H14" s="850"/>
      <c r="I14" s="850"/>
      <c r="J14" s="850"/>
      <c r="K14" s="850"/>
      <c r="L14" s="850"/>
      <c r="M14" s="1237"/>
      <c r="N14" s="1246"/>
      <c r="O14" s="1246"/>
      <c r="W14" s="5">
        <f>(0.05*W13)+W13+8000</f>
        <v>14503.06413117744</v>
      </c>
      <c r="Y14" s="631" t="s">
        <v>1253</v>
      </c>
    </row>
    <row r="15" spans="1:28">
      <c r="A15" s="628" t="s">
        <v>559</v>
      </c>
      <c r="B15" s="170">
        <v>-1254.92</v>
      </c>
      <c r="C15" s="170">
        <v>-2065.9</v>
      </c>
      <c r="D15" s="170">
        <v>-2228.09</v>
      </c>
      <c r="E15" s="634">
        <v>-2790.52</v>
      </c>
      <c r="F15" s="170">
        <v>-3068.17</v>
      </c>
      <c r="G15" s="170">
        <v>-3656.45</v>
      </c>
      <c r="H15" s="653">
        <v>-3804.92</v>
      </c>
      <c r="I15" s="630">
        <v>-4586.66</v>
      </c>
      <c r="J15" s="630">
        <v>-4867.5480699999998</v>
      </c>
      <c r="K15" s="630">
        <v>-6420.6661839999997</v>
      </c>
      <c r="L15" s="630">
        <v>-6419.979483383323</v>
      </c>
      <c r="M15" s="1242">
        <v>-7716.0984739999994</v>
      </c>
      <c r="N15" s="630">
        <v>-9808.9021869999997</v>
      </c>
      <c r="O15" s="630">
        <v>-11639.466595999991</v>
      </c>
      <c r="W15" s="5">
        <f>(0.05*W14)+W14</f>
        <v>15228.217337736312</v>
      </c>
    </row>
    <row r="16" spans="1:28">
      <c r="A16" s="611" t="s">
        <v>142</v>
      </c>
      <c r="B16" s="170"/>
      <c r="C16" s="170"/>
      <c r="D16" s="170"/>
      <c r="E16" s="634"/>
      <c r="F16" s="850"/>
      <c r="G16" s="850"/>
      <c r="H16" s="850"/>
      <c r="I16" s="850"/>
      <c r="J16" s="850"/>
      <c r="K16" s="850"/>
      <c r="L16" s="850"/>
      <c r="M16" s="1237"/>
      <c r="N16" s="1246"/>
      <c r="O16" s="1246"/>
      <c r="W16" s="5">
        <f>(0.05*W15)+W15</f>
        <v>15989.628204623128</v>
      </c>
    </row>
    <row r="17" spans="1:20">
      <c r="A17" s="608" t="s">
        <v>560</v>
      </c>
      <c r="B17" s="170">
        <v>-125.35</v>
      </c>
      <c r="C17" s="170">
        <v>-279.92</v>
      </c>
      <c r="D17" s="170">
        <v>-168.28</v>
      </c>
      <c r="E17" s="170">
        <v>288.43</v>
      </c>
      <c r="F17" s="170">
        <v>158.81</v>
      </c>
      <c r="G17" s="170">
        <v>357.2</v>
      </c>
      <c r="H17" s="170">
        <v>-738.27</v>
      </c>
      <c r="I17" s="170">
        <v>-1354.48</v>
      </c>
      <c r="J17" s="170">
        <v>-2654.3336989999998</v>
      </c>
      <c r="K17" s="170">
        <v>-3088.307761</v>
      </c>
      <c r="L17" s="170">
        <v>-3911.2905743833235</v>
      </c>
      <c r="M17" s="653">
        <v>-3820.6614656999991</v>
      </c>
      <c r="N17" s="630">
        <v>-3601.1743569999999</v>
      </c>
      <c r="O17" s="630">
        <v>-3170.6727829999909</v>
      </c>
      <c r="P17" s="5">
        <v>4447.6214299999992</v>
      </c>
      <c r="Q17" s="5">
        <v>-853.1662320000014</v>
      </c>
    </row>
    <row r="18" spans="1:20">
      <c r="A18" s="608"/>
      <c r="B18" s="170"/>
      <c r="C18" s="170"/>
      <c r="D18" s="170"/>
      <c r="E18" s="170"/>
      <c r="F18" s="850"/>
      <c r="G18" s="850"/>
      <c r="H18" s="850"/>
      <c r="I18" s="850"/>
      <c r="J18" s="850"/>
      <c r="K18" s="850"/>
      <c r="L18" s="850"/>
      <c r="M18" s="1237"/>
      <c r="N18" s="1246"/>
      <c r="O18" s="1246"/>
    </row>
    <row r="19" spans="1:20">
      <c r="A19" s="633" t="s">
        <v>1145</v>
      </c>
      <c r="B19" s="170"/>
      <c r="C19" s="634">
        <v>-366.41</v>
      </c>
      <c r="D19" s="634">
        <v>-281.73</v>
      </c>
      <c r="E19" s="634">
        <v>48.012066666666655</v>
      </c>
      <c r="F19" s="634">
        <v>114.46266666666666</v>
      </c>
      <c r="G19" s="634">
        <v>-314.83353333333332</v>
      </c>
      <c r="H19" s="634">
        <v>-183.14631666666665</v>
      </c>
      <c r="I19" s="634">
        <v>-681.15671796957088</v>
      </c>
      <c r="J19" s="634">
        <v>-321.40694527728562</v>
      </c>
      <c r="K19" s="634">
        <v>-1122.383062394091</v>
      </c>
      <c r="L19" s="634">
        <v>-3062.3792865677087</v>
      </c>
      <c r="M19" s="1243">
        <v>-2487.2156193108622</v>
      </c>
      <c r="N19" s="630">
        <v>-2610.6357772603033</v>
      </c>
      <c r="O19" s="630">
        <v>-1654.0918289379385</v>
      </c>
      <c r="P19" s="5">
        <v>-1203.6315427722395</v>
      </c>
      <c r="Q19" s="5">
        <v>-861.32510826099883</v>
      </c>
    </row>
    <row r="20" spans="1:20">
      <c r="A20" s="633" t="s">
        <v>617</v>
      </c>
      <c r="B20" s="170"/>
      <c r="C20" s="636">
        <v>224.93</v>
      </c>
      <c r="D20" s="636">
        <v>215.93</v>
      </c>
      <c r="E20" s="636">
        <v>164.61279999999999</v>
      </c>
      <c r="F20" s="636">
        <v>236.07925</v>
      </c>
      <c r="G20" s="636">
        <v>218.84770000000003</v>
      </c>
      <c r="H20" s="636">
        <v>251.29378333333338</v>
      </c>
      <c r="I20" s="162">
        <v>123.72313812789881</v>
      </c>
      <c r="J20" s="162">
        <v>121.05282699508047</v>
      </c>
      <c r="K20" s="162">
        <v>139.41741101443648</v>
      </c>
      <c r="L20" s="162">
        <v>162.13350314682532</v>
      </c>
      <c r="M20" s="164">
        <v>178.11751317788722</v>
      </c>
      <c r="N20" s="162">
        <v>253.92906304279632</v>
      </c>
      <c r="O20" s="162">
        <v>443.89612144203301</v>
      </c>
      <c r="P20" s="5">
        <v>455.85686542269241</v>
      </c>
      <c r="Q20" s="5">
        <v>377.74064247390402</v>
      </c>
    </row>
    <row r="21" spans="1:20">
      <c r="A21" s="633" t="s">
        <v>618</v>
      </c>
      <c r="B21" s="170"/>
      <c r="C21" s="636">
        <v>-591.34</v>
      </c>
      <c r="D21" s="636">
        <v>-497.66</v>
      </c>
      <c r="E21" s="636">
        <v>-116.60073333333334</v>
      </c>
      <c r="F21" s="636">
        <v>-121.61658333333334</v>
      </c>
      <c r="G21" s="636">
        <v>-533.68123333333335</v>
      </c>
      <c r="H21" s="636">
        <v>-434.44010000000003</v>
      </c>
      <c r="I21" s="162">
        <v>-804.87985609746966</v>
      </c>
      <c r="J21" s="162">
        <v>-442.45977227236608</v>
      </c>
      <c r="K21" s="162">
        <v>-1261.8004734085275</v>
      </c>
      <c r="L21" s="162">
        <v>-3224.5127897145339</v>
      </c>
      <c r="M21" s="164">
        <v>-2665.3331324887495</v>
      </c>
      <c r="N21" s="162">
        <v>-2864.5648403030996</v>
      </c>
      <c r="O21" s="162">
        <v>-2097.9879503799716</v>
      </c>
      <c r="P21" s="5">
        <v>-1659.4884081949319</v>
      </c>
      <c r="Q21" s="5">
        <v>-1239.0657507349028</v>
      </c>
    </row>
    <row r="22" spans="1:20">
      <c r="A22" s="633"/>
      <c r="B22" s="170">
        <v>228.68</v>
      </c>
      <c r="C22" s="170"/>
      <c r="D22" s="170"/>
      <c r="E22" s="634"/>
      <c r="F22" s="170"/>
      <c r="G22" s="850"/>
      <c r="H22" s="850"/>
      <c r="I22" s="850"/>
      <c r="J22" s="850"/>
      <c r="K22" s="850"/>
      <c r="L22" s="850"/>
      <c r="M22" s="1237"/>
      <c r="N22" s="1246"/>
      <c r="O22" s="1246"/>
    </row>
    <row r="23" spans="1:20">
      <c r="A23" s="633" t="s">
        <v>561</v>
      </c>
      <c r="B23" s="170"/>
      <c r="C23" s="638" t="s">
        <v>244</v>
      </c>
      <c r="D23" s="638" t="s">
        <v>244</v>
      </c>
      <c r="E23" s="636">
        <v>-171.47166666666666</v>
      </c>
      <c r="F23" s="636">
        <v>-85.847000000000023</v>
      </c>
      <c r="G23" s="636">
        <v>34.554900000000004</v>
      </c>
      <c r="H23" s="636">
        <v>106.48041666666668</v>
      </c>
      <c r="I23" s="636">
        <v>-532.42049285000007</v>
      </c>
      <c r="J23" s="636">
        <v>-381.38228066000011</v>
      </c>
      <c r="K23" s="636">
        <v>-490.41314005000004</v>
      </c>
      <c r="L23" s="636">
        <v>-658.19084823000003</v>
      </c>
      <c r="M23" s="1238">
        <v>-806.44992011999989</v>
      </c>
      <c r="N23" s="1247">
        <v>-938.31724666999992</v>
      </c>
      <c r="O23" s="1247">
        <v>-700.97644595999998</v>
      </c>
      <c r="P23" s="5">
        <v>-642.02530536199993</v>
      </c>
      <c r="Q23" s="5">
        <v>-1903.7346914271304</v>
      </c>
    </row>
    <row r="24" spans="1:20">
      <c r="A24" s="633" t="s">
        <v>617</v>
      </c>
      <c r="B24" s="170"/>
      <c r="C24" s="638" t="s">
        <v>244</v>
      </c>
      <c r="D24" s="638" t="s">
        <v>244</v>
      </c>
      <c r="E24" s="636">
        <v>0</v>
      </c>
      <c r="F24" s="636">
        <v>53.654375000000002</v>
      </c>
      <c r="G24" s="636">
        <v>99.825266666666678</v>
      </c>
      <c r="H24" s="636">
        <v>166.10945000000001</v>
      </c>
      <c r="I24" s="162">
        <v>187.66950715000002</v>
      </c>
      <c r="J24" s="162">
        <v>247.08792495</v>
      </c>
      <c r="K24" s="162">
        <v>195.49026081</v>
      </c>
      <c r="L24" s="162">
        <v>362.89126189999996</v>
      </c>
      <c r="M24" s="164">
        <v>249.34969002</v>
      </c>
      <c r="N24" s="162">
        <v>181.48689166</v>
      </c>
      <c r="O24" s="162">
        <v>254.97033769999999</v>
      </c>
      <c r="P24" s="5">
        <v>112.48346504</v>
      </c>
      <c r="Q24" s="5">
        <v>270.85074616286988</v>
      </c>
    </row>
    <row r="25" spans="1:20">
      <c r="A25" s="633" t="s">
        <v>618</v>
      </c>
      <c r="B25" s="170"/>
      <c r="C25" s="638" t="s">
        <v>244</v>
      </c>
      <c r="D25" s="638" t="s">
        <v>244</v>
      </c>
      <c r="E25" s="636">
        <v>-171.47166666666666</v>
      </c>
      <c r="F25" s="636">
        <v>-139.50137500000002</v>
      </c>
      <c r="G25" s="636">
        <v>-65.270366666666675</v>
      </c>
      <c r="H25" s="636">
        <v>-59.629033333333332</v>
      </c>
      <c r="I25" s="162">
        <v>-720.09</v>
      </c>
      <c r="J25" s="162">
        <v>-628.47020561000011</v>
      </c>
      <c r="K25" s="162">
        <v>-685.90340086000003</v>
      </c>
      <c r="L25" s="162">
        <v>-1021.08211013</v>
      </c>
      <c r="M25" s="164">
        <v>-1055.7996101399999</v>
      </c>
      <c r="N25" s="162">
        <v>-1119.8041383299999</v>
      </c>
      <c r="O25" s="162">
        <v>-955.94678365999994</v>
      </c>
      <c r="P25" s="5">
        <v>-754.50877040199998</v>
      </c>
      <c r="Q25" s="5">
        <v>-2174.5854375900003</v>
      </c>
    </row>
    <row r="26" spans="1:20">
      <c r="A26" s="633"/>
      <c r="B26" s="170"/>
      <c r="C26" s="638"/>
      <c r="D26" s="638"/>
      <c r="E26" s="638"/>
      <c r="F26" s="638"/>
      <c r="G26" s="850"/>
      <c r="H26" s="850"/>
      <c r="I26" s="850"/>
      <c r="J26" s="850"/>
      <c r="K26" s="850"/>
      <c r="L26" s="850"/>
      <c r="M26" s="1237"/>
      <c r="N26" s="1246"/>
      <c r="O26" s="1246"/>
    </row>
    <row r="27" spans="1:20">
      <c r="A27" s="633" t="s">
        <v>562</v>
      </c>
      <c r="B27" s="170">
        <v>-342.16</v>
      </c>
      <c r="C27" s="638" t="s">
        <v>244</v>
      </c>
      <c r="D27" s="638" t="s">
        <v>244</v>
      </c>
      <c r="E27" s="853">
        <v>795.0917666666669</v>
      </c>
      <c r="F27" s="853">
        <v>727.02358333333325</v>
      </c>
      <c r="G27" s="853">
        <v>1400.7064</v>
      </c>
      <c r="H27" s="853">
        <v>1567.5028166666666</v>
      </c>
      <c r="I27" s="853">
        <v>1168.2904646518291</v>
      </c>
      <c r="J27" s="853">
        <v>1450.8585781071392</v>
      </c>
      <c r="K27" s="853">
        <v>1564.0936679521594</v>
      </c>
      <c r="L27" s="853">
        <v>521.62090974566217</v>
      </c>
      <c r="M27" s="1239">
        <v>1406.6254792812929</v>
      </c>
      <c r="N27" s="1248">
        <v>1896.1810690984933</v>
      </c>
      <c r="O27" s="1248">
        <v>3181.185029175424</v>
      </c>
      <c r="P27" s="5">
        <v>3280.1305294348549</v>
      </c>
      <c r="Q27" s="5">
        <v>5177.9251177955548</v>
      </c>
    </row>
    <row r="28" spans="1:20">
      <c r="A28" s="633" t="s">
        <v>617</v>
      </c>
      <c r="B28" s="170"/>
      <c r="C28" s="638" t="s">
        <v>244</v>
      </c>
      <c r="D28" s="638" t="s">
        <v>244</v>
      </c>
      <c r="E28" s="636">
        <v>1285.5007333333335</v>
      </c>
      <c r="F28" s="636">
        <v>1378.03</v>
      </c>
      <c r="G28" s="636">
        <v>2621.6462000000001</v>
      </c>
      <c r="H28" s="636">
        <v>3893.0351166666669</v>
      </c>
      <c r="I28" s="162">
        <v>2568.1496525742573</v>
      </c>
      <c r="J28" s="162">
        <v>2653.4669453892948</v>
      </c>
      <c r="K28" s="162">
        <v>2905.5864537980633</v>
      </c>
      <c r="L28" s="162">
        <v>1459.8919416031747</v>
      </c>
      <c r="M28" s="164">
        <v>2324.6722652621124</v>
      </c>
      <c r="N28" s="162">
        <v>2958.7429842621127</v>
      </c>
      <c r="O28" s="162">
        <v>4186.852606084617</v>
      </c>
      <c r="P28" s="5">
        <v>4419.245994357002</v>
      </c>
      <c r="Q28" s="5">
        <v>6424.0937121424558</v>
      </c>
    </row>
    <row r="29" spans="1:20">
      <c r="A29" s="637" t="s">
        <v>1254</v>
      </c>
      <c r="B29" s="170"/>
      <c r="C29" s="638" t="s">
        <v>244</v>
      </c>
      <c r="D29" s="638" t="s">
        <v>244</v>
      </c>
      <c r="E29" s="636">
        <v>1168.9000000000001</v>
      </c>
      <c r="F29" s="636">
        <v>1378.03</v>
      </c>
      <c r="G29" s="636">
        <v>2460.39</v>
      </c>
      <c r="H29" s="636">
        <v>3812.11</v>
      </c>
      <c r="I29" s="636">
        <v>2547.1326349999999</v>
      </c>
      <c r="J29" s="636">
        <v>2551.6999999999998</v>
      </c>
      <c r="K29" s="636">
        <v>2858.1</v>
      </c>
      <c r="L29" s="636">
        <v>1442.8</v>
      </c>
      <c r="M29" s="1238">
        <v>2309.5092810000001</v>
      </c>
      <c r="N29" s="1247">
        <v>2943.58</v>
      </c>
      <c r="O29" s="1247">
        <v>4173.982</v>
      </c>
    </row>
    <row r="30" spans="1:20">
      <c r="A30" s="637" t="s">
        <v>1257</v>
      </c>
      <c r="B30" s="170"/>
      <c r="C30" s="638" t="s">
        <v>244</v>
      </c>
      <c r="D30" s="638" t="s">
        <v>244</v>
      </c>
      <c r="E30" s="636">
        <v>1168.9000000000001</v>
      </c>
      <c r="F30" s="636">
        <v>947.6</v>
      </c>
      <c r="G30" s="636">
        <v>1045.0999999999999</v>
      </c>
      <c r="H30" s="636">
        <v>1928.5</v>
      </c>
      <c r="I30" s="636">
        <v>2188</v>
      </c>
      <c r="J30" s="636">
        <v>2551.1999999999998</v>
      </c>
      <c r="K30" s="636">
        <v>2531</v>
      </c>
      <c r="L30" s="636">
        <v>886.6</v>
      </c>
      <c r="M30" s="1238">
        <v>2287.1999999999998</v>
      </c>
      <c r="N30" s="1247">
        <v>2628</v>
      </c>
      <c r="O30" s="1247">
        <v>3417.2240000000002</v>
      </c>
      <c r="P30" s="5">
        <v>4024.3</v>
      </c>
      <c r="Q30" s="5">
        <v>5688.74</v>
      </c>
      <c r="T30" s="1523"/>
    </row>
    <row r="31" spans="1:20">
      <c r="A31" s="633" t="s">
        <v>618</v>
      </c>
      <c r="B31" s="170"/>
      <c r="C31" s="638" t="s">
        <v>244</v>
      </c>
      <c r="D31" s="638" t="s">
        <v>244</v>
      </c>
      <c r="E31" s="636">
        <v>-490.40896666666669</v>
      </c>
      <c r="F31" s="636">
        <v>-651.00641666666672</v>
      </c>
      <c r="G31" s="636">
        <v>-1220.9398000000001</v>
      </c>
      <c r="H31" s="636">
        <v>-2325.5323000000003</v>
      </c>
      <c r="I31" s="162">
        <v>-1399.8591879224282</v>
      </c>
      <c r="J31" s="162">
        <v>-1202.6083672821555</v>
      </c>
      <c r="K31" s="162">
        <v>-1341.4927858459039</v>
      </c>
      <c r="L31" s="162">
        <v>-938.27103185751253</v>
      </c>
      <c r="M31" s="164">
        <v>-918.04678598081944</v>
      </c>
      <c r="N31" s="162">
        <v>-1062.5619151636195</v>
      </c>
      <c r="O31" s="162">
        <v>-1005.667576909193</v>
      </c>
      <c r="P31" s="5">
        <v>-1139.1154649221473</v>
      </c>
      <c r="Q31" s="5">
        <v>-1246.168594346901</v>
      </c>
    </row>
    <row r="32" spans="1:20" ht="15.75">
      <c r="A32" s="611" t="s">
        <v>142</v>
      </c>
      <c r="B32" s="170"/>
      <c r="C32" s="170"/>
      <c r="D32" s="170"/>
      <c r="E32" s="634"/>
      <c r="F32" s="170"/>
      <c r="G32" s="850"/>
      <c r="H32" s="850"/>
      <c r="I32" s="850"/>
      <c r="J32" s="850"/>
      <c r="K32" s="850"/>
      <c r="L32" s="850"/>
      <c r="M32" s="1237"/>
      <c r="N32" s="1246"/>
      <c r="O32" s="1246"/>
      <c r="P32" s="17"/>
    </row>
    <row r="33" spans="1:17">
      <c r="A33" s="611" t="s">
        <v>142</v>
      </c>
      <c r="B33" s="170"/>
      <c r="C33" s="170"/>
      <c r="D33" s="170"/>
      <c r="E33" s="634"/>
      <c r="F33" s="170"/>
      <c r="G33" s="170"/>
      <c r="H33" s="653"/>
      <c r="I33" s="162"/>
      <c r="J33" s="163"/>
      <c r="K33" s="163"/>
      <c r="L33" s="163"/>
      <c r="M33" s="161"/>
      <c r="N33" s="162"/>
      <c r="O33" s="162"/>
    </row>
    <row r="34" spans="1:17" s="17" customFormat="1" ht="15.75">
      <c r="A34" s="639" t="s">
        <v>563</v>
      </c>
      <c r="B34" s="640"/>
      <c r="C34" s="640">
        <v>1078.92</v>
      </c>
      <c r="D34" s="640">
        <v>805.65</v>
      </c>
      <c r="E34" s="640">
        <v>-385.52</v>
      </c>
      <c r="F34" s="640">
        <v>57.96</v>
      </c>
      <c r="G34" s="640">
        <v>-94.28</v>
      </c>
      <c r="H34" s="640">
        <v>968.45</v>
      </c>
      <c r="I34" s="640">
        <v>4482.45</v>
      </c>
      <c r="J34" s="640">
        <v>3709.5846080000001</v>
      </c>
      <c r="K34" s="640">
        <v>4375.8884799999996</v>
      </c>
      <c r="L34" s="640">
        <v>9335.0547999999999</v>
      </c>
      <c r="M34" s="643">
        <v>8330.604800000001</v>
      </c>
      <c r="N34" s="627">
        <v>6439.5139733400001</v>
      </c>
      <c r="O34" s="627">
        <v>4076.3333747000001</v>
      </c>
      <c r="P34" s="17">
        <v>4076.3333747000001</v>
      </c>
      <c r="Q34" s="17">
        <v>1081.4833333400002</v>
      </c>
    </row>
    <row r="35" spans="1:17" ht="15.75">
      <c r="A35" s="639"/>
      <c r="B35" s="170"/>
      <c r="C35" s="170"/>
      <c r="D35" s="170"/>
      <c r="E35" s="634"/>
      <c r="F35" s="170"/>
      <c r="G35" s="850"/>
      <c r="H35" s="850"/>
      <c r="I35" s="850"/>
      <c r="J35" s="850"/>
      <c r="K35" s="850"/>
      <c r="L35" s="850"/>
      <c r="M35" s="1237"/>
      <c r="N35" s="1246"/>
      <c r="O35" s="1246"/>
      <c r="P35" s="17"/>
    </row>
    <row r="36" spans="1:17">
      <c r="A36" s="830" t="s">
        <v>89</v>
      </c>
      <c r="B36" s="170"/>
      <c r="C36" s="170"/>
      <c r="D36" s="170"/>
      <c r="E36" s="634"/>
      <c r="F36" s="636">
        <v>0</v>
      </c>
      <c r="G36" s="636">
        <v>0</v>
      </c>
      <c r="H36" s="636">
        <v>0</v>
      </c>
      <c r="I36" s="163">
        <v>2910</v>
      </c>
      <c r="J36" s="163">
        <v>2001.712</v>
      </c>
      <c r="K36" s="163">
        <v>2512.6819999999998</v>
      </c>
      <c r="L36" s="163">
        <v>6219.02</v>
      </c>
      <c r="M36" s="161">
        <v>5071.973</v>
      </c>
      <c r="N36" s="162">
        <v>4586.3704399999997</v>
      </c>
      <c r="O36" s="162">
        <v>1751.5204413599999</v>
      </c>
      <c r="P36" s="69">
        <v>1751.5204413599999</v>
      </c>
      <c r="Q36" s="5">
        <v>1111.796</v>
      </c>
    </row>
    <row r="37" spans="1:17" ht="15.75">
      <c r="A37" s="639"/>
      <c r="B37" s="170"/>
      <c r="C37" s="170"/>
      <c r="D37" s="170"/>
      <c r="E37" s="634"/>
      <c r="F37" s="170"/>
      <c r="G37" s="850"/>
      <c r="H37" s="850"/>
      <c r="I37" s="850"/>
      <c r="J37" s="850"/>
      <c r="K37" s="850"/>
      <c r="L37" s="850"/>
      <c r="M37" s="1237"/>
      <c r="N37" s="1246"/>
      <c r="O37" s="1246"/>
      <c r="P37" s="69"/>
    </row>
    <row r="38" spans="1:17">
      <c r="A38" s="187" t="s">
        <v>1146</v>
      </c>
      <c r="B38" s="170">
        <v>730.43</v>
      </c>
      <c r="C38" s="170">
        <v>849.24</v>
      </c>
      <c r="D38" s="170">
        <v>805.65</v>
      </c>
      <c r="E38" s="634">
        <v>-385.52</v>
      </c>
      <c r="F38" s="634">
        <v>-13.86</v>
      </c>
      <c r="G38" s="634">
        <v>-94.28</v>
      </c>
      <c r="H38" s="634">
        <v>1218.45</v>
      </c>
      <c r="I38" s="641">
        <v>1572.45</v>
      </c>
      <c r="J38" s="641">
        <v>1707.8726079999999</v>
      </c>
      <c r="K38" s="641">
        <v>1863.2064800000001</v>
      </c>
      <c r="L38" s="641">
        <v>3116.0347999999999</v>
      </c>
      <c r="M38" s="1243">
        <v>3258.6318000000001</v>
      </c>
      <c r="N38" s="630">
        <v>1853.1435333400002</v>
      </c>
      <c r="O38" s="630">
        <v>2324.8129333400002</v>
      </c>
      <c r="P38" s="69">
        <v>2324.8129333400002</v>
      </c>
      <c r="Q38" s="5">
        <v>-30.312666659999966</v>
      </c>
    </row>
    <row r="39" spans="1:17">
      <c r="A39" s="611" t="s">
        <v>142</v>
      </c>
      <c r="B39" s="170"/>
      <c r="C39" s="170"/>
      <c r="D39" s="170"/>
      <c r="E39" s="634"/>
      <c r="F39" s="170"/>
      <c r="G39" s="850"/>
      <c r="H39" s="850"/>
      <c r="I39" s="850"/>
      <c r="J39" s="850"/>
      <c r="K39" s="850"/>
      <c r="L39" s="850"/>
      <c r="M39" s="1237"/>
      <c r="N39" s="1246"/>
      <c r="O39" s="1246"/>
    </row>
    <row r="40" spans="1:17">
      <c r="A40" s="633" t="s">
        <v>564</v>
      </c>
      <c r="B40" s="170">
        <v>-2.14</v>
      </c>
      <c r="C40" s="170">
        <v>229.68</v>
      </c>
      <c r="D40" s="170">
        <v>0</v>
      </c>
      <c r="E40" s="634">
        <v>0</v>
      </c>
      <c r="F40" s="634">
        <v>71.819999999999993</v>
      </c>
      <c r="G40" s="634">
        <v>0</v>
      </c>
      <c r="H40" s="634">
        <v>-250</v>
      </c>
      <c r="I40" s="162">
        <v>0</v>
      </c>
      <c r="J40" s="162">
        <v>0</v>
      </c>
      <c r="K40" s="162">
        <v>0</v>
      </c>
      <c r="L40" s="162">
        <v>0</v>
      </c>
      <c r="M40" s="164">
        <v>0</v>
      </c>
      <c r="N40" s="162">
        <v>0</v>
      </c>
      <c r="O40" s="162">
        <v>0</v>
      </c>
      <c r="P40" s="5">
        <v>0</v>
      </c>
      <c r="Q40" s="5">
        <v>0</v>
      </c>
    </row>
    <row r="41" spans="1:17" ht="15.75">
      <c r="A41" s="628" t="s">
        <v>142</v>
      </c>
      <c r="B41" s="170"/>
      <c r="C41" s="170"/>
      <c r="D41" s="170"/>
      <c r="E41" s="634"/>
      <c r="F41" s="170"/>
      <c r="G41" s="850"/>
      <c r="H41" s="850"/>
      <c r="I41" s="850"/>
      <c r="J41" s="850"/>
      <c r="K41" s="850"/>
      <c r="L41" s="850"/>
      <c r="M41" s="1237"/>
      <c r="N41" s="1246"/>
      <c r="O41" s="1246"/>
      <c r="P41" s="17"/>
    </row>
    <row r="42" spans="1:17" s="17" customFormat="1" ht="15.75">
      <c r="A42" s="639" t="s">
        <v>620</v>
      </c>
      <c r="B42" s="640"/>
      <c r="C42" s="640">
        <v>-387.15</v>
      </c>
      <c r="D42" s="640">
        <v>-409.94</v>
      </c>
      <c r="E42" s="640">
        <v>128.66793333333348</v>
      </c>
      <c r="F42" s="640">
        <v>476.86733333333342</v>
      </c>
      <c r="G42" s="640">
        <v>611.03353333333303</v>
      </c>
      <c r="H42" s="640">
        <v>977.45631666666702</v>
      </c>
      <c r="I42" s="640">
        <v>-2495.3932538322579</v>
      </c>
      <c r="J42" s="640">
        <v>-1357.950261169854</v>
      </c>
      <c r="K42" s="640">
        <v>-1126.9181845080675</v>
      </c>
      <c r="L42" s="640">
        <v>-2558.5450005646303</v>
      </c>
      <c r="M42" s="643">
        <v>-1590.2232741504326</v>
      </c>
      <c r="N42" s="627">
        <v>-1970.1376615081904</v>
      </c>
      <c r="O42" s="627">
        <v>-2182.337454547494</v>
      </c>
      <c r="P42" s="17">
        <v>-2182.337454547494</v>
      </c>
      <c r="Q42" s="17">
        <v>-9353.0491394026158</v>
      </c>
    </row>
    <row r="43" spans="1:17" ht="15.75">
      <c r="A43" s="608"/>
      <c r="B43" s="638" t="s">
        <v>244</v>
      </c>
      <c r="C43" s="170"/>
      <c r="D43" s="170"/>
      <c r="E43" s="634"/>
      <c r="F43" s="170"/>
      <c r="G43" s="850"/>
      <c r="H43" s="850"/>
      <c r="I43" s="850"/>
      <c r="J43" s="850"/>
      <c r="K43" s="850"/>
      <c r="L43" s="850"/>
      <c r="M43" s="1237"/>
      <c r="N43" s="1246"/>
      <c r="O43" s="1246"/>
      <c r="P43" s="17"/>
    </row>
    <row r="44" spans="1:17" ht="15.75" customHeight="1">
      <c r="A44" s="624" t="s">
        <v>1147</v>
      </c>
      <c r="B44" s="170"/>
      <c r="C44" s="640">
        <v>45.44</v>
      </c>
      <c r="D44" s="640">
        <v>-54.3</v>
      </c>
      <c r="E44" s="642">
        <v>79.59</v>
      </c>
      <c r="F44" s="640">
        <v>808.1</v>
      </c>
      <c r="G44" s="640">
        <v>559.12</v>
      </c>
      <c r="H44" s="643">
        <v>1024.49</v>
      </c>
      <c r="I44" s="644">
        <v>587.29</v>
      </c>
      <c r="J44" s="644">
        <v>445.37</v>
      </c>
      <c r="K44" s="644">
        <v>111.96</v>
      </c>
      <c r="L44" s="644">
        <v>-333.73</v>
      </c>
      <c r="M44" s="1244">
        <v>1032.68</v>
      </c>
      <c r="N44" s="644">
        <v>-784.57</v>
      </c>
      <c r="O44" s="644">
        <v>-450.56010856999956</v>
      </c>
      <c r="P44" s="17">
        <v>-450.56010856999956</v>
      </c>
      <c r="Q44" s="5">
        <v>-2358.1136452200003</v>
      </c>
    </row>
    <row r="45" spans="1:17" ht="15.75">
      <c r="A45" s="618"/>
      <c r="B45" s="96">
        <v>-172.49</v>
      </c>
      <c r="C45" s="96"/>
      <c r="D45" s="96"/>
      <c r="E45" s="645"/>
      <c r="F45" s="96"/>
      <c r="G45" s="96"/>
      <c r="H45" s="646"/>
      <c r="I45" s="647"/>
      <c r="J45" s="287"/>
      <c r="K45" s="287"/>
      <c r="L45" s="287"/>
      <c r="M45" s="1245"/>
      <c r="N45" s="1249"/>
      <c r="O45" s="1249"/>
      <c r="P45" s="17"/>
    </row>
    <row r="46" spans="1:17" ht="16.5">
      <c r="A46" s="648" t="s">
        <v>1258</v>
      </c>
      <c r="B46" s="91"/>
      <c r="C46" s="91"/>
      <c r="D46" s="91"/>
      <c r="E46" s="91"/>
      <c r="F46" s="91"/>
      <c r="G46" s="91"/>
      <c r="H46" s="91"/>
    </row>
    <row r="47" spans="1:17" ht="16.5">
      <c r="A47" s="649" t="s">
        <v>1259</v>
      </c>
      <c r="B47" s="91"/>
      <c r="C47" s="91"/>
      <c r="D47" s="91"/>
      <c r="E47" s="91"/>
      <c r="F47" s="91"/>
      <c r="G47" s="91"/>
      <c r="H47" s="91"/>
    </row>
    <row r="48" spans="1:17">
      <c r="B48" s="97"/>
      <c r="C48" s="97"/>
      <c r="D48" s="91"/>
      <c r="E48" s="91"/>
      <c r="F48" s="91"/>
      <c r="G48" s="91"/>
      <c r="H48" s="91"/>
    </row>
    <row r="49" spans="1:11">
      <c r="A49" s="327" t="s">
        <v>565</v>
      </c>
      <c r="B49" s="97"/>
      <c r="C49" s="97"/>
      <c r="D49" s="91"/>
      <c r="E49" s="91"/>
      <c r="F49" s="91"/>
      <c r="G49" s="91"/>
      <c r="H49" s="91"/>
      <c r="I49" s="5">
        <f>'[78]New BOPI'!C15/1000000</f>
        <v>281.81812200000002</v>
      </c>
      <c r="J49" s="5">
        <f>'[78]New BOPI'!D15/1000000</f>
        <v>817.94951200000003</v>
      </c>
      <c r="K49" s="5">
        <f>'[78]New BOPI'!E15/1000000</f>
        <v>822.78689728999996</v>
      </c>
    </row>
    <row r="50" spans="1:11">
      <c r="A50" s="327" t="s">
        <v>566</v>
      </c>
      <c r="B50" s="91"/>
      <c r="C50" s="91"/>
      <c r="D50" s="91"/>
      <c r="E50" s="91"/>
      <c r="F50" s="91"/>
      <c r="G50" s="91"/>
      <c r="H50" s="91"/>
      <c r="I50" s="5">
        <f>'[78]New BOPI'!C43/1000000</f>
        <v>-902.26976300000001</v>
      </c>
      <c r="J50" s="5">
        <f>'[78]New BOPI'!D43/1000000</f>
        <v>-981.33108879999997</v>
      </c>
      <c r="K50" s="5">
        <f>'[78]New BOPI'!E43/1000000</f>
        <v>-1022.36755384</v>
      </c>
    </row>
    <row r="51" spans="1:11">
      <c r="A51" s="327"/>
    </row>
    <row r="52" spans="1:11">
      <c r="A52" s="327" t="s">
        <v>567</v>
      </c>
      <c r="I52" s="5">
        <f>'[78]New BOPI'!C67/1000000</f>
        <v>143.38</v>
      </c>
      <c r="J52" s="5">
        <f>'[78]New BOPI'!D67/1000000</f>
        <v>227.30255794999999</v>
      </c>
      <c r="K52" s="5">
        <f>'[78]New BOPI'!E67/1000000</f>
        <v>153.62209662999999</v>
      </c>
    </row>
    <row r="53" spans="1:11">
      <c r="A53" s="327" t="s">
        <v>568</v>
      </c>
      <c r="I53" s="5">
        <f>'[78]New BOPI'!C79/1000000</f>
        <v>-720.09</v>
      </c>
      <c r="J53" s="5">
        <f>'[78]New BOPI'!D79/1000000</f>
        <v>-628.47014480999997</v>
      </c>
      <c r="K53" s="5">
        <f>'[78]New BOPI'!E79/1000000</f>
        <v>-589.33340085999998</v>
      </c>
    </row>
    <row r="54" spans="1:11">
      <c r="A54" s="327"/>
    </row>
    <row r="55" spans="1:11">
      <c r="A55" s="327" t="s">
        <v>569</v>
      </c>
      <c r="I55" s="5">
        <f>'[78]New BOPI'!C92/1000000</f>
        <v>5487.95</v>
      </c>
      <c r="J55" s="5">
        <f>'[78]New BOPI'!D92/1000000</f>
        <v>4118.1701709999998</v>
      </c>
      <c r="K55" s="5">
        <f>'[78]New BOPI'!E92/1000000</f>
        <v>3940.4793573400002</v>
      </c>
    </row>
    <row r="56" spans="1:11">
      <c r="A56" s="327" t="s">
        <v>570</v>
      </c>
      <c r="I56" s="5">
        <f>'[78]New BOPI'!C106/1000000</f>
        <v>-1351.6</v>
      </c>
      <c r="J56" s="5">
        <f>'[78]New BOPI'!D106/1000000</f>
        <v>-1177.5509999999999</v>
      </c>
      <c r="K56" s="5">
        <f>'[78]New BOPI'!E106/1000000</f>
        <v>-1107.4722959999999</v>
      </c>
    </row>
  </sheetData>
  <mergeCells count="4">
    <mergeCell ref="L5:L6"/>
    <mergeCell ref="M5:M6"/>
    <mergeCell ref="N5:N6"/>
    <mergeCell ref="O5:O6"/>
  </mergeCells>
  <phoneticPr fontId="0" type="noConversion"/>
  <pageMargins left="0.75" right="0.75" top="1" bottom="1" header="0.5" footer="0.5"/>
  <pageSetup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Sheet38"/>
  <dimension ref="A1:Q62"/>
  <sheetViews>
    <sheetView zoomScale="50" workbookViewId="0">
      <pane xSplit="5" ySplit="7" topLeftCell="F8" activePane="bottomRight" state="frozen"/>
      <selection pane="topRight" activeCell="F1" sqref="F1"/>
      <selection pane="bottomLeft" activeCell="A8" sqref="A8"/>
      <selection pane="bottomRight" activeCell="Q12" sqref="Q12"/>
    </sheetView>
  </sheetViews>
  <sheetFormatPr defaultColWidth="11.28515625" defaultRowHeight="15"/>
  <cols>
    <col min="1" max="1" width="40.85546875" style="5" customWidth="1"/>
    <col min="2" max="2" width="1.5703125" style="5" hidden="1" customWidth="1"/>
    <col min="3" max="3" width="1.42578125" style="5" hidden="1" customWidth="1"/>
    <col min="4" max="4" width="2.140625" style="5" hidden="1" customWidth="1"/>
    <col min="5" max="5" width="17" style="5" hidden="1" customWidth="1"/>
    <col min="6" max="6" width="17.140625" style="5" customWidth="1"/>
    <col min="7" max="7" width="17.28515625" style="5" customWidth="1"/>
    <col min="8" max="8" width="17.5703125" style="5" customWidth="1"/>
    <col min="9" max="9" width="17.85546875" style="5" customWidth="1"/>
    <col min="10" max="10" width="16.85546875" style="5" customWidth="1"/>
    <col min="11" max="11" width="17.140625" style="5" customWidth="1"/>
    <col min="12" max="13" width="16.42578125" style="5" customWidth="1"/>
    <col min="14" max="15" width="14.85546875" style="5" customWidth="1"/>
    <col min="16" max="16" width="13.5703125" style="5" customWidth="1"/>
    <col min="17" max="16384" width="11.28515625" style="5"/>
  </cols>
  <sheetData>
    <row r="1" spans="1:17" ht="15.75">
      <c r="A1" s="89" t="s">
        <v>1260</v>
      </c>
      <c r="B1" s="89"/>
      <c r="C1" s="89"/>
      <c r="D1" s="89"/>
      <c r="E1" s="89"/>
      <c r="F1" s="89"/>
      <c r="G1" s="89"/>
      <c r="H1" s="89"/>
    </row>
    <row r="2" spans="1:17" ht="15.75">
      <c r="A2" s="89"/>
      <c r="B2" s="89"/>
      <c r="C2" s="89"/>
      <c r="D2" s="89"/>
      <c r="E2" s="89"/>
      <c r="F2" s="89"/>
      <c r="G2" s="89"/>
      <c r="H2" s="89"/>
      <c r="P2" s="5">
        <f>((L21-K21)/K21)*100</f>
        <v>-13.757687454624822</v>
      </c>
    </row>
    <row r="3" spans="1:17" ht="15.75">
      <c r="A3" s="90" t="s">
        <v>546</v>
      </c>
      <c r="B3" s="606"/>
      <c r="C3" s="606"/>
      <c r="D3" s="606"/>
      <c r="E3" s="607"/>
      <c r="F3" s="607"/>
      <c r="G3" s="91"/>
      <c r="H3" s="91"/>
      <c r="P3" s="5">
        <f>((L10-K10)/K10)*100</f>
        <v>5.5364658689147994</v>
      </c>
    </row>
    <row r="4" spans="1:17">
      <c r="A4" s="608"/>
      <c r="B4" s="91"/>
      <c r="C4" s="91"/>
      <c r="D4" s="609"/>
      <c r="E4" s="609"/>
      <c r="F4" s="609"/>
      <c r="G4" s="92"/>
      <c r="H4" s="610"/>
      <c r="I4" s="155"/>
      <c r="J4" s="155"/>
      <c r="K4" s="155"/>
      <c r="L4" s="155"/>
      <c r="M4" s="155"/>
      <c r="N4" s="21"/>
      <c r="O4" s="22"/>
    </row>
    <row r="5" spans="1:17">
      <c r="A5" s="611" t="s">
        <v>142</v>
      </c>
      <c r="C5" s="90" t="s">
        <v>140</v>
      </c>
      <c r="D5" s="612" t="s">
        <v>140</v>
      </c>
      <c r="E5" s="612" t="s">
        <v>140</v>
      </c>
      <c r="F5" s="1258" t="s">
        <v>140</v>
      </c>
      <c r="G5" s="91"/>
      <c r="H5" s="1259"/>
      <c r="I5" s="34"/>
      <c r="J5" s="34"/>
      <c r="K5" s="34"/>
      <c r="L5" s="34"/>
      <c r="M5" s="34"/>
      <c r="N5" s="9"/>
      <c r="O5" s="26"/>
    </row>
    <row r="6" spans="1:17" ht="15" customHeight="1">
      <c r="A6" s="608"/>
      <c r="B6" s="93"/>
      <c r="C6" s="614"/>
      <c r="D6" s="615"/>
      <c r="E6" s="617"/>
      <c r="F6" s="1260"/>
      <c r="G6" s="1260"/>
      <c r="H6" s="1260"/>
      <c r="I6" s="1236"/>
      <c r="J6" s="1236"/>
      <c r="K6" s="1236"/>
      <c r="L6" s="4962" t="s">
        <v>609</v>
      </c>
      <c r="M6" s="4966" t="s">
        <v>877</v>
      </c>
      <c r="N6" s="1236"/>
      <c r="O6" s="1236"/>
    </row>
    <row r="7" spans="1:17" ht="15" customHeight="1">
      <c r="A7" s="618" t="s">
        <v>146</v>
      </c>
      <c r="B7" s="619" t="s">
        <v>547</v>
      </c>
      <c r="C7" s="94" t="s">
        <v>549</v>
      </c>
      <c r="D7" s="620" t="s">
        <v>236</v>
      </c>
      <c r="E7" s="1250" t="s">
        <v>550</v>
      </c>
      <c r="F7" s="1261" t="s">
        <v>293</v>
      </c>
      <c r="G7" s="1261" t="s">
        <v>294</v>
      </c>
      <c r="H7" s="1262" t="s">
        <v>551</v>
      </c>
      <c r="I7" s="622" t="s">
        <v>552</v>
      </c>
      <c r="J7" s="623" t="s">
        <v>553</v>
      </c>
      <c r="K7" s="623" t="s">
        <v>452</v>
      </c>
      <c r="L7" s="4963"/>
      <c r="M7" s="4967"/>
      <c r="N7" s="623" t="s">
        <v>1164</v>
      </c>
      <c r="O7" s="623" t="s">
        <v>998</v>
      </c>
      <c r="P7" s="5" t="s">
        <v>805</v>
      </c>
      <c r="Q7" s="5" t="s">
        <v>198</v>
      </c>
    </row>
    <row r="8" spans="1:17" s="17" customFormat="1" ht="15.75">
      <c r="A8" s="624" t="s">
        <v>554</v>
      </c>
      <c r="B8" s="625"/>
      <c r="C8" s="626">
        <v>-607.25</v>
      </c>
      <c r="D8" s="626">
        <v>-621.53</v>
      </c>
      <c r="E8" s="1251">
        <v>596.2343999999996</v>
      </c>
      <c r="F8" s="1263">
        <v>-260.98316666666676</v>
      </c>
      <c r="G8" s="1263">
        <v>10.0063333333336</v>
      </c>
      <c r="H8" s="1263">
        <v>-512.47004331488426</v>
      </c>
      <c r="I8" s="1263">
        <v>-448.13816878574971</v>
      </c>
      <c r="J8" s="1263">
        <v>-72.709886845947608</v>
      </c>
      <c r="K8" s="1263">
        <v>-756.63226919892622</v>
      </c>
      <c r="L8" s="1263">
        <v>512.75908134741803</v>
      </c>
      <c r="M8" s="1354">
        <v>188.38029296320155</v>
      </c>
      <c r="N8" s="1354">
        <v>-5233.4809355200141</v>
      </c>
      <c r="O8" s="1355">
        <v>648.8251200548475</v>
      </c>
      <c r="P8" s="17">
        <v>535.07741068774703</v>
      </c>
      <c r="Q8" s="17">
        <v>529.27179271526791</v>
      </c>
    </row>
    <row r="9" spans="1:17" ht="15.75">
      <c r="A9" s="608"/>
      <c r="B9" s="16"/>
      <c r="C9" s="16"/>
      <c r="D9" s="16"/>
      <c r="E9" s="7"/>
      <c r="F9" s="1264"/>
      <c r="G9" s="1264"/>
      <c r="H9" s="1264"/>
      <c r="I9" s="162"/>
      <c r="J9" s="162"/>
      <c r="K9" s="162"/>
      <c r="L9" s="162"/>
      <c r="M9" s="1356"/>
      <c r="N9" s="1354"/>
      <c r="O9" s="1354"/>
    </row>
    <row r="10" spans="1:17">
      <c r="A10" s="608" t="s">
        <v>555</v>
      </c>
      <c r="B10" s="16">
        <v>1129.57</v>
      </c>
      <c r="C10" s="16">
        <v>204.35</v>
      </c>
      <c r="D10" s="16">
        <v>136.87</v>
      </c>
      <c r="E10" s="7">
        <v>270.18</v>
      </c>
      <c r="F10" s="1264">
        <v>326.79000000000002</v>
      </c>
      <c r="G10" s="1264">
        <v>232.24</v>
      </c>
      <c r="H10" s="1264">
        <v>279</v>
      </c>
      <c r="I10" s="162">
        <v>276.63</v>
      </c>
      <c r="J10" s="162">
        <v>238.88976700000001</v>
      </c>
      <c r="K10" s="162">
        <v>294.28164800000002</v>
      </c>
      <c r="L10" s="162">
        <v>310.57445100000001</v>
      </c>
      <c r="M10" s="1356">
        <v>388.64488899999998</v>
      </c>
      <c r="N10" s="1356">
        <v>795.90648999999996</v>
      </c>
      <c r="O10" s="1356">
        <v>3349.338616</v>
      </c>
      <c r="P10" s="5">
        <v>4422.7539889999998</v>
      </c>
      <c r="Q10" s="5">
        <v>2897.6685849999999</v>
      </c>
    </row>
    <row r="11" spans="1:17">
      <c r="A11" s="611" t="s">
        <v>142</v>
      </c>
      <c r="B11" s="16"/>
      <c r="C11" s="16"/>
      <c r="D11" s="16"/>
      <c r="E11" s="7"/>
      <c r="F11" s="1264"/>
      <c r="G11" s="1264"/>
      <c r="H11" s="1264"/>
      <c r="I11" s="162"/>
      <c r="J11" s="162"/>
      <c r="K11" s="162"/>
      <c r="L11" s="162"/>
      <c r="M11" s="1356"/>
      <c r="N11" s="1356"/>
      <c r="O11" s="1356"/>
    </row>
    <row r="12" spans="1:17">
      <c r="A12" s="608" t="s">
        <v>556</v>
      </c>
      <c r="B12" s="16">
        <v>-1254.92</v>
      </c>
      <c r="C12" s="16">
        <v>-848.3</v>
      </c>
      <c r="D12" s="16">
        <v>-825.09</v>
      </c>
      <c r="E12" s="15">
        <v>-1011.82</v>
      </c>
      <c r="F12" s="1264">
        <v>-1629.04</v>
      </c>
      <c r="G12" s="1264">
        <v>-1541.36</v>
      </c>
      <c r="H12" s="1264">
        <v>-1994.4</v>
      </c>
      <c r="I12" s="162">
        <v>-2009.47</v>
      </c>
      <c r="J12" s="162">
        <v>-1643.6875190000001</v>
      </c>
      <c r="K12" s="162">
        <v>-2001.4249809999999</v>
      </c>
      <c r="L12" s="162">
        <v>-880.28801984119184</v>
      </c>
      <c r="M12" s="1356">
        <v>-1334.0048343697545</v>
      </c>
      <c r="N12" s="1356">
        <v>-8293.6930190840612</v>
      </c>
      <c r="O12" s="1356">
        <v>-5675.395329378116</v>
      </c>
      <c r="P12" s="5">
        <v>-6808.5381665550003</v>
      </c>
      <c r="Q12" s="5">
        <v>-5130.7223490149991</v>
      </c>
    </row>
    <row r="13" spans="1:17">
      <c r="A13" s="611" t="s">
        <v>142</v>
      </c>
      <c r="B13" s="16"/>
      <c r="C13" s="16"/>
      <c r="D13" s="16"/>
      <c r="E13" s="7"/>
      <c r="F13" s="1264"/>
      <c r="G13" s="1264"/>
      <c r="H13" s="1264"/>
      <c r="I13" s="162"/>
      <c r="J13" s="162"/>
      <c r="K13" s="162"/>
      <c r="L13" s="162"/>
      <c r="M13" s="1356"/>
      <c r="N13" s="1356"/>
      <c r="O13" s="1356"/>
    </row>
    <row r="14" spans="1:17" ht="15.75" hidden="1" customHeight="1">
      <c r="A14" s="628" t="s">
        <v>621</v>
      </c>
      <c r="B14" s="629" t="s">
        <v>244</v>
      </c>
      <c r="C14" s="635">
        <v>-378.29</v>
      </c>
      <c r="D14" s="635">
        <v>-361.03</v>
      </c>
      <c r="E14" s="1252">
        <v>-416.47</v>
      </c>
      <c r="F14" s="1265">
        <v>-592.32000000000005</v>
      </c>
      <c r="G14" s="1265">
        <v>-473.74</v>
      </c>
      <c r="H14" s="1265">
        <v>-979.41</v>
      </c>
      <c r="I14" s="162">
        <v>-676.67</v>
      </c>
      <c r="J14" s="162">
        <v>-843.00800000000004</v>
      </c>
      <c r="K14" s="162">
        <v>-1025.66328</v>
      </c>
      <c r="L14" s="1266">
        <v>-1278.8381753890123</v>
      </c>
      <c r="M14" s="1356" t="e">
        <v>#VALUE!</v>
      </c>
      <c r="N14" s="1356" t="e">
        <v>#VALUE!</v>
      </c>
      <c r="O14" s="1356">
        <v>0</v>
      </c>
    </row>
    <row r="15" spans="1:17" ht="15.75" hidden="1" customHeight="1">
      <c r="A15" s="611" t="s">
        <v>142</v>
      </c>
      <c r="B15" s="16"/>
      <c r="C15" s="16"/>
      <c r="D15" s="16"/>
      <c r="E15" s="7"/>
      <c r="F15" s="1264"/>
      <c r="G15" s="1264"/>
      <c r="H15" s="1264"/>
      <c r="I15" s="162"/>
      <c r="J15" s="162"/>
      <c r="K15" s="162"/>
      <c r="L15" s="162"/>
      <c r="M15" s="1356"/>
      <c r="N15" s="1356"/>
      <c r="O15" s="1356"/>
    </row>
    <row r="16" spans="1:17" ht="15.75" hidden="1" customHeight="1">
      <c r="A16" s="628" t="s">
        <v>559</v>
      </c>
      <c r="B16" s="16">
        <v>-1254.92</v>
      </c>
      <c r="C16" s="16">
        <v>-470.01</v>
      </c>
      <c r="D16" s="16">
        <v>-464.06</v>
      </c>
      <c r="E16" s="15">
        <v>-595.35</v>
      </c>
      <c r="F16" s="1264">
        <v>-1036.72</v>
      </c>
      <c r="G16" s="1264">
        <v>-1067.6199999999999</v>
      </c>
      <c r="H16" s="1264">
        <v>-1014.99</v>
      </c>
      <c r="I16" s="630">
        <v>-1332.8</v>
      </c>
      <c r="J16" s="630">
        <v>-800.67951900000003</v>
      </c>
      <c r="K16" s="630">
        <v>-975.7617009999999</v>
      </c>
      <c r="L16" s="1267">
        <v>-440.30074738901232</v>
      </c>
      <c r="M16" s="1356" t="e">
        <v>#VALUE!</v>
      </c>
      <c r="N16" s="1356">
        <v>0</v>
      </c>
      <c r="O16" s="1356">
        <v>0</v>
      </c>
    </row>
    <row r="17" spans="1:17" ht="15.75" hidden="1" customHeight="1">
      <c r="A17" s="611" t="s">
        <v>142</v>
      </c>
      <c r="B17" s="16"/>
      <c r="C17" s="16"/>
      <c r="D17" s="16"/>
      <c r="E17" s="7"/>
      <c r="F17" s="1264"/>
      <c r="G17" s="1264"/>
      <c r="H17" s="1264"/>
      <c r="I17" s="162"/>
      <c r="J17" s="162"/>
      <c r="K17" s="162"/>
      <c r="L17" s="162"/>
      <c r="M17" s="1356"/>
      <c r="N17" s="1356"/>
      <c r="O17" s="1356"/>
    </row>
    <row r="18" spans="1:17">
      <c r="A18" s="608" t="s">
        <v>560</v>
      </c>
      <c r="B18" s="16">
        <v>-125.35</v>
      </c>
      <c r="C18" s="16">
        <v>-643.95000000000005</v>
      </c>
      <c r="D18" s="16">
        <v>-688.22</v>
      </c>
      <c r="E18" s="15">
        <v>-741.64</v>
      </c>
      <c r="F18" s="1264">
        <v>-1302.25</v>
      </c>
      <c r="G18" s="1264">
        <v>-1309.1199999999999</v>
      </c>
      <c r="H18" s="1264">
        <v>-1715.4</v>
      </c>
      <c r="I18" s="630">
        <v>-1732.84</v>
      </c>
      <c r="J18" s="630">
        <v>-1404.7977519999999</v>
      </c>
      <c r="K18" s="630">
        <v>-1707.143333</v>
      </c>
      <c r="L18" s="630">
        <v>-569.71356884119177</v>
      </c>
      <c r="M18" s="1356">
        <v>-945.35994536975454</v>
      </c>
      <c r="N18" s="1356">
        <v>-7497.7865290840609</v>
      </c>
      <c r="O18" s="1356">
        <v>-2326.056713378116</v>
      </c>
      <c r="P18" s="5">
        <v>-2385.7841775550005</v>
      </c>
      <c r="Q18" s="5">
        <v>-2233.0537640149992</v>
      </c>
    </row>
    <row r="19" spans="1:17">
      <c r="A19" s="608"/>
      <c r="B19" s="16"/>
      <c r="C19" s="16"/>
      <c r="D19" s="16"/>
      <c r="E19" s="15"/>
      <c r="F19" s="1264"/>
      <c r="G19" s="1264"/>
      <c r="H19" s="1264"/>
      <c r="I19" s="630"/>
      <c r="J19" s="630"/>
      <c r="K19" s="630"/>
      <c r="L19" s="630"/>
      <c r="M19" s="1356"/>
      <c r="N19" s="1356"/>
      <c r="O19" s="1356"/>
    </row>
    <row r="20" spans="1:17">
      <c r="A20" s="633" t="s">
        <v>1145</v>
      </c>
      <c r="B20" s="16"/>
      <c r="C20" s="6">
        <v>36.700000000000003</v>
      </c>
      <c r="D20" s="6">
        <v>66.689999999999941</v>
      </c>
      <c r="E20" s="7">
        <v>3.4294333333332929</v>
      </c>
      <c r="F20" s="1264">
        <v>42.92349999999999</v>
      </c>
      <c r="G20" s="1264">
        <v>-19.19716666666659</v>
      </c>
      <c r="H20" s="1264">
        <v>170.36866666666663</v>
      </c>
      <c r="I20" s="1264">
        <v>342.60088346211381</v>
      </c>
      <c r="J20" s="1264">
        <v>342.19073661266259</v>
      </c>
      <c r="K20" s="1264">
        <v>307.10640686505451</v>
      </c>
      <c r="L20" s="1264">
        <v>-137.58819591545739</v>
      </c>
      <c r="M20" s="1356">
        <v>273.80294999667785</v>
      </c>
      <c r="N20" s="1356">
        <v>857.58198415939978</v>
      </c>
      <c r="O20" s="1356">
        <v>1081.0988683477756</v>
      </c>
      <c r="P20" s="5">
        <v>1340.6366799722894</v>
      </c>
      <c r="Q20" s="5">
        <v>806.63268136101385</v>
      </c>
    </row>
    <row r="21" spans="1:17">
      <c r="A21" s="633" t="s">
        <v>617</v>
      </c>
      <c r="B21" s="16"/>
      <c r="C21" s="635">
        <v>622.47</v>
      </c>
      <c r="D21" s="635">
        <v>670.52</v>
      </c>
      <c r="E21" s="650">
        <v>277.78409999999997</v>
      </c>
      <c r="F21" s="1265">
        <v>339.81104166666671</v>
      </c>
      <c r="G21" s="1265">
        <v>349.38843333333341</v>
      </c>
      <c r="H21" s="1265">
        <v>506.84678333333335</v>
      </c>
      <c r="I21" s="162">
        <v>746.12467857529771</v>
      </c>
      <c r="J21" s="162">
        <v>1001.0418333553871</v>
      </c>
      <c r="K21" s="162">
        <v>945.87455853861729</v>
      </c>
      <c r="L21" s="162">
        <v>815.74409306206201</v>
      </c>
      <c r="M21" s="1356">
        <v>1074.2165064988703</v>
      </c>
      <c r="N21" s="1356">
        <v>1640.9668328100213</v>
      </c>
      <c r="O21" s="1356">
        <v>1869.9358619347872</v>
      </c>
      <c r="P21" s="5">
        <v>2205.3091392887359</v>
      </c>
      <c r="Q21" s="5">
        <v>1744.6981475366829</v>
      </c>
    </row>
    <row r="22" spans="1:17">
      <c r="A22" s="633" t="s">
        <v>618</v>
      </c>
      <c r="B22" s="16"/>
      <c r="C22" s="635">
        <v>-585.77</v>
      </c>
      <c r="D22" s="635">
        <v>-603.83000000000004</v>
      </c>
      <c r="E22" s="650">
        <v>-274.35466666666667</v>
      </c>
      <c r="F22" s="1265">
        <v>-296.88754166666672</v>
      </c>
      <c r="G22" s="1265">
        <v>-368.5856</v>
      </c>
      <c r="H22" s="1265">
        <v>-336.47811666666672</v>
      </c>
      <c r="I22" s="162">
        <v>-403.52379511318389</v>
      </c>
      <c r="J22" s="162">
        <v>-658.85109674272451</v>
      </c>
      <c r="K22" s="162">
        <v>-638.76815167356278</v>
      </c>
      <c r="L22" s="162">
        <v>-953.3322889775194</v>
      </c>
      <c r="M22" s="1356">
        <v>-800.41355650219248</v>
      </c>
      <c r="N22" s="1356">
        <v>-783.38484865062151</v>
      </c>
      <c r="O22" s="1356">
        <v>-788.83699358701165</v>
      </c>
      <c r="P22" s="5">
        <v>-864.67245931644652</v>
      </c>
      <c r="Q22" s="5">
        <v>-938.06546617566903</v>
      </c>
    </row>
    <row r="23" spans="1:17">
      <c r="A23" s="633"/>
      <c r="B23" s="16">
        <v>228.68</v>
      </c>
      <c r="C23" s="16"/>
      <c r="D23" s="16"/>
      <c r="E23" s="7"/>
      <c r="F23" s="1264"/>
      <c r="G23" s="1264"/>
      <c r="H23" s="1264"/>
      <c r="I23" s="162"/>
      <c r="J23" s="162"/>
      <c r="K23" s="162"/>
      <c r="L23" s="162"/>
      <c r="M23" s="1356"/>
      <c r="N23" s="1356"/>
      <c r="O23" s="1356"/>
    </row>
    <row r="24" spans="1:17">
      <c r="A24" s="633" t="s">
        <v>561</v>
      </c>
      <c r="B24" s="16"/>
      <c r="C24" s="629" t="s">
        <v>244</v>
      </c>
      <c r="D24" s="629" t="s">
        <v>244</v>
      </c>
      <c r="E24" s="650">
        <v>157.75393333333335</v>
      </c>
      <c r="F24" s="1265">
        <v>78.693083333333362</v>
      </c>
      <c r="G24" s="1265">
        <v>360.90673333333331</v>
      </c>
      <c r="H24" s="1265">
        <v>302.40438333333333</v>
      </c>
      <c r="I24" s="1247">
        <v>362.33426434717001</v>
      </c>
      <c r="J24" s="1247">
        <v>499.5269611659599</v>
      </c>
      <c r="K24" s="1247">
        <v>253.31653608300002</v>
      </c>
      <c r="L24" s="1247">
        <v>113.35812245700002</v>
      </c>
      <c r="M24" s="1356">
        <v>66.838702212012507</v>
      </c>
      <c r="N24" s="1356">
        <v>230.59934048060887</v>
      </c>
      <c r="O24" s="1356">
        <v>388.46316396735216</v>
      </c>
      <c r="P24" s="5">
        <v>632.39816514294944</v>
      </c>
      <c r="Q24" s="5">
        <v>536.63073819071121</v>
      </c>
    </row>
    <row r="25" spans="1:17">
      <c r="A25" s="633" t="s">
        <v>617</v>
      </c>
      <c r="B25" s="16"/>
      <c r="C25" s="629" t="s">
        <v>244</v>
      </c>
      <c r="D25" s="629" t="s">
        <v>244</v>
      </c>
      <c r="E25" s="650">
        <v>219.48373333333336</v>
      </c>
      <c r="F25" s="1265">
        <v>139.50137500000002</v>
      </c>
      <c r="G25" s="1265">
        <v>426.1771</v>
      </c>
      <c r="H25" s="1265">
        <v>344.99655000000001</v>
      </c>
      <c r="I25" s="162">
        <v>417.99426434716997</v>
      </c>
      <c r="J25" s="162">
        <v>556.68850806595992</v>
      </c>
      <c r="K25" s="162">
        <v>327.56992404300001</v>
      </c>
      <c r="L25" s="162">
        <v>198.54502164872002</v>
      </c>
      <c r="M25" s="1356">
        <v>186.96960797201251</v>
      </c>
      <c r="N25" s="1356">
        <v>355.73251175568282</v>
      </c>
      <c r="O25" s="1356">
        <v>558.29742223552228</v>
      </c>
      <c r="P25" s="5">
        <v>1047.0242994955188</v>
      </c>
      <c r="Q25" s="5">
        <v>1145.9757470846353</v>
      </c>
    </row>
    <row r="26" spans="1:17">
      <c r="A26" s="633" t="s">
        <v>618</v>
      </c>
      <c r="B26" s="16"/>
      <c r="C26" s="629" t="s">
        <v>244</v>
      </c>
      <c r="D26" s="629" t="s">
        <v>244</v>
      </c>
      <c r="E26" s="650">
        <v>-61.729800000000004</v>
      </c>
      <c r="F26" s="1265">
        <v>-60.808291666666669</v>
      </c>
      <c r="G26" s="1265">
        <v>-65.270366666666675</v>
      </c>
      <c r="H26" s="1265">
        <v>-42.592166666666671</v>
      </c>
      <c r="I26" s="162">
        <v>-55.66</v>
      </c>
      <c r="J26" s="162">
        <v>-57.161546899999998</v>
      </c>
      <c r="K26" s="162">
        <v>-74.253387960000012</v>
      </c>
      <c r="L26" s="162">
        <v>-85.186899191720002</v>
      </c>
      <c r="M26" s="1356">
        <v>-120.13090576</v>
      </c>
      <c r="N26" s="1356">
        <v>-125.13317127507396</v>
      </c>
      <c r="O26" s="1356">
        <v>-169.83425826817012</v>
      </c>
      <c r="P26" s="5">
        <v>-414.62613435256935</v>
      </c>
      <c r="Q26" s="5">
        <v>-609.34500889392405</v>
      </c>
    </row>
    <row r="27" spans="1:17">
      <c r="A27" s="633"/>
      <c r="B27" s="16"/>
      <c r="C27" s="629"/>
      <c r="D27" s="629"/>
      <c r="E27" s="1253"/>
      <c r="F27" s="1268"/>
      <c r="G27" s="1268"/>
      <c r="H27" s="1268"/>
      <c r="I27" s="162"/>
      <c r="J27" s="162"/>
      <c r="K27" s="162"/>
      <c r="L27" s="162"/>
      <c r="M27" s="1356"/>
      <c r="N27" s="1356"/>
      <c r="O27" s="1356"/>
    </row>
    <row r="28" spans="1:17">
      <c r="A28" s="633" t="s">
        <v>562</v>
      </c>
      <c r="B28" s="16">
        <v>-342.16</v>
      </c>
      <c r="C28" s="629" t="s">
        <v>244</v>
      </c>
      <c r="D28" s="629" t="s">
        <v>244</v>
      </c>
      <c r="E28" s="650">
        <v>1176.6910333333331</v>
      </c>
      <c r="F28" s="1265">
        <v>919.65025000000003</v>
      </c>
      <c r="G28" s="1265">
        <v>977.41676666666683</v>
      </c>
      <c r="H28" s="1265">
        <v>730.15690668511581</v>
      </c>
      <c r="I28" s="1265">
        <v>579.76668340496644</v>
      </c>
      <c r="J28" s="1265">
        <v>490.37016737543001</v>
      </c>
      <c r="K28" s="1265">
        <v>390.08812085301929</v>
      </c>
      <c r="L28" s="1265">
        <v>1106.7027236470672</v>
      </c>
      <c r="M28" s="1356">
        <v>793.09858612426569</v>
      </c>
      <c r="N28" s="1356">
        <v>1176.1242689240394</v>
      </c>
      <c r="O28" s="1356">
        <v>1505.3198011178358</v>
      </c>
      <c r="P28" s="5">
        <v>947.82674312750873</v>
      </c>
      <c r="Q28" s="5">
        <v>1419.0621371785419</v>
      </c>
    </row>
    <row r="29" spans="1:17">
      <c r="A29" s="633" t="s">
        <v>617</v>
      </c>
      <c r="B29" s="16"/>
      <c r="C29" s="629" t="s">
        <v>244</v>
      </c>
      <c r="D29" s="629" t="s">
        <v>244</v>
      </c>
      <c r="E29" s="650">
        <v>1883.1542999999997</v>
      </c>
      <c r="F29" s="1265">
        <v>1509.848375</v>
      </c>
      <c r="G29" s="1265">
        <v>1292.2503000000002</v>
      </c>
      <c r="H29" s="1265">
        <v>1130.5232733517826</v>
      </c>
      <c r="I29" s="162">
        <v>1130.5232733517826</v>
      </c>
      <c r="J29" s="162">
        <v>1210.6069103427055</v>
      </c>
      <c r="K29" s="162">
        <v>1317.6211870745365</v>
      </c>
      <c r="L29" s="162">
        <v>2686.815706588025</v>
      </c>
      <c r="M29" s="1356">
        <v>2117.5828521706967</v>
      </c>
      <c r="N29" s="1356">
        <v>2534.0468870185236</v>
      </c>
      <c r="O29" s="1356">
        <v>3126.8618241154254</v>
      </c>
      <c r="P29" s="5">
        <v>2116.8307505584262</v>
      </c>
      <c r="Q29" s="5">
        <v>2756.3740096608922</v>
      </c>
    </row>
    <row r="30" spans="1:17">
      <c r="A30" s="651" t="s">
        <v>1263</v>
      </c>
      <c r="B30" s="16"/>
      <c r="C30" s="629"/>
      <c r="D30" s="629"/>
      <c r="E30" s="650">
        <v>1667.1</v>
      </c>
      <c r="F30" s="1265">
        <v>1284.5</v>
      </c>
      <c r="G30" s="1265">
        <v>820</v>
      </c>
      <c r="H30" s="1265">
        <v>1334.07</v>
      </c>
      <c r="I30" s="162">
        <v>1086</v>
      </c>
      <c r="J30" s="162">
        <v>1159.8</v>
      </c>
      <c r="K30" s="162">
        <v>1268.5999999999999</v>
      </c>
      <c r="L30" s="162">
        <v>2616.8000000000002</v>
      </c>
      <c r="M30" s="1356">
        <v>1977.5</v>
      </c>
      <c r="N30" s="1356">
        <v>2405</v>
      </c>
      <c r="O30" s="1356">
        <v>3007.4920000000002</v>
      </c>
      <c r="P30" s="5">
        <v>1976.6</v>
      </c>
      <c r="Q30" s="5">
        <v>2643.84</v>
      </c>
    </row>
    <row r="31" spans="1:17">
      <c r="A31" s="633" t="s">
        <v>618</v>
      </c>
      <c r="B31" s="16"/>
      <c r="C31" s="629" t="s">
        <v>244</v>
      </c>
      <c r="D31" s="629" t="s">
        <v>244</v>
      </c>
      <c r="E31" s="650">
        <v>-706.46326666666675</v>
      </c>
      <c r="F31" s="1265">
        <v>-590.198125</v>
      </c>
      <c r="G31" s="1265">
        <v>-314.83353333333332</v>
      </c>
      <c r="H31" s="1265">
        <v>-400.36636666666675</v>
      </c>
      <c r="I31" s="162">
        <v>-550.75658994681612</v>
      </c>
      <c r="J31" s="162">
        <v>-720.23674296727552</v>
      </c>
      <c r="K31" s="162">
        <v>-927.53306622151717</v>
      </c>
      <c r="L31" s="162">
        <v>-1580.1129829409579</v>
      </c>
      <c r="M31" s="1356">
        <v>-1324.484266046431</v>
      </c>
      <c r="N31" s="1356">
        <v>-1357.9226180944843</v>
      </c>
      <c r="O31" s="1356">
        <v>-1621.5420229975896</v>
      </c>
      <c r="P31" s="69">
        <v>-1169.0040074309175</v>
      </c>
      <c r="Q31" s="69">
        <v>-1337.3118724823503</v>
      </c>
    </row>
    <row r="32" spans="1:17" ht="15.75">
      <c r="A32" s="611" t="s">
        <v>142</v>
      </c>
      <c r="B32" s="16"/>
      <c r="C32" s="16"/>
      <c r="D32" s="16"/>
      <c r="E32" s="7"/>
      <c r="F32" s="1264"/>
      <c r="G32" s="1264"/>
      <c r="H32" s="1264"/>
      <c r="I32" s="162"/>
      <c r="J32" s="162"/>
      <c r="K32" s="162"/>
      <c r="L32" s="162"/>
      <c r="M32" s="1356"/>
      <c r="N32" s="1354"/>
      <c r="O32" s="1354"/>
    </row>
    <row r="33" spans="1:17" ht="15.75">
      <c r="A33" s="611" t="s">
        <v>142</v>
      </c>
      <c r="B33" s="16"/>
      <c r="C33" s="16"/>
      <c r="D33" s="16"/>
      <c r="E33" s="7"/>
      <c r="F33" s="1264"/>
      <c r="G33" s="1264"/>
      <c r="H33" s="1264"/>
      <c r="I33" s="162"/>
      <c r="J33" s="162"/>
      <c r="K33" s="162"/>
      <c r="L33" s="162"/>
      <c r="M33" s="1356"/>
      <c r="N33" s="1354"/>
      <c r="O33" s="1354"/>
    </row>
    <row r="34" spans="1:17" s="17" customFormat="1" ht="15.75">
      <c r="A34" s="639" t="s">
        <v>563</v>
      </c>
      <c r="B34" s="625"/>
      <c r="C34" s="625">
        <v>860.41</v>
      </c>
      <c r="D34" s="625">
        <v>816.08</v>
      </c>
      <c r="E34" s="1254">
        <v>-30.19</v>
      </c>
      <c r="F34" s="1269">
        <v>136.12</v>
      </c>
      <c r="G34" s="1269">
        <v>261.55</v>
      </c>
      <c r="H34" s="1269">
        <v>183.26</v>
      </c>
      <c r="I34" s="627">
        <v>221.13</v>
      </c>
      <c r="J34" s="627">
        <v>-279.27179999999998</v>
      </c>
      <c r="K34" s="627">
        <v>1084.2429999999999</v>
      </c>
      <c r="L34" s="627">
        <v>1529.41547989116</v>
      </c>
      <c r="M34" s="1354">
        <v>470.96573228286957</v>
      </c>
      <c r="N34" s="1354">
        <v>3033.8336665350148</v>
      </c>
      <c r="O34" s="1354">
        <v>1770.760961011666</v>
      </c>
      <c r="P34" s="17">
        <v>4013.9680209870339</v>
      </c>
      <c r="Q34" s="17">
        <v>2310.2145744300001</v>
      </c>
    </row>
    <row r="35" spans="1:17" ht="15.75">
      <c r="A35" s="639"/>
      <c r="B35" s="16"/>
      <c r="C35" s="16"/>
      <c r="D35" s="16"/>
      <c r="E35" s="7"/>
      <c r="F35" s="1264"/>
      <c r="G35" s="1264"/>
      <c r="H35" s="1264"/>
      <c r="I35" s="162"/>
      <c r="J35" s="162"/>
      <c r="K35" s="162"/>
      <c r="L35" s="162"/>
      <c r="M35" s="1356"/>
      <c r="N35" s="1354"/>
      <c r="O35" s="1354"/>
    </row>
    <row r="36" spans="1:17">
      <c r="A36" s="187" t="s">
        <v>619</v>
      </c>
      <c r="B36" s="16"/>
      <c r="C36" s="629" t="s">
        <v>244</v>
      </c>
      <c r="D36" s="629" t="s">
        <v>244</v>
      </c>
      <c r="E36" s="1253" t="s">
        <v>244</v>
      </c>
      <c r="F36" s="1265">
        <v>0</v>
      </c>
      <c r="G36" s="1265">
        <v>0</v>
      </c>
      <c r="H36" s="1265">
        <v>45.22</v>
      </c>
      <c r="I36" s="169">
        <v>0</v>
      </c>
      <c r="J36" s="169">
        <v>0</v>
      </c>
      <c r="K36" s="169">
        <v>101.24299999999999</v>
      </c>
      <c r="L36" s="169">
        <v>117.9099935</v>
      </c>
      <c r="M36" s="1356">
        <v>156.989284</v>
      </c>
      <c r="N36" s="1356">
        <v>401.47332585708324</v>
      </c>
      <c r="O36" s="1356">
        <v>273.93889088750001</v>
      </c>
      <c r="P36" s="5">
        <v>0</v>
      </c>
      <c r="Q36" s="5">
        <v>0</v>
      </c>
    </row>
    <row r="37" spans="1:17" ht="15.75">
      <c r="A37" s="639"/>
      <c r="B37" s="16"/>
      <c r="C37" s="629"/>
      <c r="D37" s="16"/>
      <c r="E37" s="7"/>
      <c r="F37" s="1265"/>
      <c r="G37" s="1265"/>
      <c r="H37" s="1265"/>
      <c r="I37" s="162"/>
      <c r="J37" s="162"/>
      <c r="K37" s="162"/>
      <c r="L37" s="162"/>
      <c r="M37" s="1356"/>
      <c r="N37" s="1356"/>
      <c r="O37" s="1356"/>
    </row>
    <row r="38" spans="1:17">
      <c r="A38" s="187" t="s">
        <v>1267</v>
      </c>
      <c r="B38" s="16"/>
      <c r="C38" s="629" t="s">
        <v>244</v>
      </c>
      <c r="D38" s="629" t="s">
        <v>244</v>
      </c>
      <c r="E38" s="1253" t="s">
        <v>244</v>
      </c>
      <c r="F38" s="1265">
        <v>0</v>
      </c>
      <c r="G38" s="1265">
        <v>0</v>
      </c>
      <c r="H38" s="1265">
        <v>0</v>
      </c>
      <c r="I38" s="1265">
        <v>0</v>
      </c>
      <c r="J38" s="1265">
        <v>-881.41</v>
      </c>
      <c r="K38" s="1265">
        <v>0</v>
      </c>
      <c r="L38" s="1265">
        <v>0</v>
      </c>
      <c r="M38" s="1356">
        <v>0</v>
      </c>
      <c r="N38" s="1356">
        <v>0</v>
      </c>
      <c r="O38" s="1356">
        <v>0</v>
      </c>
      <c r="P38" s="5">
        <v>3238.1363844574003</v>
      </c>
      <c r="Q38" s="5">
        <v>1198.1441342000001</v>
      </c>
    </row>
    <row r="39" spans="1:17" ht="15.75">
      <c r="A39" s="639"/>
      <c r="B39" s="16"/>
      <c r="C39" s="16"/>
      <c r="D39" s="16"/>
      <c r="E39" s="7"/>
      <c r="F39" s="1264"/>
      <c r="G39" s="1264"/>
      <c r="H39" s="1264"/>
      <c r="I39" s="162"/>
      <c r="J39" s="162"/>
      <c r="K39" s="162"/>
      <c r="L39" s="162"/>
      <c r="M39" s="1356"/>
      <c r="N39" s="1356"/>
      <c r="O39" s="1356"/>
    </row>
    <row r="40" spans="1:17">
      <c r="A40" s="187" t="s">
        <v>1146</v>
      </c>
      <c r="B40" s="16">
        <v>730.43</v>
      </c>
      <c r="C40" s="16">
        <v>931.31</v>
      </c>
      <c r="D40" s="16">
        <v>887.06</v>
      </c>
      <c r="E40" s="7">
        <v>47.31</v>
      </c>
      <c r="F40" s="1264">
        <v>218.7</v>
      </c>
      <c r="G40" s="1264">
        <v>352.1</v>
      </c>
      <c r="H40" s="1264">
        <v>186.19</v>
      </c>
      <c r="I40" s="630">
        <v>221.13</v>
      </c>
      <c r="J40" s="630">
        <v>602.13819999999998</v>
      </c>
      <c r="K40" s="630">
        <v>983</v>
      </c>
      <c r="L40" s="630">
        <v>1411.50548639116</v>
      </c>
      <c r="M40" s="1356">
        <v>1407.5976425450697</v>
      </c>
      <c r="N40" s="1356">
        <v>1086.2277332198983</v>
      </c>
      <c r="O40" s="1356">
        <v>1149.8673591871259</v>
      </c>
      <c r="P40" s="5">
        <v>0</v>
      </c>
      <c r="Q40" s="5">
        <v>0</v>
      </c>
    </row>
    <row r="41" spans="1:17">
      <c r="A41" s="611" t="s">
        <v>142</v>
      </c>
      <c r="B41" s="16"/>
      <c r="C41" s="16"/>
      <c r="D41" s="16"/>
      <c r="E41" s="7"/>
      <c r="F41" s="1264"/>
      <c r="G41" s="1264"/>
      <c r="H41" s="1264"/>
      <c r="I41" s="162"/>
      <c r="J41" s="162"/>
      <c r="K41" s="162"/>
      <c r="L41" s="162"/>
      <c r="M41" s="1356"/>
      <c r="N41" s="1356"/>
      <c r="O41" s="1356"/>
    </row>
    <row r="42" spans="1:17">
      <c r="A42" s="633" t="s">
        <v>564</v>
      </c>
      <c r="B42" s="16">
        <v>-2.14</v>
      </c>
      <c r="C42" s="16">
        <v>-70.900000000000006</v>
      </c>
      <c r="D42" s="16">
        <v>-70.98</v>
      </c>
      <c r="E42" s="7">
        <v>-77.5</v>
      </c>
      <c r="F42" s="1264">
        <v>-82.58</v>
      </c>
      <c r="G42" s="1264">
        <v>-90.55</v>
      </c>
      <c r="H42" s="1264">
        <v>-48.15</v>
      </c>
      <c r="I42" s="169">
        <v>0</v>
      </c>
      <c r="J42" s="169">
        <v>0</v>
      </c>
      <c r="K42" s="169">
        <v>0</v>
      </c>
      <c r="L42" s="169">
        <v>0</v>
      </c>
      <c r="M42" s="1356">
        <v>363.29436516799996</v>
      </c>
      <c r="N42" s="1356">
        <v>89.217048027833329</v>
      </c>
      <c r="O42" s="1356">
        <v>346.95471093704003</v>
      </c>
      <c r="P42" s="5">
        <v>-37.752175989200005</v>
      </c>
      <c r="Q42" s="5">
        <v>579.63241679999999</v>
      </c>
    </row>
    <row r="43" spans="1:17">
      <c r="A43" s="628" t="s">
        <v>142</v>
      </c>
      <c r="B43" s="16"/>
      <c r="C43" s="16"/>
      <c r="D43" s="16"/>
      <c r="E43" s="7"/>
      <c r="F43" s="1264"/>
      <c r="G43" s="1264"/>
      <c r="H43" s="1264"/>
      <c r="I43" s="162"/>
      <c r="J43" s="162"/>
      <c r="K43" s="162"/>
      <c r="L43" s="162"/>
      <c r="M43" s="1356"/>
      <c r="N43" s="1356"/>
      <c r="O43" s="1356"/>
    </row>
    <row r="44" spans="1:17">
      <c r="A44" s="831" t="s">
        <v>88</v>
      </c>
      <c r="B44" s="16"/>
      <c r="C44" s="16"/>
      <c r="D44" s="16"/>
      <c r="E44" s="7"/>
      <c r="F44" s="1264">
        <v>0</v>
      </c>
      <c r="G44" s="1264">
        <v>0</v>
      </c>
      <c r="H44" s="1264">
        <v>0</v>
      </c>
      <c r="I44" s="162">
        <v>0</v>
      </c>
      <c r="J44" s="162">
        <v>0</v>
      </c>
      <c r="K44" s="162">
        <v>0</v>
      </c>
      <c r="L44" s="162">
        <v>0</v>
      </c>
      <c r="M44" s="1356">
        <v>-1456.9155594302001</v>
      </c>
      <c r="N44" s="1356">
        <v>1456.9155594302001</v>
      </c>
      <c r="O44" s="1356">
        <v>0</v>
      </c>
      <c r="P44" s="5">
        <v>0</v>
      </c>
      <c r="Q44" s="5">
        <v>0</v>
      </c>
    </row>
    <row r="45" spans="1:17" ht="15.75">
      <c r="A45" s="628"/>
      <c r="B45" s="16"/>
      <c r="C45" s="16"/>
      <c r="D45" s="16"/>
      <c r="E45" s="7"/>
      <c r="F45" s="1264"/>
      <c r="G45" s="1264"/>
      <c r="H45" s="1264"/>
      <c r="I45" s="162"/>
      <c r="J45" s="162"/>
      <c r="K45" s="162"/>
      <c r="L45" s="162"/>
      <c r="M45" s="1356"/>
      <c r="N45" s="1354"/>
      <c r="O45" s="1354"/>
    </row>
    <row r="46" spans="1:17" s="17" customFormat="1" ht="15.75">
      <c r="A46" s="639" t="s">
        <v>620</v>
      </c>
      <c r="B46" s="625"/>
      <c r="C46" s="625">
        <v>94.105899999999906</v>
      </c>
      <c r="D46" s="625">
        <v>300.47160000000014</v>
      </c>
      <c r="E46" s="1255">
        <v>192.54624999999999</v>
      </c>
      <c r="F46" s="1269">
        <v>428.41407666666674</v>
      </c>
      <c r="G46" s="1269">
        <v>935.80087666666623</v>
      </c>
      <c r="H46" s="1269">
        <v>1152.1529633148843</v>
      </c>
      <c r="I46" s="1269">
        <v>1172.7840799816449</v>
      </c>
      <c r="J46" s="1269">
        <v>142.78809154203586</v>
      </c>
      <c r="K46" s="1269">
        <v>803.08177101416027</v>
      </c>
      <c r="L46" s="1269">
        <v>905.13162161448599</v>
      </c>
      <c r="M46" s="1354">
        <v>-1321.959586972476</v>
      </c>
      <c r="N46" s="1354">
        <v>2065.5953256299272</v>
      </c>
      <c r="O46" s="1354">
        <v>3240.0716177847698</v>
      </c>
      <c r="P46" s="17">
        <v>2863.7330452246906</v>
      </c>
      <c r="Q46" s="17">
        <v>-1092.5781027934886</v>
      </c>
    </row>
    <row r="47" spans="1:17" ht="15.75">
      <c r="A47" s="608"/>
      <c r="B47" s="629" t="s">
        <v>244</v>
      </c>
      <c r="C47" s="16"/>
      <c r="D47" s="16"/>
      <c r="E47" s="7"/>
      <c r="F47" s="1264"/>
      <c r="G47" s="1264"/>
      <c r="H47" s="1264"/>
      <c r="I47" s="162"/>
      <c r="J47" s="162"/>
      <c r="K47" s="162"/>
      <c r="L47" s="162"/>
      <c r="M47" s="1356"/>
      <c r="N47" s="1354"/>
      <c r="O47" s="1354"/>
    </row>
    <row r="48" spans="1:17" ht="16.5" customHeight="1">
      <c r="A48" s="624" t="s">
        <v>1147</v>
      </c>
      <c r="B48" s="16"/>
      <c r="C48" s="640">
        <v>347.26589999999999</v>
      </c>
      <c r="D48" s="640">
        <v>495.02159999999998</v>
      </c>
      <c r="E48" s="1256">
        <v>758.59064999999998</v>
      </c>
      <c r="F48" s="627">
        <v>303.55090999999999</v>
      </c>
      <c r="G48" s="627">
        <v>1207.3572099999999</v>
      </c>
      <c r="H48" s="627">
        <v>822.94291999999996</v>
      </c>
      <c r="I48" s="644">
        <v>945.77591119589533</v>
      </c>
      <c r="J48" s="644">
        <v>-209.19359530391174</v>
      </c>
      <c r="K48" s="644">
        <v>1130.692501815234</v>
      </c>
      <c r="L48" s="644">
        <v>2947.306182853064</v>
      </c>
      <c r="M48" s="1356">
        <v>-662.6135617264049</v>
      </c>
      <c r="N48" s="1354">
        <v>-134.05194335507221</v>
      </c>
      <c r="O48" s="1354">
        <v>5659.6576988512834</v>
      </c>
      <c r="P48" s="17">
        <v>7412.7784768994725</v>
      </c>
      <c r="Q48" s="17">
        <v>1746.9082643517781</v>
      </c>
    </row>
    <row r="49" spans="1:15" ht="15.75">
      <c r="A49" s="618"/>
      <c r="B49" s="96">
        <v>-172.49</v>
      </c>
      <c r="C49" s="96"/>
      <c r="D49" s="96"/>
      <c r="E49" s="1257"/>
      <c r="F49" s="1270"/>
      <c r="G49" s="1270"/>
      <c r="H49" s="1270"/>
      <c r="I49" s="167"/>
      <c r="J49" s="167"/>
      <c r="K49" s="167"/>
      <c r="L49" s="167"/>
      <c r="M49" s="1357"/>
      <c r="N49" s="1358"/>
      <c r="O49" s="1358"/>
    </row>
    <row r="50" spans="1:15" ht="16.5">
      <c r="A50" s="648" t="s">
        <v>1258</v>
      </c>
      <c r="B50" s="97"/>
      <c r="C50" s="97"/>
      <c r="D50" s="91"/>
      <c r="E50" s="91"/>
      <c r="F50" s="91"/>
      <c r="G50" s="91"/>
      <c r="H50" s="91"/>
    </row>
    <row r="51" spans="1:15" ht="16.5">
      <c r="A51" s="649" t="s">
        <v>1259</v>
      </c>
      <c r="B51" s="91"/>
      <c r="C51" s="91"/>
      <c r="D51" s="91"/>
      <c r="E51" s="91"/>
      <c r="F51" s="91"/>
      <c r="G51" s="91"/>
      <c r="H51" s="91"/>
    </row>
    <row r="53" spans="1:15">
      <c r="A53" s="327" t="s">
        <v>565</v>
      </c>
      <c r="I53" s="5">
        <f>[78]NewBOPCOTI!C20/1000000</f>
        <v>546.21759799999995</v>
      </c>
      <c r="J53" s="5">
        <f>[78]NewBOPCOTI!D20/1000000</f>
        <v>752.33214411999995</v>
      </c>
      <c r="K53" s="5">
        <f>[78]NewBOPCOTI!E20/1000000</f>
        <v>707.49102227000003</v>
      </c>
    </row>
    <row r="54" spans="1:15">
      <c r="A54" s="327" t="s">
        <v>566</v>
      </c>
      <c r="I54" s="5">
        <f>[78]NewBOPCOTI!C49/1000000</f>
        <v>-442.00960800000001</v>
      </c>
      <c r="J54" s="5">
        <f>[78]NewBOPCOTI!D49/1000000</f>
        <v>-702.39925713000002</v>
      </c>
      <c r="K54" s="5">
        <f>[78]NewBOPCOTI!E49/1000000</f>
        <v>-772.30759196999986</v>
      </c>
    </row>
    <row r="55" spans="1:15">
      <c r="A55" s="327"/>
    </row>
    <row r="56" spans="1:15">
      <c r="A56" s="327" t="s">
        <v>567</v>
      </c>
      <c r="I56" s="5">
        <f>[78]NewBOPCOTI!C85/1000000</f>
        <v>407.01</v>
      </c>
      <c r="J56" s="5">
        <f>[78]NewBOPCOTI!D85/1000000</f>
        <v>491.19266189000001</v>
      </c>
      <c r="K56" s="5">
        <f>[78]NewBOPCOTI!E85/1000000</f>
        <v>282.70550948000005</v>
      </c>
    </row>
    <row r="57" spans="1:15">
      <c r="A57" s="327" t="s">
        <v>568</v>
      </c>
      <c r="I57" s="5">
        <f>[78]NewBOPCOTI!C95/1000000</f>
        <v>-54.22</v>
      </c>
      <c r="J57" s="5">
        <f>[78]NewBOPCOTI!D95/1000000</f>
        <v>-55.971299999999999</v>
      </c>
      <c r="K57" s="5">
        <f>[78]NewBOPCOTI!E95/1000000</f>
        <v>-73.522135000000006</v>
      </c>
    </row>
    <row r="58" spans="1:15">
      <c r="A58" s="327"/>
    </row>
    <row r="59" spans="1:15">
      <c r="A59" s="327" t="s">
        <v>569</v>
      </c>
      <c r="I59" s="5">
        <f>[78]NewBOPCOTI!C110/1000000</f>
        <v>1508</v>
      </c>
      <c r="J59" s="5">
        <f>[78]NewBOPCOTI!D110/1000000</f>
        <v>1965.3816320399999</v>
      </c>
      <c r="K59" s="5">
        <f>[78]NewBOPCOTI!E110/1000000</f>
        <v>2281.4755435054003</v>
      </c>
    </row>
    <row r="60" spans="1:15">
      <c r="A60" s="327" t="s">
        <v>570</v>
      </c>
      <c r="I60" s="5">
        <f>[78]NewBOPCOTI!C143/1000000</f>
        <v>-533.26125000000002</v>
      </c>
      <c r="J60" s="5">
        <f>[78]NewBOPCOTI!D143/1000000</f>
        <v>-706.30499999999995</v>
      </c>
      <c r="K60" s="5">
        <f>[78]NewBOPCOTI!E143/1000000</f>
        <v>-1074.4770000000001</v>
      </c>
    </row>
    <row r="62" spans="1:15">
      <c r="A62" s="5" t="s">
        <v>1268</v>
      </c>
      <c r="J62" s="5">
        <f>J30/[78]ExRate!U28</f>
        <v>25.003143897067012</v>
      </c>
      <c r="K62" s="5">
        <f>K30/[78]ExRate!V28</f>
        <v>26.31513441752406</v>
      </c>
      <c r="L62" s="5">
        <f>L30/[78]ExRate!W28</f>
        <v>54.595242110607117</v>
      </c>
    </row>
  </sheetData>
  <mergeCells count="2">
    <mergeCell ref="L6:L7"/>
    <mergeCell ref="M6:M7"/>
  </mergeCells>
  <phoneticPr fontId="0" type="noConversion"/>
  <pageMargins left="0.75" right="0.75" top="1" bottom="1" header="0.5" footer="0.5"/>
  <pageSetup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Sheet44" enableFormatConditionsCalculation="0">
    <tabColor indexed="44"/>
  </sheetPr>
  <dimension ref="A1:AE79"/>
  <sheetViews>
    <sheetView topLeftCell="J1" workbookViewId="0">
      <selection activeCell="AD73" sqref="AD73"/>
    </sheetView>
  </sheetViews>
  <sheetFormatPr defaultRowHeight="11.25"/>
  <cols>
    <col min="1" max="1" width="16.140625" style="147" customWidth="1"/>
    <col min="2" max="13" width="6.85546875" style="147" customWidth="1"/>
    <col min="14" max="14" width="12.5703125" style="147" customWidth="1"/>
    <col min="15" max="15" width="6.85546875" style="147" customWidth="1"/>
    <col min="16" max="23" width="6.140625" style="147" customWidth="1"/>
    <col min="24" max="25" width="6.140625" style="147" hidden="1" customWidth="1"/>
    <col min="26" max="27" width="6.140625" style="667" customWidth="1"/>
    <col min="28" max="16384" width="9.140625" style="147"/>
  </cols>
  <sheetData>
    <row r="1" spans="1:27">
      <c r="A1" s="467" t="s">
        <v>969</v>
      </c>
      <c r="B1" s="477" t="s">
        <v>979</v>
      </c>
      <c r="C1" s="478"/>
      <c r="D1" s="478"/>
      <c r="E1" s="478"/>
      <c r="F1" s="478"/>
      <c r="G1" s="479"/>
      <c r="H1" s="474" t="s">
        <v>980</v>
      </c>
      <c r="I1" s="475"/>
      <c r="J1" s="475"/>
      <c r="K1" s="475"/>
      <c r="L1" s="475"/>
      <c r="M1" s="476"/>
    </row>
    <row r="2" spans="1:27">
      <c r="A2" s="468"/>
      <c r="B2" s="471">
        <v>2003</v>
      </c>
      <c r="C2" s="470">
        <v>2004</v>
      </c>
      <c r="D2" s="344"/>
      <c r="E2" s="344"/>
      <c r="F2" s="344"/>
      <c r="G2" s="329"/>
      <c r="H2" s="472">
        <v>2003</v>
      </c>
      <c r="I2" s="470">
        <v>2004</v>
      </c>
      <c r="J2" s="344"/>
      <c r="K2" s="150"/>
      <c r="L2" s="150"/>
      <c r="M2" s="326"/>
    </row>
    <row r="3" spans="1:27" ht="12" thickBot="1">
      <c r="A3" s="469"/>
      <c r="B3" s="184"/>
      <c r="C3" s="319" t="s">
        <v>161</v>
      </c>
      <c r="D3" s="320" t="s">
        <v>162</v>
      </c>
      <c r="E3" s="320" t="s">
        <v>163</v>
      </c>
      <c r="F3" s="320" t="s">
        <v>164</v>
      </c>
      <c r="G3" s="320" t="s">
        <v>165</v>
      </c>
      <c r="H3" s="473"/>
      <c r="I3" s="319" t="s">
        <v>161</v>
      </c>
      <c r="J3" s="320" t="s">
        <v>162</v>
      </c>
      <c r="K3" s="345" t="s">
        <v>163</v>
      </c>
      <c r="L3" s="348" t="s">
        <v>164</v>
      </c>
      <c r="M3" s="350" t="s">
        <v>165</v>
      </c>
      <c r="O3" s="147" t="s">
        <v>988</v>
      </c>
    </row>
    <row r="4" spans="1:27" ht="11.25" customHeight="1">
      <c r="A4" s="148"/>
      <c r="B4" s="314"/>
      <c r="C4" s="321"/>
      <c r="D4" s="174"/>
      <c r="E4" s="174"/>
      <c r="F4" s="174"/>
      <c r="G4" s="174"/>
      <c r="H4" s="317"/>
      <c r="I4" s="321"/>
      <c r="J4" s="174"/>
      <c r="K4" s="145"/>
      <c r="L4" s="151"/>
      <c r="M4" s="346"/>
      <c r="O4" s="1367" t="s">
        <v>969</v>
      </c>
      <c r="P4" s="4971" t="s">
        <v>973</v>
      </c>
      <c r="Q4" s="4972"/>
      <c r="R4" s="4971" t="s">
        <v>974</v>
      </c>
      <c r="S4" s="4972"/>
      <c r="T4" s="4971" t="s">
        <v>970</v>
      </c>
      <c r="U4" s="4972"/>
      <c r="V4" s="4971" t="s">
        <v>971</v>
      </c>
      <c r="W4" s="4972"/>
      <c r="X4" s="4973" t="s">
        <v>985</v>
      </c>
      <c r="Y4" s="4974"/>
      <c r="Z4" s="4975" t="s">
        <v>986</v>
      </c>
      <c r="AA4" s="4976"/>
    </row>
    <row r="5" spans="1:27" ht="12" thickBot="1">
      <c r="A5" s="148" t="s">
        <v>973</v>
      </c>
      <c r="B5" s="330">
        <v>0.65073691899999997</v>
      </c>
      <c r="C5" s="322">
        <v>8.4910360000000004E-2</v>
      </c>
      <c r="D5" s="331">
        <f>0.12343064</f>
        <v>0.12343063999999999</v>
      </c>
      <c r="E5" s="331">
        <v>0.11706046000000001</v>
      </c>
      <c r="F5" s="331">
        <v>7.3378589999999994E-2</v>
      </c>
      <c r="G5" s="331">
        <v>0.14648237</v>
      </c>
      <c r="H5" s="332">
        <v>29.91258844</v>
      </c>
      <c r="I5" s="322">
        <v>3.8591758619999998</v>
      </c>
      <c r="J5" s="331">
        <v>5.5879149049999999</v>
      </c>
      <c r="K5" s="343">
        <v>5.2694531949999996</v>
      </c>
      <c r="L5" s="343">
        <v>3.2235214590000001</v>
      </c>
      <c r="M5" s="353">
        <v>6.6271700320000004</v>
      </c>
      <c r="O5" s="1368" t="s">
        <v>1003</v>
      </c>
      <c r="P5" s="341" t="s">
        <v>757</v>
      </c>
      <c r="Q5" s="342" t="s">
        <v>987</v>
      </c>
      <c r="R5" s="339" t="s">
        <v>757</v>
      </c>
      <c r="S5" s="340" t="s">
        <v>987</v>
      </c>
      <c r="T5" s="341" t="s">
        <v>757</v>
      </c>
      <c r="U5" s="342" t="s">
        <v>987</v>
      </c>
      <c r="V5" s="341" t="s">
        <v>757</v>
      </c>
      <c r="W5" s="342" t="s">
        <v>987</v>
      </c>
      <c r="X5" s="339" t="s">
        <v>757</v>
      </c>
      <c r="Y5" s="342" t="s">
        <v>987</v>
      </c>
      <c r="Z5" s="668" t="s">
        <v>757</v>
      </c>
      <c r="AA5" s="669" t="s">
        <v>987</v>
      </c>
    </row>
    <row r="6" spans="1:27">
      <c r="A6" s="148"/>
      <c r="B6" s="330"/>
      <c r="C6" s="322"/>
      <c r="D6" s="331"/>
      <c r="E6" s="331"/>
      <c r="F6" s="331"/>
      <c r="G6" s="331"/>
      <c r="H6" s="332"/>
      <c r="I6" s="322"/>
      <c r="J6" s="331"/>
      <c r="K6" s="343"/>
      <c r="L6" s="343"/>
      <c r="M6" s="152"/>
      <c r="O6" s="337"/>
      <c r="P6" s="354"/>
      <c r="Q6" s="355"/>
      <c r="R6" s="356"/>
      <c r="S6" s="357"/>
      <c r="T6" s="354"/>
      <c r="U6" s="355"/>
      <c r="V6" s="354"/>
      <c r="W6" s="355"/>
      <c r="X6" s="356"/>
      <c r="Y6" s="355"/>
      <c r="Z6" s="670"/>
      <c r="AA6" s="671"/>
    </row>
    <row r="7" spans="1:27">
      <c r="A7" s="148" t="s">
        <v>974</v>
      </c>
      <c r="B7" s="330">
        <v>1.267038E-2</v>
      </c>
      <c r="C7" s="322" t="s">
        <v>244</v>
      </c>
      <c r="D7" s="331">
        <v>6.4448999999999999E-3</v>
      </c>
      <c r="E7" s="331">
        <v>8.47228E-4</v>
      </c>
      <c r="F7" s="331" t="s">
        <v>244</v>
      </c>
      <c r="G7" s="331" t="s">
        <v>244</v>
      </c>
      <c r="H7" s="332">
        <v>0.58097964499999999</v>
      </c>
      <c r="I7" s="322" t="s">
        <v>244</v>
      </c>
      <c r="J7" s="331">
        <v>0.291771579</v>
      </c>
      <c r="K7" s="343">
        <v>3.8037807999999999E-2</v>
      </c>
      <c r="L7" s="331" t="s">
        <v>244</v>
      </c>
      <c r="M7" s="352" t="s">
        <v>244</v>
      </c>
      <c r="O7" s="664">
        <v>2003</v>
      </c>
      <c r="P7" s="1285">
        <v>0.65073691899999997</v>
      </c>
      <c r="Q7" s="1286">
        <v>29.913293269442001</v>
      </c>
      <c r="R7" s="1287">
        <v>1.2671099999999999E-2</v>
      </c>
      <c r="S7" s="1288">
        <v>0.58101581223000009</v>
      </c>
      <c r="T7" s="1289">
        <v>2.0076656324146745E-3</v>
      </c>
      <c r="U7" s="1286">
        <v>9.1121920058404818E-2</v>
      </c>
      <c r="V7" s="1289">
        <v>5.2347118225006144E-2</v>
      </c>
      <c r="W7" s="1286">
        <v>2.4333368211596862</v>
      </c>
      <c r="X7" s="1287">
        <v>2.1131159739102758E-2</v>
      </c>
      <c r="Y7" s="1286">
        <v>0.96910628899429518</v>
      </c>
      <c r="Z7" s="1290">
        <v>0.71776280285742089</v>
      </c>
      <c r="AA7" s="1291">
        <v>33.018767822890091</v>
      </c>
    </row>
    <row r="8" spans="1:27">
      <c r="A8" s="148"/>
      <c r="B8" s="330"/>
      <c r="C8" s="322"/>
      <c r="D8" s="331"/>
      <c r="E8" s="331"/>
      <c r="F8" s="331"/>
      <c r="G8" s="331"/>
      <c r="H8" s="332"/>
      <c r="I8" s="322"/>
      <c r="J8" s="331"/>
      <c r="K8" s="343"/>
      <c r="L8" s="343"/>
      <c r="M8" s="352"/>
      <c r="O8" s="665">
        <v>2004</v>
      </c>
      <c r="P8" s="1285">
        <v>1.3045789300000004</v>
      </c>
      <c r="Q8" s="1286">
        <v>59.16966197375001</v>
      </c>
      <c r="R8" s="1287">
        <v>1.5099790127000003E-2</v>
      </c>
      <c r="S8" s="1288">
        <v>0.68728796577728601</v>
      </c>
      <c r="T8" s="1289" t="s">
        <v>244</v>
      </c>
      <c r="U8" s="1286" t="s">
        <v>244</v>
      </c>
      <c r="V8" s="1289">
        <v>6.0483395931459523E-2</v>
      </c>
      <c r="W8" s="1286">
        <v>2.7131265421282427</v>
      </c>
      <c r="X8" s="1287">
        <v>1.6205607379924672E-2</v>
      </c>
      <c r="Y8" s="1286">
        <v>0.71605008864482222</v>
      </c>
      <c r="Z8" s="1290">
        <v>1.3802622993205245</v>
      </c>
      <c r="AA8" s="1291">
        <v>62.574854867740399</v>
      </c>
    </row>
    <row r="9" spans="1:27" hidden="1">
      <c r="A9" s="148" t="s">
        <v>970</v>
      </c>
      <c r="B9" s="330">
        <v>2.007666E-3</v>
      </c>
      <c r="C9" s="322" t="s">
        <v>244</v>
      </c>
      <c r="D9" s="331" t="s">
        <v>244</v>
      </c>
      <c r="E9" s="331" t="s">
        <v>244</v>
      </c>
      <c r="F9" s="331" t="s">
        <v>244</v>
      </c>
      <c r="G9" s="331" t="s">
        <v>244</v>
      </c>
      <c r="H9" s="332">
        <v>9.1135973999999995E-2</v>
      </c>
      <c r="I9" s="322" t="s">
        <v>244</v>
      </c>
      <c r="J9" s="331" t="s">
        <v>244</v>
      </c>
      <c r="K9" s="331" t="s">
        <v>244</v>
      </c>
      <c r="L9" s="331" t="s">
        <v>244</v>
      </c>
      <c r="M9" s="352" t="s">
        <v>244</v>
      </c>
      <c r="O9" s="338" t="s">
        <v>161</v>
      </c>
      <c r="P9" s="1292">
        <v>8.4910360000000004E-2</v>
      </c>
      <c r="Q9" s="1293">
        <v>3.8596853241600004</v>
      </c>
      <c r="R9" s="1294" t="s">
        <v>244</v>
      </c>
      <c r="S9" s="1295" t="s">
        <v>244</v>
      </c>
      <c r="T9" s="1296" t="s">
        <v>244</v>
      </c>
      <c r="U9" s="1293" t="s">
        <v>244</v>
      </c>
      <c r="V9" s="1296">
        <v>1.2485811577752554E-3</v>
      </c>
      <c r="W9" s="1293">
        <v>5.6755505107832012E-2</v>
      </c>
      <c r="X9" s="1294">
        <v>1.2485811577752554E-3</v>
      </c>
      <c r="Y9" s="1293">
        <v>5.6755505107832012E-2</v>
      </c>
      <c r="Z9" s="1290">
        <v>8.6158941157775254E-2</v>
      </c>
      <c r="AA9" s="1291">
        <v>3.9164408292678323</v>
      </c>
    </row>
    <row r="10" spans="1:27" hidden="1">
      <c r="A10" s="148"/>
      <c r="B10" s="330"/>
      <c r="C10" s="322"/>
      <c r="D10" s="331"/>
      <c r="E10" s="331"/>
      <c r="F10" s="331"/>
      <c r="G10" s="331"/>
      <c r="H10" s="332"/>
      <c r="I10" s="322"/>
      <c r="J10" s="331"/>
      <c r="K10" s="343"/>
      <c r="L10" s="343"/>
      <c r="M10" s="352"/>
      <c r="O10" s="338" t="s">
        <v>162</v>
      </c>
      <c r="P10" s="1292">
        <v>0.12343063999999999</v>
      </c>
      <c r="Q10" s="1293">
        <v>5.5877050728000004</v>
      </c>
      <c r="R10" s="1294">
        <v>6.4708874999999996E-3</v>
      </c>
      <c r="S10" s="1295">
        <v>0.292937077125</v>
      </c>
      <c r="T10" s="1296" t="s">
        <v>244</v>
      </c>
      <c r="U10" s="1293" t="s">
        <v>244</v>
      </c>
      <c r="V10" s="1296" t="s">
        <v>244</v>
      </c>
      <c r="W10" s="1293" t="s">
        <v>244</v>
      </c>
      <c r="X10" s="1294" t="s">
        <v>244</v>
      </c>
      <c r="Y10" s="1293" t="s">
        <v>244</v>
      </c>
      <c r="Z10" s="1290">
        <v>0.1299015275</v>
      </c>
      <c r="AA10" s="1291">
        <v>5.8806421499250003</v>
      </c>
    </row>
    <row r="11" spans="1:27" hidden="1">
      <c r="A11" s="148" t="s">
        <v>971</v>
      </c>
      <c r="B11" s="330">
        <f>B12+0.028077289+0.003138732</f>
        <v>5.2347181E-2</v>
      </c>
      <c r="C11" s="322">
        <f>C12</f>
        <v>1.248739E-3</v>
      </c>
      <c r="D11" s="331" t="str">
        <f>D12</f>
        <v>-</v>
      </c>
      <c r="E11" s="331">
        <v>6.9193800000000001E-3</v>
      </c>
      <c r="F11" s="331" t="s">
        <v>244</v>
      </c>
      <c r="G11" s="331" t="s">
        <v>244</v>
      </c>
      <c r="H11" s="332">
        <f>H12+1.317573103+0.146635279</f>
        <v>2.4333667050000001</v>
      </c>
      <c r="I11" s="322">
        <f>I12</f>
        <v>5.6755172E-2</v>
      </c>
      <c r="J11" s="331" t="str">
        <f>J12</f>
        <v>-</v>
      </c>
      <c r="K11" s="343">
        <v>0.31147451300000001</v>
      </c>
      <c r="L11" s="331" t="s">
        <v>244</v>
      </c>
      <c r="M11" s="352" t="s">
        <v>244</v>
      </c>
      <c r="O11" s="337" t="s">
        <v>163</v>
      </c>
      <c r="P11" s="1292">
        <v>0.11706046000000001</v>
      </c>
      <c r="Q11" s="1293">
        <v>5.2698277882799998</v>
      </c>
      <c r="R11" s="1294">
        <v>8.5081262699999993E-4</v>
      </c>
      <c r="S11" s="1295">
        <v>3.8301882842285993E-2</v>
      </c>
      <c r="T11" s="1296" t="s">
        <v>244</v>
      </c>
      <c r="U11" s="1293" t="s">
        <v>244</v>
      </c>
      <c r="V11" s="1296">
        <v>6.9187838903597898E-3</v>
      </c>
      <c r="W11" s="1293">
        <v>0.31146981317621697</v>
      </c>
      <c r="X11" s="1294">
        <v>1.2260912211868563E-3</v>
      </c>
      <c r="Y11" s="1293">
        <v>5.5196174595389891E-2</v>
      </c>
      <c r="Z11" s="1290">
        <v>0.12483005651735979</v>
      </c>
      <c r="AA11" s="1291">
        <v>5.6195994842985026</v>
      </c>
    </row>
    <row r="12" spans="1:27" hidden="1">
      <c r="A12" s="148" t="s">
        <v>972</v>
      </c>
      <c r="B12" s="330">
        <v>2.113116E-2</v>
      </c>
      <c r="C12" s="322">
        <v>1.248739E-3</v>
      </c>
      <c r="D12" s="331" t="s">
        <v>244</v>
      </c>
      <c r="E12" s="331">
        <v>1.226242E-3</v>
      </c>
      <c r="F12" s="331" t="s">
        <v>244</v>
      </c>
      <c r="G12" s="331" t="s">
        <v>244</v>
      </c>
      <c r="H12" s="332">
        <v>0.96915832300000004</v>
      </c>
      <c r="I12" s="322">
        <v>5.6755172E-2</v>
      </c>
      <c r="J12" s="331" t="s">
        <v>244</v>
      </c>
      <c r="K12" s="343">
        <v>5.5199019000000002E-2</v>
      </c>
      <c r="L12" s="331" t="s">
        <v>244</v>
      </c>
      <c r="M12" s="352" t="s">
        <v>244</v>
      </c>
      <c r="O12" s="337" t="s">
        <v>164</v>
      </c>
      <c r="P12" s="1292">
        <v>7.3378589999999994E-2</v>
      </c>
      <c r="Q12" s="1293">
        <v>3.2235948372899998</v>
      </c>
      <c r="R12" s="1294" t="s">
        <v>244</v>
      </c>
      <c r="S12" s="1297" t="s">
        <v>244</v>
      </c>
      <c r="T12" s="1296" t="s">
        <v>244</v>
      </c>
      <c r="U12" s="1298" t="s">
        <v>244</v>
      </c>
      <c r="V12" s="1296" t="s">
        <v>244</v>
      </c>
      <c r="W12" s="1298" t="s">
        <v>244</v>
      </c>
      <c r="X12" s="1294" t="s">
        <v>244</v>
      </c>
      <c r="Y12" s="1298" t="s">
        <v>244</v>
      </c>
      <c r="Z12" s="1290">
        <v>7.3378589999999994E-2</v>
      </c>
      <c r="AA12" s="1291">
        <v>3.2235948372899998</v>
      </c>
    </row>
    <row r="13" spans="1:27" ht="12" hidden="1" customHeight="1">
      <c r="A13" s="315"/>
      <c r="B13" s="333"/>
      <c r="C13" s="334"/>
      <c r="D13" s="335"/>
      <c r="E13" s="335"/>
      <c r="F13" s="335"/>
      <c r="G13" s="335"/>
      <c r="H13" s="336"/>
      <c r="I13" s="334"/>
      <c r="J13" s="335"/>
      <c r="K13" s="343"/>
      <c r="L13" s="349"/>
      <c r="M13" s="312"/>
      <c r="O13" s="337" t="s">
        <v>165</v>
      </c>
      <c r="P13" s="1292">
        <v>0.14648237</v>
      </c>
      <c r="Q13" s="1293">
        <v>6.6284737248700001</v>
      </c>
      <c r="R13" s="1294" t="s">
        <v>244</v>
      </c>
      <c r="S13" s="1297" t="s">
        <v>244</v>
      </c>
      <c r="T13" s="1296" t="s">
        <v>244</v>
      </c>
      <c r="U13" s="1298" t="s">
        <v>244</v>
      </c>
      <c r="V13" s="1296" t="s">
        <v>244</v>
      </c>
      <c r="W13" s="1298" t="s">
        <v>244</v>
      </c>
      <c r="X13" s="1294" t="s">
        <v>244</v>
      </c>
      <c r="Y13" s="1298" t="s">
        <v>244</v>
      </c>
      <c r="Z13" s="1290">
        <v>0.14648237</v>
      </c>
      <c r="AA13" s="1291">
        <v>6.6284737248700001</v>
      </c>
    </row>
    <row r="14" spans="1:27" ht="12" hidden="1" customHeight="1">
      <c r="A14" s="149" t="s">
        <v>152</v>
      </c>
      <c r="B14" s="316">
        <f>SUM(B5:B11)</f>
        <v>0.71776214599999999</v>
      </c>
      <c r="C14" s="323">
        <f>SUM(C5:C11)</f>
        <v>8.6159099000000003E-2</v>
      </c>
      <c r="D14" s="324">
        <f>SUM(D5:D11)</f>
        <v>0.12987553999999998</v>
      </c>
      <c r="E14" s="324">
        <f>SUM(E5:E11)</f>
        <v>0.12482706800000001</v>
      </c>
      <c r="F14" s="324">
        <f>SUM(F5:F12)</f>
        <v>7.3378589999999994E-2</v>
      </c>
      <c r="G14" s="324">
        <f>SUM(G5:G12)</f>
        <v>0.14648237</v>
      </c>
      <c r="H14" s="318">
        <f>SUM(H5:H11)</f>
        <v>33.018070764000001</v>
      </c>
      <c r="I14" s="323">
        <f>SUM(I5:I11)</f>
        <v>3.9159310339999998</v>
      </c>
      <c r="J14" s="324">
        <f>SUM(J5:J11)</f>
        <v>5.8796864839999996</v>
      </c>
      <c r="K14" s="324">
        <f>SUM(K5:K11)</f>
        <v>5.6189655160000003</v>
      </c>
      <c r="L14" s="324">
        <f>SUM(L5:L12)</f>
        <v>3.2235214590000001</v>
      </c>
      <c r="M14" s="351">
        <f>SUM(M5:M12)</f>
        <v>6.6271700320000004</v>
      </c>
      <c r="O14" s="337" t="s">
        <v>166</v>
      </c>
      <c r="P14" s="1292">
        <v>0.11056416000000001</v>
      </c>
      <c r="Q14" s="1293">
        <v>5.0314432291200006</v>
      </c>
      <c r="R14" s="1294">
        <v>3.6549999999999999E-4</v>
      </c>
      <c r="S14" s="1297">
        <v>1.6632808499999999E-2</v>
      </c>
      <c r="T14" s="1296" t="s">
        <v>244</v>
      </c>
      <c r="U14" s="1298" t="s">
        <v>244</v>
      </c>
      <c r="V14" s="1296">
        <v>1.1876048238958548E-3</v>
      </c>
      <c r="W14" s="1298">
        <v>5.4044332721028668E-2</v>
      </c>
      <c r="X14" s="1294" t="s">
        <v>244</v>
      </c>
      <c r="Y14" s="1299" t="s">
        <v>244</v>
      </c>
      <c r="Z14" s="1300">
        <v>0.11211726482389586</v>
      </c>
      <c r="AA14" s="1291">
        <v>5.1021203703410292</v>
      </c>
    </row>
    <row r="15" spans="1:27" ht="12" hidden="1" customHeight="1">
      <c r="A15" s="145"/>
      <c r="B15" s="480"/>
      <c r="C15" s="481"/>
      <c r="D15" s="481"/>
      <c r="E15" s="481"/>
      <c r="F15" s="481"/>
      <c r="G15" s="481"/>
      <c r="H15" s="480"/>
      <c r="I15" s="481"/>
      <c r="J15" s="481"/>
      <c r="K15" s="481"/>
      <c r="L15" s="481"/>
      <c r="M15" s="481"/>
      <c r="O15" s="337" t="s">
        <v>167</v>
      </c>
      <c r="P15" s="1296">
        <v>0.10027439</v>
      </c>
      <c r="Q15" s="1293">
        <v>4.6168334643800009</v>
      </c>
      <c r="R15" s="1301" t="s">
        <v>244</v>
      </c>
      <c r="S15" s="1299" t="s">
        <v>244</v>
      </c>
      <c r="T15" s="1296" t="s">
        <v>244</v>
      </c>
      <c r="U15" s="1297" t="s">
        <v>244</v>
      </c>
      <c r="V15" s="1296" t="s">
        <v>244</v>
      </c>
      <c r="W15" s="1299" t="s">
        <v>244</v>
      </c>
      <c r="X15" s="1294" t="s">
        <v>244</v>
      </c>
      <c r="Y15" s="1299" t="s">
        <v>244</v>
      </c>
      <c r="Z15" s="1302">
        <v>0.10027439</v>
      </c>
      <c r="AA15" s="1291">
        <v>4.616993903</v>
      </c>
    </row>
    <row r="16" spans="1:27" ht="12" hidden="1" customHeight="1">
      <c r="A16" s="145"/>
      <c r="B16" s="480"/>
      <c r="C16" s="481"/>
      <c r="D16" s="481"/>
      <c r="E16" s="481"/>
      <c r="F16" s="481"/>
      <c r="G16" s="481"/>
      <c r="H16" s="480"/>
      <c r="I16" s="481"/>
      <c r="J16" s="481"/>
      <c r="K16" s="481"/>
      <c r="L16" s="481"/>
      <c r="M16" s="481"/>
      <c r="O16" s="517" t="s">
        <v>168</v>
      </c>
      <c r="P16" s="1292">
        <v>0.13863470999999999</v>
      </c>
      <c r="Q16" s="1293">
        <v>6.4244710961100004</v>
      </c>
      <c r="R16" s="1292" t="s">
        <v>244</v>
      </c>
      <c r="S16" s="1299" t="s">
        <v>244</v>
      </c>
      <c r="T16" s="1292" t="s">
        <v>244</v>
      </c>
      <c r="U16" s="1299" t="s">
        <v>244</v>
      </c>
      <c r="V16" s="1292">
        <v>1.9683419074000789E-3</v>
      </c>
      <c r="W16" s="1299">
        <v>9.1214932330827073E-2</v>
      </c>
      <c r="X16" s="1301" t="s">
        <v>244</v>
      </c>
      <c r="Y16" s="1299" t="s">
        <v>244</v>
      </c>
      <c r="Z16" s="1303">
        <v>0.14060305190740008</v>
      </c>
      <c r="AA16" s="1291">
        <v>6.5156860284408271</v>
      </c>
    </row>
    <row r="17" spans="1:27" ht="12" hidden="1" customHeight="1">
      <c r="A17" s="145"/>
      <c r="B17" s="480"/>
      <c r="C17" s="481"/>
      <c r="D17" s="481"/>
      <c r="E17" s="481"/>
      <c r="F17" s="481"/>
      <c r="G17" s="481"/>
      <c r="H17" s="480"/>
      <c r="I17" s="481"/>
      <c r="J17" s="481"/>
      <c r="K17" s="481"/>
      <c r="L17" s="481"/>
      <c r="M17" s="481"/>
      <c r="O17" s="337" t="s">
        <v>169</v>
      </c>
      <c r="P17" s="1292">
        <v>8.7371169999999998E-2</v>
      </c>
      <c r="Q17" s="1293">
        <v>4.0273740811499996</v>
      </c>
      <c r="R17" s="1292">
        <v>3.9441600000000004E-3</v>
      </c>
      <c r="S17" s="1299">
        <v>0.18180605520000001</v>
      </c>
      <c r="T17" s="1292" t="s">
        <v>244</v>
      </c>
      <c r="U17" s="1299" t="s">
        <v>244</v>
      </c>
      <c r="V17" s="1292">
        <v>2.0686809666713695E-3</v>
      </c>
      <c r="W17" s="1299">
        <v>9.5355849158716782E-2</v>
      </c>
      <c r="X17" s="1294">
        <v>1.001832620647526E-4</v>
      </c>
      <c r="Y17" s="1299">
        <v>4.6179474648747713E-3</v>
      </c>
      <c r="Z17" s="1303">
        <v>9.348419422873612E-2</v>
      </c>
      <c r="AA17" s="1291">
        <v>4.3091539329735919</v>
      </c>
    </row>
    <row r="18" spans="1:27" ht="12" hidden="1" customHeight="1">
      <c r="A18" s="145"/>
      <c r="B18" s="480"/>
      <c r="C18" s="481"/>
      <c r="D18" s="481"/>
      <c r="E18" s="481"/>
      <c r="F18" s="481"/>
      <c r="G18" s="481"/>
      <c r="H18" s="480"/>
      <c r="I18" s="481"/>
      <c r="J18" s="481"/>
      <c r="K18" s="481"/>
      <c r="L18" s="481"/>
      <c r="M18" s="481"/>
      <c r="O18" s="517" t="s">
        <v>170</v>
      </c>
      <c r="P18" s="1296">
        <v>0.11209788000000001</v>
      </c>
      <c r="Q18" s="1293">
        <v>5.1321772400399999</v>
      </c>
      <c r="R18" s="1301">
        <v>2.33877E-3</v>
      </c>
      <c r="S18" s="1299">
        <v>0.10707590691</v>
      </c>
      <c r="T18" s="1296" t="s">
        <v>244</v>
      </c>
      <c r="U18" s="1297" t="s">
        <v>244</v>
      </c>
      <c r="V18" s="1296">
        <v>1.6079954681557011E-3</v>
      </c>
      <c r="W18" s="1299">
        <v>7.3618856518572473E-2</v>
      </c>
      <c r="X18" s="1294" t="s">
        <v>244</v>
      </c>
      <c r="Y18" s="1299" t="s">
        <v>244</v>
      </c>
      <c r="Z18" s="1302">
        <v>0.11604464546815571</v>
      </c>
      <c r="AA18" s="1291">
        <v>5.3128720034685717</v>
      </c>
    </row>
    <row r="19" spans="1:27" ht="12" hidden="1" customHeight="1">
      <c r="A19" s="145"/>
      <c r="B19" s="480"/>
      <c r="C19" s="481"/>
      <c r="D19" s="481"/>
      <c r="E19" s="481"/>
      <c r="F19" s="481"/>
      <c r="G19" s="481"/>
      <c r="H19" s="480"/>
      <c r="I19" s="481"/>
      <c r="J19" s="481"/>
      <c r="K19" s="481"/>
      <c r="L19" s="481"/>
      <c r="M19" s="481"/>
      <c r="O19" s="517" t="s">
        <v>171</v>
      </c>
      <c r="P19" s="1296">
        <v>0.10115179000000001</v>
      </c>
      <c r="Q19" s="1293">
        <v>4.5644745237499995</v>
      </c>
      <c r="R19" s="1301">
        <v>7.4392000000000002E-4</v>
      </c>
      <c r="S19" s="1299">
        <v>3.3569390000000005E-2</v>
      </c>
      <c r="T19" s="1296" t="s">
        <v>244</v>
      </c>
      <c r="U19" s="1297" t="s">
        <v>244</v>
      </c>
      <c r="V19" s="1296">
        <v>2.6468979661596309E-2</v>
      </c>
      <c r="W19" s="1299">
        <v>1.1944127072295334</v>
      </c>
      <c r="X19" s="1294" t="s">
        <v>244</v>
      </c>
      <c r="Y19" s="1299" t="s">
        <v>244</v>
      </c>
      <c r="Z19" s="1302">
        <v>0.12836468966159631</v>
      </c>
      <c r="AA19" s="1291">
        <v>5.7924566209795332</v>
      </c>
    </row>
    <row r="20" spans="1:27" ht="12" hidden="1" customHeight="1">
      <c r="A20" s="145"/>
      <c r="B20" s="480"/>
      <c r="C20" s="481"/>
      <c r="D20" s="481"/>
      <c r="E20" s="481"/>
      <c r="F20" s="481"/>
      <c r="G20" s="481"/>
      <c r="H20" s="480"/>
      <c r="I20" s="481"/>
      <c r="J20" s="481"/>
      <c r="K20" s="481"/>
      <c r="L20" s="481"/>
      <c r="M20" s="481"/>
      <c r="O20" s="922" t="s">
        <v>148</v>
      </c>
      <c r="P20" s="1304">
        <v>0.10922241000000001</v>
      </c>
      <c r="Q20" s="1305">
        <v>4.8036015917999997</v>
      </c>
      <c r="R20" s="1306">
        <v>3.8574000000000003E-4</v>
      </c>
      <c r="S20" s="1307">
        <v>1.6964845199999998E-2</v>
      </c>
      <c r="T20" s="1304" t="s">
        <v>244</v>
      </c>
      <c r="U20" s="1308" t="s">
        <v>244</v>
      </c>
      <c r="V20" s="1304">
        <v>1.9014428055605166E-2</v>
      </c>
      <c r="W20" s="1307">
        <v>0.83625454588551518</v>
      </c>
      <c r="X20" s="1309">
        <v>1.3630751738897808E-2</v>
      </c>
      <c r="Y20" s="1307">
        <v>0.59948046147672551</v>
      </c>
      <c r="Z20" s="1302">
        <v>0.12862257805560517</v>
      </c>
      <c r="AA20" s="1291">
        <v>5.6568209828855149</v>
      </c>
    </row>
    <row r="21" spans="1:27" ht="12" customHeight="1">
      <c r="A21" s="145"/>
      <c r="B21" s="480"/>
      <c r="C21" s="481"/>
      <c r="D21" s="481"/>
      <c r="E21" s="481"/>
      <c r="F21" s="481"/>
      <c r="G21" s="481"/>
      <c r="H21" s="480"/>
      <c r="I21" s="481"/>
      <c r="J21" s="481"/>
      <c r="K21" s="481"/>
      <c r="L21" s="481"/>
      <c r="M21" s="481"/>
      <c r="O21" s="666">
        <v>2005</v>
      </c>
      <c r="P21" s="1285">
        <f t="shared" ref="P21:AA21" si="0">SUM(P22:P33)</f>
        <v>1.4885352499999998</v>
      </c>
      <c r="Q21" s="1286">
        <f t="shared" si="0"/>
        <v>65.512186782537</v>
      </c>
      <c r="R21" s="1310">
        <f t="shared" si="0"/>
        <v>1.0331292499999999E-2</v>
      </c>
      <c r="S21" s="1311">
        <f t="shared" si="0"/>
        <v>0.46131188120984989</v>
      </c>
      <c r="T21" s="1285" t="s">
        <v>244</v>
      </c>
      <c r="U21" s="1311" t="s">
        <v>244</v>
      </c>
      <c r="V21" s="1285">
        <f t="shared" si="0"/>
        <v>1.7998309290554439E-2</v>
      </c>
      <c r="W21" s="1311">
        <f t="shared" si="0"/>
        <v>0.78630552916037721</v>
      </c>
      <c r="X21" s="1287">
        <f t="shared" si="0"/>
        <v>2.0157817527768104E-3</v>
      </c>
      <c r="Y21" s="1312">
        <f t="shared" si="0"/>
        <v>8.8013863501315168E-2</v>
      </c>
      <c r="Z21" s="1300">
        <f t="shared" si="0"/>
        <v>1.5168648517905545</v>
      </c>
      <c r="AA21" s="1313">
        <f t="shared" si="0"/>
        <v>66.759804192907225</v>
      </c>
    </row>
    <row r="22" spans="1:27" ht="12" hidden="1" customHeight="1">
      <c r="A22" s="145"/>
      <c r="B22" s="480"/>
      <c r="C22" s="481"/>
      <c r="D22" s="481"/>
      <c r="E22" s="481"/>
      <c r="F22" s="481"/>
      <c r="G22" s="481"/>
      <c r="H22" s="480"/>
      <c r="I22" s="481"/>
      <c r="J22" s="481"/>
      <c r="K22" s="481"/>
      <c r="L22" s="481"/>
      <c r="M22" s="481"/>
      <c r="O22" s="1186" t="s">
        <v>161</v>
      </c>
      <c r="P22" s="1314">
        <v>0.15134473999999998</v>
      </c>
      <c r="Q22" s="1305">
        <v>6.6220890987000001</v>
      </c>
      <c r="R22" s="1306" t="s">
        <v>244</v>
      </c>
      <c r="S22" s="1307" t="s">
        <v>244</v>
      </c>
      <c r="T22" s="1314" t="s">
        <v>244</v>
      </c>
      <c r="U22" s="1307" t="s">
        <v>244</v>
      </c>
      <c r="V22" s="1314">
        <v>5.883297077370704E-4</v>
      </c>
      <c r="W22" s="1307">
        <v>2.5742366362035519E-2</v>
      </c>
      <c r="X22" s="1309">
        <v>9.2716459820659858E-5</v>
      </c>
      <c r="Y22" s="1315">
        <v>4.0568086994529724E-3</v>
      </c>
      <c r="Z22" s="1300">
        <v>0.15193306970773704</v>
      </c>
      <c r="AA22" s="1313">
        <v>6.6478314650620352</v>
      </c>
    </row>
    <row r="23" spans="1:27" ht="12" hidden="1" customHeight="1">
      <c r="A23" s="145"/>
      <c r="B23" s="480"/>
      <c r="C23" s="481"/>
      <c r="D23" s="481"/>
      <c r="E23" s="481"/>
      <c r="F23" s="481"/>
      <c r="G23" s="481"/>
      <c r="H23" s="480"/>
      <c r="I23" s="481"/>
      <c r="J23" s="481"/>
      <c r="K23" s="481"/>
      <c r="L23" s="481"/>
      <c r="M23" s="481"/>
      <c r="O23" s="1187" t="s">
        <v>162</v>
      </c>
      <c r="P23" s="1292">
        <v>0.16168933999999999</v>
      </c>
      <c r="Q23" s="1293">
        <v>7.0625903711999998</v>
      </c>
      <c r="R23" s="1301" t="s">
        <v>244</v>
      </c>
      <c r="S23" s="1299">
        <v>0</v>
      </c>
      <c r="T23" s="1292" t="s">
        <v>244</v>
      </c>
      <c r="U23" s="1299" t="s">
        <v>244</v>
      </c>
      <c r="V23" s="1292">
        <v>3.5281569815574856E-3</v>
      </c>
      <c r="W23" s="1299">
        <v>0.15410989695443095</v>
      </c>
      <c r="X23" s="1294" t="s">
        <v>244</v>
      </c>
      <c r="Y23" s="1298" t="s">
        <v>244</v>
      </c>
      <c r="Z23" s="1300">
        <v>0.16521749698155747</v>
      </c>
      <c r="AA23" s="1313">
        <v>7.2167002681544306</v>
      </c>
    </row>
    <row r="24" spans="1:27" ht="12" hidden="1" customHeight="1">
      <c r="A24" s="145"/>
      <c r="B24" s="480"/>
      <c r="C24" s="481"/>
      <c r="D24" s="481"/>
      <c r="E24" s="481"/>
      <c r="F24" s="481"/>
      <c r="G24" s="481"/>
      <c r="H24" s="480"/>
      <c r="I24" s="481"/>
      <c r="J24" s="481"/>
      <c r="K24" s="481"/>
      <c r="L24" s="481"/>
      <c r="M24" s="481"/>
      <c r="O24" s="1187" t="s">
        <v>163</v>
      </c>
      <c r="P24" s="1292">
        <v>0.10525383000000001</v>
      </c>
      <c r="Q24" s="1293">
        <v>4.5986450865300004</v>
      </c>
      <c r="R24" s="1301">
        <v>1.9056999999999999E-4</v>
      </c>
      <c r="S24" s="1299">
        <v>8.3261938700000017E-3</v>
      </c>
      <c r="T24" s="1292" t="s">
        <v>244</v>
      </c>
      <c r="U24" s="1299" t="s">
        <v>244</v>
      </c>
      <c r="V24" s="1292">
        <v>1.3128348466578059E-2</v>
      </c>
      <c r="W24" s="1299">
        <v>0.57359067285326204</v>
      </c>
      <c r="X24" s="1294">
        <v>1.2925008572709767E-3</v>
      </c>
      <c r="Y24" s="1298">
        <v>5.6470654955026241E-2</v>
      </c>
      <c r="Z24" s="1300">
        <v>0.11857274846657806</v>
      </c>
      <c r="AA24" s="1313">
        <v>5.180561953253263</v>
      </c>
    </row>
    <row r="25" spans="1:27" ht="12" hidden="1" customHeight="1">
      <c r="A25" s="145"/>
      <c r="B25" s="480"/>
      <c r="C25" s="481"/>
      <c r="D25" s="481"/>
      <c r="E25" s="481"/>
      <c r="F25" s="481"/>
      <c r="G25" s="481"/>
      <c r="H25" s="480"/>
      <c r="I25" s="481"/>
      <c r="J25" s="481"/>
      <c r="K25" s="481"/>
      <c r="L25" s="481"/>
      <c r="M25" s="481"/>
      <c r="O25" s="1188" t="s">
        <v>164</v>
      </c>
      <c r="P25" s="1314">
        <v>0.106962</v>
      </c>
      <c r="Q25" s="1305">
        <v>4.6786248420000005</v>
      </c>
      <c r="R25" s="1306" t="s">
        <v>244</v>
      </c>
      <c r="S25" s="1307">
        <v>0</v>
      </c>
      <c r="T25" s="1314" t="s">
        <v>244</v>
      </c>
      <c r="U25" s="1307" t="s">
        <v>244</v>
      </c>
      <c r="V25" s="1314">
        <v>2.5228417341285317E-4</v>
      </c>
      <c r="W25" s="1307">
        <v>1.1035162029251613E-2</v>
      </c>
      <c r="X25" s="1309">
        <v>1.2937447441619768E-4</v>
      </c>
      <c r="Y25" s="1315">
        <v>5.6589688854389022E-3</v>
      </c>
      <c r="Z25" s="1300">
        <v>0.10721428417341286</v>
      </c>
      <c r="AA25" s="1313">
        <v>4.6896600040292524</v>
      </c>
    </row>
    <row r="26" spans="1:27" ht="12" hidden="1" customHeight="1">
      <c r="A26" s="145"/>
      <c r="B26" s="480"/>
      <c r="C26" s="481"/>
      <c r="D26" s="481"/>
      <c r="E26" s="481"/>
      <c r="F26" s="481"/>
      <c r="G26" s="481"/>
      <c r="H26" s="480"/>
      <c r="I26" s="481"/>
      <c r="J26" s="481"/>
      <c r="K26" s="481"/>
      <c r="L26" s="481"/>
      <c r="M26" s="481"/>
      <c r="O26" s="1188" t="s">
        <v>165</v>
      </c>
      <c r="P26" s="1314">
        <v>7.9592609999999994E-2</v>
      </c>
      <c r="Q26" s="1305">
        <v>3.4614030162899998</v>
      </c>
      <c r="R26" s="1306" t="s">
        <v>244</v>
      </c>
      <c r="S26" s="1307">
        <v>0</v>
      </c>
      <c r="T26" s="1314" t="s">
        <v>244</v>
      </c>
      <c r="U26" s="1307" t="s">
        <v>244</v>
      </c>
      <c r="V26" s="1314" t="s">
        <v>244</v>
      </c>
      <c r="W26" s="1307" t="s">
        <v>244</v>
      </c>
      <c r="X26" s="1309" t="s">
        <v>244</v>
      </c>
      <c r="Y26" s="1315" t="s">
        <v>244</v>
      </c>
      <c r="Z26" s="1300">
        <v>7.9592609999999994E-2</v>
      </c>
      <c r="AA26" s="1313">
        <v>3.4614030162899998</v>
      </c>
    </row>
    <row r="27" spans="1:27" ht="12" hidden="1" customHeight="1">
      <c r="A27" s="145"/>
      <c r="B27" s="480"/>
      <c r="C27" s="481"/>
      <c r="D27" s="481"/>
      <c r="E27" s="481"/>
      <c r="F27" s="481"/>
      <c r="G27" s="481"/>
      <c r="H27" s="480"/>
      <c r="I27" s="481"/>
      <c r="J27" s="481"/>
      <c r="K27" s="481"/>
      <c r="L27" s="481"/>
      <c r="M27" s="481"/>
      <c r="O27" s="1187" t="s">
        <v>166</v>
      </c>
      <c r="P27" s="1292">
        <v>0.22446776999999998</v>
      </c>
      <c r="Q27" s="1293">
        <v>9.7832032876799992</v>
      </c>
      <c r="R27" s="1301">
        <v>2.3644400000000002E-4</v>
      </c>
      <c r="S27" s="1299">
        <v>1.0305175296000002E-2</v>
      </c>
      <c r="T27" s="1292" t="s">
        <v>244</v>
      </c>
      <c r="U27" s="1299" t="s">
        <v>244</v>
      </c>
      <c r="V27" s="1292">
        <v>1.5813546126897625E-4</v>
      </c>
      <c r="W27" s="1299">
        <v>6.8921759439470615E-3</v>
      </c>
      <c r="X27" s="1316">
        <v>1.5813546126897625E-4</v>
      </c>
      <c r="Y27" s="1317">
        <v>6.8921759439470615E-3</v>
      </c>
      <c r="Z27" s="1300">
        <v>0.22486234946126896</v>
      </c>
      <c r="AA27" s="1313">
        <v>9.8004006389199461</v>
      </c>
    </row>
    <row r="28" spans="1:27" ht="12" hidden="1" customHeight="1">
      <c r="A28" s="145"/>
      <c r="B28" s="480"/>
      <c r="C28" s="481"/>
      <c r="D28" s="481"/>
      <c r="E28" s="481"/>
      <c r="F28" s="481"/>
      <c r="G28" s="481"/>
      <c r="H28" s="480"/>
      <c r="I28" s="481"/>
      <c r="J28" s="481"/>
      <c r="K28" s="481"/>
      <c r="L28" s="481"/>
      <c r="M28" s="481"/>
      <c r="O28" s="1188" t="s">
        <v>167</v>
      </c>
      <c r="P28" s="1314">
        <v>7.4197100000000002E-2</v>
      </c>
      <c r="Q28" s="1305">
        <v>3.2302523653099997</v>
      </c>
      <c r="R28" s="1306">
        <v>4.4910584999999998E-3</v>
      </c>
      <c r="S28" s="1307">
        <v>0.19552317196184998</v>
      </c>
      <c r="T28" s="1314" t="s">
        <v>244</v>
      </c>
      <c r="U28" s="1307" t="s">
        <v>244</v>
      </c>
      <c r="V28" s="1314">
        <v>3.4305450000000003E-4</v>
      </c>
      <c r="W28" s="1307">
        <v>1.4935255017449999E-2</v>
      </c>
      <c r="X28" s="1294">
        <v>3.4305450000000003E-4</v>
      </c>
      <c r="Y28" s="1298">
        <v>1.4935255017449999E-2</v>
      </c>
      <c r="Z28" s="1300">
        <v>7.9031213000000003E-2</v>
      </c>
      <c r="AA28" s="1313">
        <v>3.4407107922893001</v>
      </c>
    </row>
    <row r="29" spans="1:27" ht="12" hidden="1" customHeight="1">
      <c r="A29" s="145"/>
      <c r="B29" s="480"/>
      <c r="C29" s="481"/>
      <c r="D29" s="481"/>
      <c r="E29" s="481"/>
      <c r="F29" s="481"/>
      <c r="G29" s="481"/>
      <c r="H29" s="480"/>
      <c r="I29" s="481"/>
      <c r="J29" s="481"/>
      <c r="K29" s="481"/>
      <c r="L29" s="481"/>
      <c r="M29" s="481"/>
      <c r="O29" s="1187" t="s">
        <v>168</v>
      </c>
      <c r="P29" s="1292">
        <v>0.18503835000000002</v>
      </c>
      <c r="Q29" s="1293">
        <v>8.0722054995749986</v>
      </c>
      <c r="R29" s="1301" t="s">
        <v>244</v>
      </c>
      <c r="S29" s="1299" t="s">
        <v>244</v>
      </c>
      <c r="T29" s="1292" t="s">
        <v>244</v>
      </c>
      <c r="U29" s="1299" t="s">
        <v>244</v>
      </c>
      <c r="V29" s="1292" t="s">
        <v>244</v>
      </c>
      <c r="W29" s="1299" t="s">
        <v>244</v>
      </c>
      <c r="X29" s="1294" t="s">
        <v>244</v>
      </c>
      <c r="Y29" s="1298" t="s">
        <v>244</v>
      </c>
      <c r="Z29" s="1300">
        <v>0.18503835000000002</v>
      </c>
      <c r="AA29" s="1313">
        <v>8.0722054995749986</v>
      </c>
    </row>
    <row r="30" spans="1:27" ht="12" hidden="1" customHeight="1">
      <c r="A30" s="145"/>
      <c r="B30" s="480"/>
      <c r="C30" s="481"/>
      <c r="D30" s="481"/>
      <c r="E30" s="481"/>
      <c r="F30" s="481"/>
      <c r="G30" s="481"/>
      <c r="H30" s="480"/>
      <c r="I30" s="481"/>
      <c r="J30" s="481"/>
      <c r="K30" s="481"/>
      <c r="L30" s="481"/>
      <c r="M30" s="481"/>
      <c r="O30" s="1188" t="s">
        <v>169</v>
      </c>
      <c r="P30" s="1314">
        <v>0.13504564999999999</v>
      </c>
      <c r="Q30" s="1305">
        <v>5.9305297197499991</v>
      </c>
      <c r="R30" s="1306" t="s">
        <v>244</v>
      </c>
      <c r="S30" s="1307" t="s">
        <v>244</v>
      </c>
      <c r="T30" s="1314" t="s">
        <v>244</v>
      </c>
      <c r="U30" s="1307" t="s">
        <v>244</v>
      </c>
      <c r="V30" s="1314" t="s">
        <v>244</v>
      </c>
      <c r="W30" s="1307" t="s">
        <v>244</v>
      </c>
      <c r="X30" s="1294" t="s">
        <v>244</v>
      </c>
      <c r="Y30" s="1298" t="s">
        <v>244</v>
      </c>
      <c r="Z30" s="1300">
        <v>0.13504564999999999</v>
      </c>
      <c r="AA30" s="1313">
        <v>5.9305297197499991</v>
      </c>
    </row>
    <row r="31" spans="1:27" ht="12" hidden="1" customHeight="1">
      <c r="A31" s="145"/>
      <c r="B31" s="480"/>
      <c r="C31" s="481"/>
      <c r="D31" s="481"/>
      <c r="E31" s="481"/>
      <c r="F31" s="481"/>
      <c r="G31" s="481"/>
      <c r="H31" s="480"/>
      <c r="I31" s="481"/>
      <c r="J31" s="481"/>
      <c r="K31" s="481"/>
      <c r="L31" s="481"/>
      <c r="M31" s="481"/>
      <c r="O31" s="1187" t="s">
        <v>170</v>
      </c>
      <c r="P31" s="1292">
        <v>4.1475190000000002E-2</v>
      </c>
      <c r="Q31" s="1293">
        <v>1.8590217037749999</v>
      </c>
      <c r="R31" s="1301" t="s">
        <v>244</v>
      </c>
      <c r="S31" s="1299" t="s">
        <v>244</v>
      </c>
      <c r="T31" s="1292" t="s">
        <v>244</v>
      </c>
      <c r="U31" s="1299" t="s">
        <v>244</v>
      </c>
      <c r="V31" s="1292" t="s">
        <v>244</v>
      </c>
      <c r="W31" s="1299" t="s">
        <v>244</v>
      </c>
      <c r="X31" s="1294" t="s">
        <v>244</v>
      </c>
      <c r="Y31" s="1298" t="s">
        <v>244</v>
      </c>
      <c r="Z31" s="1300">
        <v>4.1475190000000002E-2</v>
      </c>
      <c r="AA31" s="1313">
        <v>1.8590217037749999</v>
      </c>
    </row>
    <row r="32" spans="1:27" ht="12" hidden="1" customHeight="1">
      <c r="A32" s="145"/>
      <c r="B32" s="480"/>
      <c r="C32" s="481"/>
      <c r="D32" s="481"/>
      <c r="E32" s="481"/>
      <c r="F32" s="481"/>
      <c r="G32" s="481"/>
      <c r="H32" s="480"/>
      <c r="I32" s="481"/>
      <c r="J32" s="481"/>
      <c r="K32" s="481"/>
      <c r="L32" s="481"/>
      <c r="M32" s="481"/>
      <c r="O32" s="1188" t="s">
        <v>171</v>
      </c>
      <c r="P32" s="1314">
        <v>0.15302499999999999</v>
      </c>
      <c r="Q32" s="1305">
        <v>6.9972976624999994</v>
      </c>
      <c r="R32" s="1306" t="s">
        <v>244</v>
      </c>
      <c r="S32" s="1307" t="s">
        <v>244</v>
      </c>
      <c r="T32" s="1314" t="s">
        <v>244</v>
      </c>
      <c r="U32" s="1307" t="s">
        <v>244</v>
      </c>
      <c r="V32" s="1314" t="s">
        <v>244</v>
      </c>
      <c r="W32" s="1307" t="s">
        <v>244</v>
      </c>
      <c r="X32" s="1294" t="s">
        <v>244</v>
      </c>
      <c r="Y32" s="1298" t="s">
        <v>244</v>
      </c>
      <c r="Z32" s="1300">
        <v>0.15302499999999999</v>
      </c>
      <c r="AA32" s="1313">
        <v>6.9972976624999994</v>
      </c>
    </row>
    <row r="33" spans="1:29" ht="12" hidden="1" customHeight="1">
      <c r="A33" s="145"/>
      <c r="B33" s="480"/>
      <c r="C33" s="481"/>
      <c r="D33" s="481"/>
      <c r="E33" s="481"/>
      <c r="F33" s="481"/>
      <c r="G33" s="481"/>
      <c r="H33" s="480"/>
      <c r="I33" s="481"/>
      <c r="J33" s="481"/>
      <c r="K33" s="481"/>
      <c r="L33" s="481"/>
      <c r="M33" s="481"/>
      <c r="O33" s="1188" t="s">
        <v>148</v>
      </c>
      <c r="P33" s="1314">
        <v>7.044367E-2</v>
      </c>
      <c r="Q33" s="1305">
        <v>3.216324129227</v>
      </c>
      <c r="R33" s="1306">
        <v>5.413219999999999E-3</v>
      </c>
      <c r="S33" s="1307">
        <v>0.24715734008199994</v>
      </c>
      <c r="T33" s="1314" t="s">
        <v>244</v>
      </c>
      <c r="U33" s="1307" t="s">
        <v>244</v>
      </c>
      <c r="V33" s="1314" t="s">
        <v>244</v>
      </c>
      <c r="W33" s="1307" t="s">
        <v>244</v>
      </c>
      <c r="X33" s="1309" t="s">
        <v>244</v>
      </c>
      <c r="Y33" s="1315" t="s">
        <v>244</v>
      </c>
      <c r="Z33" s="1300">
        <v>7.5856889999999996E-2</v>
      </c>
      <c r="AA33" s="1313">
        <v>3.4634814693089999</v>
      </c>
    </row>
    <row r="34" spans="1:29" ht="12" customHeight="1">
      <c r="A34" s="145"/>
      <c r="B34" s="480"/>
      <c r="C34" s="481"/>
      <c r="D34" s="481"/>
      <c r="E34" s="481"/>
      <c r="F34" s="481"/>
      <c r="G34" s="481"/>
      <c r="H34" s="480"/>
      <c r="I34" s="481"/>
      <c r="J34" s="481"/>
      <c r="K34" s="481"/>
      <c r="L34" s="481"/>
      <c r="M34" s="481"/>
      <c r="O34" s="923">
        <v>2006</v>
      </c>
      <c r="P34" s="1285">
        <f>SUM(P35:P46)</f>
        <v>1.43499961</v>
      </c>
      <c r="Q34" s="1286">
        <f t="shared" ref="Q34:AA34" si="1">SUM(Q35:Q46)</f>
        <v>65.036455968287598</v>
      </c>
      <c r="R34" s="1310">
        <f t="shared" si="1"/>
        <v>1.3924243500000001E-2</v>
      </c>
      <c r="S34" s="1311">
        <f t="shared" si="1"/>
        <v>0.62799651031085002</v>
      </c>
      <c r="T34" s="1285">
        <f t="shared" si="1"/>
        <v>0</v>
      </c>
      <c r="U34" s="1311">
        <f t="shared" si="1"/>
        <v>0</v>
      </c>
      <c r="V34" s="1285">
        <f t="shared" si="1"/>
        <v>3.2819166393173618E-3</v>
      </c>
      <c r="W34" s="1311">
        <f t="shared" si="1"/>
        <v>0.1490288480472596</v>
      </c>
      <c r="X34" s="1287">
        <f t="shared" si="1"/>
        <v>0</v>
      </c>
      <c r="Y34" s="1312">
        <f t="shared" si="1"/>
        <v>0</v>
      </c>
      <c r="Z34" s="1300">
        <f t="shared" si="1"/>
        <v>1.4522053701393174</v>
      </c>
      <c r="AA34" s="1313">
        <f t="shared" si="1"/>
        <v>65.750357202981704</v>
      </c>
    </row>
    <row r="35" spans="1:29" ht="12" hidden="1" customHeight="1">
      <c r="A35" s="145"/>
      <c r="B35" s="480"/>
      <c r="C35" s="481"/>
      <c r="D35" s="481"/>
      <c r="E35" s="481"/>
      <c r="F35" s="481"/>
      <c r="G35" s="481"/>
      <c r="H35" s="480"/>
      <c r="I35" s="481"/>
      <c r="J35" s="481"/>
      <c r="K35" s="481"/>
      <c r="L35" s="481"/>
      <c r="M35" s="481"/>
      <c r="O35" s="1188" t="s">
        <v>161</v>
      </c>
      <c r="P35" s="1314">
        <v>5.043868E-2</v>
      </c>
      <c r="Q35" s="1305">
        <v>2.2393260759600002</v>
      </c>
      <c r="R35" s="1306" t="s">
        <v>244</v>
      </c>
      <c r="S35" s="1307" t="s">
        <v>244</v>
      </c>
      <c r="T35" s="1314" t="s">
        <v>244</v>
      </c>
      <c r="U35" s="1307" t="s">
        <v>244</v>
      </c>
      <c r="V35" s="1314" t="s">
        <v>244</v>
      </c>
      <c r="W35" s="1307" t="s">
        <v>244</v>
      </c>
      <c r="X35" s="1309" t="s">
        <v>244</v>
      </c>
      <c r="Y35" s="1315" t="s">
        <v>244</v>
      </c>
      <c r="Z35" s="1300">
        <v>5.043868E-2</v>
      </c>
      <c r="AA35" s="1313">
        <v>2.2393260759600002</v>
      </c>
    </row>
    <row r="36" spans="1:29" ht="12" hidden="1" customHeight="1">
      <c r="A36" s="145"/>
      <c r="B36" s="480"/>
      <c r="C36" s="481"/>
      <c r="D36" s="481"/>
      <c r="E36" s="481"/>
      <c r="F36" s="481"/>
      <c r="G36" s="481"/>
      <c r="H36" s="480"/>
      <c r="I36" s="481"/>
      <c r="J36" s="481"/>
      <c r="K36" s="481"/>
      <c r="L36" s="481"/>
      <c r="M36" s="481"/>
      <c r="O36" s="1187" t="s">
        <v>162</v>
      </c>
      <c r="P36" s="1292">
        <v>0.13652995000000001</v>
      </c>
      <c r="Q36" s="1293">
        <v>6.0522225005550006</v>
      </c>
      <c r="R36" s="1301" t="s">
        <v>244</v>
      </c>
      <c r="S36" s="1299" t="s">
        <v>244</v>
      </c>
      <c r="T36" s="1292" t="s">
        <v>244</v>
      </c>
      <c r="U36" s="1299" t="s">
        <v>244</v>
      </c>
      <c r="V36" s="1292" t="s">
        <v>244</v>
      </c>
      <c r="W36" s="1299" t="s">
        <v>244</v>
      </c>
      <c r="X36" s="1294" t="s">
        <v>244</v>
      </c>
      <c r="Y36" s="1298" t="s">
        <v>244</v>
      </c>
      <c r="Z36" s="1300">
        <v>0.13652995000000001</v>
      </c>
      <c r="AA36" s="1313">
        <v>6.0522225005550006</v>
      </c>
    </row>
    <row r="37" spans="1:29" ht="12" hidden="1" customHeight="1">
      <c r="A37" s="145"/>
      <c r="B37" s="480"/>
      <c r="C37" s="481"/>
      <c r="D37" s="481"/>
      <c r="E37" s="481"/>
      <c r="F37" s="481"/>
      <c r="G37" s="481"/>
      <c r="H37" s="480"/>
      <c r="I37" s="481"/>
      <c r="J37" s="481"/>
      <c r="K37" s="481"/>
      <c r="L37" s="481"/>
      <c r="M37" s="481"/>
      <c r="O37" s="1187" t="s">
        <v>163</v>
      </c>
      <c r="P37" s="1292">
        <v>0.12535014</v>
      </c>
      <c r="Q37" s="1293">
        <v>5.57569957734</v>
      </c>
      <c r="R37" s="1301">
        <v>1.6214549999999999E-3</v>
      </c>
      <c r="S37" s="1299">
        <v>7.2123939854999999E-2</v>
      </c>
      <c r="T37" s="1292" t="s">
        <v>244</v>
      </c>
      <c r="U37" s="1299" t="s">
        <v>244</v>
      </c>
      <c r="V37" s="1292" t="s">
        <v>244</v>
      </c>
      <c r="W37" s="1299" t="s">
        <v>244</v>
      </c>
      <c r="X37" s="1294" t="s">
        <v>244</v>
      </c>
      <c r="Y37" s="1298" t="s">
        <v>244</v>
      </c>
      <c r="Z37" s="1300">
        <v>0.12697159499999999</v>
      </c>
      <c r="AA37" s="1313">
        <v>5.6478235171950004</v>
      </c>
    </row>
    <row r="38" spans="1:29" ht="12" hidden="1" customHeight="1">
      <c r="A38" s="145"/>
      <c r="B38" s="480"/>
      <c r="C38" s="481"/>
      <c r="D38" s="481"/>
      <c r="E38" s="481"/>
      <c r="F38" s="481"/>
      <c r="G38" s="481"/>
      <c r="H38" s="480"/>
      <c r="I38" s="481"/>
      <c r="J38" s="481"/>
      <c r="K38" s="481"/>
      <c r="L38" s="481"/>
      <c r="M38" s="481"/>
      <c r="O38" s="1188" t="s">
        <v>164</v>
      </c>
      <c r="P38" s="1314">
        <v>8.0553949999999999E-2</v>
      </c>
      <c r="Q38" s="1305">
        <v>3.6208275539449999</v>
      </c>
      <c r="R38" s="1306">
        <v>8.7806024999999982E-3</v>
      </c>
      <c r="S38" s="1307">
        <v>0.39468017983274994</v>
      </c>
      <c r="T38" s="1314" t="s">
        <v>244</v>
      </c>
      <c r="U38" s="1307" t="s">
        <v>244</v>
      </c>
      <c r="V38" s="1314" t="s">
        <v>244</v>
      </c>
      <c r="W38" s="1307" t="s">
        <v>244</v>
      </c>
      <c r="X38" s="1309" t="s">
        <v>244</v>
      </c>
      <c r="Y38" s="1315" t="s">
        <v>244</v>
      </c>
      <c r="Z38" s="1300">
        <v>8.9334552499999997E-2</v>
      </c>
      <c r="AA38" s="1313">
        <v>4.0155077337777501</v>
      </c>
    </row>
    <row r="39" spans="1:29" ht="12" hidden="1" customHeight="1">
      <c r="A39" s="145"/>
      <c r="B39" s="480"/>
      <c r="C39" s="481"/>
      <c r="D39" s="481"/>
      <c r="E39" s="481"/>
      <c r="F39" s="481"/>
      <c r="G39" s="481"/>
      <c r="H39" s="480"/>
      <c r="I39" s="481"/>
      <c r="J39" s="481"/>
      <c r="K39" s="481"/>
      <c r="L39" s="481"/>
      <c r="M39" s="481"/>
      <c r="O39" s="1188" t="s">
        <v>165</v>
      </c>
      <c r="P39" s="1314">
        <v>5.9528439999999995E-2</v>
      </c>
      <c r="Q39" s="1305">
        <v>2.7031322895195995</v>
      </c>
      <c r="R39" s="1306" t="s">
        <v>244</v>
      </c>
      <c r="S39" s="1307" t="s">
        <v>244</v>
      </c>
      <c r="T39" s="1314" t="s">
        <v>244</v>
      </c>
      <c r="U39" s="1307" t="s">
        <v>244</v>
      </c>
      <c r="V39" s="1314">
        <v>3.2819166393173618E-3</v>
      </c>
      <c r="W39" s="1307">
        <v>0.1490288480472596</v>
      </c>
      <c r="X39" s="1309" t="s">
        <v>244</v>
      </c>
      <c r="Y39" s="1315" t="s">
        <v>244</v>
      </c>
      <c r="Z39" s="1300">
        <v>6.2810356639317361E-2</v>
      </c>
      <c r="AA39" s="1313">
        <v>2.852161137566859</v>
      </c>
    </row>
    <row r="40" spans="1:29" ht="12" hidden="1" customHeight="1">
      <c r="A40" s="145"/>
      <c r="B40" s="480"/>
      <c r="C40" s="481"/>
      <c r="D40" s="481"/>
      <c r="E40" s="481"/>
      <c r="F40" s="481"/>
      <c r="G40" s="481"/>
      <c r="H40" s="480"/>
      <c r="I40" s="481"/>
      <c r="J40" s="481"/>
      <c r="K40" s="481"/>
      <c r="L40" s="481"/>
      <c r="M40" s="481"/>
      <c r="O40" s="1187" t="s">
        <v>166</v>
      </c>
      <c r="P40" s="1292">
        <v>9.7304040000000008E-2</v>
      </c>
      <c r="Q40" s="1293">
        <v>4.4813375622000002</v>
      </c>
      <c r="R40" s="1301">
        <v>1.2254619999999999E-3</v>
      </c>
      <c r="S40" s="1299">
        <v>5.6438652409999991E-2</v>
      </c>
      <c r="T40" s="1292" t="s">
        <v>244</v>
      </c>
      <c r="U40" s="1299" t="s">
        <v>244</v>
      </c>
      <c r="V40" s="1292" t="s">
        <v>244</v>
      </c>
      <c r="W40" s="1299" t="s">
        <v>244</v>
      </c>
      <c r="X40" s="1316">
        <v>0</v>
      </c>
      <c r="Y40" s="1317">
        <v>0</v>
      </c>
      <c r="Z40" s="1300">
        <v>9.8529502000000005E-2</v>
      </c>
      <c r="AA40" s="1313">
        <v>4.53777621461</v>
      </c>
      <c r="AB40" s="147" t="s">
        <v>1264</v>
      </c>
      <c r="AC40" s="1330">
        <f>SUM(AA28:AA33,AA35:AA40)</f>
        <v>55.108064026862912</v>
      </c>
    </row>
    <row r="41" spans="1:29" ht="12" hidden="1" customHeight="1">
      <c r="A41" s="145"/>
      <c r="B41" s="480"/>
      <c r="C41" s="481"/>
      <c r="D41" s="481"/>
      <c r="E41" s="481"/>
      <c r="F41" s="481"/>
      <c r="G41" s="481"/>
      <c r="H41" s="480"/>
      <c r="I41" s="481"/>
      <c r="J41" s="481"/>
      <c r="K41" s="481"/>
      <c r="L41" s="481"/>
      <c r="M41" s="481"/>
      <c r="O41" s="1188" t="s">
        <v>167</v>
      </c>
      <c r="P41" s="1314">
        <v>0.1795785</v>
      </c>
      <c r="Q41" s="1305">
        <v>8.3425347117000008</v>
      </c>
      <c r="R41" s="1306">
        <v>1.2267255000000003E-3</v>
      </c>
      <c r="S41" s="1307">
        <v>5.6989005173100016E-2</v>
      </c>
      <c r="T41" s="1314" t="s">
        <v>244</v>
      </c>
      <c r="U41" s="1307" t="s">
        <v>244</v>
      </c>
      <c r="V41" s="1314" t="s">
        <v>244</v>
      </c>
      <c r="W41" s="1307" t="s">
        <v>244</v>
      </c>
      <c r="X41" s="1316">
        <v>0</v>
      </c>
      <c r="Y41" s="1317">
        <v>0</v>
      </c>
      <c r="Z41" s="1300">
        <v>0.1808052255</v>
      </c>
      <c r="AA41" s="1313">
        <v>8.3995237168731016</v>
      </c>
    </row>
    <row r="42" spans="1:29" ht="12" hidden="1" customHeight="1">
      <c r="A42" s="145"/>
      <c r="B42" s="480"/>
      <c r="C42" s="481"/>
      <c r="D42" s="481"/>
      <c r="E42" s="481"/>
      <c r="F42" s="481"/>
      <c r="G42" s="481"/>
      <c r="H42" s="480"/>
      <c r="I42" s="481"/>
      <c r="J42" s="481"/>
      <c r="K42" s="481"/>
      <c r="L42" s="481"/>
      <c r="M42" s="481"/>
      <c r="O42" s="1188" t="s">
        <v>168</v>
      </c>
      <c r="P42" s="1314">
        <v>0.15064615999999997</v>
      </c>
      <c r="Q42" s="1305">
        <v>7.0106203479199989</v>
      </c>
      <c r="R42" s="1306" t="s">
        <v>244</v>
      </c>
      <c r="S42" s="1307" t="s">
        <v>244</v>
      </c>
      <c r="T42" s="1314" t="s">
        <v>244</v>
      </c>
      <c r="U42" s="1307" t="s">
        <v>244</v>
      </c>
      <c r="V42" s="1314" t="s">
        <v>244</v>
      </c>
      <c r="W42" s="1307" t="s">
        <v>244</v>
      </c>
      <c r="X42" s="1316">
        <v>0</v>
      </c>
      <c r="Y42" s="1317">
        <v>0</v>
      </c>
      <c r="Z42" s="1300">
        <v>0.15064615999999997</v>
      </c>
      <c r="AA42" s="1313">
        <v>6.9475146714959983</v>
      </c>
    </row>
    <row r="43" spans="1:29" ht="12" hidden="1" customHeight="1">
      <c r="A43" s="145"/>
      <c r="B43" s="480"/>
      <c r="C43" s="481"/>
      <c r="D43" s="481"/>
      <c r="E43" s="481"/>
      <c r="F43" s="481"/>
      <c r="G43" s="481"/>
      <c r="H43" s="480"/>
      <c r="I43" s="481"/>
      <c r="J43" s="481"/>
      <c r="K43" s="481"/>
      <c r="L43" s="481"/>
      <c r="M43" s="481"/>
      <c r="O43" s="1188" t="s">
        <v>169</v>
      </c>
      <c r="P43" s="1314">
        <v>9.3865399999999988E-2</v>
      </c>
      <c r="Q43" s="1305">
        <v>4.3288939037399992</v>
      </c>
      <c r="R43" s="1306" t="s">
        <v>244</v>
      </c>
      <c r="S43" s="1307" t="s">
        <v>244</v>
      </c>
      <c r="T43" s="1314" t="s">
        <v>244</v>
      </c>
      <c r="U43" s="1307" t="s">
        <v>244</v>
      </c>
      <c r="V43" s="1314" t="s">
        <v>244</v>
      </c>
      <c r="W43" s="1307" t="s">
        <v>244</v>
      </c>
      <c r="X43" s="1316"/>
      <c r="Y43" s="1317"/>
      <c r="Z43" s="1300">
        <v>9.3865000000000004E-2</v>
      </c>
      <c r="AA43" s="1313">
        <v>4.3288754564999996</v>
      </c>
      <c r="AB43" s="1232"/>
      <c r="AC43" s="179"/>
    </row>
    <row r="44" spans="1:29" ht="12" hidden="1" customHeight="1">
      <c r="A44" s="145"/>
      <c r="B44" s="480"/>
      <c r="C44" s="481"/>
      <c r="D44" s="481"/>
      <c r="E44" s="481"/>
      <c r="F44" s="481"/>
      <c r="G44" s="481"/>
      <c r="H44" s="480"/>
      <c r="I44" s="481"/>
      <c r="J44" s="481"/>
      <c r="K44" s="481"/>
      <c r="L44" s="481"/>
      <c r="M44" s="481"/>
      <c r="O44" s="1188" t="s">
        <v>170</v>
      </c>
      <c r="P44" s="1314">
        <v>7.5220830000000002E-2</v>
      </c>
      <c r="Q44" s="1307">
        <v>3.4201106101079999</v>
      </c>
      <c r="R44" s="1306" t="s">
        <v>244</v>
      </c>
      <c r="S44" s="1307" t="s">
        <v>244</v>
      </c>
      <c r="T44" s="1314" t="s">
        <v>244</v>
      </c>
      <c r="U44" s="1307" t="s">
        <v>244</v>
      </c>
      <c r="V44" s="1314" t="s">
        <v>244</v>
      </c>
      <c r="W44" s="1307" t="s">
        <v>244</v>
      </c>
      <c r="X44" s="1318"/>
      <c r="Y44" s="1317"/>
      <c r="Z44" s="1300">
        <v>7.5220830000000002E-2</v>
      </c>
      <c r="AA44" s="1319">
        <v>3.4201106101079999</v>
      </c>
      <c r="AB44" s="1232"/>
      <c r="AC44" s="179"/>
    </row>
    <row r="45" spans="1:29" ht="12" hidden="1" customHeight="1">
      <c r="A45" s="145"/>
      <c r="B45" s="480"/>
      <c r="C45" s="481"/>
      <c r="D45" s="481"/>
      <c r="E45" s="481"/>
      <c r="F45" s="481"/>
      <c r="G45" s="481"/>
      <c r="H45" s="480"/>
      <c r="I45" s="481"/>
      <c r="J45" s="481"/>
      <c r="K45" s="481"/>
      <c r="L45" s="481"/>
      <c r="M45" s="481"/>
      <c r="O45" s="1188" t="s">
        <v>171</v>
      </c>
      <c r="P45" s="1314">
        <v>0.14974525</v>
      </c>
      <c r="Q45" s="1307">
        <v>6.7160744625</v>
      </c>
      <c r="R45" s="1306" t="s">
        <v>244</v>
      </c>
      <c r="S45" s="1307" t="s">
        <v>244</v>
      </c>
      <c r="T45" s="1314" t="s">
        <v>244</v>
      </c>
      <c r="U45" s="1307" t="s">
        <v>244</v>
      </c>
      <c r="V45" s="1314" t="s">
        <v>244</v>
      </c>
      <c r="W45" s="1307" t="s">
        <v>244</v>
      </c>
      <c r="X45" s="1318"/>
      <c r="Y45" s="1317"/>
      <c r="Z45" s="1303">
        <v>0.14974525</v>
      </c>
      <c r="AA45" s="1320">
        <v>6.7160744625</v>
      </c>
      <c r="AB45" s="1232"/>
      <c r="AC45" s="179"/>
    </row>
    <row r="46" spans="1:29" ht="12" hidden="1" customHeight="1">
      <c r="A46" s="145"/>
      <c r="B46" s="480"/>
      <c r="C46" s="481"/>
      <c r="D46" s="481"/>
      <c r="E46" s="481"/>
      <c r="F46" s="481"/>
      <c r="G46" s="481"/>
      <c r="H46" s="480"/>
      <c r="I46" s="481"/>
      <c r="J46" s="481"/>
      <c r="K46" s="481"/>
      <c r="L46" s="481"/>
      <c r="M46" s="481"/>
      <c r="O46" s="1188" t="s">
        <v>148</v>
      </c>
      <c r="P46" s="1314">
        <v>0.23623827</v>
      </c>
      <c r="Q46" s="1307">
        <v>10.545676372800001</v>
      </c>
      <c r="R46" s="1306">
        <v>1.0699985000000001E-3</v>
      </c>
      <c r="S46" s="1307">
        <v>4.7764733040000007E-2</v>
      </c>
      <c r="T46" s="1314" t="s">
        <v>244</v>
      </c>
      <c r="U46" s="1307" t="s">
        <v>244</v>
      </c>
      <c r="V46" s="1314" t="s">
        <v>244</v>
      </c>
      <c r="W46" s="1307" t="s">
        <v>244</v>
      </c>
      <c r="X46" s="1318"/>
      <c r="Y46" s="1317"/>
      <c r="Z46" s="1303">
        <v>0.2373082685</v>
      </c>
      <c r="AA46" s="1320">
        <v>10.59344110584</v>
      </c>
      <c r="AB46" s="1232"/>
      <c r="AC46" s="179"/>
    </row>
    <row r="47" spans="1:29" ht="12" customHeight="1">
      <c r="A47" s="145"/>
      <c r="B47" s="480"/>
      <c r="C47" s="481"/>
      <c r="D47" s="481"/>
      <c r="E47" s="481"/>
      <c r="F47" s="481"/>
      <c r="G47" s="481"/>
      <c r="H47" s="480"/>
      <c r="I47" s="481"/>
      <c r="J47" s="481"/>
      <c r="K47" s="481"/>
      <c r="L47" s="481"/>
      <c r="M47" s="481"/>
      <c r="O47" s="923">
        <v>2007</v>
      </c>
      <c r="P47" s="1314"/>
      <c r="Q47" s="1307"/>
      <c r="R47" s="1306"/>
      <c r="S47" s="1307"/>
      <c r="T47" s="1314"/>
      <c r="U47" s="1307"/>
      <c r="V47" s="1314"/>
      <c r="W47" s="1307"/>
      <c r="X47" s="1321"/>
      <c r="Y47" s="1315"/>
      <c r="Z47" s="1322"/>
      <c r="AA47" s="1323"/>
      <c r="AB47" s="1232"/>
      <c r="AC47" s="179"/>
    </row>
    <row r="48" spans="1:29" ht="12" customHeight="1">
      <c r="A48" s="145"/>
      <c r="B48" s="480"/>
      <c r="C48" s="481"/>
      <c r="D48" s="481"/>
      <c r="E48" s="481"/>
      <c r="F48" s="481"/>
      <c r="G48" s="481"/>
      <c r="H48" s="480"/>
      <c r="I48" s="481"/>
      <c r="J48" s="481"/>
      <c r="K48" s="481"/>
      <c r="L48" s="481"/>
      <c r="M48" s="481"/>
      <c r="O48" s="1188" t="s">
        <v>161</v>
      </c>
      <c r="P48" s="1314">
        <v>0.12288638</v>
      </c>
      <c r="Q48" s="1307">
        <v>5.4478604413500005</v>
      </c>
      <c r="R48" s="1306">
        <v>0</v>
      </c>
      <c r="S48" s="1307">
        <v>0</v>
      </c>
      <c r="T48" s="1314">
        <v>0</v>
      </c>
      <c r="U48" s="1307">
        <v>0</v>
      </c>
      <c r="V48" s="1314">
        <v>6.4989926561382987E-4</v>
      </c>
      <c r="W48" s="1307">
        <v>2.8811659192825117E-2</v>
      </c>
      <c r="X48" s="1318">
        <v>6.4989926561382987E-4</v>
      </c>
      <c r="Y48" s="1317">
        <v>2.8811659192825117E-2</v>
      </c>
      <c r="Z48" s="1303">
        <v>0.12353627926561384</v>
      </c>
      <c r="AA48" s="1320">
        <v>5.4766721005428254</v>
      </c>
      <c r="AB48" s="1232"/>
      <c r="AC48" s="179"/>
    </row>
    <row r="49" spans="1:30" ht="12" customHeight="1">
      <c r="A49" s="145"/>
      <c r="B49" s="480"/>
      <c r="C49" s="481"/>
      <c r="D49" s="481"/>
      <c r="E49" s="481"/>
      <c r="F49" s="481"/>
      <c r="G49" s="481"/>
      <c r="H49" s="480"/>
      <c r="I49" s="481"/>
      <c r="J49" s="481"/>
      <c r="K49" s="481"/>
      <c r="L49" s="481"/>
      <c r="M49" s="481"/>
      <c r="O49" s="1188" t="s">
        <v>162</v>
      </c>
      <c r="P49" s="1314">
        <v>8.3068400000000001E-2</v>
      </c>
      <c r="Q49" s="1307">
        <v>3.6681593277199998</v>
      </c>
      <c r="R49" s="1306">
        <v>0</v>
      </c>
      <c r="S49" s="1307">
        <v>0</v>
      </c>
      <c r="T49" s="1314">
        <v>0</v>
      </c>
      <c r="U49" s="1307">
        <v>0</v>
      </c>
      <c r="V49" s="1314">
        <v>0</v>
      </c>
      <c r="W49" s="1307">
        <v>0</v>
      </c>
      <c r="X49" s="1318">
        <v>0</v>
      </c>
      <c r="Y49" s="1317">
        <v>0</v>
      </c>
      <c r="Z49" s="1303">
        <v>8.3068400000000001E-2</v>
      </c>
      <c r="AA49" s="1320">
        <v>3.6681593277199998</v>
      </c>
      <c r="AB49" s="1232"/>
      <c r="AC49" s="179"/>
    </row>
    <row r="50" spans="1:30" ht="12" customHeight="1">
      <c r="A50" s="145"/>
      <c r="B50" s="480"/>
      <c r="C50" s="481"/>
      <c r="D50" s="481"/>
      <c r="E50" s="481"/>
      <c r="F50" s="481"/>
      <c r="G50" s="481"/>
      <c r="H50" s="480"/>
      <c r="I50" s="481"/>
      <c r="J50" s="481"/>
      <c r="K50" s="481"/>
      <c r="L50" s="481"/>
      <c r="M50" s="481"/>
      <c r="O50" s="1188" t="s">
        <v>163</v>
      </c>
      <c r="P50" s="1314">
        <v>0.17831656000000004</v>
      </c>
      <c r="Q50" s="1307">
        <v>7.8505648705600022</v>
      </c>
      <c r="R50" s="1306">
        <v>0</v>
      </c>
      <c r="S50" s="1307">
        <v>0</v>
      </c>
      <c r="T50" s="1314">
        <v>0</v>
      </c>
      <c r="U50" s="1307">
        <v>0</v>
      </c>
      <c r="V50" s="1314">
        <v>0</v>
      </c>
      <c r="W50" s="1307">
        <v>0</v>
      </c>
      <c r="X50" s="1318">
        <v>0</v>
      </c>
      <c r="Y50" s="1317">
        <v>0</v>
      </c>
      <c r="Z50" s="1303">
        <v>0.17831656000000004</v>
      </c>
      <c r="AA50" s="1320">
        <v>7.8505648705600022</v>
      </c>
      <c r="AB50" s="1232"/>
      <c r="AC50" s="179"/>
    </row>
    <row r="51" spans="1:30" ht="12" customHeight="1">
      <c r="A51" s="145"/>
      <c r="B51" s="480"/>
      <c r="C51" s="481"/>
      <c r="D51" s="481"/>
      <c r="E51" s="481"/>
      <c r="F51" s="481"/>
      <c r="G51" s="481"/>
      <c r="H51" s="480"/>
      <c r="I51" s="481"/>
      <c r="J51" s="481"/>
      <c r="K51" s="481"/>
      <c r="L51" s="481"/>
      <c r="M51" s="481"/>
      <c r="O51" s="1188" t="s">
        <v>164</v>
      </c>
      <c r="P51" s="1314">
        <v>5.6456780000000005E-2</v>
      </c>
      <c r="Q51" s="1307">
        <v>2.3795516547960003</v>
      </c>
      <c r="R51" s="1306">
        <v>7.0645000000000013E-3</v>
      </c>
      <c r="S51" s="1307">
        <v>0.29775595890000006</v>
      </c>
      <c r="T51" s="1314">
        <v>0</v>
      </c>
      <c r="U51" s="1307">
        <v>0</v>
      </c>
      <c r="V51" s="1314">
        <v>0</v>
      </c>
      <c r="W51" s="1307">
        <v>0</v>
      </c>
      <c r="X51" s="1318">
        <v>0</v>
      </c>
      <c r="Y51" s="1317">
        <v>0</v>
      </c>
      <c r="Z51" s="1303">
        <v>6.3521280000000013E-2</v>
      </c>
      <c r="AA51" s="1320">
        <v>2.6773076136960006</v>
      </c>
      <c r="AB51" s="1232"/>
      <c r="AC51" s="179"/>
    </row>
    <row r="52" spans="1:30" ht="12" customHeight="1">
      <c r="A52" s="145"/>
      <c r="B52" s="480"/>
      <c r="C52" s="481"/>
      <c r="D52" s="481"/>
      <c r="E52" s="481"/>
      <c r="F52" s="481"/>
      <c r="G52" s="481"/>
      <c r="H52" s="480"/>
      <c r="I52" s="481"/>
      <c r="J52" s="481"/>
      <c r="K52" s="481"/>
      <c r="L52" s="481"/>
      <c r="M52" s="481"/>
      <c r="O52" s="1188" t="s">
        <v>165</v>
      </c>
      <c r="P52" s="1314">
        <v>0.18731184000000003</v>
      </c>
      <c r="Q52" s="1307">
        <v>7.6388390717760011</v>
      </c>
      <c r="R52" s="1306">
        <v>0</v>
      </c>
      <c r="S52" s="1307">
        <v>0</v>
      </c>
      <c r="T52" s="1314">
        <v>0</v>
      </c>
      <c r="U52" s="1307">
        <v>0</v>
      </c>
      <c r="V52" s="1314">
        <v>0</v>
      </c>
      <c r="W52" s="1307">
        <v>0</v>
      </c>
      <c r="X52" s="1318">
        <v>0</v>
      </c>
      <c r="Y52" s="1317">
        <v>0</v>
      </c>
      <c r="Z52" s="1303">
        <v>0.18731184000000003</v>
      </c>
      <c r="AA52" s="1320">
        <v>7.6388390717760011</v>
      </c>
      <c r="AB52" s="1232"/>
      <c r="AC52" s="179"/>
    </row>
    <row r="53" spans="1:30" ht="12" customHeight="1">
      <c r="A53" s="145"/>
      <c r="B53" s="480"/>
      <c r="C53" s="481"/>
      <c r="D53" s="481"/>
      <c r="E53" s="481"/>
      <c r="F53" s="481"/>
      <c r="G53" s="481"/>
      <c r="H53" s="480"/>
      <c r="I53" s="481"/>
      <c r="J53" s="481"/>
      <c r="K53" s="481"/>
      <c r="L53" s="481"/>
      <c r="M53" s="481"/>
      <c r="O53" s="1188" t="s">
        <v>166</v>
      </c>
      <c r="P53" s="1314">
        <v>6.5201819999999994E-2</v>
      </c>
      <c r="Q53" s="1307">
        <v>2.6585129279519997</v>
      </c>
      <c r="R53" s="1306">
        <v>0</v>
      </c>
      <c r="S53" s="1307">
        <v>0</v>
      </c>
      <c r="T53" s="1314">
        <v>0</v>
      </c>
      <c r="U53" s="1307">
        <v>0</v>
      </c>
      <c r="V53" s="1314">
        <v>0</v>
      </c>
      <c r="W53" s="1307">
        <v>0</v>
      </c>
      <c r="X53" s="1318">
        <v>0</v>
      </c>
      <c r="Y53" s="1317">
        <v>0</v>
      </c>
      <c r="Z53" s="1303">
        <v>6.5201819999999994E-2</v>
      </c>
      <c r="AA53" s="1320">
        <v>2.6585129279519997</v>
      </c>
      <c r="AB53" s="1232" t="s">
        <v>1265</v>
      </c>
      <c r="AC53" s="1331">
        <f>SUM(AA41:AA46,AA48:AA53)</f>
        <v>70.375595935563936</v>
      </c>
    </row>
    <row r="54" spans="1:30" ht="12" customHeight="1">
      <c r="A54" s="145"/>
      <c r="B54" s="480"/>
      <c r="C54" s="481"/>
      <c r="D54" s="481"/>
      <c r="E54" s="481"/>
      <c r="F54" s="481"/>
      <c r="G54" s="481"/>
      <c r="H54" s="480"/>
      <c r="I54" s="481"/>
      <c r="J54" s="481"/>
      <c r="K54" s="481"/>
      <c r="L54" s="481"/>
      <c r="M54" s="481"/>
      <c r="O54" s="1188" t="s">
        <v>167</v>
      </c>
      <c r="P54" s="1314">
        <v>0.22627882999999999</v>
      </c>
      <c r="Q54" s="1307">
        <v>9.1448100077369983</v>
      </c>
      <c r="R54" s="1306">
        <v>0</v>
      </c>
      <c r="S54" s="1307">
        <v>0</v>
      </c>
      <c r="T54" s="1314">
        <v>0</v>
      </c>
      <c r="U54" s="1307">
        <v>0</v>
      </c>
      <c r="V54" s="1314">
        <v>0</v>
      </c>
      <c r="W54" s="1307">
        <v>0</v>
      </c>
      <c r="X54" s="1318">
        <v>0</v>
      </c>
      <c r="Y54" s="1317">
        <v>0</v>
      </c>
      <c r="Z54" s="1303">
        <v>0.22627882999999999</v>
      </c>
      <c r="AA54" s="1320">
        <v>9.1448100077369983</v>
      </c>
      <c r="AB54" s="1232"/>
      <c r="AC54" s="179"/>
    </row>
    <row r="55" spans="1:30" ht="12" customHeight="1">
      <c r="A55" s="145"/>
      <c r="B55" s="480"/>
      <c r="C55" s="481"/>
      <c r="D55" s="481"/>
      <c r="E55" s="481"/>
      <c r="F55" s="481"/>
      <c r="G55" s="481"/>
      <c r="H55" s="480"/>
      <c r="I55" s="481"/>
      <c r="J55" s="481"/>
      <c r="K55" s="481"/>
      <c r="L55" s="481"/>
      <c r="M55" s="481"/>
      <c r="O55" s="1188" t="s">
        <v>168</v>
      </c>
      <c r="P55" s="1314">
        <v>5.8814140000000001E-2</v>
      </c>
      <c r="Q55" s="1307">
        <v>2.4008520089399998</v>
      </c>
      <c r="R55" s="1306">
        <v>0</v>
      </c>
      <c r="S55" s="1307">
        <v>0</v>
      </c>
      <c r="T55" s="1314">
        <v>0</v>
      </c>
      <c r="U55" s="1307">
        <v>0</v>
      </c>
      <c r="V55" s="1314">
        <v>0</v>
      </c>
      <c r="W55" s="1307">
        <v>0</v>
      </c>
      <c r="X55" s="1318">
        <v>0</v>
      </c>
      <c r="Y55" s="1317">
        <v>0</v>
      </c>
      <c r="Z55" s="1303">
        <v>5.8814140000000001E-2</v>
      </c>
      <c r="AA55" s="1320">
        <v>2.4008520089399998</v>
      </c>
      <c r="AB55" s="1232"/>
      <c r="AC55" s="179"/>
    </row>
    <row r="56" spans="1:30" ht="12" customHeight="1">
      <c r="A56" s="145"/>
      <c r="B56" s="480"/>
      <c r="C56" s="481"/>
      <c r="D56" s="481"/>
      <c r="E56" s="481"/>
      <c r="F56" s="481"/>
      <c r="G56" s="481"/>
      <c r="H56" s="480"/>
      <c r="I56" s="481"/>
      <c r="J56" s="481"/>
      <c r="K56" s="481"/>
      <c r="L56" s="481"/>
      <c r="M56" s="481"/>
      <c r="O56" s="1188" t="s">
        <v>169</v>
      </c>
      <c r="P56" s="1314">
        <v>1.4992999999999999E-2</v>
      </c>
      <c r="Q56" s="1307">
        <v>0.60481762000000006</v>
      </c>
      <c r="R56" s="1306">
        <v>0</v>
      </c>
      <c r="S56" s="1307">
        <v>0</v>
      </c>
      <c r="T56" s="1314">
        <v>0</v>
      </c>
      <c r="U56" s="1307">
        <v>0</v>
      </c>
      <c r="V56" s="1314">
        <v>6.2522577597465745E-4</v>
      </c>
      <c r="W56" s="1307">
        <v>2.5221607802817684E-2</v>
      </c>
      <c r="X56" s="1318">
        <v>6.2522577597465745E-4</v>
      </c>
      <c r="Y56" s="1317">
        <v>2.5221607802817684E-2</v>
      </c>
      <c r="Z56" s="1303">
        <v>1.5618225775974657E-2</v>
      </c>
      <c r="AA56" s="1320">
        <v>0.63003922780281774</v>
      </c>
      <c r="AB56" s="1232"/>
      <c r="AC56" s="179"/>
    </row>
    <row r="57" spans="1:30" ht="12" customHeight="1">
      <c r="A57" s="145"/>
      <c r="B57" s="480"/>
      <c r="C57" s="481"/>
      <c r="D57" s="481"/>
      <c r="E57" s="481"/>
      <c r="F57" s="481"/>
      <c r="G57" s="481"/>
      <c r="H57" s="480"/>
      <c r="I57" s="481"/>
      <c r="J57" s="481"/>
      <c r="K57" s="481"/>
      <c r="L57" s="481"/>
      <c r="M57" s="481"/>
      <c r="O57" s="1188" t="s">
        <v>170</v>
      </c>
      <c r="P57" s="1304">
        <v>8.9252230000000016E-2</v>
      </c>
      <c r="Q57" s="1315">
        <v>3.5264448595300011</v>
      </c>
      <c r="R57" s="1306">
        <v>0</v>
      </c>
      <c r="S57" s="1307">
        <v>0</v>
      </c>
      <c r="T57" s="1314">
        <v>0</v>
      </c>
      <c r="U57" s="1307">
        <v>0</v>
      </c>
      <c r="V57" s="1314">
        <v>0</v>
      </c>
      <c r="W57" s="1307">
        <v>0</v>
      </c>
      <c r="X57" s="1318">
        <v>0</v>
      </c>
      <c r="Y57" s="1317">
        <v>0</v>
      </c>
      <c r="Z57" s="1303">
        <v>8.9252230000000016E-2</v>
      </c>
      <c r="AA57" s="1320">
        <v>3.5264448595300011</v>
      </c>
      <c r="AB57" s="1232"/>
      <c r="AC57" s="179"/>
      <c r="AD57" s="517"/>
    </row>
    <row r="58" spans="1:30" ht="12" customHeight="1">
      <c r="A58" s="145"/>
      <c r="B58" s="480"/>
      <c r="C58" s="481"/>
      <c r="D58" s="481"/>
      <c r="E58" s="481"/>
      <c r="F58" s="481"/>
      <c r="G58" s="481"/>
      <c r="H58" s="480"/>
      <c r="I58" s="481"/>
      <c r="J58" s="481"/>
      <c r="K58" s="481"/>
      <c r="L58" s="481"/>
      <c r="M58" s="481"/>
      <c r="N58" s="1371"/>
      <c r="O58" s="1188" t="s">
        <v>171</v>
      </c>
      <c r="P58" s="1304">
        <v>0.26954239000000002</v>
      </c>
      <c r="Q58" s="1315">
        <v>10.629673692040001</v>
      </c>
      <c r="R58" s="1304">
        <v>0</v>
      </c>
      <c r="S58" s="1315">
        <v>0</v>
      </c>
      <c r="T58" s="1304">
        <v>0</v>
      </c>
      <c r="U58" s="1315">
        <v>0</v>
      </c>
      <c r="V58" s="1304">
        <v>0</v>
      </c>
      <c r="W58" s="1315">
        <v>0</v>
      </c>
      <c r="X58" s="1370">
        <v>0</v>
      </c>
      <c r="Y58" s="1370">
        <v>0</v>
      </c>
      <c r="Z58" s="1290">
        <v>0.26954239000000002</v>
      </c>
      <c r="AA58" s="1319">
        <v>10.629673692040001</v>
      </c>
      <c r="AB58" s="1232"/>
      <c r="AC58" s="179"/>
    </row>
    <row r="59" spans="1:30">
      <c r="N59" s="1371"/>
      <c r="O59" s="1375" t="s">
        <v>148</v>
      </c>
      <c r="P59" s="1378">
        <f>124477.16/1000000</f>
        <v>0.12447716</v>
      </c>
      <c r="Q59" s="1376"/>
      <c r="R59" s="1379"/>
      <c r="S59" s="1376"/>
      <c r="T59" s="1379"/>
      <c r="U59" s="1376"/>
      <c r="V59" s="1379"/>
      <c r="W59" s="1376"/>
      <c r="X59" s="146"/>
      <c r="Y59" s="146"/>
      <c r="Z59" s="1380">
        <v>0.124</v>
      </c>
      <c r="AA59" s="1377"/>
    </row>
    <row r="60" spans="1:30" ht="12" thickBot="1">
      <c r="N60" s="1371"/>
      <c r="O60" s="1395"/>
      <c r="P60" s="1386"/>
      <c r="Q60" s="1387"/>
      <c r="R60" s="1386"/>
      <c r="S60" s="1387"/>
      <c r="T60" s="1386"/>
      <c r="U60" s="1387"/>
      <c r="V60" s="1386"/>
      <c r="W60" s="1387"/>
      <c r="X60" s="1387"/>
      <c r="Y60" s="1387"/>
      <c r="Z60" s="1381"/>
      <c r="AA60" s="1372"/>
    </row>
    <row r="61" spans="1:30">
      <c r="N61" s="1371"/>
      <c r="O61" s="1391">
        <v>2008</v>
      </c>
      <c r="P61" s="1392"/>
      <c r="Q61" s="1393"/>
      <c r="R61" s="1392"/>
      <c r="S61" s="1393"/>
      <c r="T61" s="1392"/>
      <c r="U61" s="1393"/>
      <c r="V61" s="1392"/>
      <c r="W61" s="152"/>
      <c r="X61" s="145"/>
      <c r="Y61" s="145"/>
      <c r="Z61" s="1394"/>
      <c r="AA61" s="1372"/>
    </row>
    <row r="62" spans="1:30" ht="12" thickBot="1">
      <c r="N62" s="1371"/>
      <c r="O62" s="1271" t="s">
        <v>161</v>
      </c>
      <c r="P62" s="1383">
        <f>116547.27/1000000</f>
        <v>0.11654727000000001</v>
      </c>
      <c r="Q62" s="1388"/>
      <c r="R62" s="1384"/>
      <c r="S62" s="1388"/>
      <c r="T62" s="1384"/>
      <c r="U62" s="1388"/>
      <c r="V62" s="1384"/>
      <c r="W62" s="1385"/>
      <c r="X62" s="1373"/>
      <c r="Y62" s="1373"/>
      <c r="Z62" s="1389"/>
      <c r="AA62" s="1374"/>
    </row>
    <row r="63" spans="1:30">
      <c r="O63" s="1369"/>
      <c r="V63" s="1382"/>
      <c r="W63" s="145"/>
      <c r="X63" s="1382"/>
      <c r="Z63" s="1390"/>
    </row>
    <row r="64" spans="1:30">
      <c r="O64" s="1369"/>
    </row>
    <row r="65" spans="1:31">
      <c r="O65" s="4970" t="s">
        <v>1217</v>
      </c>
      <c r="P65" s="4970"/>
      <c r="Q65" s="4970"/>
      <c r="R65" s="4970"/>
      <c r="S65" s="4970"/>
      <c r="T65" s="4970"/>
      <c r="U65" s="4970"/>
      <c r="V65" s="4970"/>
      <c r="W65" s="4970"/>
      <c r="X65" s="4970"/>
      <c r="Y65" s="4970"/>
      <c r="Z65" s="4970"/>
      <c r="AA65" s="4970"/>
    </row>
    <row r="66" spans="1:31" ht="21.75" customHeight="1">
      <c r="O66" s="4970"/>
      <c r="P66" s="4970"/>
      <c r="Q66" s="4970"/>
      <c r="R66" s="4970"/>
      <c r="S66" s="4970"/>
      <c r="T66" s="4970"/>
      <c r="U66" s="4970"/>
      <c r="V66" s="4970"/>
      <c r="W66" s="4970"/>
      <c r="X66" s="4970"/>
      <c r="Y66" s="4970"/>
      <c r="Z66" s="4970"/>
      <c r="AA66" s="4970"/>
    </row>
    <row r="67" spans="1:31">
      <c r="A67" s="465" t="s">
        <v>981</v>
      </c>
      <c r="B67" s="465"/>
      <c r="C67" s="465"/>
      <c r="D67" s="465"/>
      <c r="E67" s="465"/>
      <c r="F67" s="465"/>
      <c r="G67" s="465"/>
      <c r="H67" s="465"/>
      <c r="I67" s="465"/>
      <c r="J67" s="465"/>
    </row>
    <row r="68" spans="1:31">
      <c r="A68" s="4969" t="s">
        <v>982</v>
      </c>
      <c r="B68" s="4969"/>
      <c r="C68" s="4969"/>
      <c r="D68" s="4969"/>
      <c r="E68" s="4969"/>
      <c r="F68" s="4969"/>
      <c r="G68" s="4969"/>
      <c r="H68" s="4969"/>
      <c r="I68" s="4969"/>
      <c r="J68" s="4969"/>
      <c r="O68" s="328" t="s">
        <v>395</v>
      </c>
      <c r="P68" s="328"/>
      <c r="Q68" s="328"/>
      <c r="R68" s="328"/>
      <c r="S68" s="328"/>
      <c r="T68" s="328"/>
      <c r="AD68" s="147" t="s">
        <v>758</v>
      </c>
      <c r="AE68" s="147">
        <v>2.9680000000000002E-3</v>
      </c>
    </row>
    <row r="69" spans="1:31">
      <c r="P69" s="147" t="s">
        <v>996</v>
      </c>
      <c r="AD69" s="147" t="s">
        <v>789</v>
      </c>
      <c r="AE69" s="147">
        <f>(8984+8984+4000+1995+2393+3493+997+9953+11243+37685.25+2000+29993+397+14993+4493+1977+997+2200)/1000000</f>
        <v>0.14677725</v>
      </c>
    </row>
    <row r="70" spans="1:31">
      <c r="A70" s="328" t="s">
        <v>983</v>
      </c>
      <c r="B70" s="328"/>
      <c r="C70" s="328"/>
      <c r="D70" s="328"/>
      <c r="AD70" s="147" t="s">
        <v>152</v>
      </c>
      <c r="AE70" s="147">
        <f>AE69+AE68</f>
        <v>0.14974525</v>
      </c>
    </row>
    <row r="71" spans="1:31">
      <c r="A71" s="147" t="s">
        <v>993</v>
      </c>
      <c r="E71" s="328"/>
      <c r="F71" s="328"/>
      <c r="G71" s="328"/>
      <c r="AD71" s="147" t="s">
        <v>790</v>
      </c>
      <c r="AE71" s="147">
        <f>AE70*44.85</f>
        <v>6.7160744625</v>
      </c>
    </row>
    <row r="73" spans="1:31" ht="98.25" customHeight="1">
      <c r="A73" s="179"/>
      <c r="N73" s="4968" t="s">
        <v>1491</v>
      </c>
      <c r="O73" s="4968"/>
      <c r="P73" s="4968"/>
      <c r="Q73" s="4968"/>
      <c r="R73" s="4968"/>
      <c r="S73" s="4968"/>
      <c r="T73" s="4968"/>
      <c r="U73" s="4968"/>
      <c r="V73" s="4968"/>
      <c r="W73" s="4968"/>
      <c r="X73" s="4968"/>
      <c r="Y73" s="4968"/>
      <c r="Z73" s="4968"/>
      <c r="AA73" s="4968"/>
      <c r="AB73" s="4968"/>
      <c r="AC73" s="1905"/>
      <c r="AD73" s="1905"/>
    </row>
    <row r="76" spans="1:31">
      <c r="N76" s="358"/>
    </row>
    <row r="77" spans="1:31">
      <c r="N77" s="358"/>
    </row>
    <row r="78" spans="1:31" ht="11.25" customHeight="1">
      <c r="N78" s="358"/>
    </row>
    <row r="79" spans="1:31">
      <c r="N79" s="358"/>
    </row>
  </sheetData>
  <mergeCells count="9">
    <mergeCell ref="N73:AB73"/>
    <mergeCell ref="A68:J68"/>
    <mergeCell ref="O65:AA66"/>
    <mergeCell ref="T4:U4"/>
    <mergeCell ref="V4:W4"/>
    <mergeCell ref="X4:Y4"/>
    <mergeCell ref="Z4:AA4"/>
    <mergeCell ref="P4:Q4"/>
    <mergeCell ref="R4:S4"/>
  </mergeCells>
  <phoneticPr fontId="0" type="noConversion"/>
  <pageMargins left="0.75" right="0.75" top="1" bottom="1" header="0.5" footer="0.5"/>
  <pageSetup scale="82" orientation="portrait" r:id="rId1"/>
  <headerFooter alignWithMargins="0"/>
  <colBreaks count="2" manualBreakCount="2">
    <brk id="14" max="1048575" man="1"/>
    <brk id="27" max="1048575" man="1"/>
  </colBreaks>
</worksheet>
</file>

<file path=xl/worksheets/sheet77.xml><?xml version="1.0" encoding="utf-8"?>
<worksheet xmlns="http://schemas.openxmlformats.org/spreadsheetml/2006/main" xmlns:r="http://schemas.openxmlformats.org/officeDocument/2006/relationships">
  <sheetPr codeName="Sheet45"/>
  <dimension ref="A1:X34"/>
  <sheetViews>
    <sheetView workbookViewId="0">
      <selection activeCell="W39" sqref="W39"/>
    </sheetView>
  </sheetViews>
  <sheetFormatPr defaultColWidth="11" defaultRowHeight="12.75"/>
  <cols>
    <col min="1" max="1" width="9.7109375" style="2" customWidth="1"/>
    <col min="2" max="2" width="8.7109375" style="2" customWidth="1"/>
    <col min="3" max="6" width="10.7109375" style="2" hidden="1" customWidth="1"/>
    <col min="7" max="8" width="10" style="2" hidden="1" customWidth="1"/>
    <col min="9" max="9" width="9.7109375" style="2" hidden="1" customWidth="1"/>
    <col min="10" max="10" width="13" style="2" hidden="1" customWidth="1"/>
    <col min="11" max="11" width="9.5703125" style="2" hidden="1" customWidth="1"/>
    <col min="12" max="12" width="12.7109375" style="2" hidden="1" customWidth="1"/>
    <col min="13" max="21" width="7.85546875" style="2" customWidth="1"/>
    <col min="22" max="22" width="7.140625" style="2" customWidth="1"/>
    <col min="23" max="23" width="10.28515625" style="2" customWidth="1"/>
    <col min="24" max="16384" width="11" style="2"/>
  </cols>
  <sheetData>
    <row r="1" spans="1:23">
      <c r="A1" s="1" t="s">
        <v>226</v>
      </c>
    </row>
    <row r="5" spans="1:23">
      <c r="A5" s="223" t="s">
        <v>902</v>
      </c>
      <c r="B5" s="221"/>
      <c r="C5" s="221"/>
      <c r="D5" s="221"/>
      <c r="E5" s="2" t="s">
        <v>142</v>
      </c>
    </row>
    <row r="6" spans="1:23">
      <c r="A6" s="233"/>
      <c r="B6" s="255"/>
      <c r="C6" s="120"/>
      <c r="D6" s="229"/>
      <c r="E6" s="229"/>
      <c r="F6" s="229"/>
      <c r="G6" s="229" t="s">
        <v>140</v>
      </c>
      <c r="H6" s="229"/>
      <c r="I6" s="229"/>
      <c r="J6" s="229"/>
      <c r="K6" s="229"/>
      <c r="L6" s="229"/>
      <c r="M6" s="229"/>
      <c r="N6" s="229"/>
      <c r="O6" s="229"/>
      <c r="P6" s="229"/>
      <c r="Q6" s="229"/>
      <c r="R6" s="229"/>
      <c r="S6" s="229"/>
      <c r="T6" s="229"/>
      <c r="U6" s="225"/>
      <c r="V6" s="220"/>
      <c r="W6" s="142"/>
    </row>
    <row r="7" spans="1:23">
      <c r="A7" s="233" t="s">
        <v>143</v>
      </c>
      <c r="B7" s="249"/>
      <c r="C7" s="221"/>
      <c r="D7" s="221"/>
      <c r="E7" s="221"/>
      <c r="F7" s="221"/>
      <c r="G7" s="221"/>
      <c r="H7" s="221"/>
      <c r="I7" s="221" t="s">
        <v>140</v>
      </c>
      <c r="J7" s="221"/>
      <c r="K7" s="221"/>
      <c r="L7" s="221"/>
      <c r="M7" s="221" t="s">
        <v>1157</v>
      </c>
      <c r="N7" s="221"/>
      <c r="O7" s="221"/>
      <c r="P7" s="221"/>
      <c r="Q7" s="221"/>
      <c r="R7" s="221"/>
      <c r="S7" s="221"/>
      <c r="T7" s="221"/>
      <c r="U7" s="461"/>
      <c r="V7" s="221" t="s">
        <v>903</v>
      </c>
      <c r="W7" s="138"/>
    </row>
    <row r="8" spans="1:23">
      <c r="A8" s="233"/>
      <c r="B8" s="262" t="s">
        <v>904</v>
      </c>
      <c r="C8" s="239" t="s">
        <v>144</v>
      </c>
      <c r="D8" s="239"/>
      <c r="E8" s="240" t="s">
        <v>905</v>
      </c>
      <c r="F8" s="240"/>
      <c r="G8" s="4982" t="s">
        <v>906</v>
      </c>
      <c r="H8" s="4983"/>
      <c r="I8" s="4982" t="s">
        <v>907</v>
      </c>
      <c r="J8" s="4984"/>
      <c r="K8" s="4982" t="s">
        <v>145</v>
      </c>
      <c r="L8" s="4984"/>
      <c r="M8" s="4985">
        <v>2000</v>
      </c>
      <c r="N8" s="4986"/>
      <c r="O8" s="4979">
        <v>2001</v>
      </c>
      <c r="P8" s="4980"/>
      <c r="Q8" s="4979">
        <v>2002</v>
      </c>
      <c r="R8" s="4981"/>
      <c r="S8" s="4977">
        <v>2003</v>
      </c>
      <c r="T8" s="4978"/>
      <c r="U8" s="516">
        <v>2004</v>
      </c>
      <c r="V8" s="221" t="s">
        <v>908</v>
      </c>
      <c r="W8" s="138"/>
    </row>
    <row r="9" spans="1:23">
      <c r="A9" s="233"/>
      <c r="B9" s="262" t="s">
        <v>909</v>
      </c>
      <c r="C9" s="221"/>
      <c r="D9" s="233"/>
      <c r="E9" s="234"/>
      <c r="F9" s="241"/>
      <c r="G9" s="241"/>
      <c r="H9" s="241"/>
      <c r="I9" s="241"/>
      <c r="J9" s="241"/>
      <c r="K9" s="241"/>
      <c r="L9" s="234"/>
      <c r="M9" s="237"/>
      <c r="N9" s="233"/>
      <c r="O9" s="226"/>
      <c r="P9" s="226"/>
      <c r="Q9" s="227"/>
      <c r="R9" s="222"/>
      <c r="S9" s="226"/>
      <c r="T9" s="221"/>
      <c r="U9" s="222"/>
      <c r="V9" s="221" t="s">
        <v>910</v>
      </c>
      <c r="W9" s="138"/>
    </row>
    <row r="10" spans="1:23">
      <c r="A10" s="242" t="s">
        <v>146</v>
      </c>
      <c r="B10" s="251"/>
      <c r="C10" s="230" t="s">
        <v>147</v>
      </c>
      <c r="D10" s="244" t="s">
        <v>186</v>
      </c>
      <c r="E10" s="230" t="s">
        <v>147</v>
      </c>
      <c r="F10" s="244" t="s">
        <v>186</v>
      </c>
      <c r="G10" s="230" t="s">
        <v>147</v>
      </c>
      <c r="H10" s="244" t="s">
        <v>186</v>
      </c>
      <c r="I10" s="230" t="s">
        <v>147</v>
      </c>
      <c r="J10" s="244" t="s">
        <v>186</v>
      </c>
      <c r="K10" s="245" t="s">
        <v>147</v>
      </c>
      <c r="L10" s="245" t="s">
        <v>186</v>
      </c>
      <c r="M10" s="484" t="s">
        <v>1158</v>
      </c>
      <c r="N10" s="484" t="s">
        <v>1159</v>
      </c>
      <c r="O10" s="484" t="s">
        <v>1158</v>
      </c>
      <c r="P10" s="484" t="s">
        <v>1159</v>
      </c>
      <c r="Q10" s="484" t="s">
        <v>1158</v>
      </c>
      <c r="R10" s="484" t="s">
        <v>1159</v>
      </c>
      <c r="S10" s="484" t="s">
        <v>1158</v>
      </c>
      <c r="T10" s="484" t="s">
        <v>1159</v>
      </c>
      <c r="U10" s="228" t="s">
        <v>1158</v>
      </c>
      <c r="V10" s="223" t="s">
        <v>911</v>
      </c>
      <c r="W10" s="224"/>
    </row>
    <row r="11" spans="1:23">
      <c r="A11" s="233" t="s">
        <v>142</v>
      </c>
      <c r="B11" s="263"/>
      <c r="C11" s="221"/>
      <c r="D11" s="221"/>
      <c r="E11" s="221"/>
      <c r="F11" s="221"/>
      <c r="G11" s="221"/>
      <c r="H11" s="221"/>
      <c r="I11" s="221"/>
      <c r="J11" s="221"/>
      <c r="K11" s="221"/>
      <c r="L11" s="221"/>
      <c r="M11" s="221"/>
      <c r="N11" s="221"/>
      <c r="O11" s="229"/>
      <c r="P11" s="221"/>
      <c r="Q11" s="221"/>
      <c r="R11" s="229"/>
      <c r="S11" s="229"/>
      <c r="T11" s="221"/>
      <c r="U11" s="225"/>
      <c r="V11" s="220"/>
      <c r="W11" s="142"/>
    </row>
    <row r="12" spans="1:23">
      <c r="A12" s="233"/>
      <c r="B12" s="263"/>
      <c r="C12" s="221"/>
      <c r="D12" s="221"/>
      <c r="E12" s="221"/>
      <c r="F12" s="221"/>
      <c r="G12" s="221"/>
      <c r="H12" s="221"/>
      <c r="I12" s="115"/>
      <c r="J12" s="221"/>
      <c r="K12" s="221"/>
      <c r="L12" s="221"/>
      <c r="M12" s="221" t="s">
        <v>149</v>
      </c>
      <c r="N12" s="221"/>
      <c r="O12" s="221"/>
      <c r="P12" s="221"/>
      <c r="Q12" s="221"/>
      <c r="R12" s="221"/>
      <c r="S12" s="221"/>
      <c r="T12" s="221"/>
      <c r="U12" s="227"/>
      <c r="V12" s="221"/>
      <c r="W12" s="138"/>
    </row>
    <row r="13" spans="1:23">
      <c r="A13" s="242" t="s">
        <v>142</v>
      </c>
      <c r="B13" s="137"/>
      <c r="C13" s="115"/>
      <c r="D13" s="223"/>
      <c r="E13" s="221"/>
      <c r="F13" s="221"/>
      <c r="G13" s="246" t="s">
        <v>149</v>
      </c>
      <c r="H13" s="221"/>
      <c r="I13" s="221"/>
      <c r="J13" s="221"/>
      <c r="K13" s="221"/>
      <c r="L13" s="221"/>
      <c r="M13" s="221"/>
      <c r="N13" s="221"/>
      <c r="O13" s="246"/>
      <c r="P13" s="221"/>
      <c r="Q13" s="221"/>
      <c r="R13" s="246"/>
      <c r="S13" s="246"/>
      <c r="T13" s="221"/>
      <c r="U13" s="461"/>
      <c r="V13" s="246"/>
      <c r="W13" s="140"/>
    </row>
    <row r="14" spans="1:23">
      <c r="A14" s="233" t="s">
        <v>150</v>
      </c>
      <c r="B14" s="264" t="s">
        <v>912</v>
      </c>
      <c r="C14" s="233">
        <v>367.7</v>
      </c>
      <c r="D14" s="233">
        <v>392.2</v>
      </c>
      <c r="E14" s="234">
        <v>407.8</v>
      </c>
      <c r="F14" s="220">
        <v>422.9</v>
      </c>
      <c r="G14" s="247">
        <v>423.1</v>
      </c>
      <c r="H14" s="241">
        <v>438.1</v>
      </c>
      <c r="I14" s="241">
        <v>465.3</v>
      </c>
      <c r="J14" s="241">
        <v>494.5</v>
      </c>
      <c r="K14" s="241">
        <v>508.09</v>
      </c>
      <c r="L14" s="236">
        <v>507.3</v>
      </c>
      <c r="M14" s="234">
        <v>511.2</v>
      </c>
      <c r="N14" s="248">
        <v>513.9</v>
      </c>
      <c r="O14" s="226">
        <v>515.5</v>
      </c>
      <c r="P14" s="222">
        <v>525.20000000000005</v>
      </c>
      <c r="Q14" s="222">
        <v>525.9</v>
      </c>
      <c r="R14" s="222">
        <v>535.6</v>
      </c>
      <c r="S14" s="226">
        <v>535</v>
      </c>
      <c r="T14" s="144">
        <v>536.1</v>
      </c>
      <c r="U14" s="225">
        <v>540.20000000000005</v>
      </c>
      <c r="V14" s="222"/>
      <c r="W14" s="138"/>
    </row>
    <row r="15" spans="1:23">
      <c r="A15" s="233" t="s">
        <v>151</v>
      </c>
      <c r="B15" s="264" t="s">
        <v>913</v>
      </c>
      <c r="C15" s="233">
        <v>532.20000000000005</v>
      </c>
      <c r="D15" s="233">
        <v>556.6</v>
      </c>
      <c r="E15" s="237">
        <v>566.29999999999995</v>
      </c>
      <c r="F15" s="221">
        <v>607.79999999999995</v>
      </c>
      <c r="G15" s="249">
        <v>646.20000000000005</v>
      </c>
      <c r="H15" s="250">
        <v>666.2</v>
      </c>
      <c r="I15" s="250">
        <v>694.4</v>
      </c>
      <c r="J15" s="250">
        <v>737.1</v>
      </c>
      <c r="K15" s="250">
        <v>757.92</v>
      </c>
      <c r="L15" s="221">
        <v>795.1</v>
      </c>
      <c r="M15" s="237">
        <v>825.2</v>
      </c>
      <c r="N15" s="233">
        <v>871.3</v>
      </c>
      <c r="O15" s="226">
        <v>891</v>
      </c>
      <c r="P15" s="226">
        <v>913.6</v>
      </c>
      <c r="Q15" s="226">
        <v>924</v>
      </c>
      <c r="R15" s="226">
        <v>938.7</v>
      </c>
      <c r="S15" s="226">
        <v>942.4</v>
      </c>
      <c r="T15" s="11">
        <v>967.9</v>
      </c>
      <c r="U15" s="227">
        <v>957.9</v>
      </c>
      <c r="V15" s="226"/>
      <c r="W15" s="138"/>
    </row>
    <row r="16" spans="1:23">
      <c r="A16" s="242" t="s">
        <v>152</v>
      </c>
      <c r="B16" s="265" t="s">
        <v>914</v>
      </c>
      <c r="C16" s="242">
        <v>413.2</v>
      </c>
      <c r="D16" s="242">
        <v>437.7</v>
      </c>
      <c r="E16" s="243">
        <v>451.7</v>
      </c>
      <c r="F16" s="223">
        <v>474.1</v>
      </c>
      <c r="G16" s="251">
        <v>484.9</v>
      </c>
      <c r="H16" s="252">
        <v>501.2</v>
      </c>
      <c r="I16" s="252">
        <v>528.70000000000005</v>
      </c>
      <c r="J16" s="252">
        <v>561.70000000000005</v>
      </c>
      <c r="K16" s="252">
        <v>577.27</v>
      </c>
      <c r="L16" s="242">
        <v>587</v>
      </c>
      <c r="M16" s="243">
        <v>598.1</v>
      </c>
      <c r="N16" s="253">
        <v>612.9</v>
      </c>
      <c r="O16" s="231">
        <v>619.5</v>
      </c>
      <c r="P16" s="231">
        <v>632.79999999999995</v>
      </c>
      <c r="Q16" s="231">
        <v>636.1</v>
      </c>
      <c r="R16" s="231">
        <v>647.20000000000005</v>
      </c>
      <c r="S16" s="226">
        <v>647.79999999999995</v>
      </c>
      <c r="T16" s="183">
        <v>655.7</v>
      </c>
      <c r="U16" s="461">
        <v>655.9</v>
      </c>
      <c r="V16" s="462"/>
      <c r="W16" s="138"/>
    </row>
    <row r="17" spans="1:24">
      <c r="A17" s="233" t="s">
        <v>142</v>
      </c>
      <c r="B17" s="264"/>
      <c r="C17" s="221"/>
      <c r="D17" s="221"/>
      <c r="E17" s="221"/>
      <c r="F17" s="221"/>
      <c r="G17" s="221"/>
      <c r="H17" s="221"/>
      <c r="I17" s="221"/>
      <c r="J17" s="221"/>
      <c r="K17" s="220"/>
      <c r="L17" s="221"/>
      <c r="M17" s="221"/>
      <c r="N17" s="221"/>
      <c r="O17" s="221"/>
      <c r="P17" s="221"/>
      <c r="Q17" s="221"/>
      <c r="R17" s="221"/>
      <c r="S17" s="229"/>
      <c r="T17" s="221"/>
      <c r="U17" s="225"/>
      <c r="V17" s="220"/>
      <c r="W17" s="143"/>
    </row>
    <row r="18" spans="1:24">
      <c r="A18" s="233"/>
      <c r="B18" s="264"/>
      <c r="C18" s="221"/>
      <c r="D18" s="221"/>
      <c r="E18" s="221"/>
      <c r="F18" s="221"/>
      <c r="G18" s="221"/>
      <c r="H18" s="221"/>
      <c r="I18" s="115"/>
      <c r="J18" s="221"/>
      <c r="K18" s="221"/>
      <c r="L18" s="221"/>
      <c r="M18" s="221" t="s">
        <v>194</v>
      </c>
      <c r="N18" s="221"/>
      <c r="O18" s="221"/>
      <c r="P18" s="221"/>
      <c r="Q18" s="221"/>
      <c r="R18" s="221"/>
      <c r="S18" s="221"/>
      <c r="T18" s="221"/>
      <c r="U18" s="227"/>
      <c r="V18" s="261" t="s">
        <v>147</v>
      </c>
      <c r="W18" s="181" t="s">
        <v>186</v>
      </c>
    </row>
    <row r="19" spans="1:24">
      <c r="A19" s="242" t="s">
        <v>142</v>
      </c>
      <c r="B19" s="254"/>
      <c r="C19" s="115"/>
      <c r="D19" s="223"/>
      <c r="E19" s="221"/>
      <c r="F19" s="221"/>
      <c r="G19" s="246" t="s">
        <v>194</v>
      </c>
      <c r="H19" s="221"/>
      <c r="I19" s="221"/>
      <c r="J19" s="221"/>
      <c r="K19" s="223"/>
      <c r="L19" s="221"/>
      <c r="M19" s="221"/>
      <c r="N19" s="221"/>
      <c r="O19" s="221"/>
      <c r="P19" s="221"/>
      <c r="Q19" s="221"/>
      <c r="R19" s="221"/>
      <c r="S19" s="246"/>
      <c r="T19" s="221"/>
      <c r="U19" s="464"/>
      <c r="V19" s="230" t="s">
        <v>1123</v>
      </c>
      <c r="W19" s="139" t="s">
        <v>1124</v>
      </c>
    </row>
    <row r="20" spans="1:24">
      <c r="A20" s="233" t="s">
        <v>150</v>
      </c>
      <c r="B20" s="264" t="s">
        <v>912</v>
      </c>
      <c r="C20" s="233">
        <v>7.3</v>
      </c>
      <c r="D20" s="233">
        <v>12.7</v>
      </c>
      <c r="E20" s="234">
        <v>10.9</v>
      </c>
      <c r="F20" s="220">
        <v>7.8</v>
      </c>
      <c r="G20" s="255">
        <v>3.8</v>
      </c>
      <c r="H20" s="256">
        <f t="shared" ref="H20:U22" si="0">(H14-F14)/F14*100</f>
        <v>3.5942303144951637</v>
      </c>
      <c r="I20" s="256">
        <f t="shared" si="0"/>
        <v>9.9740014181044643</v>
      </c>
      <c r="J20" s="256">
        <f t="shared" si="0"/>
        <v>12.87377311116183</v>
      </c>
      <c r="K20" s="257">
        <f t="shared" si="0"/>
        <v>9.1962174940898276</v>
      </c>
      <c r="L20" s="257">
        <f t="shared" si="0"/>
        <v>2.5884732052578387</v>
      </c>
      <c r="M20" s="257">
        <f t="shared" si="0"/>
        <v>0.6120962821547391</v>
      </c>
      <c r="N20" s="257">
        <f t="shared" si="0"/>
        <v>1.3010053222944935</v>
      </c>
      <c r="O20" s="257">
        <f t="shared" si="0"/>
        <v>0.84115805946792088</v>
      </c>
      <c r="P20" s="257">
        <f t="shared" si="0"/>
        <v>2.198871375754051</v>
      </c>
      <c r="Q20" s="257">
        <f t="shared" si="0"/>
        <v>2.0174587778855435</v>
      </c>
      <c r="R20" s="257">
        <f t="shared" si="0"/>
        <v>1.9801980198019757</v>
      </c>
      <c r="S20" s="185">
        <f t="shared" si="0"/>
        <v>1.7303669899220429</v>
      </c>
      <c r="T20" s="266">
        <f t="shared" si="0"/>
        <v>9.3353248693054516E-2</v>
      </c>
      <c r="U20" s="266">
        <f t="shared" si="0"/>
        <v>0.97196261682243845</v>
      </c>
      <c r="V20" s="220">
        <v>7.2</v>
      </c>
      <c r="W20" s="143">
        <v>7.2</v>
      </c>
      <c r="X20" s="2">
        <f>((S20-R20)/R20)*100</f>
        <v>-12.616467008936638</v>
      </c>
    </row>
    <row r="21" spans="1:24">
      <c r="A21" s="233" t="s">
        <v>151</v>
      </c>
      <c r="B21" s="264" t="s">
        <v>913</v>
      </c>
      <c r="C21" s="233">
        <v>9.8000000000000007</v>
      </c>
      <c r="D21" s="233">
        <v>7.2</v>
      </c>
      <c r="E21" s="237">
        <v>6.4</v>
      </c>
      <c r="F21" s="221">
        <v>9.1999999999999993</v>
      </c>
      <c r="G21" s="249">
        <v>14.1</v>
      </c>
      <c r="H21" s="258">
        <f t="shared" si="0"/>
        <v>9.6084238236262074</v>
      </c>
      <c r="I21" s="258">
        <f t="shared" si="0"/>
        <v>7.458991024450623</v>
      </c>
      <c r="J21" s="258">
        <f t="shared" si="0"/>
        <v>10.642449714800357</v>
      </c>
      <c r="K21" s="182">
        <f t="shared" si="0"/>
        <v>9.147465437788016</v>
      </c>
      <c r="L21" s="182">
        <f t="shared" si="0"/>
        <v>7.8686745353412029</v>
      </c>
      <c r="M21" s="182">
        <f t="shared" si="0"/>
        <v>8.8769263246780774</v>
      </c>
      <c r="N21" s="182">
        <f t="shared" si="0"/>
        <v>9.5837001635014385</v>
      </c>
      <c r="O21" s="182">
        <f t="shared" si="0"/>
        <v>7.9738245273872934</v>
      </c>
      <c r="P21" s="182">
        <f t="shared" si="0"/>
        <v>4.8548146447836649</v>
      </c>
      <c r="Q21" s="182">
        <f t="shared" si="0"/>
        <v>3.7037037037037033</v>
      </c>
      <c r="R21" s="182">
        <f t="shared" si="0"/>
        <v>2.7473730297723318</v>
      </c>
      <c r="S21" s="185">
        <f t="shared" si="0"/>
        <v>1.991341991341989</v>
      </c>
      <c r="T21" s="185">
        <f t="shared" si="0"/>
        <v>3.1106849898796134</v>
      </c>
      <c r="U21" s="185">
        <f t="shared" si="0"/>
        <v>1.6447368421052631</v>
      </c>
      <c r="V21" s="221">
        <v>9.4</v>
      </c>
      <c r="W21" s="135">
        <v>9.9</v>
      </c>
      <c r="X21" s="2">
        <f>((S21-R21)/R21)*100</f>
        <v>-27.518324968524325</v>
      </c>
    </row>
    <row r="22" spans="1:24">
      <c r="A22" s="242" t="s">
        <v>152</v>
      </c>
      <c r="B22" s="267" t="s">
        <v>914</v>
      </c>
      <c r="C22" s="253">
        <v>8.1999999999999993</v>
      </c>
      <c r="D22" s="253">
        <v>10.7</v>
      </c>
      <c r="E22" s="268">
        <v>9.3000000000000007</v>
      </c>
      <c r="F22" s="246">
        <v>8.3000000000000007</v>
      </c>
      <c r="G22" s="269">
        <v>7.4</v>
      </c>
      <c r="H22" s="270">
        <f t="shared" si="0"/>
        <v>5.7160936511284461</v>
      </c>
      <c r="I22" s="270">
        <f t="shared" si="0"/>
        <v>9.0327902660342474</v>
      </c>
      <c r="J22" s="270">
        <f t="shared" si="0"/>
        <v>12.071029529130099</v>
      </c>
      <c r="K22" s="186">
        <f t="shared" si="0"/>
        <v>9.1866843200302508</v>
      </c>
      <c r="L22" s="186">
        <f t="shared" si="0"/>
        <v>4.5041837279686581</v>
      </c>
      <c r="M22" s="186">
        <f t="shared" si="0"/>
        <v>3.6083635040795543</v>
      </c>
      <c r="N22" s="186">
        <f t="shared" si="0"/>
        <v>4.4122657580919888</v>
      </c>
      <c r="O22" s="186">
        <f t="shared" si="0"/>
        <v>3.577996990469817</v>
      </c>
      <c r="P22" s="186">
        <f t="shared" si="0"/>
        <v>3.2468591939957538</v>
      </c>
      <c r="Q22" s="186">
        <f t="shared" si="0"/>
        <v>2.6795803066989548</v>
      </c>
      <c r="R22" s="186">
        <f t="shared" si="0"/>
        <v>2.2756005056890158</v>
      </c>
      <c r="S22" s="232">
        <f t="shared" si="0"/>
        <v>1.8393334381386466</v>
      </c>
      <c r="T22" s="232">
        <f t="shared" si="0"/>
        <v>1.3133498145859084</v>
      </c>
      <c r="U22" s="232">
        <v>1.2</v>
      </c>
      <c r="V22" s="223">
        <v>8</v>
      </c>
      <c r="W22" s="141">
        <v>8.1999999999999993</v>
      </c>
    </row>
    <row r="23" spans="1:24" hidden="1">
      <c r="A23" s="233" t="s">
        <v>142</v>
      </c>
      <c r="B23" s="233"/>
      <c r="C23" s="235"/>
      <c r="D23" s="235"/>
      <c r="E23" s="235"/>
      <c r="F23" s="235"/>
      <c r="G23" s="235"/>
      <c r="H23" s="235"/>
      <c r="I23" s="235"/>
      <c r="J23" s="235"/>
      <c r="K23" s="235"/>
      <c r="L23" s="235"/>
      <c r="M23" s="235"/>
      <c r="N23" s="235"/>
      <c r="O23" s="235"/>
      <c r="P23" s="235"/>
      <c r="Q23" s="235"/>
      <c r="R23" s="235"/>
      <c r="S23" s="235"/>
      <c r="T23" s="235"/>
      <c r="U23" s="235"/>
      <c r="V23" s="233"/>
      <c r="W23" s="138"/>
    </row>
    <row r="24" spans="1:24" hidden="1">
      <c r="A24" s="233"/>
      <c r="B24" s="233"/>
      <c r="C24" s="235"/>
      <c r="D24" s="235"/>
      <c r="E24" s="235"/>
      <c r="F24" s="235"/>
      <c r="G24" s="235"/>
      <c r="H24" s="235"/>
      <c r="I24" s="235"/>
      <c r="J24" s="235"/>
      <c r="K24" s="235"/>
      <c r="L24" s="235"/>
      <c r="M24" s="235"/>
      <c r="N24" s="235"/>
      <c r="O24" s="235"/>
      <c r="P24" s="235"/>
      <c r="Q24" s="235"/>
      <c r="R24" s="235"/>
      <c r="S24" s="235"/>
      <c r="T24" s="235"/>
      <c r="U24" s="235"/>
      <c r="V24" s="233"/>
      <c r="W24" s="138"/>
    </row>
    <row r="25" spans="1:24" hidden="1">
      <c r="A25" s="242" t="s">
        <v>142</v>
      </c>
      <c r="B25" s="137"/>
      <c r="D25" s="223"/>
      <c r="E25" s="235"/>
      <c r="F25" s="235"/>
      <c r="G25" s="246" t="s">
        <v>919</v>
      </c>
      <c r="H25" s="235"/>
      <c r="I25" s="235"/>
      <c r="J25" s="235"/>
      <c r="K25" s="235"/>
      <c r="L25" s="235"/>
      <c r="M25" s="235"/>
      <c r="N25" s="235"/>
      <c r="O25" s="235"/>
      <c r="P25" s="235"/>
      <c r="Q25" s="235"/>
      <c r="R25" s="235"/>
      <c r="S25" s="235"/>
      <c r="T25" s="235"/>
      <c r="U25" s="235"/>
      <c r="V25" s="233" t="s">
        <v>915</v>
      </c>
      <c r="W25" s="224"/>
    </row>
    <row r="26" spans="1:24" hidden="1">
      <c r="A26" s="233" t="s">
        <v>150</v>
      </c>
      <c r="B26" s="238" t="s">
        <v>912</v>
      </c>
      <c r="C26" s="237">
        <v>5.7</v>
      </c>
      <c r="D26" s="237">
        <v>6.7</v>
      </c>
      <c r="E26" s="234">
        <v>4</v>
      </c>
      <c r="F26" s="234">
        <v>3.7</v>
      </c>
      <c r="G26" s="234">
        <v>0.1</v>
      </c>
      <c r="H26" s="234">
        <f t="shared" ref="H26:Q28" si="1">(H14-G14)/G14*100</f>
        <v>3.5452611675726775</v>
      </c>
      <c r="I26" s="234">
        <f t="shared" si="1"/>
        <v>6.2086281670851378</v>
      </c>
      <c r="J26" s="234">
        <f t="shared" si="1"/>
        <v>6.2755211691381874</v>
      </c>
      <c r="K26" s="234">
        <f t="shared" si="1"/>
        <v>2.7482305358948382</v>
      </c>
      <c r="L26" s="234">
        <f t="shared" si="1"/>
        <v>-0.15548426459878439</v>
      </c>
      <c r="M26" s="234">
        <f t="shared" si="1"/>
        <v>0.7687758722649275</v>
      </c>
      <c r="N26" s="234">
        <f t="shared" si="1"/>
        <v>0.5281690140845049</v>
      </c>
      <c r="O26" s="234">
        <f t="shared" si="1"/>
        <v>0.3113446195757974</v>
      </c>
      <c r="P26" s="234">
        <f t="shared" si="1"/>
        <v>1.8816682832201832</v>
      </c>
      <c r="Q26" s="234">
        <f t="shared" si="1"/>
        <v>0.13328255902512029</v>
      </c>
      <c r="R26" s="236"/>
      <c r="S26" s="236"/>
      <c r="T26" s="236"/>
      <c r="U26" s="236"/>
      <c r="V26" s="236">
        <v>7.5</v>
      </c>
      <c r="W26" s="138"/>
    </row>
    <row r="27" spans="1:24" hidden="1">
      <c r="A27" s="233" t="s">
        <v>151</v>
      </c>
      <c r="B27" s="238" t="s">
        <v>913</v>
      </c>
      <c r="C27" s="237">
        <v>2.5</v>
      </c>
      <c r="D27" s="237">
        <v>4.5999999999999996</v>
      </c>
      <c r="E27" s="237">
        <v>1.7</v>
      </c>
      <c r="F27" s="237">
        <v>7.3</v>
      </c>
      <c r="G27" s="237">
        <v>6.3</v>
      </c>
      <c r="H27" s="237">
        <f t="shared" si="1"/>
        <v>3.0950170225936242</v>
      </c>
      <c r="I27" s="237">
        <f t="shared" si="1"/>
        <v>4.232963074151896</v>
      </c>
      <c r="J27" s="237">
        <f t="shared" si="1"/>
        <v>6.1491935483871041</v>
      </c>
      <c r="K27" s="237">
        <f t="shared" si="1"/>
        <v>2.8245828245828157</v>
      </c>
      <c r="L27" s="237">
        <f t="shared" si="1"/>
        <v>4.9055309267468949</v>
      </c>
      <c r="M27" s="237">
        <f t="shared" si="1"/>
        <v>3.7856873349264268</v>
      </c>
      <c r="N27" s="237">
        <f t="shared" si="1"/>
        <v>5.5865244789141917</v>
      </c>
      <c r="O27" s="237">
        <f t="shared" si="1"/>
        <v>2.2609893262940486</v>
      </c>
      <c r="P27" s="237">
        <f t="shared" si="1"/>
        <v>2.5364758698092058</v>
      </c>
      <c r="Q27" s="237">
        <f t="shared" si="1"/>
        <v>1.1383537653239904</v>
      </c>
      <c r="R27" s="233"/>
      <c r="S27" s="233"/>
      <c r="T27" s="233"/>
      <c r="U27" s="233"/>
      <c r="V27" s="233">
        <v>10.1</v>
      </c>
      <c r="W27" s="138"/>
    </row>
    <row r="28" spans="1:24" hidden="1">
      <c r="A28" s="242" t="s">
        <v>152</v>
      </c>
      <c r="B28" s="259" t="s">
        <v>914</v>
      </c>
      <c r="C28" s="243">
        <v>4.5</v>
      </c>
      <c r="D28" s="243">
        <v>5.9</v>
      </c>
      <c r="E28" s="243">
        <v>3.2</v>
      </c>
      <c r="F28" s="243">
        <v>5</v>
      </c>
      <c r="G28" s="243">
        <v>2.2999999999999998</v>
      </c>
      <c r="H28" s="243">
        <f t="shared" si="1"/>
        <v>3.3615178387296378</v>
      </c>
      <c r="I28" s="243">
        <f t="shared" si="1"/>
        <v>5.4868316041500513</v>
      </c>
      <c r="J28" s="243">
        <f t="shared" si="1"/>
        <v>6.2417249858142609</v>
      </c>
      <c r="K28" s="243">
        <f t="shared" si="1"/>
        <v>2.771942317963314</v>
      </c>
      <c r="L28" s="243">
        <f t="shared" si="1"/>
        <v>1.6855197741091721</v>
      </c>
      <c r="M28" s="243">
        <f t="shared" si="1"/>
        <v>1.8909710391822865</v>
      </c>
      <c r="N28" s="243">
        <f t="shared" si="1"/>
        <v>2.4745025915398684</v>
      </c>
      <c r="O28" s="243">
        <f t="shared" si="1"/>
        <v>1.0768477728830188</v>
      </c>
      <c r="P28" s="243">
        <f t="shared" si="1"/>
        <v>2.1468926553672243</v>
      </c>
      <c r="Q28" s="243">
        <f t="shared" si="1"/>
        <v>0.52149178255374029</v>
      </c>
      <c r="R28" s="242"/>
      <c r="S28" s="242"/>
      <c r="T28" s="242"/>
      <c r="U28" s="242"/>
      <c r="V28" s="242">
        <v>8.4</v>
      </c>
      <c r="W28" s="224"/>
    </row>
    <row r="29" spans="1:24" hidden="1">
      <c r="A29" s="2" t="s">
        <v>142</v>
      </c>
      <c r="E29" s="2" t="s">
        <v>142</v>
      </c>
    </row>
    <row r="31" spans="1:24">
      <c r="A31" s="235" t="s">
        <v>1160</v>
      </c>
      <c r="B31" s="3"/>
      <c r="C31" s="3"/>
      <c r="D31" s="3"/>
    </row>
    <row r="32" spans="1:24">
      <c r="A32" s="3"/>
      <c r="B32" s="3"/>
      <c r="C32" s="3"/>
      <c r="D32" s="3"/>
    </row>
    <row r="33" spans="1:22">
      <c r="A33" s="2" t="s">
        <v>920</v>
      </c>
      <c r="U33" s="463">
        <f>((U16/S16)-1)*100</f>
        <v>1.2503859215807323</v>
      </c>
      <c r="V33" s="2" t="s">
        <v>1125</v>
      </c>
    </row>
    <row r="34" spans="1:22">
      <c r="A34" s="260" t="s">
        <v>921</v>
      </c>
      <c r="B34" s="260"/>
      <c r="C34" s="260"/>
      <c r="D34" s="260"/>
      <c r="E34" s="260"/>
      <c r="F34" s="260"/>
      <c r="G34" s="260"/>
      <c r="H34" s="260"/>
      <c r="I34" s="260"/>
      <c r="J34" s="260"/>
      <c r="K34" s="260"/>
      <c r="L34" s="260"/>
    </row>
  </sheetData>
  <mergeCells count="7">
    <mergeCell ref="S8:T8"/>
    <mergeCell ref="O8:P8"/>
    <mergeCell ref="Q8:R8"/>
    <mergeCell ref="G8:H8"/>
    <mergeCell ref="I8:J8"/>
    <mergeCell ref="K8:L8"/>
    <mergeCell ref="M8:N8"/>
  </mergeCells>
  <phoneticPr fontId="0" type="noConversion"/>
  <pageMargins left="0.75" right="0.75" top="1" bottom="1"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sheetPr codeName="Sheet47"/>
  <dimension ref="A1:AP122"/>
  <sheetViews>
    <sheetView zoomScale="75" zoomScaleNormal="50" workbookViewId="0">
      <pane xSplit="1" ySplit="7" topLeftCell="D8" activePane="bottomRight" state="frozen"/>
      <selection pane="topRight" activeCell="B1" sqref="B1"/>
      <selection pane="bottomLeft" activeCell="A8" sqref="A8"/>
      <selection pane="bottomRight" activeCell="E32" sqref="E32"/>
    </sheetView>
  </sheetViews>
  <sheetFormatPr defaultRowHeight="15"/>
  <cols>
    <col min="1" max="1" width="23.28515625" style="5" customWidth="1"/>
    <col min="2" max="8" width="11.140625" style="5" customWidth="1"/>
    <col min="9" max="9" width="13.7109375" style="5" customWidth="1"/>
    <col min="10" max="12" width="13.42578125" style="5" customWidth="1"/>
    <col min="13" max="13" width="17.28515625" style="5" customWidth="1"/>
    <col min="14" max="14" width="18.140625" style="5" bestFit="1" customWidth="1"/>
    <col min="15" max="16" width="11.85546875" style="5" bestFit="1" customWidth="1"/>
    <col min="17" max="39" width="9.140625" style="5"/>
    <col min="40" max="40" width="28.5703125" style="5" customWidth="1"/>
    <col min="41" max="41" width="16" style="5" customWidth="1"/>
    <col min="42" max="42" width="17.140625" style="5" customWidth="1"/>
    <col min="43" max="16384" width="9.140625" style="5"/>
  </cols>
  <sheetData>
    <row r="1" spans="1:42">
      <c r="A1" s="35" t="s">
        <v>400</v>
      </c>
    </row>
    <row r="3" spans="1:42">
      <c r="A3" s="30" t="s">
        <v>153</v>
      </c>
    </row>
    <row r="4" spans="1:42">
      <c r="AN4" s="5" t="s">
        <v>467</v>
      </c>
    </row>
    <row r="5" spans="1:42">
      <c r="A5" s="20"/>
      <c r="B5" s="39" t="s">
        <v>291</v>
      </c>
      <c r="C5" s="40"/>
      <c r="D5" s="40"/>
      <c r="E5" s="40"/>
      <c r="F5" s="39" t="s">
        <v>291</v>
      </c>
      <c r="G5" s="40"/>
      <c r="H5" s="41"/>
      <c r="I5" s="40"/>
      <c r="J5" s="42"/>
      <c r="K5" s="9"/>
      <c r="L5" s="9"/>
      <c r="AO5" s="5" t="s">
        <v>469</v>
      </c>
      <c r="AP5" s="5" t="s">
        <v>470</v>
      </c>
    </row>
    <row r="6" spans="1:42">
      <c r="A6" s="12"/>
      <c r="B6" s="32"/>
      <c r="C6" s="32"/>
      <c r="D6" s="32"/>
      <c r="E6" s="32"/>
      <c r="F6" s="32"/>
      <c r="G6" s="32"/>
      <c r="H6" s="43"/>
      <c r="I6" s="32"/>
      <c r="J6" s="1212" t="s">
        <v>634</v>
      </c>
      <c r="K6" s="1213" t="s">
        <v>609</v>
      </c>
      <c r="L6" s="1213" t="s">
        <v>877</v>
      </c>
      <c r="M6" s="1214" t="s">
        <v>267</v>
      </c>
      <c r="N6" s="1215" t="s">
        <v>268</v>
      </c>
      <c r="AN6" s="5" t="s">
        <v>468</v>
      </c>
    </row>
    <row r="7" spans="1:42" ht="15.75">
      <c r="A7" s="23" t="s">
        <v>292</v>
      </c>
      <c r="B7" s="23" t="s">
        <v>159</v>
      </c>
      <c r="C7" s="23" t="s">
        <v>160</v>
      </c>
      <c r="D7" s="23" t="s">
        <v>237</v>
      </c>
      <c r="E7" s="23" t="s">
        <v>293</v>
      </c>
      <c r="F7" s="23" t="s">
        <v>294</v>
      </c>
      <c r="G7" s="14" t="s">
        <v>240</v>
      </c>
      <c r="H7" s="14" t="s">
        <v>241</v>
      </c>
      <c r="I7" s="44" t="s">
        <v>195</v>
      </c>
      <c r="J7" s="1216"/>
      <c r="K7" s="23"/>
      <c r="L7" s="1218" t="s">
        <v>269</v>
      </c>
      <c r="M7" s="1217" t="s">
        <v>270</v>
      </c>
      <c r="N7" s="1217" t="s">
        <v>271</v>
      </c>
      <c r="AN7" s="5" t="s">
        <v>457</v>
      </c>
    </row>
    <row r="8" spans="1:42">
      <c r="A8" s="32"/>
      <c r="B8" s="32"/>
      <c r="C8" s="32"/>
      <c r="D8" s="32"/>
      <c r="E8" s="32"/>
      <c r="F8" s="32"/>
      <c r="G8" s="32"/>
      <c r="H8" s="45"/>
      <c r="I8" s="12"/>
      <c r="J8" s="26"/>
      <c r="K8" s="9"/>
      <c r="L8" s="9"/>
    </row>
    <row r="9" spans="1:42">
      <c r="A9" s="12" t="s">
        <v>295</v>
      </c>
      <c r="B9" s="46">
        <v>1666.3</v>
      </c>
      <c r="C9" s="46">
        <v>1877.4</v>
      </c>
      <c r="D9" s="46">
        <v>2127.6999999999998</v>
      </c>
      <c r="E9" s="46">
        <v>2424.4</v>
      </c>
      <c r="F9" s="46">
        <v>3133</v>
      </c>
      <c r="G9" s="46">
        <f>SUM(G11:G15)</f>
        <v>3656.8779999999997</v>
      </c>
      <c r="H9" s="46">
        <f>SUM(H11:H15)</f>
        <v>4585.3989999999994</v>
      </c>
      <c r="I9" s="46">
        <f>SUM(I11:I15)</f>
        <v>4975.75</v>
      </c>
      <c r="J9" s="103">
        <f>SUM(J11:J15)</f>
        <v>5078.1970000000001</v>
      </c>
      <c r="K9" s="1191">
        <f>SUM(K11:K15)</f>
        <v>4785.26</v>
      </c>
      <c r="L9" s="1191">
        <f>L15+L13+L11</f>
        <v>5746.5670000000009</v>
      </c>
      <c r="M9" s="1192">
        <f>M11+M13+M15</f>
        <v>7036</v>
      </c>
      <c r="N9" s="1193">
        <f>N11+N13+N15</f>
        <v>7148.4859999999999</v>
      </c>
      <c r="O9" s="5" t="s">
        <v>296</v>
      </c>
      <c r="AN9" s="5" t="s">
        <v>471</v>
      </c>
    </row>
    <row r="10" spans="1:42">
      <c r="A10" s="12"/>
      <c r="B10" s="46"/>
      <c r="C10" s="46"/>
      <c r="D10" s="46"/>
      <c r="E10" s="46"/>
      <c r="F10" s="46"/>
      <c r="G10" s="46"/>
      <c r="H10" s="47"/>
      <c r="I10" s="46"/>
      <c r="J10" s="1192"/>
      <c r="K10" s="1191"/>
      <c r="L10" s="1194"/>
      <c r="M10" s="1192"/>
      <c r="N10" s="1193"/>
      <c r="AN10" s="5" t="s">
        <v>451</v>
      </c>
    </row>
    <row r="11" spans="1:42">
      <c r="A11" s="12" t="s">
        <v>297</v>
      </c>
      <c r="B11" s="46">
        <v>503.3</v>
      </c>
      <c r="C11" s="46">
        <v>649.79999999999995</v>
      </c>
      <c r="D11" s="46">
        <v>844.2</v>
      </c>
      <c r="E11" s="46">
        <v>868.9</v>
      </c>
      <c r="F11" s="46">
        <v>1246.4000000000001</v>
      </c>
      <c r="G11" s="46">
        <v>1265.82</v>
      </c>
      <c r="H11" s="46">
        <v>1977.076</v>
      </c>
      <c r="I11" s="46">
        <v>1916.9169999999999</v>
      </c>
      <c r="J11" s="103">
        <v>2675.5540000000001</v>
      </c>
      <c r="K11" s="1191">
        <v>2928.2979999999998</v>
      </c>
      <c r="L11" s="1194">
        <v>2689.8960000000002</v>
      </c>
      <c r="M11" s="1191">
        <v>3447</v>
      </c>
      <c r="N11" s="1195">
        <v>3766.1990000000001</v>
      </c>
    </row>
    <row r="12" spans="1:42">
      <c r="A12" s="12"/>
      <c r="B12" s="46"/>
      <c r="C12" s="46"/>
      <c r="D12" s="46"/>
      <c r="E12" s="46"/>
      <c r="F12" s="46"/>
      <c r="G12" s="46"/>
      <c r="H12" s="46"/>
      <c r="I12" s="46"/>
      <c r="J12" s="103"/>
      <c r="K12" s="1191"/>
      <c r="L12" s="1194"/>
      <c r="M12" s="1196"/>
      <c r="N12" s="1197"/>
    </row>
    <row r="13" spans="1:42">
      <c r="A13" s="12" t="s">
        <v>298</v>
      </c>
      <c r="B13" s="46">
        <v>1064.9000000000001</v>
      </c>
      <c r="C13" s="46">
        <v>1032.0999999999999</v>
      </c>
      <c r="D13" s="46">
        <v>1086.9000000000001</v>
      </c>
      <c r="E13" s="46">
        <v>1204.0999999999999</v>
      </c>
      <c r="F13" s="46">
        <v>1743.4</v>
      </c>
      <c r="G13" s="46">
        <v>2219.96</v>
      </c>
      <c r="H13" s="46">
        <v>2355.5259999999998</v>
      </c>
      <c r="I13" s="46">
        <v>2704.8530000000001</v>
      </c>
      <c r="J13" s="103">
        <v>2376.1320000000001</v>
      </c>
      <c r="K13" s="1191">
        <v>1833.5989999999999</v>
      </c>
      <c r="L13" s="1194">
        <v>2365.299</v>
      </c>
      <c r="M13" s="1191">
        <v>3194</v>
      </c>
      <c r="N13" s="1195">
        <v>3039.721</v>
      </c>
    </row>
    <row r="14" spans="1:42">
      <c r="A14" s="12"/>
      <c r="B14" s="46"/>
      <c r="C14" s="46"/>
      <c r="D14" s="46"/>
      <c r="E14" s="46"/>
      <c r="F14" s="46"/>
      <c r="G14" s="46"/>
      <c r="H14" s="46"/>
      <c r="I14" s="46"/>
      <c r="J14" s="103"/>
      <c r="K14" s="1192"/>
      <c r="L14" s="1194"/>
      <c r="M14" s="1192"/>
      <c r="N14" s="1193"/>
    </row>
    <row r="15" spans="1:42">
      <c r="A15" s="23" t="s">
        <v>299</v>
      </c>
      <c r="B15" s="48">
        <v>98.1</v>
      </c>
      <c r="C15" s="49">
        <v>195.5</v>
      </c>
      <c r="D15" s="49">
        <v>196.6</v>
      </c>
      <c r="E15" s="49">
        <v>351.4</v>
      </c>
      <c r="F15" s="49">
        <v>143.19999999999999</v>
      </c>
      <c r="G15" s="49">
        <f>61.71+109.388</f>
        <v>171.09800000000001</v>
      </c>
      <c r="H15" s="49">
        <f>204.262+48.535</f>
        <v>252.797</v>
      </c>
      <c r="I15" s="50">
        <f>304.219+49.761</f>
        <v>353.98</v>
      </c>
      <c r="J15" s="1198">
        <f>48.34-21.829</f>
        <v>26.511000000000003</v>
      </c>
      <c r="K15" s="1199">
        <v>23.363</v>
      </c>
      <c r="L15" s="1200">
        <f>22.378+668.994</f>
        <v>691.37200000000007</v>
      </c>
      <c r="M15" s="1198">
        <v>395</v>
      </c>
      <c r="N15" s="1201">
        <v>342.56599999999997</v>
      </c>
    </row>
    <row r="16" spans="1:42">
      <c r="A16" s="12"/>
      <c r="B16" s="46"/>
      <c r="C16" s="46"/>
      <c r="D16" s="46"/>
      <c r="E16" s="46"/>
      <c r="F16" s="46"/>
      <c r="G16" s="46"/>
      <c r="H16" s="46"/>
      <c r="I16" s="46"/>
      <c r="J16" s="103"/>
      <c r="K16" s="1192"/>
      <c r="L16" s="1194"/>
      <c r="M16" s="1192"/>
      <c r="N16" s="1193"/>
    </row>
    <row r="17" spans="1:18">
      <c r="A17" s="12" t="s">
        <v>300</v>
      </c>
      <c r="B17" s="46">
        <v>1456.3</v>
      </c>
      <c r="C17" s="46">
        <v>1773.2</v>
      </c>
      <c r="D17" s="46">
        <v>2363.6</v>
      </c>
      <c r="E17" s="46">
        <v>2232.1</v>
      </c>
      <c r="F17" s="46">
        <v>1816.3</v>
      </c>
      <c r="G17" s="46">
        <f>SUM(G19:G21)</f>
        <v>3262.58</v>
      </c>
      <c r="H17" s="46">
        <f t="shared" ref="H17:N17" si="0">H19+H21</f>
        <v>3274.1320000000001</v>
      </c>
      <c r="I17" s="46">
        <f t="shared" si="0"/>
        <v>3710.9940000000001</v>
      </c>
      <c r="J17" s="1194">
        <f t="shared" si="0"/>
        <v>3748.5150000000003</v>
      </c>
      <c r="K17" s="1194">
        <f t="shared" si="0"/>
        <v>2269.0860000000002</v>
      </c>
      <c r="L17" s="1194">
        <f t="shared" si="0"/>
        <v>5367.3779999999997</v>
      </c>
      <c r="M17" s="1191">
        <f t="shared" si="0"/>
        <v>5033</v>
      </c>
      <c r="N17" s="1195">
        <f t="shared" si="0"/>
        <v>6385.6130000000003</v>
      </c>
    </row>
    <row r="18" spans="1:18">
      <c r="A18" s="12"/>
      <c r="B18" s="46"/>
      <c r="C18" s="46"/>
      <c r="D18" s="46"/>
      <c r="E18" s="46"/>
      <c r="F18" s="46"/>
      <c r="G18" s="46"/>
      <c r="H18" s="46"/>
      <c r="I18" s="46"/>
      <c r="J18" s="1194"/>
      <c r="K18" s="1192"/>
      <c r="L18" s="1194"/>
      <c r="M18" s="1192"/>
      <c r="N18" s="1193"/>
    </row>
    <row r="19" spans="1:18">
      <c r="A19" s="12" t="s">
        <v>301</v>
      </c>
      <c r="B19" s="46">
        <v>607.5</v>
      </c>
      <c r="C19" s="46">
        <v>728</v>
      </c>
      <c r="D19" s="46">
        <v>1168.9000000000001</v>
      </c>
      <c r="E19" s="46">
        <v>947.6</v>
      </c>
      <c r="F19" s="46">
        <v>1045.0999999999999</v>
      </c>
      <c r="G19" s="46">
        <v>1928.51</v>
      </c>
      <c r="H19" s="46">
        <v>1927.057</v>
      </c>
      <c r="I19" s="46">
        <v>2551.2350000000001</v>
      </c>
      <c r="J19" s="1194">
        <v>2531.7910000000002</v>
      </c>
      <c r="K19" s="1192">
        <v>929.33699999999999</v>
      </c>
      <c r="L19" s="1194">
        <f>1750+1784.717</f>
        <v>3534.7170000000001</v>
      </c>
      <c r="M19" s="1192">
        <f>1750+878</f>
        <v>2628</v>
      </c>
      <c r="N19" s="1193">
        <f>1750+2085.208</f>
        <v>3835.2080000000001</v>
      </c>
    </row>
    <row r="20" spans="1:18">
      <c r="A20" s="12"/>
      <c r="B20" s="46"/>
      <c r="C20" s="46"/>
      <c r="D20" s="46"/>
      <c r="E20" s="46"/>
      <c r="F20" s="46"/>
      <c r="G20" s="46"/>
      <c r="H20" s="46"/>
      <c r="I20" s="46"/>
      <c r="J20" s="1194"/>
      <c r="K20" s="1192"/>
      <c r="L20" s="1194"/>
      <c r="M20" s="1192"/>
      <c r="N20" s="1193"/>
    </row>
    <row r="21" spans="1:18">
      <c r="A21" s="12" t="s">
        <v>299</v>
      </c>
      <c r="B21" s="46">
        <v>848.8</v>
      </c>
      <c r="C21" s="46">
        <v>1045.2</v>
      </c>
      <c r="D21" s="46">
        <v>1194.7</v>
      </c>
      <c r="E21" s="46">
        <v>1284.5</v>
      </c>
      <c r="F21" s="46">
        <v>771.2</v>
      </c>
      <c r="G21" s="46">
        <v>1334.07</v>
      </c>
      <c r="H21" s="46">
        <v>1347.075</v>
      </c>
      <c r="I21" s="46">
        <v>1159.759</v>
      </c>
      <c r="J21" s="1194">
        <v>1216.7239999999999</v>
      </c>
      <c r="K21" s="1192">
        <v>1339.749</v>
      </c>
      <c r="L21" s="1194">
        <f>108.138+1724.523</f>
        <v>1832.6609999999998</v>
      </c>
      <c r="M21" s="1192">
        <f>144+2261</f>
        <v>2405</v>
      </c>
      <c r="N21" s="1193">
        <f>144+2406.405</f>
        <v>2550.4050000000002</v>
      </c>
    </row>
    <row r="22" spans="1:18">
      <c r="A22" s="23"/>
      <c r="B22" s="46"/>
      <c r="C22" s="46"/>
      <c r="D22" s="46"/>
      <c r="E22" s="46"/>
      <c r="F22" s="46"/>
      <c r="G22" s="46"/>
      <c r="H22" s="46"/>
      <c r="I22" s="46"/>
      <c r="J22" s="103"/>
      <c r="K22" s="1192"/>
      <c r="L22" s="1200"/>
      <c r="M22" s="1198"/>
      <c r="N22" s="1201"/>
    </row>
    <row r="23" spans="1:18">
      <c r="A23" s="32" t="s">
        <v>302</v>
      </c>
      <c r="B23" s="52"/>
      <c r="C23" s="52"/>
      <c r="D23" s="52"/>
      <c r="E23" s="52"/>
      <c r="F23" s="52"/>
      <c r="G23" s="52"/>
      <c r="H23" s="52"/>
      <c r="I23" s="52"/>
      <c r="J23" s="1203"/>
      <c r="K23" s="1204"/>
      <c r="L23" s="1194"/>
      <c r="M23" s="1192"/>
      <c r="N23" s="1193"/>
    </row>
    <row r="24" spans="1:18">
      <c r="A24" s="23" t="s">
        <v>303</v>
      </c>
      <c r="B24" s="49">
        <v>3122.6</v>
      </c>
      <c r="C24" s="49">
        <v>3650.6</v>
      </c>
      <c r="D24" s="49">
        <v>4491.3</v>
      </c>
      <c r="E24" s="49">
        <v>4656.5</v>
      </c>
      <c r="F24" s="49">
        <v>4949.3</v>
      </c>
      <c r="G24" s="49">
        <f>G17+G9</f>
        <v>6919.4579999999996</v>
      </c>
      <c r="H24" s="49">
        <f>H17+H9</f>
        <v>7859.530999999999</v>
      </c>
      <c r="I24" s="49">
        <f>I17+I9</f>
        <v>8686.7440000000006</v>
      </c>
      <c r="J24" s="1198">
        <f>J17+J9</f>
        <v>8826.7119999999995</v>
      </c>
      <c r="K24" s="1202">
        <f>K9+K17</f>
        <v>7054.3460000000005</v>
      </c>
      <c r="L24" s="1200">
        <f>L9+L17</f>
        <v>11113.945</v>
      </c>
      <c r="M24" s="1200">
        <f>M9+M17</f>
        <v>12069</v>
      </c>
      <c r="N24" s="1206">
        <f>N9+N17</f>
        <v>13534.099</v>
      </c>
    </row>
    <row r="25" spans="1:18">
      <c r="A25" s="32"/>
      <c r="B25" s="46"/>
      <c r="C25" s="46"/>
      <c r="D25" s="46"/>
      <c r="E25" s="46"/>
      <c r="F25" s="46"/>
      <c r="G25" s="46"/>
      <c r="H25" s="46"/>
      <c r="I25" s="46"/>
      <c r="J25" s="103"/>
      <c r="K25" s="1192"/>
      <c r="L25" s="1194"/>
      <c r="M25" s="1192"/>
      <c r="N25" s="1193"/>
    </row>
    <row r="26" spans="1:18">
      <c r="A26" s="12" t="s">
        <v>304</v>
      </c>
      <c r="B26" s="46">
        <v>3167.5</v>
      </c>
      <c r="C26" s="46">
        <v>3642.7</v>
      </c>
      <c r="D26" s="46">
        <v>4252.7</v>
      </c>
      <c r="E26" s="46">
        <v>4957.2</v>
      </c>
      <c r="F26" s="46">
        <v>4806</v>
      </c>
      <c r="G26" s="46">
        <f t="shared" ref="G26:N26" si="1">G28+G30</f>
        <v>7224.366</v>
      </c>
      <c r="H26" s="46">
        <f t="shared" si="1"/>
        <v>8624.0770000000011</v>
      </c>
      <c r="I26" s="46">
        <f t="shared" si="1"/>
        <v>11177.597</v>
      </c>
      <c r="J26" s="1194">
        <f t="shared" si="1"/>
        <v>10052.078000000001</v>
      </c>
      <c r="K26" s="1194">
        <f t="shared" si="1"/>
        <v>9945.3189999999995</v>
      </c>
      <c r="L26" s="1194">
        <f t="shared" si="1"/>
        <v>10534.129000000001</v>
      </c>
      <c r="M26" s="1191">
        <f t="shared" si="1"/>
        <v>15601</v>
      </c>
      <c r="N26" s="1195">
        <f t="shared" si="1"/>
        <v>16151.073</v>
      </c>
      <c r="O26" s="5">
        <f>(J28/J26)*100</f>
        <v>44.447406794893546</v>
      </c>
    </row>
    <row r="27" spans="1:18">
      <c r="A27" s="12"/>
      <c r="B27" s="46"/>
      <c r="C27" s="46"/>
      <c r="D27" s="46"/>
      <c r="E27" s="46"/>
      <c r="F27" s="46"/>
      <c r="G27" s="46"/>
      <c r="H27" s="46"/>
      <c r="I27" s="46"/>
      <c r="J27" s="1194"/>
      <c r="K27" s="1192"/>
      <c r="L27" s="1194"/>
      <c r="M27" s="1192"/>
      <c r="N27" s="1193"/>
    </row>
    <row r="28" spans="1:18">
      <c r="A28" s="28" t="s">
        <v>453</v>
      </c>
      <c r="B28" s="46">
        <v>1550.9</v>
      </c>
      <c r="C28" s="46">
        <v>1906.7</v>
      </c>
      <c r="D28" s="46">
        <v>1968.2</v>
      </c>
      <c r="E28" s="46">
        <v>2341.1999999999998</v>
      </c>
      <c r="F28" s="46">
        <v>2627.8</v>
      </c>
      <c r="G28" s="46">
        <v>3178.297</v>
      </c>
      <c r="H28" s="46">
        <v>3702.1480000000001</v>
      </c>
      <c r="I28" s="46">
        <v>4435.6180000000004</v>
      </c>
      <c r="J28" s="1194">
        <v>4467.8879999999999</v>
      </c>
      <c r="K28" s="1192">
        <v>4580.9080000000004</v>
      </c>
      <c r="L28" s="1194">
        <v>5149.2250000000004</v>
      </c>
      <c r="M28" s="1192">
        <v>6506</v>
      </c>
      <c r="N28" s="1193">
        <v>7198.0969999999998</v>
      </c>
    </row>
    <row r="29" spans="1:18">
      <c r="A29" s="12"/>
      <c r="B29" s="46"/>
      <c r="C29" s="46"/>
      <c r="D29" s="46"/>
      <c r="E29" s="46"/>
      <c r="F29" s="46"/>
      <c r="G29" s="46"/>
      <c r="H29" s="46"/>
      <c r="I29" s="46"/>
      <c r="J29" s="1194"/>
      <c r="K29" s="1192"/>
      <c r="L29" s="1194"/>
      <c r="M29" s="1196"/>
      <c r="N29" s="1197"/>
      <c r="O29" s="51">
        <f>((1371-1072)/1072)*100</f>
        <v>27.89179104477612</v>
      </c>
    </row>
    <row r="30" spans="1:18">
      <c r="A30" s="12" t="s">
        <v>305</v>
      </c>
      <c r="B30" s="46">
        <v>1616.6</v>
      </c>
      <c r="C30" s="46">
        <v>1736</v>
      </c>
      <c r="D30" s="46">
        <v>2284.5</v>
      </c>
      <c r="E30" s="46">
        <v>2616</v>
      </c>
      <c r="F30" s="46">
        <v>2178.1999999999998</v>
      </c>
      <c r="G30" s="46">
        <f>4105.717-67.492+7.844</f>
        <v>4046.0689999999995</v>
      </c>
      <c r="H30" s="46">
        <f>4632.131+135.563+154.235</f>
        <v>4921.9290000000001</v>
      </c>
      <c r="I30" s="46">
        <f>6280.914+267.027+194.038</f>
        <v>6741.9789999999994</v>
      </c>
      <c r="J30" s="1194">
        <f>5312.551+141.829+129.81</f>
        <v>5584.1900000000005</v>
      </c>
      <c r="K30" s="1192">
        <f>5309.579+89.212+13.995+-48.375</f>
        <v>5364.4110000000001</v>
      </c>
      <c r="L30" s="1194">
        <f>4653.053+69.327+662.524</f>
        <v>5384.9040000000005</v>
      </c>
      <c r="M30" s="1192">
        <f>9056+39</f>
        <v>9095</v>
      </c>
      <c r="N30" s="1193">
        <f>8904.196+48.78</f>
        <v>8952.9760000000006</v>
      </c>
    </row>
    <row r="31" spans="1:18">
      <c r="A31" s="23"/>
      <c r="B31" s="46"/>
      <c r="C31" s="46"/>
      <c r="D31" s="46"/>
      <c r="E31" s="46"/>
      <c r="F31" s="46"/>
      <c r="G31" s="46"/>
      <c r="H31" s="46"/>
      <c r="I31" s="46"/>
      <c r="J31" s="103"/>
      <c r="K31" s="1192"/>
      <c r="L31" s="1200"/>
      <c r="M31" s="1198"/>
      <c r="N31" s="1201"/>
      <c r="O31" s="66">
        <f>((1475-833)/833)*100</f>
        <v>77.070828331332535</v>
      </c>
    </row>
    <row r="32" spans="1:18">
      <c r="A32" s="32" t="s">
        <v>306</v>
      </c>
      <c r="B32" s="52"/>
      <c r="C32" s="52"/>
      <c r="D32" s="52"/>
      <c r="E32" s="52"/>
      <c r="F32" s="52"/>
      <c r="G32" s="52"/>
      <c r="H32" s="52"/>
      <c r="I32" s="52"/>
      <c r="J32" s="1203"/>
      <c r="K32" s="1204"/>
      <c r="L32" s="1194"/>
      <c r="M32" s="1192"/>
      <c r="N32" s="1193"/>
      <c r="R32" s="5">
        <f>9532.22+1152.428+500</f>
        <v>11184.647999999999</v>
      </c>
    </row>
    <row r="33" spans="1:15">
      <c r="A33" s="23" t="s">
        <v>307</v>
      </c>
      <c r="B33" s="49">
        <v>-44.9</v>
      </c>
      <c r="C33" s="49">
        <v>7.9</v>
      </c>
      <c r="D33" s="49">
        <v>238.6</v>
      </c>
      <c r="E33" s="49">
        <v>-300.7</v>
      </c>
      <c r="F33" s="49">
        <v>143.30000000000001</v>
      </c>
      <c r="G33" s="49">
        <f t="shared" ref="G33:N33" si="2">G24-G26</f>
        <v>-304.90800000000036</v>
      </c>
      <c r="H33" s="49">
        <f t="shared" si="2"/>
        <v>-764.5460000000021</v>
      </c>
      <c r="I33" s="49">
        <f t="shared" si="2"/>
        <v>-2490.8529999999992</v>
      </c>
      <c r="J33" s="1198">
        <f t="shared" si="2"/>
        <v>-1225.3660000000018</v>
      </c>
      <c r="K33" s="1202">
        <f t="shared" si="2"/>
        <v>-2890.972999999999</v>
      </c>
      <c r="L33" s="1200">
        <f t="shared" si="2"/>
        <v>579.81599999999889</v>
      </c>
      <c r="M33" s="1200">
        <f t="shared" si="2"/>
        <v>-3532</v>
      </c>
      <c r="N33" s="1206">
        <f t="shared" si="2"/>
        <v>-2616.9740000000002</v>
      </c>
    </row>
    <row r="34" spans="1:15" hidden="1">
      <c r="A34" s="28"/>
      <c r="B34" s="9"/>
      <c r="C34" s="9"/>
      <c r="D34" s="9"/>
      <c r="E34" s="9"/>
      <c r="F34" s="9"/>
      <c r="G34" s="9"/>
      <c r="H34" s="70"/>
      <c r="I34" s="9"/>
      <c r="J34" s="1196"/>
      <c r="K34" s="1196"/>
      <c r="L34" s="1208"/>
      <c r="M34" s="1196"/>
      <c r="N34" s="1197"/>
    </row>
    <row r="35" spans="1:15" hidden="1">
      <c r="A35" s="28" t="s">
        <v>308</v>
      </c>
      <c r="B35" s="9"/>
      <c r="C35" s="9"/>
      <c r="D35" s="9"/>
      <c r="E35" s="9"/>
      <c r="F35" s="9"/>
      <c r="G35" s="9"/>
      <c r="H35" s="9"/>
      <c r="I35" s="9"/>
      <c r="J35" s="1196"/>
      <c r="K35" s="1196"/>
      <c r="L35" s="1208"/>
      <c r="M35" s="1196"/>
      <c r="N35" s="1197"/>
    </row>
    <row r="36" spans="1:15" hidden="1">
      <c r="A36" s="71" t="s">
        <v>310</v>
      </c>
      <c r="B36" s="9"/>
      <c r="C36" s="9"/>
      <c r="D36" s="9"/>
      <c r="E36" s="9"/>
      <c r="F36" s="9"/>
      <c r="G36" s="9"/>
      <c r="H36" s="9"/>
      <c r="I36" s="9"/>
      <c r="J36" s="1196"/>
      <c r="K36" s="1196"/>
      <c r="L36" s="1208"/>
      <c r="M36" s="1196"/>
      <c r="N36" s="1197"/>
    </row>
    <row r="37" spans="1:15" hidden="1">
      <c r="A37" s="28"/>
      <c r="B37" s="9"/>
      <c r="C37" s="9"/>
      <c r="D37" s="9"/>
      <c r="E37" s="9"/>
      <c r="F37" s="9"/>
      <c r="G37" s="9"/>
      <c r="H37" s="9"/>
      <c r="I37" s="9"/>
      <c r="J37" s="1196"/>
      <c r="K37" s="1196"/>
      <c r="L37" s="1208"/>
      <c r="M37" s="1196"/>
      <c r="N37" s="1197"/>
    </row>
    <row r="38" spans="1:15">
      <c r="A38" s="32" t="s">
        <v>311</v>
      </c>
      <c r="B38" s="32"/>
      <c r="C38" s="32"/>
      <c r="D38" s="32"/>
      <c r="E38" s="32"/>
      <c r="F38" s="32"/>
      <c r="G38" s="32"/>
      <c r="H38" s="32"/>
      <c r="I38" s="32"/>
      <c r="J38" s="103"/>
      <c r="K38" s="1192"/>
      <c r="L38" s="1194"/>
      <c r="M38" s="1192"/>
      <c r="N38" s="1193"/>
    </row>
    <row r="39" spans="1:15">
      <c r="A39" s="12" t="s">
        <v>312</v>
      </c>
      <c r="B39" s="46">
        <v>45</v>
      </c>
      <c r="C39" s="46">
        <v>-7.8</v>
      </c>
      <c r="D39" s="46">
        <v>-238.7</v>
      </c>
      <c r="E39" s="46">
        <v>300.8</v>
      </c>
      <c r="F39" s="46">
        <v>-143.30000000000001</v>
      </c>
      <c r="G39" s="46">
        <f>G43+G46</f>
        <v>304.899</v>
      </c>
      <c r="H39" s="46">
        <f>H43+H46</f>
        <v>764.54600000000005</v>
      </c>
      <c r="I39" s="46">
        <f>I43+I46</f>
        <v>2490.8530000000001</v>
      </c>
      <c r="J39" s="103">
        <f>J43+J46</f>
        <v>1225.366</v>
      </c>
      <c r="K39" s="103">
        <f>K43+K46</f>
        <v>2890.973</v>
      </c>
      <c r="L39" s="1194">
        <v>579.79999999999995</v>
      </c>
      <c r="M39" s="103">
        <f>M43+M46</f>
        <v>3532</v>
      </c>
      <c r="N39" s="1193">
        <v>2617</v>
      </c>
    </row>
    <row r="40" spans="1:15">
      <c r="A40" s="12"/>
      <c r="B40" s="46"/>
      <c r="C40" s="46"/>
      <c r="D40" s="46"/>
      <c r="E40" s="46"/>
      <c r="F40" s="46"/>
      <c r="G40" s="46"/>
      <c r="H40" s="46"/>
      <c r="I40" s="46"/>
      <c r="J40" s="103"/>
      <c r="K40" s="1192"/>
      <c r="L40" s="1194"/>
      <c r="M40" s="1192"/>
      <c r="N40" s="1193"/>
    </row>
    <row r="41" spans="1:15">
      <c r="A41" s="12" t="s">
        <v>313</v>
      </c>
      <c r="B41" s="46" t="s">
        <v>143</v>
      </c>
      <c r="C41" s="46" t="s">
        <v>143</v>
      </c>
      <c r="D41" s="46"/>
      <c r="E41" s="46"/>
      <c r="F41" s="46"/>
      <c r="G41" s="46"/>
      <c r="H41" s="46"/>
      <c r="I41" s="46"/>
      <c r="J41" s="103"/>
      <c r="K41" s="1192"/>
      <c r="L41" s="1194"/>
      <c r="M41" s="1192"/>
      <c r="N41" s="1193"/>
    </row>
    <row r="42" spans="1:15">
      <c r="A42" s="12" t="s">
        <v>314</v>
      </c>
      <c r="B42" s="46"/>
      <c r="C42" s="46"/>
      <c r="D42" s="46"/>
      <c r="E42" s="46"/>
      <c r="F42" s="46"/>
      <c r="G42" s="46"/>
      <c r="H42" s="46"/>
      <c r="I42" s="46"/>
      <c r="J42" s="103"/>
      <c r="K42" s="1192"/>
      <c r="L42" s="1194"/>
      <c r="M42" s="1192"/>
      <c r="N42" s="1193"/>
      <c r="O42" s="5">
        <f>(J43/J39)*100</f>
        <v>113.97868065541235</v>
      </c>
    </row>
    <row r="43" spans="1:15">
      <c r="A43" s="12" t="s">
        <v>315</v>
      </c>
      <c r="B43" s="46">
        <v>24</v>
      </c>
      <c r="C43" s="46">
        <v>-6.7</v>
      </c>
      <c r="D43" s="46">
        <v>-26.8</v>
      </c>
      <c r="E43" s="46">
        <v>124.2</v>
      </c>
      <c r="F43" s="46">
        <v>336.3</v>
      </c>
      <c r="G43" s="46">
        <v>553.62</v>
      </c>
      <c r="H43" s="46">
        <f>811.796-205.205</f>
        <v>606.59100000000001</v>
      </c>
      <c r="I43" s="46">
        <f>1269.277-212.615</f>
        <v>1056.662</v>
      </c>
      <c r="J43" s="103">
        <v>1396.6559999999999</v>
      </c>
      <c r="K43" s="1192">
        <v>1537.3240000000001</v>
      </c>
      <c r="L43" s="1194">
        <v>932.12800000000004</v>
      </c>
      <c r="M43" s="1192">
        <f>1636-392</f>
        <v>1244</v>
      </c>
      <c r="N43" s="1193">
        <f>1333.133-410.88</f>
        <v>922.25300000000004</v>
      </c>
      <c r="O43" s="5">
        <f>((11184.64-J26)/J26)*100</f>
        <v>11.266944008989961</v>
      </c>
    </row>
    <row r="44" spans="1:15">
      <c r="A44" s="12"/>
      <c r="B44" s="46"/>
      <c r="C44" s="46"/>
      <c r="D44" s="46"/>
      <c r="E44" s="46"/>
      <c r="F44" s="46"/>
      <c r="G44" s="46"/>
      <c r="H44" s="46"/>
      <c r="I44" s="46"/>
      <c r="J44" s="103"/>
      <c r="K44" s="1192"/>
      <c r="L44" s="1194"/>
      <c r="M44" s="1192"/>
      <c r="N44" s="1193"/>
    </row>
    <row r="45" spans="1:15">
      <c r="A45" s="12" t="s">
        <v>316</v>
      </c>
      <c r="B45" s="46" t="s">
        <v>143</v>
      </c>
      <c r="C45" s="46" t="s">
        <v>143</v>
      </c>
      <c r="D45" s="46"/>
      <c r="E45" s="46"/>
      <c r="F45" s="46"/>
      <c r="G45" s="46"/>
      <c r="H45" s="46"/>
      <c r="I45" s="46"/>
      <c r="J45" s="103"/>
      <c r="K45" s="1192"/>
      <c r="L45" s="1194"/>
      <c r="M45" s="1192"/>
      <c r="N45" s="1193"/>
    </row>
    <row r="46" spans="1:15">
      <c r="A46" s="12" t="s">
        <v>317</v>
      </c>
      <c r="B46" s="46">
        <v>21</v>
      </c>
      <c r="C46" s="46">
        <v>-1.1000000000000001</v>
      </c>
      <c r="D46" s="46">
        <v>-211.9</v>
      </c>
      <c r="E46" s="46">
        <v>176.6</v>
      </c>
      <c r="F46" s="46">
        <v>-479.6</v>
      </c>
      <c r="G46" s="46">
        <f t="shared" ref="G46:L46" si="3">SUM(G50:G53)</f>
        <v>-248.721</v>
      </c>
      <c r="H46" s="46">
        <f t="shared" si="3"/>
        <v>157.95500000000001</v>
      </c>
      <c r="I46" s="46">
        <f t="shared" si="3"/>
        <v>1434.191</v>
      </c>
      <c r="J46" s="103">
        <f t="shared" si="3"/>
        <v>-171.28999999999996</v>
      </c>
      <c r="K46" s="103">
        <f t="shared" si="3"/>
        <v>1353.6489999999999</v>
      </c>
      <c r="L46" s="1194">
        <f t="shared" si="3"/>
        <v>-1511.944</v>
      </c>
      <c r="M46" s="103">
        <f>SUM(M50:M55)</f>
        <v>2288</v>
      </c>
      <c r="N46" s="1193">
        <f>SUM(N50:N53)</f>
        <v>1694.7209999999998</v>
      </c>
    </row>
    <row r="47" spans="1:15">
      <c r="A47" s="12"/>
      <c r="B47" s="46" t="s">
        <v>143</v>
      </c>
      <c r="C47" s="46" t="s">
        <v>143</v>
      </c>
      <c r="D47" s="46"/>
      <c r="E47" s="46"/>
      <c r="F47" s="46"/>
      <c r="G47" s="46"/>
      <c r="H47" s="46"/>
      <c r="I47" s="46"/>
      <c r="J47" s="103"/>
      <c r="K47" s="1192"/>
      <c r="L47" s="1194"/>
      <c r="M47" s="1192"/>
      <c r="N47" s="1193"/>
    </row>
    <row r="48" spans="1:15">
      <c r="A48" s="12" t="s">
        <v>328</v>
      </c>
      <c r="B48" s="46" t="s">
        <v>143</v>
      </c>
      <c r="C48" s="46" t="s">
        <v>143</v>
      </c>
      <c r="D48" s="46"/>
      <c r="E48" s="46"/>
      <c r="F48" s="46"/>
      <c r="G48" s="46"/>
      <c r="H48" s="46"/>
      <c r="I48" s="46"/>
      <c r="J48" s="103"/>
      <c r="K48" s="1192"/>
      <c r="L48" s="1194"/>
      <c r="M48" s="1207"/>
      <c r="N48" s="1193"/>
    </row>
    <row r="49" spans="1:21">
      <c r="A49" s="12" t="s">
        <v>329</v>
      </c>
      <c r="B49" s="46"/>
      <c r="C49" s="46"/>
      <c r="D49" s="46"/>
      <c r="E49" s="46"/>
      <c r="F49" s="46"/>
      <c r="G49" s="46"/>
      <c r="H49" s="46"/>
      <c r="I49" s="46"/>
      <c r="J49" s="103"/>
      <c r="K49" s="1192"/>
      <c r="L49" s="1194"/>
      <c r="M49" s="1192"/>
      <c r="N49" s="1193"/>
    </row>
    <row r="50" spans="1:21">
      <c r="A50" s="12" t="s">
        <v>330</v>
      </c>
      <c r="B50" s="46">
        <v>22.5</v>
      </c>
      <c r="C50" s="46">
        <v>2.5</v>
      </c>
      <c r="D50" s="46">
        <v>37.200000000000003</v>
      </c>
      <c r="E50" s="46">
        <v>-100</v>
      </c>
      <c r="F50" s="46">
        <v>-1.8</v>
      </c>
      <c r="G50" s="46" t="s">
        <v>331</v>
      </c>
      <c r="H50" s="46" t="s">
        <v>331</v>
      </c>
      <c r="I50" s="53" t="s">
        <v>244</v>
      </c>
      <c r="J50" s="103">
        <v>500</v>
      </c>
      <c r="K50" s="1192">
        <v>250</v>
      </c>
      <c r="L50" s="1194">
        <v>-250</v>
      </c>
      <c r="M50" s="1192">
        <v>1753</v>
      </c>
      <c r="N50" s="1197">
        <f>1753.023-2073.023</f>
        <v>-320.00000000000023</v>
      </c>
    </row>
    <row r="51" spans="1:21">
      <c r="A51" s="12"/>
      <c r="B51" s="46"/>
      <c r="C51" s="46"/>
      <c r="D51" s="46"/>
      <c r="E51" s="46"/>
      <c r="F51" s="46"/>
      <c r="G51" s="46"/>
      <c r="H51" s="46"/>
      <c r="I51" s="46"/>
      <c r="J51" s="103"/>
      <c r="K51" s="1192"/>
      <c r="L51" s="1194"/>
      <c r="M51" s="1192"/>
      <c r="N51" s="1193"/>
    </row>
    <row r="52" spans="1:21">
      <c r="A52" s="12" t="s">
        <v>332</v>
      </c>
      <c r="B52" s="46"/>
      <c r="C52" s="46"/>
      <c r="D52" s="46"/>
      <c r="E52" s="46"/>
      <c r="F52" s="46"/>
      <c r="G52" s="46"/>
      <c r="H52" s="46"/>
      <c r="I52" s="46"/>
      <c r="J52" s="103"/>
      <c r="K52" s="1192"/>
      <c r="L52" s="1194"/>
      <c r="M52" s="1192"/>
      <c r="N52" s="1193"/>
    </row>
    <row r="53" spans="1:21">
      <c r="A53" s="12" t="s">
        <v>333</v>
      </c>
      <c r="B53" s="46">
        <v>-1.5</v>
      </c>
      <c r="C53" s="46">
        <v>-3.6</v>
      </c>
      <c r="D53" s="46">
        <v>-249.1</v>
      </c>
      <c r="E53" s="46">
        <v>276.60000000000002</v>
      </c>
      <c r="F53" s="46">
        <v>-477.8</v>
      </c>
      <c r="G53" s="46">
        <v>-248.721</v>
      </c>
      <c r="H53" s="46">
        <v>157.95500000000001</v>
      </c>
      <c r="I53" s="46">
        <v>1434.191</v>
      </c>
      <c r="J53" s="103">
        <v>-671.29</v>
      </c>
      <c r="K53" s="1192">
        <v>1103.6489999999999</v>
      </c>
      <c r="L53" s="1194">
        <v>-1261.944</v>
      </c>
      <c r="M53" s="1192"/>
      <c r="N53" s="1193">
        <v>2014.721</v>
      </c>
    </row>
    <row r="54" spans="1:21" ht="15.75">
      <c r="A54" s="12"/>
      <c r="B54" s="46"/>
      <c r="C54" s="46"/>
      <c r="D54" s="46"/>
      <c r="E54" s="46"/>
      <c r="F54" s="46"/>
      <c r="G54" s="46"/>
      <c r="H54" s="46"/>
      <c r="I54" s="46"/>
      <c r="J54" s="103"/>
      <c r="K54" s="1209"/>
      <c r="L54" s="1210"/>
      <c r="M54" s="1209"/>
      <c r="N54" s="1211"/>
    </row>
    <row r="55" spans="1:21">
      <c r="A55" s="23" t="s">
        <v>299</v>
      </c>
      <c r="B55" s="72" t="s">
        <v>244</v>
      </c>
      <c r="C55" s="72" t="s">
        <v>244</v>
      </c>
      <c r="D55" s="49" t="s">
        <v>334</v>
      </c>
      <c r="E55" s="49" t="s">
        <v>331</v>
      </c>
      <c r="F55" s="49" t="s">
        <v>331</v>
      </c>
      <c r="G55" s="49" t="s">
        <v>331</v>
      </c>
      <c r="H55" s="49" t="s">
        <v>331</v>
      </c>
      <c r="I55" s="72" t="s">
        <v>244</v>
      </c>
      <c r="J55" s="1198" t="s">
        <v>244</v>
      </c>
      <c r="K55" s="1205"/>
      <c r="L55" s="1200"/>
      <c r="M55" s="1200">
        <v>535</v>
      </c>
      <c r="N55" s="1201"/>
    </row>
    <row r="56" spans="1:21" ht="78" customHeight="1">
      <c r="A56" s="4987" t="s">
        <v>348</v>
      </c>
      <c r="B56" s="4988"/>
      <c r="C56" s="4988"/>
      <c r="D56" s="4988"/>
      <c r="E56" s="4988"/>
      <c r="F56" s="4988"/>
      <c r="G56" s="4988"/>
      <c r="H56" s="4988"/>
      <c r="I56" s="4988"/>
      <c r="J56" s="4988"/>
      <c r="K56" s="4988"/>
      <c r="L56" s="4988"/>
      <c r="M56" s="4988"/>
      <c r="N56" s="4988"/>
    </row>
    <row r="57" spans="1:21">
      <c r="A57" s="54" t="s">
        <v>349</v>
      </c>
      <c r="B57" s="55"/>
      <c r="C57" s="55"/>
      <c r="D57" s="55"/>
      <c r="E57" s="55"/>
      <c r="F57" s="55"/>
      <c r="G57" s="55"/>
    </row>
    <row r="58" spans="1:21">
      <c r="A58" s="56"/>
      <c r="B58" s="55"/>
      <c r="C58" s="55"/>
      <c r="D58" s="55"/>
      <c r="E58" s="55"/>
      <c r="F58" s="55"/>
      <c r="G58" s="55"/>
    </row>
    <row r="59" spans="1:21">
      <c r="A59" s="57" t="s">
        <v>350</v>
      </c>
      <c r="B59" s="55"/>
      <c r="C59" s="55"/>
      <c r="D59" s="55"/>
      <c r="E59" s="55"/>
      <c r="F59" s="55"/>
      <c r="G59" s="55"/>
    </row>
    <row r="60" spans="1:21">
      <c r="A60" s="58" t="s">
        <v>351</v>
      </c>
      <c r="B60" s="58">
        <f>(B33/[79]GDPnom!C38)*100</f>
        <v>-0.64074206207634676</v>
      </c>
      <c r="C60" s="58">
        <f>(C33/[79]GDPnom!D38)*100</f>
        <v>9.6926568922152026E-2</v>
      </c>
      <c r="D60" s="58">
        <f>(D33/[79]GDPnom!E38)*100</f>
        <v>2.4826753792687244</v>
      </c>
      <c r="E60" s="58">
        <f>(E33/[79]GDPnom!F38)*100</f>
        <v>-2.6364242126674613</v>
      </c>
      <c r="F60" s="58">
        <f>(F33/[79]GDPnom!G38)*100</f>
        <v>1.0240395609421451</v>
      </c>
      <c r="G60" s="58">
        <f>(G33/[79]GDPnom!H38)*100</f>
        <v>-1.8964888819779213</v>
      </c>
      <c r="H60" s="58">
        <f>(H33/[79]GDPnom!I38)*100</f>
        <v>-4.1295337067424391</v>
      </c>
      <c r="I60" s="58">
        <f>(I33/[79]GDPnom!J38)*100</f>
        <v>-11.790182945589658</v>
      </c>
      <c r="J60" s="67">
        <f>(J33/24081.8)*100</f>
        <v>-5.0883488775756041</v>
      </c>
      <c r="K60" s="67">
        <f>(K33/24081.8)*100</f>
        <v>-12.004804458138507</v>
      </c>
      <c r="L60" s="58"/>
    </row>
    <row r="61" spans="1:21">
      <c r="A61" s="58" t="s">
        <v>352</v>
      </c>
      <c r="B61" s="58">
        <f t="shared" ref="B61:K61" si="4">B9-B28</f>
        <v>115.39999999999986</v>
      </c>
      <c r="C61" s="58">
        <f t="shared" si="4"/>
        <v>-29.299999999999955</v>
      </c>
      <c r="D61" s="58">
        <f t="shared" si="4"/>
        <v>159.49999999999977</v>
      </c>
      <c r="E61" s="58">
        <f t="shared" si="4"/>
        <v>83.200000000000273</v>
      </c>
      <c r="F61" s="58">
        <f t="shared" si="4"/>
        <v>505.19999999999982</v>
      </c>
      <c r="G61" s="58">
        <f t="shared" si="4"/>
        <v>478.58099999999968</v>
      </c>
      <c r="H61" s="58">
        <f t="shared" si="4"/>
        <v>883.25099999999929</v>
      </c>
      <c r="I61" s="58">
        <f t="shared" si="4"/>
        <v>540.13199999999961</v>
      </c>
      <c r="J61" s="58">
        <f t="shared" si="4"/>
        <v>610.3090000000002</v>
      </c>
      <c r="K61" s="58">
        <f t="shared" si="4"/>
        <v>204.35199999999986</v>
      </c>
      <c r="L61" s="58"/>
    </row>
    <row r="62" spans="1:21">
      <c r="R62" s="779"/>
      <c r="S62" s="779"/>
      <c r="T62" s="779"/>
    </row>
    <row r="63" spans="1:21">
      <c r="A63" s="57" t="s">
        <v>350</v>
      </c>
      <c r="B63" s="55"/>
      <c r="C63" s="55"/>
      <c r="D63" s="55"/>
      <c r="E63" s="55"/>
      <c r="F63" s="55"/>
      <c r="G63" s="55"/>
      <c r="H63" s="55"/>
    </row>
    <row r="64" spans="1:21">
      <c r="A64" s="1219" t="s">
        <v>351</v>
      </c>
      <c r="B64" s="67">
        <f>-(B33/'final outpt'!G39)*100</f>
        <v>0.62837629803789841</v>
      </c>
      <c r="C64" s="67">
        <f>-(C33/'final outpt'!H39)*100</f>
        <v>-9.283632603177587E-2</v>
      </c>
      <c r="D64" s="67">
        <f>-(D33/'final outpt'!I39)*100</f>
        <v>-2.4455741872001964</v>
      </c>
      <c r="E64" s="67">
        <f>-(E33/'final outpt'!J39)*100</f>
        <v>2.6946617558763699</v>
      </c>
      <c r="F64" s="67">
        <f>-(F33/'final outpt'!K39)*100</f>
        <v>-1.0755884211743054</v>
      </c>
      <c r="G64" s="67">
        <f>-(G33/'final outpt'!L39)*100</f>
        <v>1.9699457100049833</v>
      </c>
      <c r="H64" s="67">
        <f>-(H33/'final outpt'!M39)*100</f>
        <v>4.2652258564805887</v>
      </c>
      <c r="I64" s="67">
        <f>-(I33/'final outpt'!N39)*100</f>
        <v>12.40180536331318</v>
      </c>
      <c r="J64" s="67">
        <f>-(J33/'final outpt'!O39)*100</f>
        <v>5.337713161613407</v>
      </c>
      <c r="K64" s="67">
        <f>-(K33/'final outpt'!P39)*100</f>
        <v>10.986294175499612</v>
      </c>
      <c r="L64" s="67">
        <f>-(L33/'final outpt'!Q39)*100</f>
        <v>-1.9869641204893558</v>
      </c>
      <c r="M64" s="67">
        <f>-(M33/'final outpt'!R39)*100</f>
        <v>10.669366834097991</v>
      </c>
      <c r="N64" s="67">
        <f>-(N33/'final outpt'!S39)*100</f>
        <v>6.952825526714312</v>
      </c>
      <c r="O64" s="67"/>
      <c r="P64" s="67"/>
      <c r="Q64" s="58"/>
      <c r="R64" s="58"/>
      <c r="S64" s="58"/>
      <c r="T64" s="58"/>
      <c r="U64" s="58"/>
    </row>
    <row r="65" spans="1:21">
      <c r="A65" s="1219" t="s">
        <v>744</v>
      </c>
      <c r="B65" s="67">
        <f>(B46/'final outpt'!G39)*100</f>
        <v>0.29389537324712395</v>
      </c>
      <c r="C65" s="67">
        <f>(C46/'final outpt'!H39)*100</f>
        <v>-1.2926577042399174E-2</v>
      </c>
      <c r="D65" s="67">
        <f>(D46/'final outpt'!I39)*100</f>
        <v>-2.1719076708622032</v>
      </c>
      <c r="E65" s="67">
        <f>(E46/'final outpt'!J39)*100</f>
        <v>1.5825649021874524</v>
      </c>
      <c r="F65" s="67">
        <f>(F46/'final outpt'!K39)*100</f>
        <v>-3.5998060488150512</v>
      </c>
      <c r="G65" s="67">
        <f>(G46/'final outpt'!L39)*100</f>
        <v>-1.6069334584141739</v>
      </c>
      <c r="H65" s="67">
        <f>(H46/'final outpt'!M39)*100</f>
        <v>0.88119452611143034</v>
      </c>
      <c r="I65" s="67">
        <f>(I46/'final outpt'!N39)*100</f>
        <v>7.1407496290690373</v>
      </c>
      <c r="J65" s="67">
        <f>(J46/'final outpt'!O39)*100</f>
        <v>-0.74614187716385061</v>
      </c>
      <c r="K65" s="67">
        <f>(K46/'final outpt'!P39)*100</f>
        <v>5.1441456299906214</v>
      </c>
      <c r="L65" s="67">
        <f>(L46/'final outpt'!Q39)*100</f>
        <v>-5.1812617799252942</v>
      </c>
      <c r="M65" s="67">
        <f>(M46/'final outpt'!R39)*100</f>
        <v>6.9115264202763882</v>
      </c>
      <c r="N65" s="67">
        <f>(N46/'final outpt'!S39)*100</f>
        <v>4.5025664868885995</v>
      </c>
      <c r="O65" s="67"/>
      <c r="P65" s="67"/>
      <c r="Q65" s="58"/>
      <c r="R65" s="58"/>
      <c r="S65" s="58"/>
      <c r="T65" s="58"/>
      <c r="U65" s="58"/>
    </row>
    <row r="66" spans="1:21">
      <c r="A66" s="1219" t="s">
        <v>740</v>
      </c>
      <c r="B66" s="67">
        <f>(B26/'final outpt'!G39)*100</f>
        <v>44.329218798107867</v>
      </c>
      <c r="C66" s="67">
        <f>(C26/'final outpt'!H39)*100</f>
        <v>42.806947447588598</v>
      </c>
      <c r="D66" s="67">
        <f>(D26/'final outpt'!I39)*100</f>
        <v>43.588823746463852</v>
      </c>
      <c r="E66" s="67">
        <f>(E26/'final outpt'!J39)*100</f>
        <v>44.422937333655938</v>
      </c>
      <c r="F66" s="67">
        <f>(F26/'final outpt'!K39)*100</f>
        <v>36.073118996257577</v>
      </c>
      <c r="G66" s="67">
        <f>(G26/'final outpt'!L39)*100</f>
        <v>46.675091533202952</v>
      </c>
      <c r="H66" s="67">
        <f>(H26/'final outpt'!M39)*100</f>
        <v>48.111737173014376</v>
      </c>
      <c r="I66" s="67">
        <f>(I26/'final outpt'!N39)*100</f>
        <v>55.652574609402215</v>
      </c>
      <c r="J66" s="67">
        <f>(J26/'final outpt'!O39)*100</f>
        <v>43.787006528795885</v>
      </c>
      <c r="K66" s="67">
        <f>(K26/'final outpt'!P39)*100</f>
        <v>37.794265184484821</v>
      </c>
      <c r="L66" s="67">
        <f>(L26/'final outpt'!Q39)*100</f>
        <v>36.099273499880063</v>
      </c>
      <c r="M66" s="67">
        <f>(M26/'final outpt'!R39)*100</f>
        <v>47.127064546648576</v>
      </c>
      <c r="N66" s="67">
        <f>(N26/'final outpt'!S39)*100</f>
        <v>42.910473179414971</v>
      </c>
      <c r="O66" s="67"/>
      <c r="P66" s="67"/>
      <c r="Q66" s="58"/>
      <c r="R66" s="58"/>
      <c r="S66" s="58"/>
      <c r="T66" s="58"/>
      <c r="U66" s="58"/>
    </row>
    <row r="67" spans="1:21">
      <c r="A67" s="1219" t="s">
        <v>741</v>
      </c>
      <c r="B67" s="67">
        <f>(B24/'final outpt'!G39)*100</f>
        <v>43.700842500069967</v>
      </c>
      <c r="C67" s="67">
        <f>(C24/'final outpt'!H39)*100</f>
        <v>42.899783773620385</v>
      </c>
      <c r="D67" s="67">
        <f>(D24/'final outpt'!I39)*100</f>
        <v>46.034397933664053</v>
      </c>
      <c r="E67" s="67">
        <f>(E24/'final outpt'!J39)*100</f>
        <v>41.72827557777957</v>
      </c>
      <c r="F67" s="67">
        <f>(F24/'final outpt'!K39)*100</f>
        <v>37.148707417431886</v>
      </c>
      <c r="G67" s="67">
        <f>(G24/'final outpt'!L39)*100</f>
        <v>44.705145823197967</v>
      </c>
      <c r="H67" s="67">
        <f>(H24/'final outpt'!M39)*100</f>
        <v>43.846511316533785</v>
      </c>
      <c r="I67" s="67">
        <f>(I24/'final outpt'!N39)*100</f>
        <v>43.250769246089042</v>
      </c>
      <c r="J67" s="67">
        <f>(J24/'final outpt'!O39)*100</f>
        <v>38.449293367182477</v>
      </c>
      <c r="K67" s="67">
        <f>(K24/'final outpt'!P39)*100</f>
        <v>26.807971008985216</v>
      </c>
      <c r="L67" s="67">
        <f>(L24/'final outpt'!Q39)*100</f>
        <v>38.086237620369417</v>
      </c>
      <c r="M67" s="67">
        <f>(M24/'final outpt'!R39)*100</f>
        <v>36.457697712550576</v>
      </c>
      <c r="N67" s="67">
        <f>(N24/'final outpt'!S39)*100</f>
        <v>35.957647652700658</v>
      </c>
      <c r="O67" s="67"/>
      <c r="P67" s="67"/>
      <c r="Q67" s="58"/>
      <c r="R67" s="58"/>
      <c r="S67" s="58"/>
      <c r="T67" s="58"/>
      <c r="U67" s="58"/>
    </row>
    <row r="68" spans="1:21">
      <c r="A68" s="58"/>
      <c r="B68" s="55"/>
      <c r="C68" s="55"/>
      <c r="D68" s="55"/>
      <c r="E68" s="55"/>
      <c r="F68" s="55"/>
      <c r="G68" s="55"/>
    </row>
    <row r="69" spans="1:21">
      <c r="A69" t="s">
        <v>745</v>
      </c>
      <c r="B69" s="102"/>
      <c r="C69" s="102"/>
      <c r="D69" s="102"/>
      <c r="E69" s="102"/>
      <c r="F69" s="102"/>
      <c r="G69" s="102"/>
      <c r="H69" s="102"/>
      <c r="I69" s="102"/>
      <c r="J69" s="102"/>
      <c r="K69" s="102"/>
      <c r="L69" s="102"/>
      <c r="M69" s="102"/>
      <c r="N69" s="102"/>
      <c r="O69" s="102"/>
      <c r="P69" s="102"/>
      <c r="Q69" s="102"/>
    </row>
    <row r="70" spans="1:21">
      <c r="A70" s="102"/>
      <c r="B70" s="102"/>
      <c r="C70" s="102"/>
      <c r="D70" s="102"/>
      <c r="E70" s="102"/>
      <c r="F70" s="102"/>
      <c r="G70" s="102"/>
      <c r="H70" s="102"/>
      <c r="I70" s="102"/>
      <c r="J70" s="102"/>
      <c r="K70" s="102"/>
      <c r="L70" s="102"/>
      <c r="M70" s="102"/>
      <c r="N70" s="102"/>
      <c r="O70" s="102"/>
      <c r="P70" s="102"/>
      <c r="Q70" s="102"/>
    </row>
    <row r="71" spans="1:21">
      <c r="A71" s="58"/>
      <c r="B71" s="55"/>
      <c r="C71" s="55"/>
      <c r="D71" s="55"/>
      <c r="E71" s="55"/>
      <c r="F71" s="55"/>
      <c r="G71" s="55"/>
    </row>
    <row r="72" spans="1:21">
      <c r="A72" s="58"/>
      <c r="B72" s="55"/>
      <c r="C72" s="55"/>
      <c r="D72" s="55"/>
      <c r="E72" s="55"/>
      <c r="F72" s="55"/>
      <c r="G72" s="55"/>
    </row>
    <row r="73" spans="1:21">
      <c r="A73" s="58"/>
      <c r="B73" s="55"/>
      <c r="C73" s="55"/>
      <c r="D73" s="55"/>
      <c r="E73" s="55"/>
      <c r="F73" s="55"/>
      <c r="G73" s="55"/>
    </row>
    <row r="74" spans="1:21">
      <c r="A74" s="58"/>
      <c r="B74" s="55"/>
      <c r="C74" s="55"/>
      <c r="D74" s="55"/>
      <c r="E74" s="55"/>
      <c r="F74" s="55"/>
      <c r="G74" s="55"/>
    </row>
    <row r="75" spans="1:21">
      <c r="A75" s="58"/>
      <c r="B75" s="55"/>
      <c r="C75" s="55"/>
      <c r="D75" s="55"/>
      <c r="E75" s="55"/>
      <c r="F75" s="55"/>
      <c r="G75" s="55"/>
    </row>
    <row r="76" spans="1:21">
      <c r="A76" s="58"/>
      <c r="B76" s="55"/>
      <c r="C76" s="55"/>
      <c r="D76" s="55"/>
      <c r="E76" s="55"/>
      <c r="F76" s="55"/>
      <c r="G76" s="55"/>
    </row>
    <row r="77" spans="1:21">
      <c r="A77" s="12"/>
      <c r="B77" s="12" t="s">
        <v>449</v>
      </c>
      <c r="C77" s="12" t="s">
        <v>449</v>
      </c>
      <c r="D77" s="12" t="s">
        <v>449</v>
      </c>
      <c r="E77" s="12" t="s">
        <v>449</v>
      </c>
      <c r="F77" s="12" t="s">
        <v>450</v>
      </c>
      <c r="G77" s="55" t="s">
        <v>451</v>
      </c>
    </row>
    <row r="78" spans="1:21" hidden="1">
      <c r="A78" s="9" t="s">
        <v>294</v>
      </c>
      <c r="B78" s="9"/>
      <c r="C78" s="9"/>
      <c r="D78" s="9"/>
      <c r="E78" s="9"/>
      <c r="F78" s="51">
        <f>F28</f>
        <v>2627.8</v>
      </c>
      <c r="G78" s="68">
        <f>F30</f>
        <v>2178.1999999999998</v>
      </c>
    </row>
    <row r="79" spans="1:21">
      <c r="A79" s="5" t="s">
        <v>240</v>
      </c>
      <c r="F79" s="66">
        <f>G28</f>
        <v>3178.297</v>
      </c>
      <c r="G79" s="66">
        <f>G30</f>
        <v>4046.0689999999995</v>
      </c>
    </row>
    <row r="80" spans="1:21">
      <c r="A80" s="5" t="s">
        <v>241</v>
      </c>
      <c r="F80" s="66">
        <f>H28</f>
        <v>3702.1480000000001</v>
      </c>
      <c r="G80" s="66">
        <f>H30</f>
        <v>4921.9290000000001</v>
      </c>
    </row>
    <row r="81" spans="1:8">
      <c r="A81" s="5" t="s">
        <v>195</v>
      </c>
      <c r="F81" s="66">
        <f>I28</f>
        <v>4435.6180000000004</v>
      </c>
      <c r="G81" s="66">
        <f>I30</f>
        <v>6741.9789999999994</v>
      </c>
    </row>
    <row r="82" spans="1:8">
      <c r="A82" s="5" t="s">
        <v>452</v>
      </c>
      <c r="F82" s="66">
        <f>J28</f>
        <v>4467.8879999999999</v>
      </c>
      <c r="G82" s="66">
        <f>J30</f>
        <v>5584.1900000000005</v>
      </c>
    </row>
    <row r="83" spans="1:8">
      <c r="A83" s="5" t="s">
        <v>609</v>
      </c>
      <c r="F83" s="66">
        <f>K28</f>
        <v>4580.9080000000004</v>
      </c>
      <c r="G83" s="66">
        <f>K30</f>
        <v>5364.4110000000001</v>
      </c>
    </row>
    <row r="86" spans="1:8">
      <c r="A86" s="5" t="s">
        <v>459</v>
      </c>
      <c r="F86" s="69" t="e">
        <f>(#REF!/24081.8)*100</f>
        <v>#REF!</v>
      </c>
    </row>
    <row r="87" spans="1:8">
      <c r="A87" s="5" t="s">
        <v>460</v>
      </c>
      <c r="F87" s="69">
        <f>(J24/24081.8)*100</f>
        <v>36.653040885648082</v>
      </c>
    </row>
    <row r="93" spans="1:8">
      <c r="F93" s="5" t="s">
        <v>454</v>
      </c>
      <c r="G93" s="5" t="s">
        <v>455</v>
      </c>
      <c r="H93" s="5" t="s">
        <v>456</v>
      </c>
    </row>
    <row r="94" spans="1:8">
      <c r="F94" s="5">
        <v>1371</v>
      </c>
      <c r="G94" s="5">
        <v>2901</v>
      </c>
      <c r="H94" s="5">
        <v>1475</v>
      </c>
    </row>
    <row r="101" spans="1:6">
      <c r="A101" s="5" t="s">
        <v>465</v>
      </c>
      <c r="F101" s="66">
        <f>K43</f>
        <v>1537.3240000000001</v>
      </c>
    </row>
    <row r="102" spans="1:6">
      <c r="A102" s="5" t="s">
        <v>466</v>
      </c>
      <c r="F102" s="66">
        <f>K46</f>
        <v>1353.6489999999999</v>
      </c>
    </row>
    <row r="117" spans="1:8">
      <c r="F117" s="5" t="s">
        <v>404</v>
      </c>
      <c r="G117" s="5" t="s">
        <v>457</v>
      </c>
      <c r="H117" s="5" t="s">
        <v>458</v>
      </c>
    </row>
    <row r="118" spans="1:8">
      <c r="A118" s="9" t="s">
        <v>294</v>
      </c>
      <c r="F118" s="66">
        <f>F9</f>
        <v>3133</v>
      </c>
      <c r="G118" s="66">
        <f>F17</f>
        <v>1816.3</v>
      </c>
      <c r="H118" s="66">
        <f>F118+G118</f>
        <v>4949.3</v>
      </c>
    </row>
    <row r="119" spans="1:8">
      <c r="A119" s="5" t="s">
        <v>240</v>
      </c>
      <c r="F119" s="66">
        <f>G9</f>
        <v>3656.8779999999997</v>
      </c>
      <c r="G119" s="66">
        <f>G17</f>
        <v>3262.58</v>
      </c>
      <c r="H119" s="66">
        <f>F119+G119</f>
        <v>6919.4579999999996</v>
      </c>
    </row>
    <row r="120" spans="1:8">
      <c r="A120" s="5" t="s">
        <v>241</v>
      </c>
      <c r="F120" s="66">
        <f>H9</f>
        <v>4585.3989999999994</v>
      </c>
      <c r="G120" s="66">
        <f>H17</f>
        <v>3274.1320000000001</v>
      </c>
      <c r="H120" s="66">
        <f>F120+G120</f>
        <v>7859.530999999999</v>
      </c>
    </row>
    <row r="121" spans="1:8">
      <c r="A121" s="5" t="s">
        <v>195</v>
      </c>
      <c r="F121" s="66">
        <f>I9</f>
        <v>4975.75</v>
      </c>
      <c r="G121" s="66">
        <f>I17</f>
        <v>3710.9940000000001</v>
      </c>
      <c r="H121" s="66">
        <f>F121+G121</f>
        <v>8686.7440000000006</v>
      </c>
    </row>
    <row r="122" spans="1:8">
      <c r="A122" s="5" t="s">
        <v>452</v>
      </c>
      <c r="F122" s="66">
        <f>J9</f>
        <v>5078.1970000000001</v>
      </c>
      <c r="G122" s="66">
        <f>J17</f>
        <v>3748.5150000000003</v>
      </c>
      <c r="H122" s="66">
        <f>F122+G122</f>
        <v>8826.7119999999995</v>
      </c>
    </row>
  </sheetData>
  <mergeCells count="1">
    <mergeCell ref="A56:N56"/>
  </mergeCells>
  <phoneticPr fontId="0" type="noConversion"/>
  <pageMargins left="0.75" right="0.75" top="1" bottom="1" header="0.5" footer="0.5"/>
  <pageSetup paperSize="9" scale="50" orientation="portrait" r:id="rId1"/>
  <headerFooter alignWithMargins="0"/>
  <colBreaks count="1" manualBreakCount="1">
    <brk id="13" max="1048575" man="1"/>
  </colBreaks>
  <drawing r:id="rId2"/>
</worksheet>
</file>

<file path=xl/worksheets/sheet79.xml><?xml version="1.0" encoding="utf-8"?>
<worksheet xmlns="http://schemas.openxmlformats.org/spreadsheetml/2006/main" xmlns:r="http://schemas.openxmlformats.org/officeDocument/2006/relationships">
  <sheetPr codeName="Sheet48"/>
  <dimension ref="A1:S55"/>
  <sheetViews>
    <sheetView topLeftCell="B1" workbookViewId="0">
      <pane xSplit="3" ySplit="23" topLeftCell="M39" activePane="bottomRight" state="frozen"/>
      <selection activeCell="B1" sqref="B1"/>
      <selection pane="topRight" activeCell="E1" sqref="E1"/>
      <selection pane="bottomLeft" activeCell="B24" sqref="B24"/>
      <selection pane="bottomRight" activeCell="M56" sqref="M56"/>
    </sheetView>
  </sheetViews>
  <sheetFormatPr defaultRowHeight="12.75"/>
  <cols>
    <col min="1" max="1" width="2.7109375" style="2" customWidth="1"/>
    <col min="2" max="2" width="6.140625" style="2" customWidth="1"/>
    <col min="3" max="3" width="22.28515625" style="2" customWidth="1"/>
    <col min="4" max="4" width="31.28515625" style="2" customWidth="1"/>
    <col min="5" max="6" width="9.7109375" style="2" customWidth="1"/>
    <col min="7" max="8" width="9.7109375" style="116" customWidth="1"/>
    <col min="9" max="10" width="9.7109375" style="116" hidden="1" customWidth="1"/>
    <col min="11" max="12" width="9.7109375" style="116" customWidth="1"/>
    <col min="13" max="16384" width="9.140625" style="2"/>
  </cols>
  <sheetData>
    <row r="1" spans="3:14">
      <c r="C1" s="35" t="s">
        <v>881</v>
      </c>
      <c r="D1" s="35"/>
      <c r="E1" s="35"/>
      <c r="F1" s="35"/>
    </row>
    <row r="2" spans="3:14" hidden="1"/>
    <row r="3" spans="3:14" hidden="1">
      <c r="G3" s="4510" t="s">
        <v>756</v>
      </c>
      <c r="H3" s="4510"/>
      <c r="I3" s="4510" t="s">
        <v>876</v>
      </c>
      <c r="J3" s="4510"/>
      <c r="K3" s="4510" t="s">
        <v>883</v>
      </c>
      <c r="L3" s="4510"/>
    </row>
    <row r="4" spans="3:14" hidden="1">
      <c r="G4" s="5021" t="s">
        <v>884</v>
      </c>
      <c r="H4" s="5021"/>
      <c r="I4" s="5021" t="s">
        <v>885</v>
      </c>
      <c r="J4" s="5021"/>
      <c r="K4" s="5021" t="s">
        <v>886</v>
      </c>
      <c r="L4" s="5021"/>
    </row>
    <row r="5" spans="3:14" hidden="1"/>
    <row r="6" spans="3:14" ht="13.5" hidden="1" thickTop="1">
      <c r="C6" s="194" t="s">
        <v>889</v>
      </c>
      <c r="D6" s="194"/>
      <c r="E6" s="194"/>
      <c r="F6" s="194"/>
      <c r="G6" s="200" t="s">
        <v>276</v>
      </c>
      <c r="H6" s="201" t="s">
        <v>277</v>
      </c>
      <c r="I6" s="207" t="s">
        <v>276</v>
      </c>
      <c r="J6" s="208" t="s">
        <v>277</v>
      </c>
      <c r="K6" s="200" t="s">
        <v>276</v>
      </c>
      <c r="L6" s="201" t="s">
        <v>277</v>
      </c>
      <c r="M6" s="371" t="s">
        <v>277</v>
      </c>
      <c r="N6" s="372" t="s">
        <v>992</v>
      </c>
    </row>
    <row r="7" spans="3:14" ht="13.5" hidden="1" thickBot="1">
      <c r="C7" s="196" t="s">
        <v>887</v>
      </c>
      <c r="D7" s="196"/>
      <c r="E7" s="196"/>
      <c r="F7" s="196"/>
      <c r="G7" s="214" t="s">
        <v>897</v>
      </c>
      <c r="H7" s="202" t="s">
        <v>890</v>
      </c>
      <c r="I7" s="209" t="s">
        <v>888</v>
      </c>
      <c r="J7" s="212" t="s">
        <v>888</v>
      </c>
      <c r="K7" s="370" t="s">
        <v>1027</v>
      </c>
      <c r="L7" s="206" t="s">
        <v>900</v>
      </c>
      <c r="M7" s="213" t="s">
        <v>990</v>
      </c>
      <c r="N7" s="373"/>
    </row>
    <row r="8" spans="3:14" hidden="1">
      <c r="C8" s="195" t="s">
        <v>218</v>
      </c>
      <c r="D8" s="195"/>
      <c r="E8" s="195"/>
      <c r="F8" s="195"/>
      <c r="G8" s="360">
        <v>5</v>
      </c>
      <c r="H8" s="361">
        <v>6</v>
      </c>
      <c r="I8" s="362">
        <v>5</v>
      </c>
      <c r="J8" s="363">
        <v>5</v>
      </c>
      <c r="K8" s="364">
        <v>4.5</v>
      </c>
      <c r="L8" s="365">
        <v>5</v>
      </c>
      <c r="M8" s="373"/>
      <c r="N8" s="373"/>
    </row>
    <row r="9" spans="3:14" hidden="1">
      <c r="C9" s="195"/>
      <c r="D9" s="195"/>
      <c r="E9" s="195"/>
      <c r="F9" s="195"/>
      <c r="G9" s="364"/>
      <c r="H9" s="365"/>
      <c r="I9" s="362"/>
      <c r="J9" s="363"/>
      <c r="K9" s="364"/>
      <c r="L9" s="365"/>
      <c r="M9" s="373"/>
      <c r="N9" s="373"/>
    </row>
    <row r="10" spans="3:14" hidden="1">
      <c r="C10" s="195" t="s">
        <v>257</v>
      </c>
      <c r="D10" s="195"/>
      <c r="E10" s="195"/>
      <c r="F10" s="195"/>
      <c r="G10" s="364"/>
      <c r="H10" s="365"/>
      <c r="I10" s="362"/>
      <c r="J10" s="363"/>
      <c r="K10" s="364"/>
      <c r="L10" s="365"/>
      <c r="M10" s="373"/>
      <c r="N10" s="373"/>
    </row>
    <row r="11" spans="3:14" hidden="1">
      <c r="C11" s="195" t="s">
        <v>258</v>
      </c>
      <c r="D11" s="195"/>
      <c r="E11" s="195"/>
      <c r="F11" s="195"/>
      <c r="G11" s="360">
        <v>7</v>
      </c>
      <c r="H11" s="361">
        <v>7</v>
      </c>
      <c r="I11" s="362">
        <v>5.5</v>
      </c>
      <c r="J11" s="363">
        <v>6.5</v>
      </c>
      <c r="K11" s="364">
        <v>4.5</v>
      </c>
      <c r="L11" s="365">
        <v>5</v>
      </c>
      <c r="M11" s="373">
        <v>5.5</v>
      </c>
      <c r="N11" s="373"/>
    </row>
    <row r="12" spans="3:14" hidden="1">
      <c r="C12" s="195" t="s">
        <v>259</v>
      </c>
      <c r="D12" s="195"/>
      <c r="E12" s="195"/>
      <c r="F12" s="195"/>
      <c r="G12" s="364">
        <v>9</v>
      </c>
      <c r="H12" s="365">
        <v>9</v>
      </c>
      <c r="I12" s="362">
        <v>7.5</v>
      </c>
      <c r="J12" s="363">
        <v>7</v>
      </c>
      <c r="K12" s="364">
        <v>6</v>
      </c>
      <c r="L12" s="365" t="s">
        <v>901</v>
      </c>
      <c r="M12" s="374" t="s">
        <v>991</v>
      </c>
      <c r="N12" s="373"/>
    </row>
    <row r="13" spans="3:14" hidden="1">
      <c r="C13" s="195" t="s">
        <v>260</v>
      </c>
      <c r="D13" s="195"/>
      <c r="E13" s="195"/>
      <c r="F13" s="195"/>
      <c r="G13" s="364">
        <v>10</v>
      </c>
      <c r="H13" s="365">
        <v>10</v>
      </c>
      <c r="I13" s="362">
        <v>8.5</v>
      </c>
      <c r="J13" s="363">
        <v>8</v>
      </c>
      <c r="K13" s="364">
        <v>7</v>
      </c>
      <c r="L13" s="365">
        <v>7</v>
      </c>
      <c r="M13" s="373"/>
      <c r="N13" s="373"/>
    </row>
    <row r="14" spans="3:14" ht="13.5" hidden="1" thickBot="1">
      <c r="C14" s="376" t="s">
        <v>1030</v>
      </c>
      <c r="D14" s="376"/>
      <c r="E14" s="376"/>
      <c r="F14" s="376"/>
      <c r="G14" s="377"/>
      <c r="H14" s="378"/>
      <c r="I14" s="377"/>
      <c r="J14" s="378"/>
      <c r="K14" s="377">
        <v>3</v>
      </c>
      <c r="L14" s="378"/>
      <c r="M14" s="373"/>
      <c r="N14" s="373"/>
    </row>
    <row r="15" spans="3:14" hidden="1">
      <c r="K15" s="375"/>
      <c r="L15" s="375"/>
      <c r="M15" s="133"/>
      <c r="N15" s="133"/>
    </row>
    <row r="16" spans="3:14" ht="13.5" hidden="1" thickTop="1">
      <c r="C16" s="197"/>
      <c r="D16" s="197"/>
      <c r="E16" s="197"/>
      <c r="F16" s="197"/>
      <c r="G16" s="203" t="s">
        <v>276</v>
      </c>
      <c r="H16" s="204" t="s">
        <v>277</v>
      </c>
      <c r="I16" s="210" t="s">
        <v>276</v>
      </c>
      <c r="J16" s="211" t="s">
        <v>277</v>
      </c>
      <c r="K16" s="203" t="s">
        <v>276</v>
      </c>
      <c r="L16" s="204" t="s">
        <v>277</v>
      </c>
      <c r="M16" s="373"/>
      <c r="N16" s="373"/>
    </row>
    <row r="17" spans="2:19" ht="13.5" hidden="1" thickBot="1">
      <c r="C17" s="199" t="s">
        <v>887</v>
      </c>
      <c r="D17" s="199"/>
      <c r="E17" s="199"/>
      <c r="F17" s="199"/>
      <c r="G17" s="205" t="s">
        <v>891</v>
      </c>
      <c r="H17" s="206" t="s">
        <v>898</v>
      </c>
      <c r="I17" s="212"/>
      <c r="J17" s="213"/>
      <c r="K17" s="205" t="s">
        <v>1027</v>
      </c>
      <c r="L17" s="206" t="s">
        <v>899</v>
      </c>
      <c r="M17" s="373"/>
      <c r="N17" s="373"/>
    </row>
    <row r="18" spans="2:19" ht="13.5" hidden="1" thickBot="1">
      <c r="C18" s="198" t="s">
        <v>261</v>
      </c>
      <c r="D18" s="198"/>
      <c r="E18" s="198"/>
      <c r="F18" s="198"/>
      <c r="G18" s="366" t="s">
        <v>290</v>
      </c>
      <c r="H18" s="367" t="s">
        <v>880</v>
      </c>
      <c r="I18" s="368" t="s">
        <v>290</v>
      </c>
      <c r="J18" s="369" t="s">
        <v>892</v>
      </c>
      <c r="K18" s="366" t="s">
        <v>1031</v>
      </c>
      <c r="L18" s="367" t="s">
        <v>882</v>
      </c>
      <c r="M18" s="373"/>
      <c r="N18" s="373"/>
    </row>
    <row r="19" spans="2:19" hidden="1"/>
    <row r="20" spans="2:19" ht="13.5" thickBot="1"/>
    <row r="21" spans="2:19" ht="14.25" thickTop="1" thickBot="1">
      <c r="B21" s="5005" t="s">
        <v>1082</v>
      </c>
      <c r="C21" s="5016" t="s">
        <v>1083</v>
      </c>
      <c r="D21" s="384" t="s">
        <v>1036</v>
      </c>
      <c r="E21" s="5014" t="s">
        <v>1046</v>
      </c>
      <c r="F21" s="5015"/>
      <c r="G21" s="5020" t="s">
        <v>1045</v>
      </c>
      <c r="H21" s="5004"/>
      <c r="I21" s="5003" t="s">
        <v>1032</v>
      </c>
      <c r="J21" s="5004"/>
      <c r="K21" s="5003" t="s">
        <v>1048</v>
      </c>
      <c r="L21" s="5004"/>
      <c r="M21" s="5004" t="s">
        <v>1120</v>
      </c>
      <c r="N21" s="5004"/>
      <c r="O21" s="5003" t="s">
        <v>1044</v>
      </c>
      <c r="P21" s="5004"/>
      <c r="Q21" s="4989" t="s">
        <v>1167</v>
      </c>
      <c r="R21" s="4990"/>
    </row>
    <row r="22" spans="2:19" ht="14.25" thickTop="1" thickBot="1">
      <c r="B22" s="5006"/>
      <c r="C22" s="5017"/>
      <c r="D22" s="392" t="s">
        <v>1049</v>
      </c>
      <c r="E22" s="402"/>
      <c r="F22" s="433"/>
      <c r="G22" s="436" t="s">
        <v>897</v>
      </c>
      <c r="H22" s="394" t="s">
        <v>898</v>
      </c>
      <c r="I22" s="393"/>
      <c r="J22" s="395" t="s">
        <v>898</v>
      </c>
      <c r="K22" s="439" t="s">
        <v>897</v>
      </c>
      <c r="L22" s="394" t="s">
        <v>900</v>
      </c>
      <c r="M22" s="396"/>
      <c r="N22" s="441" t="s">
        <v>1038</v>
      </c>
      <c r="O22" s="439" t="s">
        <v>1041</v>
      </c>
      <c r="P22" s="394" t="s">
        <v>1041</v>
      </c>
      <c r="Q22" s="503"/>
      <c r="R22" s="507"/>
    </row>
    <row r="23" spans="2:19" ht="13.5" thickTop="1">
      <c r="B23" s="406" t="s">
        <v>1084</v>
      </c>
      <c r="C23" s="5009" t="s">
        <v>261</v>
      </c>
      <c r="D23" s="5010"/>
      <c r="E23" s="447" t="s">
        <v>276</v>
      </c>
      <c r="F23" s="448" t="s">
        <v>277</v>
      </c>
      <c r="G23" s="449" t="s">
        <v>276</v>
      </c>
      <c r="H23" s="448" t="s">
        <v>277</v>
      </c>
      <c r="I23" s="450" t="s">
        <v>290</v>
      </c>
      <c r="J23" s="450" t="s">
        <v>880</v>
      </c>
      <c r="K23" s="397" t="s">
        <v>276</v>
      </c>
      <c r="L23" s="448" t="s">
        <v>277</v>
      </c>
      <c r="M23" s="397" t="s">
        <v>276</v>
      </c>
      <c r="N23" s="451" t="s">
        <v>277</v>
      </c>
      <c r="O23" s="449" t="s">
        <v>276</v>
      </c>
      <c r="P23" s="451" t="s">
        <v>277</v>
      </c>
      <c r="Q23" s="449" t="s">
        <v>276</v>
      </c>
      <c r="R23" s="496" t="s">
        <v>277</v>
      </c>
      <c r="S23" s="35"/>
    </row>
    <row r="24" spans="2:19">
      <c r="B24" s="407" t="s">
        <v>1085</v>
      </c>
      <c r="C24" s="417" t="s">
        <v>798</v>
      </c>
      <c r="D24" s="418"/>
      <c r="E24" s="403">
        <v>15.5</v>
      </c>
      <c r="F24" s="434"/>
      <c r="G24" s="437">
        <v>15</v>
      </c>
      <c r="H24" s="379"/>
      <c r="I24" s="382"/>
      <c r="J24" s="382"/>
      <c r="K24" s="437">
        <v>15</v>
      </c>
      <c r="L24" s="379"/>
      <c r="M24" s="382"/>
      <c r="N24" s="379"/>
      <c r="O24" s="382">
        <v>15</v>
      </c>
      <c r="P24" s="379" t="s">
        <v>244</v>
      </c>
      <c r="Q24" s="504">
        <v>15</v>
      </c>
      <c r="R24" s="508"/>
    </row>
    <row r="25" spans="2:19">
      <c r="B25" s="407" t="s">
        <v>1086</v>
      </c>
      <c r="C25" s="419" t="s">
        <v>1033</v>
      </c>
      <c r="D25" s="420"/>
      <c r="E25" s="404">
        <v>15.5</v>
      </c>
      <c r="F25" s="379"/>
      <c r="G25" s="437">
        <v>15</v>
      </c>
      <c r="H25" s="379"/>
      <c r="I25" s="382"/>
      <c r="J25" s="382"/>
      <c r="K25" s="437">
        <v>15</v>
      </c>
      <c r="L25" s="379"/>
      <c r="M25" s="382"/>
      <c r="N25" s="379"/>
      <c r="O25" s="382">
        <v>15</v>
      </c>
      <c r="P25" s="399">
        <v>12</v>
      </c>
      <c r="Q25" s="505"/>
      <c r="R25" s="509"/>
    </row>
    <row r="26" spans="2:19">
      <c r="B26" s="407" t="s">
        <v>1087</v>
      </c>
      <c r="C26" s="5007" t="s">
        <v>799</v>
      </c>
      <c r="D26" s="405" t="s">
        <v>1089</v>
      </c>
      <c r="E26" s="403">
        <v>13</v>
      </c>
      <c r="F26" s="434"/>
      <c r="G26" s="382">
        <v>13</v>
      </c>
      <c r="H26" s="379"/>
      <c r="I26" s="382"/>
      <c r="J26" s="382"/>
      <c r="K26" s="382">
        <v>13</v>
      </c>
      <c r="L26" s="379"/>
      <c r="M26" s="382"/>
      <c r="N26" s="379"/>
      <c r="O26" s="381">
        <v>13</v>
      </c>
      <c r="P26" s="379" t="s">
        <v>244</v>
      </c>
      <c r="Q26" s="505">
        <v>13</v>
      </c>
      <c r="R26" s="509"/>
    </row>
    <row r="27" spans="2:19">
      <c r="B27" s="407" t="s">
        <v>1088</v>
      </c>
      <c r="C27" s="5007"/>
      <c r="D27" s="405" t="s">
        <v>1090</v>
      </c>
      <c r="E27" s="403">
        <v>15.5</v>
      </c>
      <c r="F27" s="434"/>
      <c r="G27" s="437">
        <v>15</v>
      </c>
      <c r="H27" s="379"/>
      <c r="I27" s="382"/>
      <c r="J27" s="382"/>
      <c r="K27" s="437">
        <v>15</v>
      </c>
      <c r="L27" s="379"/>
      <c r="M27" s="382"/>
      <c r="N27" s="379"/>
      <c r="O27" s="381">
        <v>15</v>
      </c>
      <c r="P27" s="379" t="s">
        <v>244</v>
      </c>
      <c r="Q27" s="505">
        <v>15</v>
      </c>
      <c r="R27" s="509"/>
    </row>
    <row r="28" spans="2:19">
      <c r="B28" s="408" t="s">
        <v>1091</v>
      </c>
      <c r="C28" s="5007" t="s">
        <v>1074</v>
      </c>
      <c r="D28" s="405" t="s">
        <v>1080</v>
      </c>
      <c r="E28" s="403">
        <v>13</v>
      </c>
      <c r="F28" s="434"/>
      <c r="G28" s="438" t="s">
        <v>281</v>
      </c>
      <c r="H28" s="379"/>
      <c r="I28" s="382"/>
      <c r="J28" s="382"/>
      <c r="K28" s="438" t="s">
        <v>281</v>
      </c>
      <c r="L28" s="400" t="s">
        <v>281</v>
      </c>
      <c r="M28" s="382"/>
      <c r="N28" s="379"/>
      <c r="O28" s="457">
        <v>12</v>
      </c>
      <c r="P28" s="458">
        <v>12</v>
      </c>
      <c r="Q28" s="505">
        <v>12</v>
      </c>
      <c r="R28" s="509"/>
    </row>
    <row r="29" spans="2:19">
      <c r="B29" s="408" t="s">
        <v>1092</v>
      </c>
      <c r="C29" s="5007"/>
      <c r="D29" s="405" t="s">
        <v>1081</v>
      </c>
      <c r="E29" s="403">
        <v>13.5</v>
      </c>
      <c r="F29" s="434">
        <v>14</v>
      </c>
      <c r="G29" s="438" t="s">
        <v>280</v>
      </c>
      <c r="H29" s="399">
        <v>13</v>
      </c>
      <c r="I29" s="382"/>
      <c r="J29" s="382"/>
      <c r="K29" s="438" t="s">
        <v>280</v>
      </c>
      <c r="L29" s="400" t="s">
        <v>1116</v>
      </c>
      <c r="M29" s="382"/>
      <c r="N29" s="379"/>
      <c r="O29" s="457">
        <v>13</v>
      </c>
      <c r="P29" s="458">
        <v>13</v>
      </c>
      <c r="Q29" s="505">
        <v>13</v>
      </c>
      <c r="R29" s="509"/>
    </row>
    <row r="30" spans="2:19">
      <c r="B30" s="408" t="s">
        <v>1094</v>
      </c>
      <c r="C30" s="5008" t="s">
        <v>1093</v>
      </c>
      <c r="D30" s="405" t="s">
        <v>1080</v>
      </c>
      <c r="E30" s="5012">
        <v>13</v>
      </c>
      <c r="F30" s="5018">
        <v>13</v>
      </c>
      <c r="G30" s="4997">
        <v>13</v>
      </c>
      <c r="H30" s="5001">
        <v>12</v>
      </c>
      <c r="I30" s="382"/>
      <c r="J30" s="382"/>
      <c r="K30" s="438" t="s">
        <v>281</v>
      </c>
      <c r="L30" s="379" t="s">
        <v>1117</v>
      </c>
      <c r="M30" s="382"/>
      <c r="N30" s="379"/>
      <c r="O30" s="457">
        <v>12</v>
      </c>
      <c r="P30" s="459">
        <v>12</v>
      </c>
      <c r="Q30" s="505">
        <v>12</v>
      </c>
      <c r="R30" s="509"/>
    </row>
    <row r="31" spans="2:19">
      <c r="B31" s="408" t="s">
        <v>1095</v>
      </c>
      <c r="C31" s="5008"/>
      <c r="D31" s="405" t="s">
        <v>1081</v>
      </c>
      <c r="E31" s="5013"/>
      <c r="F31" s="5019"/>
      <c r="G31" s="4998"/>
      <c r="H31" s="5002"/>
      <c r="I31" s="382"/>
      <c r="J31" s="382"/>
      <c r="K31" s="440" t="s">
        <v>280</v>
      </c>
      <c r="L31" s="379"/>
      <c r="M31" s="382"/>
      <c r="N31" s="379"/>
      <c r="O31" s="457">
        <v>13</v>
      </c>
      <c r="P31" s="459" t="s">
        <v>244</v>
      </c>
      <c r="Q31" s="505">
        <v>13</v>
      </c>
      <c r="R31" s="509"/>
    </row>
    <row r="32" spans="2:19">
      <c r="B32" s="408" t="s">
        <v>1096</v>
      </c>
      <c r="C32" s="5007" t="s">
        <v>800</v>
      </c>
      <c r="D32" s="405" t="s">
        <v>1080</v>
      </c>
      <c r="E32" s="403">
        <v>13</v>
      </c>
      <c r="F32" s="4993">
        <v>13</v>
      </c>
      <c r="G32" s="455">
        <v>13</v>
      </c>
      <c r="H32" s="4995">
        <v>13</v>
      </c>
      <c r="I32" s="382"/>
      <c r="J32" s="382"/>
      <c r="K32" s="382">
        <v>13</v>
      </c>
      <c r="L32" s="4995">
        <v>13</v>
      </c>
      <c r="M32" s="382"/>
      <c r="N32" s="379"/>
      <c r="O32" s="382">
        <v>13</v>
      </c>
      <c r="P32" s="459">
        <v>13</v>
      </c>
      <c r="Q32" s="505">
        <v>13</v>
      </c>
      <c r="R32" s="509"/>
    </row>
    <row r="33" spans="1:19">
      <c r="B33" s="408" t="s">
        <v>1097</v>
      </c>
      <c r="C33" s="5007"/>
      <c r="D33" s="405" t="s">
        <v>1081</v>
      </c>
      <c r="E33" s="403">
        <v>15.5</v>
      </c>
      <c r="F33" s="4994"/>
      <c r="G33" s="456">
        <v>15</v>
      </c>
      <c r="H33" s="4996"/>
      <c r="I33" s="382"/>
      <c r="J33" s="382"/>
      <c r="K33" s="437">
        <v>15</v>
      </c>
      <c r="L33" s="4996"/>
      <c r="M33" s="382"/>
      <c r="N33" s="379"/>
      <c r="O33" s="382">
        <v>15</v>
      </c>
      <c r="P33" s="459" t="s">
        <v>244</v>
      </c>
      <c r="Q33" s="513">
        <v>16</v>
      </c>
      <c r="R33" s="509"/>
    </row>
    <row r="34" spans="1:19">
      <c r="B34" s="408" t="s">
        <v>1098</v>
      </c>
      <c r="C34" s="417" t="s">
        <v>803</v>
      </c>
      <c r="D34" s="418"/>
      <c r="E34" s="403">
        <v>15.5</v>
      </c>
      <c r="F34" s="434">
        <v>16</v>
      </c>
      <c r="G34" s="437">
        <v>15</v>
      </c>
      <c r="H34" s="379">
        <v>16</v>
      </c>
      <c r="I34" s="382"/>
      <c r="J34" s="382"/>
      <c r="K34" s="437">
        <v>15</v>
      </c>
      <c r="L34" s="379">
        <v>16</v>
      </c>
      <c r="M34" s="382"/>
      <c r="N34" s="379"/>
      <c r="O34" s="382">
        <v>15</v>
      </c>
      <c r="P34" s="459">
        <v>16</v>
      </c>
      <c r="Q34" s="505">
        <v>15</v>
      </c>
      <c r="R34" s="509"/>
    </row>
    <row r="35" spans="1:19">
      <c r="B35" s="408" t="s">
        <v>1099</v>
      </c>
      <c r="C35" s="417" t="s">
        <v>895</v>
      </c>
      <c r="D35" s="418"/>
      <c r="E35" s="403"/>
      <c r="F35" s="434">
        <v>13</v>
      </c>
      <c r="G35" s="382"/>
      <c r="H35" s="379">
        <v>13</v>
      </c>
      <c r="I35" s="382"/>
      <c r="J35" s="382"/>
      <c r="K35" s="382"/>
      <c r="L35" s="379">
        <v>13</v>
      </c>
      <c r="M35" s="382"/>
      <c r="N35" s="399">
        <v>12</v>
      </c>
      <c r="O35" s="437">
        <v>12</v>
      </c>
      <c r="P35" s="459">
        <v>12</v>
      </c>
      <c r="Q35" s="505">
        <v>15</v>
      </c>
      <c r="R35" s="509"/>
    </row>
    <row r="36" spans="1:19">
      <c r="B36" s="407" t="s">
        <v>1100</v>
      </c>
      <c r="C36" s="417" t="s">
        <v>1122</v>
      </c>
      <c r="D36" s="418"/>
      <c r="E36" s="403">
        <v>14</v>
      </c>
      <c r="F36" s="434">
        <v>14</v>
      </c>
      <c r="G36" s="437">
        <v>13</v>
      </c>
      <c r="H36" s="399">
        <v>13</v>
      </c>
      <c r="I36" s="382"/>
      <c r="J36" s="382"/>
      <c r="K36" s="437">
        <v>13</v>
      </c>
      <c r="L36" s="379" t="s">
        <v>1116</v>
      </c>
      <c r="M36" s="382"/>
      <c r="N36" s="399"/>
      <c r="O36" s="437">
        <v>10</v>
      </c>
      <c r="P36" s="460">
        <v>10</v>
      </c>
      <c r="Q36" s="505">
        <v>10</v>
      </c>
      <c r="R36" s="509"/>
      <c r="S36" s="2" t="s">
        <v>1169</v>
      </c>
    </row>
    <row r="37" spans="1:19">
      <c r="B37" s="407" t="s">
        <v>1101</v>
      </c>
      <c r="C37" s="417" t="s">
        <v>896</v>
      </c>
      <c r="D37" s="418"/>
      <c r="E37" s="403">
        <v>13</v>
      </c>
      <c r="F37" s="434">
        <v>14</v>
      </c>
      <c r="G37" s="382">
        <v>13</v>
      </c>
      <c r="H37" s="379">
        <v>14</v>
      </c>
      <c r="I37" s="382"/>
      <c r="J37" s="382"/>
      <c r="K37" s="382">
        <v>13</v>
      </c>
      <c r="L37" s="379">
        <v>14</v>
      </c>
      <c r="M37" s="382"/>
      <c r="N37" s="399">
        <v>12</v>
      </c>
      <c r="O37" s="382">
        <v>13</v>
      </c>
      <c r="P37" s="459">
        <v>12</v>
      </c>
      <c r="Q37" s="505">
        <v>13</v>
      </c>
      <c r="R37" s="509"/>
    </row>
    <row r="38" spans="1:19">
      <c r="B38" s="407" t="s">
        <v>1102</v>
      </c>
      <c r="C38" s="417" t="s">
        <v>802</v>
      </c>
      <c r="D38" s="418"/>
      <c r="E38" s="403">
        <v>15</v>
      </c>
      <c r="F38" s="434">
        <v>16</v>
      </c>
      <c r="G38" s="382">
        <v>15</v>
      </c>
      <c r="H38" s="399">
        <v>15</v>
      </c>
      <c r="I38" s="382"/>
      <c r="J38" s="382"/>
      <c r="K38" s="382">
        <v>15</v>
      </c>
      <c r="L38" s="379" t="s">
        <v>1118</v>
      </c>
      <c r="M38" s="382"/>
      <c r="N38" s="379"/>
      <c r="O38" s="382">
        <v>15</v>
      </c>
      <c r="P38" s="459">
        <v>15</v>
      </c>
      <c r="Q38" s="505">
        <v>15</v>
      </c>
      <c r="R38" s="509"/>
      <c r="S38" s="2" t="s">
        <v>1170</v>
      </c>
    </row>
    <row r="39" spans="1:19">
      <c r="B39" s="407" t="s">
        <v>1103</v>
      </c>
      <c r="C39" s="419" t="s">
        <v>893</v>
      </c>
      <c r="D39" s="420"/>
      <c r="E39" s="404">
        <v>12</v>
      </c>
      <c r="F39" s="379"/>
      <c r="G39" s="382">
        <v>12</v>
      </c>
      <c r="H39" s="399"/>
      <c r="I39" s="382"/>
      <c r="J39" s="382"/>
      <c r="K39" s="382">
        <v>12</v>
      </c>
      <c r="L39" s="379"/>
      <c r="M39" s="382"/>
      <c r="N39" s="379"/>
      <c r="O39" s="382">
        <v>12</v>
      </c>
      <c r="P39" s="459" t="s">
        <v>244</v>
      </c>
      <c r="Q39" s="505">
        <v>12</v>
      </c>
      <c r="R39" s="509"/>
      <c r="S39" s="2" t="s">
        <v>1171</v>
      </c>
    </row>
    <row r="40" spans="1:19">
      <c r="B40" s="407" t="s">
        <v>1104</v>
      </c>
      <c r="C40" s="417" t="s">
        <v>894</v>
      </c>
      <c r="D40" s="418"/>
      <c r="E40" s="403">
        <v>12</v>
      </c>
      <c r="F40" s="434">
        <v>16</v>
      </c>
      <c r="G40" s="382">
        <v>12</v>
      </c>
      <c r="H40" s="379">
        <v>16</v>
      </c>
      <c r="I40" s="382"/>
      <c r="J40" s="382"/>
      <c r="K40" s="382">
        <v>12</v>
      </c>
      <c r="L40" s="379">
        <v>16</v>
      </c>
      <c r="M40" s="382"/>
      <c r="N40" s="379"/>
      <c r="O40" s="437" t="s">
        <v>244</v>
      </c>
      <c r="P40" s="459">
        <v>16</v>
      </c>
      <c r="Q40" s="505"/>
      <c r="R40" s="509"/>
    </row>
    <row r="41" spans="1:19">
      <c r="B41" s="408" t="s">
        <v>1105</v>
      </c>
      <c r="C41" s="419" t="s">
        <v>1043</v>
      </c>
      <c r="D41" s="420"/>
      <c r="E41" s="404"/>
      <c r="F41" s="379">
        <v>15</v>
      </c>
      <c r="G41" s="382"/>
      <c r="H41" s="379">
        <v>15</v>
      </c>
      <c r="I41" s="382"/>
      <c r="J41" s="382"/>
      <c r="K41" s="382"/>
      <c r="L41" s="379">
        <v>15</v>
      </c>
      <c r="M41" s="401"/>
      <c r="N41" s="442"/>
      <c r="O41" s="382" t="s">
        <v>244</v>
      </c>
      <c r="P41" s="459">
        <v>15</v>
      </c>
      <c r="Q41" s="505"/>
      <c r="R41" s="509"/>
    </row>
    <row r="42" spans="1:19">
      <c r="B42" s="408" t="s">
        <v>1106</v>
      </c>
      <c r="C42" s="419" t="s">
        <v>1035</v>
      </c>
      <c r="D42" s="420"/>
      <c r="E42" s="404"/>
      <c r="F42" s="379">
        <v>15</v>
      </c>
      <c r="G42" s="382"/>
      <c r="H42" s="379">
        <v>15</v>
      </c>
      <c r="I42" s="382"/>
      <c r="J42" s="382"/>
      <c r="K42" s="382"/>
      <c r="L42" s="379">
        <v>15</v>
      </c>
      <c r="M42" s="382"/>
      <c r="N42" s="379"/>
      <c r="O42" s="437">
        <v>15</v>
      </c>
      <c r="P42" s="459">
        <v>15</v>
      </c>
      <c r="Q42" s="505"/>
      <c r="R42" s="509"/>
    </row>
    <row r="43" spans="1:19" ht="13.5" thickBot="1">
      <c r="B43" s="409" t="s">
        <v>1107</v>
      </c>
      <c r="C43" s="421" t="s">
        <v>801</v>
      </c>
      <c r="D43" s="422"/>
      <c r="E43" s="410">
        <v>13</v>
      </c>
      <c r="F43" s="435"/>
      <c r="G43" s="383">
        <v>13</v>
      </c>
      <c r="H43" s="380"/>
      <c r="I43" s="383"/>
      <c r="J43" s="383"/>
      <c r="K43" s="383">
        <v>13</v>
      </c>
      <c r="L43" s="380"/>
      <c r="M43" s="383"/>
      <c r="N43" s="380"/>
      <c r="O43" s="383">
        <v>13</v>
      </c>
      <c r="P43" s="380" t="s">
        <v>244</v>
      </c>
      <c r="Q43" s="506">
        <v>13</v>
      </c>
      <c r="R43" s="510"/>
      <c r="S43" s="2" t="s">
        <v>1168</v>
      </c>
    </row>
    <row r="44" spans="1:19" ht="14.25" thickTop="1" thickBot="1">
      <c r="B44" s="411"/>
      <c r="C44" s="412"/>
      <c r="D44" s="412"/>
      <c r="E44" s="412"/>
      <c r="F44" s="412"/>
      <c r="G44" s="413"/>
      <c r="H44" s="413"/>
      <c r="I44" s="413"/>
      <c r="J44" s="413"/>
      <c r="K44" s="413"/>
      <c r="L44" s="413"/>
      <c r="M44" s="412"/>
      <c r="N44" s="412"/>
      <c r="O44" s="412"/>
      <c r="P44" s="412"/>
      <c r="Q44" s="511"/>
      <c r="R44" s="512"/>
    </row>
    <row r="45" spans="1:19" ht="13.5" thickTop="1">
      <c r="B45" s="414"/>
      <c r="C45" s="415"/>
      <c r="D45" s="416" t="s">
        <v>1049</v>
      </c>
      <c r="E45" s="391"/>
      <c r="F45" s="443"/>
      <c r="G45" s="445" t="s">
        <v>897</v>
      </c>
      <c r="H45" s="388" t="s">
        <v>898</v>
      </c>
      <c r="I45" s="386"/>
      <c r="J45" s="387"/>
      <c r="K45" s="386" t="s">
        <v>888</v>
      </c>
      <c r="L45" s="388" t="s">
        <v>898</v>
      </c>
      <c r="M45" s="386"/>
      <c r="N45" s="385"/>
      <c r="O45" s="386" t="s">
        <v>1037</v>
      </c>
      <c r="P45" s="491" t="s">
        <v>1039</v>
      </c>
      <c r="Q45" s="500"/>
      <c r="R45" s="499"/>
    </row>
    <row r="46" spans="1:19" s="35" customFormat="1">
      <c r="A46" s="2"/>
      <c r="B46" s="423" t="s">
        <v>1109</v>
      </c>
      <c r="C46" s="5011" t="s">
        <v>1108</v>
      </c>
      <c r="D46" s="5011"/>
      <c r="E46" s="452" t="s">
        <v>276</v>
      </c>
      <c r="F46" s="453" t="s">
        <v>277</v>
      </c>
      <c r="G46" s="390" t="s">
        <v>276</v>
      </c>
      <c r="H46" s="389" t="s">
        <v>277</v>
      </c>
      <c r="I46" s="390" t="s">
        <v>276</v>
      </c>
      <c r="J46" s="390" t="s">
        <v>277</v>
      </c>
      <c r="K46" s="390" t="s">
        <v>276</v>
      </c>
      <c r="L46" s="389" t="s">
        <v>277</v>
      </c>
      <c r="M46" s="390" t="s">
        <v>276</v>
      </c>
      <c r="N46" s="389" t="s">
        <v>277</v>
      </c>
      <c r="O46" s="390" t="s">
        <v>276</v>
      </c>
      <c r="P46" s="492" t="s">
        <v>277</v>
      </c>
      <c r="Q46" s="390" t="s">
        <v>276</v>
      </c>
      <c r="R46" s="454" t="s">
        <v>277</v>
      </c>
    </row>
    <row r="47" spans="1:19">
      <c r="B47" s="423" t="s">
        <v>1110</v>
      </c>
      <c r="C47" s="429" t="s">
        <v>218</v>
      </c>
      <c r="D47" s="430"/>
      <c r="E47" s="398">
        <v>5</v>
      </c>
      <c r="F47" s="434">
        <v>7</v>
      </c>
      <c r="G47" s="382">
        <v>5</v>
      </c>
      <c r="H47" s="399">
        <v>6</v>
      </c>
      <c r="I47" s="382">
        <v>5</v>
      </c>
      <c r="J47" s="382">
        <v>6</v>
      </c>
      <c r="K47" s="382">
        <v>5</v>
      </c>
      <c r="L47" s="399">
        <v>6</v>
      </c>
      <c r="M47" s="382">
        <v>5</v>
      </c>
      <c r="N47" s="399">
        <v>5</v>
      </c>
      <c r="O47" s="437">
        <v>4.5</v>
      </c>
      <c r="P47" s="493">
        <v>5</v>
      </c>
      <c r="Q47" s="501">
        <v>4.5</v>
      </c>
      <c r="R47" s="497">
        <v>5</v>
      </c>
    </row>
    <row r="48" spans="1:19">
      <c r="B48" s="423" t="s">
        <v>1111</v>
      </c>
      <c r="C48" s="429" t="s">
        <v>257</v>
      </c>
      <c r="D48" s="430"/>
      <c r="E48" s="398"/>
      <c r="F48" s="434"/>
      <c r="G48" s="382"/>
      <c r="H48" s="379"/>
      <c r="I48" s="382"/>
      <c r="J48" s="382"/>
      <c r="K48" s="382"/>
      <c r="L48" s="379"/>
      <c r="M48" s="382"/>
      <c r="N48" s="379"/>
      <c r="O48" s="382"/>
      <c r="P48" s="493"/>
      <c r="Q48" s="501"/>
      <c r="R48" s="497"/>
    </row>
    <row r="49" spans="2:18">
      <c r="B49" s="423" t="s">
        <v>1113</v>
      </c>
      <c r="C49" s="429" t="s">
        <v>258</v>
      </c>
      <c r="D49" s="430"/>
      <c r="E49" s="398">
        <v>7</v>
      </c>
      <c r="F49" s="434">
        <v>8</v>
      </c>
      <c r="G49" s="382">
        <v>7</v>
      </c>
      <c r="H49" s="399">
        <v>7</v>
      </c>
      <c r="I49" s="382">
        <v>7</v>
      </c>
      <c r="J49" s="382">
        <v>7</v>
      </c>
      <c r="K49" s="437">
        <v>5.5</v>
      </c>
      <c r="L49" s="399">
        <v>7</v>
      </c>
      <c r="M49" s="382">
        <v>5.5</v>
      </c>
      <c r="N49" s="399">
        <v>6</v>
      </c>
      <c r="O49" s="437">
        <v>4.5</v>
      </c>
      <c r="P49" s="494">
        <v>5.5</v>
      </c>
      <c r="Q49" s="501">
        <v>4.5</v>
      </c>
      <c r="R49" s="497">
        <v>5.5</v>
      </c>
    </row>
    <row r="50" spans="2:18">
      <c r="B50" s="423" t="s">
        <v>1112</v>
      </c>
      <c r="C50" s="429" t="s">
        <v>1121</v>
      </c>
      <c r="D50" s="430"/>
      <c r="E50" s="4991">
        <v>9</v>
      </c>
      <c r="F50" s="4993">
        <v>10</v>
      </c>
      <c r="G50" s="4997">
        <v>9</v>
      </c>
      <c r="H50" s="5001">
        <v>9</v>
      </c>
      <c r="I50" s="455">
        <v>9</v>
      </c>
      <c r="J50" s="455">
        <v>9</v>
      </c>
      <c r="K50" s="4999">
        <v>7.5</v>
      </c>
      <c r="L50" s="5001">
        <v>9</v>
      </c>
      <c r="M50" s="382">
        <v>7.5</v>
      </c>
      <c r="N50" s="399">
        <v>6.5</v>
      </c>
      <c r="O50" s="4999">
        <v>6</v>
      </c>
      <c r="P50" s="494">
        <v>6</v>
      </c>
      <c r="Q50" s="501">
        <v>6</v>
      </c>
      <c r="R50" s="497">
        <v>6</v>
      </c>
    </row>
    <row r="51" spans="2:18">
      <c r="B51" s="423"/>
      <c r="C51" s="429" t="s">
        <v>1029</v>
      </c>
      <c r="D51" s="430"/>
      <c r="E51" s="4992"/>
      <c r="F51" s="4994"/>
      <c r="G51" s="4998"/>
      <c r="H51" s="5002"/>
      <c r="I51" s="455"/>
      <c r="J51" s="455"/>
      <c r="K51" s="5000"/>
      <c r="L51" s="5002"/>
      <c r="M51" s="382"/>
      <c r="N51" s="399">
        <v>7</v>
      </c>
      <c r="O51" s="5000"/>
      <c r="P51" s="494">
        <v>6.5</v>
      </c>
      <c r="Q51" s="501">
        <v>6</v>
      </c>
      <c r="R51" s="497">
        <v>6.5</v>
      </c>
    </row>
    <row r="52" spans="2:18">
      <c r="B52" s="423" t="s">
        <v>1114</v>
      </c>
      <c r="C52" s="429" t="s">
        <v>1028</v>
      </c>
      <c r="D52" s="430"/>
      <c r="E52" s="398">
        <v>10</v>
      </c>
      <c r="F52" s="434">
        <v>11</v>
      </c>
      <c r="G52" s="382">
        <v>10</v>
      </c>
      <c r="H52" s="399">
        <v>10</v>
      </c>
      <c r="I52" s="382">
        <v>10</v>
      </c>
      <c r="J52" s="382">
        <v>10</v>
      </c>
      <c r="K52" s="437">
        <v>8.5</v>
      </c>
      <c r="L52" s="399">
        <v>10</v>
      </c>
      <c r="M52" s="382">
        <v>8.5</v>
      </c>
      <c r="N52" s="399">
        <v>7</v>
      </c>
      <c r="O52" s="437">
        <v>7</v>
      </c>
      <c r="P52" s="493">
        <v>7</v>
      </c>
      <c r="Q52" s="501">
        <v>7</v>
      </c>
      <c r="R52" s="497">
        <v>7</v>
      </c>
    </row>
    <row r="53" spans="2:18" ht="13.5" thickBot="1">
      <c r="B53" s="424" t="s">
        <v>1115</v>
      </c>
      <c r="C53" s="431" t="s">
        <v>1040</v>
      </c>
      <c r="D53" s="432"/>
      <c r="E53" s="425">
        <v>5.5</v>
      </c>
      <c r="F53" s="444" t="s">
        <v>1047</v>
      </c>
      <c r="G53" s="446">
        <v>4.5</v>
      </c>
      <c r="H53" s="427" t="s">
        <v>1047</v>
      </c>
      <c r="I53" s="428">
        <v>4.5</v>
      </c>
      <c r="J53" s="428"/>
      <c r="K53" s="446">
        <v>4</v>
      </c>
      <c r="L53" s="427" t="s">
        <v>1047</v>
      </c>
      <c r="M53" s="428"/>
      <c r="N53" s="426">
        <v>3.5</v>
      </c>
      <c r="O53" s="446">
        <v>3</v>
      </c>
      <c r="P53" s="495">
        <v>3.25</v>
      </c>
      <c r="Q53" s="502">
        <v>3</v>
      </c>
      <c r="R53" s="498">
        <v>3.25</v>
      </c>
    </row>
    <row r="54" spans="2:18" ht="13.5" thickTop="1"/>
    <row r="55" spans="2:18">
      <c r="B55" s="112" t="s">
        <v>1119</v>
      </c>
    </row>
  </sheetData>
  <mergeCells count="35">
    <mergeCell ref="K3:L3"/>
    <mergeCell ref="K4:L4"/>
    <mergeCell ref="G3:H3"/>
    <mergeCell ref="G4:H4"/>
    <mergeCell ref="I3:J3"/>
    <mergeCell ref="I4:J4"/>
    <mergeCell ref="B21:B22"/>
    <mergeCell ref="C26:C27"/>
    <mergeCell ref="C28:C29"/>
    <mergeCell ref="C30:C31"/>
    <mergeCell ref="H50:H51"/>
    <mergeCell ref="C32:C33"/>
    <mergeCell ref="C23:D23"/>
    <mergeCell ref="C46:D46"/>
    <mergeCell ref="E30:E31"/>
    <mergeCell ref="E21:F21"/>
    <mergeCell ref="C21:C22"/>
    <mergeCell ref="G30:G31"/>
    <mergeCell ref="H30:H31"/>
    <mergeCell ref="F30:F31"/>
    <mergeCell ref="G21:H21"/>
    <mergeCell ref="Q21:R21"/>
    <mergeCell ref="E50:E51"/>
    <mergeCell ref="F32:F33"/>
    <mergeCell ref="H32:H33"/>
    <mergeCell ref="L32:L33"/>
    <mergeCell ref="G50:G51"/>
    <mergeCell ref="F50:F51"/>
    <mergeCell ref="O50:O51"/>
    <mergeCell ref="K50:K51"/>
    <mergeCell ref="L50:L51"/>
    <mergeCell ref="O21:P21"/>
    <mergeCell ref="I21:J21"/>
    <mergeCell ref="K21:L21"/>
    <mergeCell ref="M21:N21"/>
  </mergeCells>
  <phoneticPr fontId="0" type="noConversion"/>
  <pageMargins left="0.75" right="0.75" top="1" bottom="1" header="0.5" footer="0.5"/>
  <pageSetup scale="78"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11" enableFormatConditionsCalculation="0">
    <tabColor indexed="46"/>
    <pageSetUpPr fitToPage="1"/>
  </sheetPr>
  <dimension ref="A1:AK56"/>
  <sheetViews>
    <sheetView zoomScale="75" zoomScaleNormal="75" workbookViewId="0">
      <pane xSplit="1" ySplit="6" topLeftCell="B7" activePane="bottomRight" state="frozen"/>
      <selection pane="topRight" activeCell="B1" sqref="B1"/>
      <selection pane="bottomLeft" activeCell="A7" sqref="A7"/>
      <selection pane="bottomRight" activeCell="C12" sqref="C12"/>
    </sheetView>
  </sheetViews>
  <sheetFormatPr defaultRowHeight="12.75"/>
  <cols>
    <col min="2" max="2" width="8.7109375" customWidth="1"/>
    <col min="10" max="10" width="7.28515625" customWidth="1"/>
    <col min="11" max="11" width="15" customWidth="1"/>
    <col min="15" max="15" width="8.85546875" customWidth="1"/>
    <col min="25" max="25" width="0" hidden="1" customWidth="1"/>
    <col min="26" max="26" width="8.5703125" customWidth="1"/>
    <col min="27" max="27" width="10.42578125" customWidth="1"/>
    <col min="28" max="28" width="41.85546875" customWidth="1"/>
  </cols>
  <sheetData>
    <row r="1" spans="1:37" s="766" customFormat="1" ht="33.75" customHeight="1">
      <c r="A1" s="764" t="s">
        <v>59</v>
      </c>
      <c r="B1" s="765"/>
      <c r="C1" s="765"/>
      <c r="D1" s="765"/>
      <c r="E1" s="765"/>
      <c r="F1" s="765"/>
      <c r="G1" s="765"/>
      <c r="H1" s="765"/>
      <c r="I1" s="765"/>
      <c r="J1" s="765"/>
      <c r="K1" s="765"/>
      <c r="L1" s="765" t="s">
        <v>60</v>
      </c>
      <c r="M1" s="765"/>
      <c r="N1" s="765"/>
      <c r="O1" s="765"/>
      <c r="P1" s="765"/>
      <c r="Q1" s="765"/>
      <c r="R1" s="765"/>
      <c r="S1" s="765"/>
      <c r="T1" s="765"/>
      <c r="U1" s="770" t="s">
        <v>0</v>
      </c>
      <c r="V1" s="770"/>
      <c r="W1" s="770"/>
      <c r="X1" s="770"/>
      <c r="Y1" s="770"/>
    </row>
    <row r="2" spans="1:37" s="766" customFormat="1">
      <c r="A2" s="775"/>
      <c r="B2" s="4437" t="s">
        <v>220</v>
      </c>
      <c r="C2" s="4437"/>
      <c r="D2" s="4437"/>
      <c r="E2" s="4437"/>
      <c r="F2" s="4437"/>
      <c r="G2" s="4437"/>
      <c r="H2" s="4437"/>
      <c r="I2" s="4437"/>
      <c r="J2" s="4437"/>
      <c r="L2" s="4440" t="s">
        <v>220</v>
      </c>
      <c r="M2" s="4440"/>
      <c r="N2" s="4440"/>
      <c r="O2" s="4440"/>
      <c r="P2" s="4440"/>
      <c r="Q2" s="4440"/>
      <c r="R2" s="4440"/>
      <c r="S2" s="4440"/>
      <c r="T2" s="4440"/>
      <c r="U2" s="928" t="s">
        <v>220</v>
      </c>
      <c r="V2" s="928" t="s">
        <v>220</v>
      </c>
      <c r="W2" s="928"/>
      <c r="X2" s="928"/>
      <c r="Y2" s="928"/>
      <c r="Z2" s="775"/>
      <c r="AA2" s="767" t="s">
        <v>1295</v>
      </c>
    </row>
    <row r="3" spans="1:37" s="766" customFormat="1" ht="12.75" customHeight="1">
      <c r="A3" s="992"/>
      <c r="B3" s="4431" t="s">
        <v>220</v>
      </c>
      <c r="C3" s="4431" t="s">
        <v>406</v>
      </c>
      <c r="D3" s="4438" t="s">
        <v>222</v>
      </c>
      <c r="E3" s="4438"/>
      <c r="F3" s="4438"/>
      <c r="G3" s="4438"/>
      <c r="H3" s="4438"/>
      <c r="I3" s="4438"/>
      <c r="J3" s="4438"/>
      <c r="K3" s="768"/>
      <c r="L3" s="4431" t="s">
        <v>152</v>
      </c>
      <c r="M3" s="4431" t="s">
        <v>223</v>
      </c>
      <c r="N3" s="4438" t="s">
        <v>222</v>
      </c>
      <c r="O3" s="4438"/>
      <c r="P3" s="4438"/>
      <c r="Q3" s="4438"/>
      <c r="R3" s="4438"/>
      <c r="S3" s="4438"/>
      <c r="T3" s="4438"/>
      <c r="U3" s="4431" t="s">
        <v>1</v>
      </c>
      <c r="V3" s="992"/>
      <c r="W3" s="776"/>
      <c r="X3" s="776"/>
      <c r="Y3" s="776"/>
      <c r="Z3" s="776"/>
      <c r="AA3" s="767" t="s">
        <v>1296</v>
      </c>
    </row>
    <row r="4" spans="1:37" s="766" customFormat="1" ht="12.75" customHeight="1">
      <c r="A4" s="776"/>
      <c r="B4" s="4432"/>
      <c r="C4" s="4432"/>
      <c r="D4" s="4434" t="s">
        <v>1299</v>
      </c>
      <c r="E4" s="4439" t="s">
        <v>224</v>
      </c>
      <c r="F4" s="4439"/>
      <c r="G4" s="4439"/>
      <c r="H4" s="4439"/>
      <c r="I4" s="4439"/>
      <c r="J4" s="4434" t="s">
        <v>410</v>
      </c>
      <c r="K4" s="770"/>
      <c r="L4" s="4432"/>
      <c r="M4" s="4432"/>
      <c r="N4" s="4434" t="s">
        <v>152</v>
      </c>
      <c r="O4" s="4439" t="s">
        <v>224</v>
      </c>
      <c r="P4" s="4439"/>
      <c r="Q4" s="4439"/>
      <c r="R4" s="4439"/>
      <c r="S4" s="4439"/>
      <c r="T4" s="4434" t="s">
        <v>410</v>
      </c>
      <c r="U4" s="4432"/>
      <c r="V4" s="776"/>
      <c r="W4" s="776"/>
      <c r="X4" s="776"/>
      <c r="Y4" s="776"/>
      <c r="Z4" s="776"/>
    </row>
    <row r="5" spans="1:37" s="766" customFormat="1" ht="12.75" customHeight="1">
      <c r="A5" s="776"/>
      <c r="B5" s="4432"/>
      <c r="C5" s="4432"/>
      <c r="D5" s="4432"/>
      <c r="E5" s="4434" t="s">
        <v>152</v>
      </c>
      <c r="F5" s="4439" t="s">
        <v>225</v>
      </c>
      <c r="G5" s="4439"/>
      <c r="H5" s="4439"/>
      <c r="I5" s="4434" t="s">
        <v>409</v>
      </c>
      <c r="J5" s="4432"/>
      <c r="K5" s="770"/>
      <c r="L5" s="4432"/>
      <c r="M5" s="4432"/>
      <c r="N5" s="4432"/>
      <c r="O5" s="4434" t="s">
        <v>152</v>
      </c>
      <c r="P5" s="4439" t="s">
        <v>225</v>
      </c>
      <c r="Q5" s="4439"/>
      <c r="R5" s="4439"/>
      <c r="S5" s="4434" t="s">
        <v>409</v>
      </c>
      <c r="T5" s="4432"/>
      <c r="U5" s="4432"/>
      <c r="V5" s="776"/>
      <c r="W5" s="776"/>
      <c r="X5" s="776"/>
      <c r="Y5" s="776"/>
      <c r="Z5" s="776"/>
    </row>
    <row r="6" spans="1:37" s="766" customFormat="1" ht="59.25" customHeight="1">
      <c r="A6" s="776"/>
      <c r="B6" s="4433"/>
      <c r="C6" s="4433"/>
      <c r="D6" s="4433"/>
      <c r="E6" s="4433"/>
      <c r="F6" s="772" t="s">
        <v>152</v>
      </c>
      <c r="G6" s="773" t="s">
        <v>256</v>
      </c>
      <c r="H6" s="773" t="s">
        <v>463</v>
      </c>
      <c r="I6" s="4433"/>
      <c r="J6" s="4433"/>
      <c r="K6" s="1001"/>
      <c r="L6" s="4433"/>
      <c r="M6" s="4433"/>
      <c r="N6" s="4433"/>
      <c r="O6" s="4433"/>
      <c r="P6" s="772" t="s">
        <v>152</v>
      </c>
      <c r="Q6" s="773" t="s">
        <v>256</v>
      </c>
      <c r="R6" s="773" t="s">
        <v>463</v>
      </c>
      <c r="S6" s="4433"/>
      <c r="T6" s="4433"/>
      <c r="U6" s="4433"/>
      <c r="V6" s="774" t="s">
        <v>2</v>
      </c>
      <c r="W6" s="993" t="s">
        <v>1224</v>
      </c>
      <c r="X6" s="993" t="s">
        <v>79</v>
      </c>
      <c r="Y6" s="776" t="s">
        <v>1223</v>
      </c>
      <c r="Z6" s="993" t="s">
        <v>828</v>
      </c>
    </row>
    <row r="7" spans="1:37" s="766" customFormat="1">
      <c r="A7" s="776"/>
      <c r="B7" s="4435" t="s">
        <v>153</v>
      </c>
      <c r="C7" s="4436"/>
      <c r="D7" s="4436"/>
      <c r="E7" s="4436"/>
      <c r="F7" s="4436"/>
      <c r="G7" s="4436"/>
      <c r="H7" s="4436"/>
      <c r="I7" s="4436"/>
      <c r="J7" s="4436"/>
      <c r="K7" s="775"/>
      <c r="L7" s="775"/>
      <c r="M7" s="775"/>
      <c r="N7" s="775"/>
      <c r="O7" s="775"/>
      <c r="P7" s="775"/>
      <c r="Q7" s="775"/>
      <c r="R7" s="775"/>
      <c r="S7" s="775"/>
      <c r="T7" s="775"/>
      <c r="U7" s="776"/>
      <c r="V7" s="776"/>
      <c r="W7" s="776"/>
      <c r="X7" s="776"/>
      <c r="Y7" s="776"/>
      <c r="Z7" s="776"/>
      <c r="AB7" s="769"/>
      <c r="AC7" s="770">
        <v>1999</v>
      </c>
      <c r="AD7" s="770">
        <v>2000</v>
      </c>
      <c r="AE7" s="770">
        <v>2001</v>
      </c>
      <c r="AF7" s="770">
        <v>2002</v>
      </c>
      <c r="AG7" s="770">
        <v>2003</v>
      </c>
      <c r="AH7" s="770">
        <v>2004</v>
      </c>
      <c r="AI7" s="777">
        <v>2005</v>
      </c>
      <c r="AJ7" s="771">
        <v>2006</v>
      </c>
      <c r="AK7" s="766" t="s">
        <v>1298</v>
      </c>
    </row>
    <row r="8" spans="1:37" s="766" customFormat="1" ht="12.75" customHeight="1">
      <c r="A8" s="11">
        <v>1983</v>
      </c>
      <c r="B8" s="778" t="e">
        <f t="shared" ref="B8:B22" si="0">SUM(C8:D8)</f>
        <v>#REF!</v>
      </c>
      <c r="C8" s="997" t="e">
        <f>#REF!</f>
        <v>#REF!</v>
      </c>
      <c r="D8" s="998" t="e">
        <f t="shared" ref="D8:D22" si="1">E8-J8</f>
        <v>#REF!</v>
      </c>
      <c r="E8" s="998" t="e">
        <f t="shared" ref="E8:E22" si="2">SUM(F8,I8)</f>
        <v>#REF!</v>
      </c>
      <c r="F8" s="998" t="e">
        <f t="shared" ref="F8:F22" si="3">SUM(G8:H8)</f>
        <v>#REF!</v>
      </c>
      <c r="G8" s="999" t="e">
        <f>#REF!</f>
        <v>#REF!</v>
      </c>
      <c r="H8" s="999" t="e">
        <f>#REF!</f>
        <v>#REF!</v>
      </c>
      <c r="I8" s="999" t="e">
        <f>#REF!+#REF!+#REF!</f>
        <v>#REF!</v>
      </c>
      <c r="J8" s="999" t="e">
        <f>#REF!</f>
        <v>#REF!</v>
      </c>
      <c r="K8" s="776"/>
      <c r="L8" s="776"/>
      <c r="M8" s="776"/>
      <c r="N8" s="776"/>
      <c r="O8" s="776"/>
      <c r="P8" s="776"/>
      <c r="Q8" s="776"/>
      <c r="R8" s="776"/>
      <c r="S8" s="776"/>
      <c r="T8" s="776"/>
      <c r="U8" s="776"/>
      <c r="V8" s="776"/>
      <c r="W8" s="776"/>
      <c r="X8" s="776"/>
      <c r="Y8" s="776"/>
      <c r="Z8" s="776"/>
      <c r="AB8" s="769"/>
      <c r="AC8" s="770"/>
      <c r="AD8" s="770"/>
      <c r="AE8" s="770"/>
      <c r="AF8" s="770"/>
      <c r="AG8" s="770"/>
      <c r="AH8" s="770"/>
      <c r="AI8" s="777"/>
      <c r="AJ8" s="771"/>
    </row>
    <row r="9" spans="1:37" s="766" customFormat="1" ht="12.75" customHeight="1">
      <c r="A9" s="776">
        <v>1984</v>
      </c>
      <c r="B9" s="778" t="e">
        <f t="shared" si="0"/>
        <v>#REF!</v>
      </c>
      <c r="C9" s="997" t="e">
        <f>#REF!</f>
        <v>#REF!</v>
      </c>
      <c r="D9" s="998" t="e">
        <f t="shared" si="1"/>
        <v>#REF!</v>
      </c>
      <c r="E9" s="998" t="e">
        <f t="shared" si="2"/>
        <v>#REF!</v>
      </c>
      <c r="F9" s="998" t="e">
        <f t="shared" si="3"/>
        <v>#REF!</v>
      </c>
      <c r="G9" s="999" t="e">
        <f>#REF!</f>
        <v>#REF!</v>
      </c>
      <c r="H9" s="999" t="e">
        <f>#REF!</f>
        <v>#REF!</v>
      </c>
      <c r="I9" s="999" t="e">
        <f>#REF!+#REF!+#REF!</f>
        <v>#REF!</v>
      </c>
      <c r="J9" s="999" t="e">
        <f>#REF!</f>
        <v>#REF!</v>
      </c>
      <c r="K9" s="1010" t="e">
        <f>((C9/C8)-1)*100</f>
        <v>#REF!</v>
      </c>
      <c r="L9" s="776"/>
      <c r="M9" s="776"/>
      <c r="N9" s="776"/>
      <c r="O9" s="776"/>
      <c r="P9" s="776"/>
      <c r="Q9" s="776"/>
      <c r="R9" s="776"/>
      <c r="S9" s="776"/>
      <c r="T9" s="776"/>
      <c r="U9" s="776"/>
      <c r="V9" s="776"/>
      <c r="W9" s="776"/>
      <c r="X9" s="776"/>
      <c r="Y9" s="776"/>
      <c r="Z9" s="776"/>
      <c r="AB9" s="769"/>
      <c r="AC9" s="770"/>
      <c r="AD9" s="770"/>
      <c r="AE9" s="770"/>
      <c r="AF9" s="770"/>
      <c r="AG9" s="770"/>
      <c r="AH9" s="770"/>
      <c r="AI9" s="777"/>
      <c r="AJ9" s="771"/>
    </row>
    <row r="10" spans="1:37" s="766" customFormat="1" ht="12.75" customHeight="1">
      <c r="A10" s="11">
        <v>1985</v>
      </c>
      <c r="B10" s="778" t="e">
        <f t="shared" si="0"/>
        <v>#REF!</v>
      </c>
      <c r="C10" s="997" t="e">
        <f>#REF!</f>
        <v>#REF!</v>
      </c>
      <c r="D10" s="998" t="e">
        <f t="shared" si="1"/>
        <v>#REF!</v>
      </c>
      <c r="E10" s="998" t="e">
        <f t="shared" si="2"/>
        <v>#REF!</v>
      </c>
      <c r="F10" s="998" t="e">
        <f t="shared" si="3"/>
        <v>#REF!</v>
      </c>
      <c r="G10" s="999" t="e">
        <f>#REF!</f>
        <v>#REF!</v>
      </c>
      <c r="H10" s="999" t="e">
        <f>#REF!</f>
        <v>#REF!</v>
      </c>
      <c r="I10" s="999" t="e">
        <f>#REF!+#REF!+#REF!</f>
        <v>#REF!</v>
      </c>
      <c r="J10" s="999" t="e">
        <f>#REF!</f>
        <v>#REF!</v>
      </c>
      <c r="K10" s="1010" t="e">
        <f t="shared" ref="K10:K24" si="4">((C10/C9)-1)*100</f>
        <v>#REF!</v>
      </c>
      <c r="L10" s="776"/>
      <c r="M10" s="776"/>
      <c r="N10" s="776"/>
      <c r="O10" s="776"/>
      <c r="P10" s="776"/>
      <c r="Q10" s="776"/>
      <c r="R10" s="776"/>
      <c r="S10" s="776"/>
      <c r="T10" s="776"/>
      <c r="U10" s="776"/>
      <c r="V10" s="776"/>
      <c r="W10" s="776"/>
      <c r="X10" s="776"/>
      <c r="Y10" s="776"/>
      <c r="Z10" s="776"/>
      <c r="AB10" s="769"/>
      <c r="AC10" s="770"/>
      <c r="AD10" s="770"/>
      <c r="AE10" s="770"/>
      <c r="AF10" s="770"/>
      <c r="AG10" s="770"/>
      <c r="AH10" s="770"/>
      <c r="AI10" s="777"/>
      <c r="AJ10" s="771"/>
    </row>
    <row r="11" spans="1:37" s="766" customFormat="1" ht="12.75" customHeight="1">
      <c r="A11" s="776">
        <v>1986</v>
      </c>
      <c r="B11" s="778" t="e">
        <f t="shared" si="0"/>
        <v>#REF!</v>
      </c>
      <c r="C11" s="997" t="e">
        <f>#REF!</f>
        <v>#REF!</v>
      </c>
      <c r="D11" s="998" t="e">
        <f t="shared" si="1"/>
        <v>#REF!</v>
      </c>
      <c r="E11" s="998" t="e">
        <f t="shared" si="2"/>
        <v>#REF!</v>
      </c>
      <c r="F11" s="998" t="e">
        <f t="shared" si="3"/>
        <v>#REF!</v>
      </c>
      <c r="G11" s="999" t="e">
        <f>#REF!</f>
        <v>#REF!</v>
      </c>
      <c r="H11" s="999" t="e">
        <f>#REF!</f>
        <v>#REF!</v>
      </c>
      <c r="I11" s="999" t="e">
        <f>#REF!+#REF!+#REF!</f>
        <v>#REF!</v>
      </c>
      <c r="J11" s="999" t="e">
        <f>#REF!</f>
        <v>#REF!</v>
      </c>
      <c r="K11" s="1010" t="e">
        <f t="shared" si="4"/>
        <v>#REF!</v>
      </c>
      <c r="L11" s="776"/>
      <c r="M11" s="776"/>
      <c r="N11" s="776"/>
      <c r="O11" s="776"/>
      <c r="P11" s="776"/>
      <c r="Q11" s="776"/>
      <c r="R11" s="776"/>
      <c r="S11" s="776"/>
      <c r="T11" s="776"/>
      <c r="U11" s="776"/>
      <c r="V11" s="776"/>
      <c r="W11" s="776"/>
      <c r="X11" s="776"/>
      <c r="Y11" s="776"/>
      <c r="Z11" s="776"/>
      <c r="AB11" s="769"/>
      <c r="AC11" s="770"/>
      <c r="AD11" s="770"/>
      <c r="AE11" s="770"/>
      <c r="AF11" s="770"/>
      <c r="AG11" s="770"/>
      <c r="AH11" s="770"/>
      <c r="AI11" s="777"/>
      <c r="AJ11" s="771"/>
    </row>
    <row r="12" spans="1:37" s="766" customFormat="1" ht="12.75" customHeight="1">
      <c r="A12" s="11">
        <v>1987</v>
      </c>
      <c r="B12" s="778" t="e">
        <f t="shared" si="0"/>
        <v>#REF!</v>
      </c>
      <c r="C12" s="997" t="e">
        <f>#REF!</f>
        <v>#REF!</v>
      </c>
      <c r="D12" s="998" t="e">
        <f t="shared" si="1"/>
        <v>#REF!</v>
      </c>
      <c r="E12" s="998" t="e">
        <f t="shared" si="2"/>
        <v>#REF!</v>
      </c>
      <c r="F12" s="998" t="e">
        <f t="shared" si="3"/>
        <v>#REF!</v>
      </c>
      <c r="G12" s="999" t="e">
        <f>#REF!</f>
        <v>#REF!</v>
      </c>
      <c r="H12" s="999" t="e">
        <f>#REF!</f>
        <v>#REF!</v>
      </c>
      <c r="I12" s="999" t="e">
        <f>#REF!+#REF!+#REF!</f>
        <v>#REF!</v>
      </c>
      <c r="J12" s="999" t="e">
        <f>#REF!</f>
        <v>#REF!</v>
      </c>
      <c r="K12" s="1010" t="e">
        <f t="shared" si="4"/>
        <v>#REF!</v>
      </c>
      <c r="L12" s="776"/>
      <c r="M12" s="776"/>
      <c r="N12" s="776"/>
      <c r="O12" s="776"/>
      <c r="P12" s="776"/>
      <c r="Q12" s="776"/>
      <c r="R12" s="776"/>
      <c r="S12" s="776"/>
      <c r="T12" s="776"/>
      <c r="U12" s="776"/>
      <c r="V12" s="776"/>
      <c r="W12" s="776"/>
      <c r="X12" s="776"/>
      <c r="Y12" s="776"/>
      <c r="Z12" s="776"/>
      <c r="AB12" s="769"/>
      <c r="AC12" s="770"/>
      <c r="AD12" s="770"/>
      <c r="AE12" s="770"/>
      <c r="AF12" s="770"/>
      <c r="AG12" s="770"/>
      <c r="AH12" s="770"/>
      <c r="AI12" s="777"/>
      <c r="AJ12" s="771"/>
    </row>
    <row r="13" spans="1:37" s="766" customFormat="1" ht="12.75" customHeight="1">
      <c r="A13" s="776">
        <v>1988</v>
      </c>
      <c r="B13" s="778" t="e">
        <f t="shared" si="0"/>
        <v>#REF!</v>
      </c>
      <c r="C13" s="997" t="e">
        <f>#REF!</f>
        <v>#REF!</v>
      </c>
      <c r="D13" s="998" t="e">
        <f t="shared" si="1"/>
        <v>#REF!</v>
      </c>
      <c r="E13" s="998" t="e">
        <f t="shared" si="2"/>
        <v>#REF!</v>
      </c>
      <c r="F13" s="998" t="e">
        <f t="shared" si="3"/>
        <v>#REF!</v>
      </c>
      <c r="G13" s="999" t="e">
        <f>#REF!</f>
        <v>#REF!</v>
      </c>
      <c r="H13" s="999" t="e">
        <f>#REF!</f>
        <v>#REF!</v>
      </c>
      <c r="I13" s="999" t="e">
        <f>#REF!+#REF!+#REF!</f>
        <v>#REF!</v>
      </c>
      <c r="J13" s="999" t="e">
        <f>#REF!</f>
        <v>#REF!</v>
      </c>
      <c r="K13" s="1010" t="e">
        <f t="shared" si="4"/>
        <v>#REF!</v>
      </c>
      <c r="L13" s="776"/>
      <c r="M13" s="776"/>
      <c r="N13" s="776"/>
      <c r="O13" s="776"/>
      <c r="P13" s="776"/>
      <c r="Q13" s="776"/>
      <c r="R13" s="776"/>
      <c r="S13" s="776"/>
      <c r="T13" s="776"/>
      <c r="U13" s="776"/>
      <c r="V13" s="776"/>
      <c r="W13" s="776"/>
      <c r="X13" s="776"/>
      <c r="Y13" s="776"/>
      <c r="Z13" s="776"/>
      <c r="AB13" s="769"/>
      <c r="AC13" s="770"/>
      <c r="AD13" s="770"/>
      <c r="AE13" s="770"/>
      <c r="AF13" s="770"/>
      <c r="AG13" s="770"/>
      <c r="AH13" s="770"/>
      <c r="AI13" s="777"/>
      <c r="AJ13" s="771"/>
    </row>
    <row r="14" spans="1:37" s="766" customFormat="1" ht="12.75" customHeight="1">
      <c r="A14" s="11">
        <v>1989</v>
      </c>
      <c r="B14" s="778" t="e">
        <f t="shared" si="0"/>
        <v>#REF!</v>
      </c>
      <c r="C14" s="997" t="e">
        <f>#REF!</f>
        <v>#REF!</v>
      </c>
      <c r="D14" s="998" t="e">
        <f t="shared" si="1"/>
        <v>#REF!</v>
      </c>
      <c r="E14" s="998" t="e">
        <f t="shared" si="2"/>
        <v>#REF!</v>
      </c>
      <c r="F14" s="998" t="e">
        <f t="shared" si="3"/>
        <v>#REF!</v>
      </c>
      <c r="G14" s="999" t="e">
        <f>#REF!</f>
        <v>#REF!</v>
      </c>
      <c r="H14" s="999" t="e">
        <f>#REF!</f>
        <v>#REF!</v>
      </c>
      <c r="I14" s="999" t="e">
        <f>#REF!+#REF!+#REF!</f>
        <v>#REF!</v>
      </c>
      <c r="J14" s="999" t="e">
        <f>#REF!</f>
        <v>#REF!</v>
      </c>
      <c r="K14" s="1010" t="e">
        <f t="shared" si="4"/>
        <v>#REF!</v>
      </c>
      <c r="L14" s="776"/>
      <c r="M14" s="776"/>
      <c r="N14" s="776"/>
      <c r="O14" s="776"/>
      <c r="P14" s="776"/>
      <c r="Q14" s="776"/>
      <c r="R14" s="776"/>
      <c r="S14" s="776"/>
      <c r="T14" s="776"/>
      <c r="U14" s="776"/>
      <c r="V14" s="776" t="s">
        <v>220</v>
      </c>
      <c r="W14" s="776" t="s">
        <v>1255</v>
      </c>
      <c r="X14" s="776"/>
      <c r="Y14" s="776"/>
      <c r="Z14" s="776"/>
      <c r="AB14" s="769"/>
      <c r="AC14" s="770"/>
      <c r="AD14" s="770"/>
      <c r="AE14" s="770"/>
      <c r="AF14" s="770"/>
      <c r="AG14" s="770"/>
      <c r="AH14" s="770"/>
      <c r="AI14" s="777"/>
      <c r="AJ14" s="771"/>
    </row>
    <row r="15" spans="1:37" s="766" customFormat="1" ht="12.75" customHeight="1">
      <c r="A15" s="776">
        <v>1990</v>
      </c>
      <c r="B15" s="778" t="e">
        <f t="shared" si="0"/>
        <v>#REF!</v>
      </c>
      <c r="C15" s="997" t="e">
        <f>#REF!</f>
        <v>#REF!</v>
      </c>
      <c r="D15" s="998" t="e">
        <f t="shared" si="1"/>
        <v>#REF!</v>
      </c>
      <c r="E15" s="998" t="e">
        <f t="shared" si="2"/>
        <v>#REF!</v>
      </c>
      <c r="F15" s="998" t="e">
        <f t="shared" si="3"/>
        <v>#REF!</v>
      </c>
      <c r="G15" s="999" t="e">
        <f>#REF!</f>
        <v>#REF!</v>
      </c>
      <c r="H15" s="999" t="e">
        <f>#REF!</f>
        <v>#REF!</v>
      </c>
      <c r="I15" s="999" t="e">
        <f>#REF!+#REF!+#REF!</f>
        <v>#REF!</v>
      </c>
      <c r="J15" s="999" t="e">
        <f>#REF!</f>
        <v>#REF!</v>
      </c>
      <c r="K15" s="1010" t="e">
        <f t="shared" si="4"/>
        <v>#REF!</v>
      </c>
      <c r="L15" s="1165"/>
      <c r="M15" s="776"/>
      <c r="N15" s="776"/>
      <c r="O15" s="776"/>
      <c r="P15" s="776"/>
      <c r="Q15" s="776"/>
      <c r="R15" s="776"/>
      <c r="S15" s="776"/>
      <c r="T15" s="776"/>
      <c r="U15" s="776"/>
      <c r="V15" s="762" t="e">
        <f t="shared" ref="V15:V23" si="5">((B15/B14)-1)*100</f>
        <v>#REF!</v>
      </c>
      <c r="W15" s="998">
        <v>16.8</v>
      </c>
      <c r="X15" s="776"/>
      <c r="Y15" s="776"/>
      <c r="Z15" s="776"/>
      <c r="AB15" s="769"/>
      <c r="AC15" s="770"/>
      <c r="AD15" s="770"/>
      <c r="AE15" s="770"/>
      <c r="AF15" s="770"/>
      <c r="AG15" s="770"/>
      <c r="AH15" s="770"/>
      <c r="AI15" s="777"/>
      <c r="AJ15" s="771"/>
    </row>
    <row r="16" spans="1:37" s="766" customFormat="1" ht="12.75" customHeight="1">
      <c r="A16" s="11">
        <v>1991</v>
      </c>
      <c r="B16" s="778" t="e">
        <f t="shared" si="0"/>
        <v>#REF!</v>
      </c>
      <c r="C16" s="997" t="e">
        <f>#REF!</f>
        <v>#REF!</v>
      </c>
      <c r="D16" s="998" t="e">
        <f t="shared" si="1"/>
        <v>#REF!</v>
      </c>
      <c r="E16" s="998" t="e">
        <f t="shared" si="2"/>
        <v>#REF!</v>
      </c>
      <c r="F16" s="998" t="e">
        <f t="shared" si="3"/>
        <v>#REF!</v>
      </c>
      <c r="G16" s="999" t="e">
        <f>#REF!</f>
        <v>#REF!</v>
      </c>
      <c r="H16" s="999" t="e">
        <f>#REF!</f>
        <v>#REF!</v>
      </c>
      <c r="I16" s="999" t="e">
        <f>#REF!+#REF!+#REF!</f>
        <v>#REF!</v>
      </c>
      <c r="J16" s="999" t="e">
        <f>#REF!</f>
        <v>#REF!</v>
      </c>
      <c r="K16" s="1010" t="e">
        <f t="shared" si="4"/>
        <v>#REF!</v>
      </c>
      <c r="L16" s="1165"/>
      <c r="M16" s="776"/>
      <c r="N16" s="776"/>
      <c r="O16" s="776"/>
      <c r="P16" s="776"/>
      <c r="Q16" s="776"/>
      <c r="R16" s="776"/>
      <c r="S16" s="776"/>
      <c r="T16" s="776"/>
      <c r="U16" s="776"/>
      <c r="V16" s="762" t="e">
        <f t="shared" si="5"/>
        <v>#REF!</v>
      </c>
      <c r="W16" s="998">
        <v>8.5438449210104608</v>
      </c>
      <c r="X16" s="776"/>
      <c r="Y16" s="776"/>
      <c r="Z16" s="776"/>
      <c r="AB16" s="769"/>
      <c r="AC16" s="770"/>
      <c r="AD16" s="770"/>
      <c r="AE16" s="770"/>
      <c r="AF16" s="770"/>
      <c r="AG16" s="770"/>
      <c r="AH16" s="770"/>
      <c r="AI16" s="777"/>
      <c r="AJ16" s="771"/>
    </row>
    <row r="17" spans="1:36" s="766" customFormat="1" ht="12.75" customHeight="1">
      <c r="A17" s="776">
        <v>1992</v>
      </c>
      <c r="B17" s="778" t="e">
        <f t="shared" si="0"/>
        <v>#REF!</v>
      </c>
      <c r="C17" s="997" t="e">
        <f>#REF!</f>
        <v>#REF!</v>
      </c>
      <c r="D17" s="998" t="e">
        <f t="shared" si="1"/>
        <v>#REF!</v>
      </c>
      <c r="E17" s="998" t="e">
        <f t="shared" si="2"/>
        <v>#REF!</v>
      </c>
      <c r="F17" s="998" t="e">
        <f t="shared" si="3"/>
        <v>#REF!</v>
      </c>
      <c r="G17" s="999" t="e">
        <f>#REF!</f>
        <v>#REF!</v>
      </c>
      <c r="H17" s="999" t="e">
        <f>#REF!</f>
        <v>#REF!</v>
      </c>
      <c r="I17" s="999" t="e">
        <f>#REF!+#REF!+#REF!</f>
        <v>#REF!</v>
      </c>
      <c r="J17" s="999" t="e">
        <f>#REF!</f>
        <v>#REF!</v>
      </c>
      <c r="K17" s="1010" t="e">
        <f t="shared" si="4"/>
        <v>#REF!</v>
      </c>
      <c r="L17" s="1165"/>
      <c r="M17" s="776"/>
      <c r="N17" s="776"/>
      <c r="O17" s="776"/>
      <c r="P17" s="776"/>
      <c r="Q17" s="776"/>
      <c r="R17" s="776"/>
      <c r="S17" s="776"/>
      <c r="T17" s="776"/>
      <c r="U17" s="776"/>
      <c r="V17" s="762" t="e">
        <f t="shared" si="5"/>
        <v>#REF!</v>
      </c>
      <c r="W17" s="998">
        <v>13.765160836702398</v>
      </c>
      <c r="X17" s="776"/>
      <c r="Y17" s="776"/>
      <c r="Z17" s="776"/>
      <c r="AB17" s="769"/>
      <c r="AC17" s="770"/>
      <c r="AD17" s="770"/>
      <c r="AE17" s="770"/>
      <c r="AF17" s="770"/>
      <c r="AG17" s="770"/>
      <c r="AH17" s="770"/>
      <c r="AI17" s="777"/>
      <c r="AJ17" s="771"/>
    </row>
    <row r="18" spans="1:36" s="766" customFormat="1" ht="12.75" customHeight="1">
      <c r="A18" s="11">
        <v>1993</v>
      </c>
      <c r="B18" s="778" t="e">
        <f t="shared" si="0"/>
        <v>#REF!</v>
      </c>
      <c r="C18" s="997" t="e">
        <f>#REF!</f>
        <v>#REF!</v>
      </c>
      <c r="D18" s="998" t="e">
        <f t="shared" si="1"/>
        <v>#REF!</v>
      </c>
      <c r="E18" s="998" t="e">
        <f t="shared" si="2"/>
        <v>#REF!</v>
      </c>
      <c r="F18" s="998" t="e">
        <f t="shared" si="3"/>
        <v>#REF!</v>
      </c>
      <c r="G18" s="999" t="e">
        <f>#REF!</f>
        <v>#REF!</v>
      </c>
      <c r="H18" s="999" t="e">
        <f>#REF!</f>
        <v>#REF!</v>
      </c>
      <c r="I18" s="999" t="e">
        <f>#REF!+#REF!+#REF!</f>
        <v>#REF!</v>
      </c>
      <c r="J18" s="999" t="e">
        <f>#REF!</f>
        <v>#REF!</v>
      </c>
      <c r="K18" s="1010" t="e">
        <f t="shared" si="4"/>
        <v>#REF!</v>
      </c>
      <c r="L18" s="1165"/>
      <c r="M18" s="776"/>
      <c r="N18" s="776"/>
      <c r="O18" s="776"/>
      <c r="P18" s="776"/>
      <c r="Q18" s="776"/>
      <c r="R18" s="776"/>
      <c r="S18" s="776"/>
      <c r="T18" s="776"/>
      <c r="U18" s="776"/>
      <c r="V18" s="762" t="e">
        <f t="shared" si="5"/>
        <v>#REF!</v>
      </c>
      <c r="W18" s="998">
        <v>10.403114908607748</v>
      </c>
      <c r="X18" s="776"/>
      <c r="Y18" s="776"/>
      <c r="Z18" s="776"/>
      <c r="AB18" s="769"/>
      <c r="AC18" s="770"/>
      <c r="AD18" s="770"/>
      <c r="AE18" s="770"/>
      <c r="AF18" s="770"/>
      <c r="AG18" s="770"/>
      <c r="AH18" s="770"/>
      <c r="AI18" s="777"/>
      <c r="AJ18" s="771"/>
    </row>
    <row r="19" spans="1:36" s="766" customFormat="1" ht="12.75" customHeight="1">
      <c r="A19" s="776">
        <v>1994</v>
      </c>
      <c r="B19" s="778" t="e">
        <f t="shared" si="0"/>
        <v>#REF!</v>
      </c>
      <c r="C19" s="997" t="e">
        <f>#REF!</f>
        <v>#REF!</v>
      </c>
      <c r="D19" s="998" t="e">
        <f t="shared" si="1"/>
        <v>#REF!</v>
      </c>
      <c r="E19" s="998" t="e">
        <f t="shared" si="2"/>
        <v>#REF!</v>
      </c>
      <c r="F19" s="998" t="e">
        <f t="shared" si="3"/>
        <v>#REF!</v>
      </c>
      <c r="G19" s="999" t="e">
        <f>#REF!</f>
        <v>#REF!</v>
      </c>
      <c r="H19" s="999" t="e">
        <f>#REF!</f>
        <v>#REF!</v>
      </c>
      <c r="I19" s="999" t="e">
        <f>#REF!+#REF!+#REF!</f>
        <v>#REF!</v>
      </c>
      <c r="J19" s="999" t="e">
        <f>#REF!</f>
        <v>#REF!</v>
      </c>
      <c r="K19" s="1010" t="e">
        <f t="shared" si="4"/>
        <v>#REF!</v>
      </c>
      <c r="L19" s="1165"/>
      <c r="M19" s="776"/>
      <c r="N19" s="776"/>
      <c r="O19" s="776"/>
      <c r="P19" s="776"/>
      <c r="Q19" s="776"/>
      <c r="R19" s="776"/>
      <c r="S19" s="776"/>
      <c r="T19" s="776"/>
      <c r="U19" s="776"/>
      <c r="V19" s="762" t="e">
        <f t="shared" si="5"/>
        <v>#REF!</v>
      </c>
      <c r="W19" s="998">
        <v>19.092003246844104</v>
      </c>
      <c r="X19" s="776"/>
      <c r="Y19" s="776"/>
      <c r="Z19" s="776"/>
      <c r="AB19" s="769"/>
      <c r="AC19" s="770"/>
      <c r="AD19" s="770"/>
      <c r="AE19" s="770"/>
      <c r="AF19" s="770"/>
      <c r="AG19" s="770"/>
      <c r="AH19" s="770"/>
      <c r="AI19" s="777"/>
      <c r="AJ19" s="771"/>
    </row>
    <row r="20" spans="1:36" s="766" customFormat="1" ht="12.75" customHeight="1">
      <c r="A20" s="11">
        <v>1995</v>
      </c>
      <c r="B20" s="778" t="e">
        <f t="shared" si="0"/>
        <v>#REF!</v>
      </c>
      <c r="C20" s="997" t="e">
        <f>#REF!</f>
        <v>#REF!</v>
      </c>
      <c r="D20" s="998" t="e">
        <f t="shared" si="1"/>
        <v>#REF!</v>
      </c>
      <c r="E20" s="998" t="e">
        <f t="shared" si="2"/>
        <v>#REF!</v>
      </c>
      <c r="F20" s="998" t="e">
        <f t="shared" si="3"/>
        <v>#REF!</v>
      </c>
      <c r="G20" s="999" t="e">
        <f>#REF!</f>
        <v>#REF!</v>
      </c>
      <c r="H20" s="999" t="e">
        <f>#REF!</f>
        <v>#REF!</v>
      </c>
      <c r="I20" s="999" t="e">
        <f>#REF!+#REF!+#REF!</f>
        <v>#REF!</v>
      </c>
      <c r="J20" s="999" t="e">
        <f>#REF!</f>
        <v>#REF!</v>
      </c>
      <c r="K20" s="1010" t="e">
        <f t="shared" si="4"/>
        <v>#REF!</v>
      </c>
      <c r="L20" s="1165"/>
      <c r="M20" s="776"/>
      <c r="N20" s="776"/>
      <c r="O20" s="776"/>
      <c r="P20" s="776"/>
      <c r="Q20" s="776"/>
      <c r="R20" s="776"/>
      <c r="S20" s="776"/>
      <c r="T20" s="776"/>
      <c r="U20" s="776"/>
      <c r="V20" s="762" t="e">
        <f t="shared" si="5"/>
        <v>#REF!</v>
      </c>
      <c r="W20" s="998">
        <v>14.65168750587573</v>
      </c>
      <c r="X20" s="776"/>
      <c r="Y20" s="776"/>
      <c r="Z20" s="776"/>
      <c r="AB20" s="769"/>
      <c r="AC20" s="770"/>
      <c r="AD20" s="770"/>
      <c r="AE20" s="770"/>
      <c r="AF20" s="770"/>
      <c r="AG20" s="770"/>
      <c r="AH20" s="770"/>
      <c r="AI20" s="777"/>
      <c r="AJ20" s="771"/>
    </row>
    <row r="21" spans="1:36" s="766" customFormat="1">
      <c r="A21" s="776">
        <v>1996</v>
      </c>
      <c r="B21" s="778" t="e">
        <f t="shared" si="0"/>
        <v>#REF!</v>
      </c>
      <c r="C21" s="997" t="e">
        <f>#REF!</f>
        <v>#REF!</v>
      </c>
      <c r="D21" s="998" t="e">
        <f t="shared" si="1"/>
        <v>#REF!</v>
      </c>
      <c r="E21" s="998" t="e">
        <f t="shared" si="2"/>
        <v>#REF!</v>
      </c>
      <c r="F21" s="998" t="e">
        <f t="shared" si="3"/>
        <v>#REF!</v>
      </c>
      <c r="G21" s="999" t="e">
        <f>#REF!</f>
        <v>#REF!</v>
      </c>
      <c r="H21" s="999" t="e">
        <f>#REF!</f>
        <v>#REF!</v>
      </c>
      <c r="I21" s="999" t="e">
        <f>#REF!+#REF!+#REF!</f>
        <v>#REF!</v>
      </c>
      <c r="J21" s="999" t="e">
        <f>#REF!</f>
        <v>#REF!</v>
      </c>
      <c r="K21" s="1010" t="e">
        <f t="shared" si="4"/>
        <v>#REF!</v>
      </c>
      <c r="L21" s="1011" t="e">
        <f>(((B21/B11)^(1/10))-1)*100</f>
        <v>#REF!</v>
      </c>
      <c r="M21" s="1011" t="e">
        <f t="shared" ref="M21:T21" si="6">(((C21/C11)^(1/10))-1)*100</f>
        <v>#REF!</v>
      </c>
      <c r="N21" s="1011" t="e">
        <f t="shared" si="6"/>
        <v>#REF!</v>
      </c>
      <c r="O21" s="1011" t="e">
        <f t="shared" si="6"/>
        <v>#REF!</v>
      </c>
      <c r="P21" s="1011" t="e">
        <f t="shared" si="6"/>
        <v>#REF!</v>
      </c>
      <c r="Q21" s="1011" t="e">
        <f t="shared" si="6"/>
        <v>#REF!</v>
      </c>
      <c r="R21" s="1011" t="e">
        <f t="shared" si="6"/>
        <v>#REF!</v>
      </c>
      <c r="S21" s="1011" t="e">
        <f t="shared" si="6"/>
        <v>#REF!</v>
      </c>
      <c r="T21" s="1011" t="e">
        <f t="shared" si="6"/>
        <v>#REF!</v>
      </c>
      <c r="U21" s="776"/>
      <c r="V21" s="762" t="e">
        <f t="shared" si="5"/>
        <v>#REF!</v>
      </c>
      <c r="W21" s="998">
        <v>14.377229305891504</v>
      </c>
      <c r="X21" s="776"/>
      <c r="Y21" s="776"/>
      <c r="Z21" s="776"/>
      <c r="AB21" s="769"/>
      <c r="AC21" s="770"/>
      <c r="AD21" s="770"/>
      <c r="AE21" s="770"/>
      <c r="AF21" s="770"/>
      <c r="AG21" s="770"/>
      <c r="AH21" s="770"/>
      <c r="AI21" s="777"/>
      <c r="AJ21" s="771"/>
    </row>
    <row r="22" spans="1:36" s="766" customFormat="1">
      <c r="A22" s="11">
        <v>1997</v>
      </c>
      <c r="B22" s="998" t="e">
        <f t="shared" si="0"/>
        <v>#REF!</v>
      </c>
      <c r="C22" s="999" t="e">
        <f>#REF!</f>
        <v>#REF!</v>
      </c>
      <c r="D22" s="998" t="e">
        <f t="shared" si="1"/>
        <v>#REF!</v>
      </c>
      <c r="E22" s="998" t="e">
        <f t="shared" si="2"/>
        <v>#REF!</v>
      </c>
      <c r="F22" s="998" t="e">
        <f t="shared" si="3"/>
        <v>#REF!</v>
      </c>
      <c r="G22" s="999" t="e">
        <f>#REF!</f>
        <v>#REF!</v>
      </c>
      <c r="H22" s="999" t="e">
        <f>#REF!</f>
        <v>#REF!</v>
      </c>
      <c r="I22" s="999" t="e">
        <f>#REF!+#REF!+#REF!</f>
        <v>#REF!</v>
      </c>
      <c r="J22" s="999" t="e">
        <f>#REF!</f>
        <v>#REF!</v>
      </c>
      <c r="K22" s="1010" t="e">
        <f t="shared" si="4"/>
        <v>#REF!</v>
      </c>
      <c r="L22" s="64"/>
      <c r="M22" s="776"/>
      <c r="N22" s="776"/>
      <c r="O22" s="776"/>
      <c r="P22" s="776"/>
      <c r="Q22" s="776"/>
      <c r="R22" s="776"/>
      <c r="S22" s="776"/>
      <c r="T22" s="776"/>
      <c r="U22" s="776"/>
      <c r="V22" s="762" t="e">
        <f t="shared" si="5"/>
        <v>#REF!</v>
      </c>
      <c r="W22" s="998">
        <v>19.390811086915612</v>
      </c>
      <c r="X22" s="776"/>
      <c r="Y22" s="776"/>
      <c r="Z22" s="776"/>
      <c r="AB22" s="769"/>
      <c r="AC22" s="770"/>
      <c r="AD22" s="770"/>
      <c r="AE22" s="770"/>
      <c r="AF22" s="770"/>
      <c r="AG22" s="770"/>
      <c r="AH22" s="770"/>
      <c r="AI22" s="777"/>
      <c r="AJ22" s="771"/>
    </row>
    <row r="23" spans="1:36" s="1006" customFormat="1">
      <c r="A23" s="1004">
        <v>1998</v>
      </c>
      <c r="B23" s="1005" t="e">
        <f t="shared" ref="B23:B30" si="7">SUM(C23:D23)</f>
        <v>#REF!</v>
      </c>
      <c r="C23" s="1005" t="e">
        <f>AVERAGE('Monthly Count'!C21:C32)</f>
        <v>#REF!</v>
      </c>
      <c r="D23" s="1005" t="e">
        <f t="shared" ref="D23:D30" si="8">E23-J23</f>
        <v>#REF!</v>
      </c>
      <c r="E23" s="1005" t="e">
        <f t="shared" ref="E23:E31" si="9">SUM(F23,I23)</f>
        <v>#REF!</v>
      </c>
      <c r="F23" s="1005" t="e">
        <f t="shared" ref="F23:F31" si="10">SUM(G23:H23)</f>
        <v>#REF!</v>
      </c>
      <c r="G23" s="1005" t="e">
        <f>AVERAGE('Monthly Count'!G21:G32)</f>
        <v>#REF!</v>
      </c>
      <c r="H23" s="1005" t="e">
        <f>AVERAGE('Monthly Count'!H21:H32)</f>
        <v>#REF!</v>
      </c>
      <c r="I23" s="1005" t="e">
        <f>AVERAGE('Monthly Count'!I21:I32)</f>
        <v>#REF!</v>
      </c>
      <c r="J23" s="1005" t="e">
        <f>AVERAGE('Monthly Count'!J21:J32)</f>
        <v>#REF!</v>
      </c>
      <c r="K23" s="1012" t="e">
        <f t="shared" si="4"/>
        <v>#REF!</v>
      </c>
      <c r="L23" s="1167"/>
      <c r="M23" s="1004"/>
      <c r="N23" s="1004"/>
      <c r="O23" s="1004"/>
      <c r="P23" s="1004"/>
      <c r="Q23" s="1004"/>
      <c r="R23" s="1004"/>
      <c r="S23" s="1004"/>
      <c r="T23" s="1004"/>
      <c r="U23" s="1004"/>
      <c r="V23" s="762" t="e">
        <f t="shared" si="5"/>
        <v>#REF!</v>
      </c>
      <c r="W23" s="1168">
        <v>16.175483789614013</v>
      </c>
      <c r="X23" s="1004"/>
      <c r="Y23" s="1004"/>
      <c r="Z23" s="1004"/>
      <c r="AB23" s="1007"/>
      <c r="AC23" s="1008"/>
      <c r="AD23" s="1008"/>
      <c r="AE23" s="1008"/>
      <c r="AF23" s="1008"/>
      <c r="AG23" s="1008"/>
      <c r="AH23" s="1008"/>
      <c r="AI23" s="1008"/>
      <c r="AJ23" s="1009"/>
    </row>
    <row r="24" spans="1:36">
      <c r="A24" s="11">
        <v>1999</v>
      </c>
      <c r="B24" s="762" t="e">
        <f t="shared" si="7"/>
        <v>#REF!</v>
      </c>
      <c r="C24" s="762" t="e">
        <f>AVERAGE('Monthly Count'!C33:C44)</f>
        <v>#REF!</v>
      </c>
      <c r="D24" s="762" t="e">
        <f t="shared" si="8"/>
        <v>#REF!</v>
      </c>
      <c r="E24" s="762" t="e">
        <f t="shared" si="9"/>
        <v>#REF!</v>
      </c>
      <c r="F24" s="762" t="e">
        <f t="shared" si="10"/>
        <v>#REF!</v>
      </c>
      <c r="G24" s="762" t="e">
        <f>AVERAGE('Monthly Count'!G33:G44)</f>
        <v>#REF!</v>
      </c>
      <c r="H24" s="762" t="e">
        <f>AVERAGE('Monthly Count'!H33:H44)</f>
        <v>#REF!</v>
      </c>
      <c r="I24" s="762" t="e">
        <f>AVERAGE('Monthly Count'!I33:I44)</f>
        <v>#REF!</v>
      </c>
      <c r="J24" s="762" t="e">
        <f>AVERAGE('Monthly Count'!J33:J44)</f>
        <v>#REF!</v>
      </c>
      <c r="K24" s="1010" t="e">
        <f t="shared" si="4"/>
        <v>#REF!</v>
      </c>
      <c r="L24" s="762"/>
      <c r="M24" s="762"/>
      <c r="N24" s="762"/>
      <c r="O24" s="762"/>
      <c r="P24" s="762"/>
      <c r="Q24" s="762"/>
      <c r="R24" s="762"/>
      <c r="S24" s="762"/>
      <c r="T24" s="762"/>
      <c r="U24" s="762" t="e">
        <f t="shared" ref="U24:U30" si="11">V24</f>
        <v>#REF!</v>
      </c>
      <c r="V24" s="762" t="e">
        <f t="shared" ref="V24:V33" si="12">((B24/B23)-1)*100</f>
        <v>#REF!</v>
      </c>
      <c r="W24" s="762">
        <v>15.810257016576443</v>
      </c>
      <c r="X24" s="762"/>
      <c r="Y24" s="762"/>
      <c r="Z24" s="11"/>
      <c r="AB24" s="107" t="s">
        <v>1297</v>
      </c>
      <c r="AC24" s="759">
        <v>7.7493652520856049</v>
      </c>
      <c r="AD24" s="759">
        <v>9.5198020635214533</v>
      </c>
      <c r="AE24" s="759">
        <v>8.6129083485735549</v>
      </c>
      <c r="AF24" s="759">
        <v>7.0998019054806072</v>
      </c>
      <c r="AG24" s="759">
        <v>6.8480180382520128</v>
      </c>
      <c r="AH24" s="759">
        <v>8.7081603969945132</v>
      </c>
      <c r="AI24" s="759">
        <v>8.7556066138138036</v>
      </c>
      <c r="AJ24" s="760">
        <v>26.111141628561519</v>
      </c>
    </row>
    <row r="25" spans="1:36">
      <c r="A25" s="11">
        <v>2000</v>
      </c>
      <c r="B25" s="762" t="e">
        <f t="shared" si="7"/>
        <v>#REF!</v>
      </c>
      <c r="C25" s="762" t="e">
        <f>AVERAGE('Monthly Count'!C45:C56)</f>
        <v>#REF!</v>
      </c>
      <c r="D25" s="762" t="e">
        <f t="shared" si="8"/>
        <v>#REF!</v>
      </c>
      <c r="E25" s="762" t="e">
        <f t="shared" si="9"/>
        <v>#REF!</v>
      </c>
      <c r="F25" s="762" t="e">
        <f t="shared" si="10"/>
        <v>#REF!</v>
      </c>
      <c r="G25" s="762" t="e">
        <f>AVERAGE('Monthly Count'!G45:G56)</f>
        <v>#REF!</v>
      </c>
      <c r="H25" s="762" t="e">
        <f>AVERAGE('Monthly Count'!H45:H56)</f>
        <v>#REF!</v>
      </c>
      <c r="I25" s="762" t="e">
        <f>AVERAGE('Monthly Count'!I45:I56)</f>
        <v>#REF!</v>
      </c>
      <c r="J25" s="762" t="e">
        <f>AVERAGE('Monthly Count'!J45:J56)</f>
        <v>#REF!</v>
      </c>
      <c r="K25" s="11"/>
      <c r="L25" s="762"/>
      <c r="M25" s="762"/>
      <c r="N25" s="762"/>
      <c r="O25" s="762"/>
      <c r="P25" s="762"/>
      <c r="Q25" s="762"/>
      <c r="R25" s="762"/>
      <c r="S25" s="762"/>
      <c r="T25" s="762"/>
      <c r="U25" s="762" t="e">
        <f t="shared" si="11"/>
        <v>#REF!</v>
      </c>
      <c r="V25" s="762" t="e">
        <f t="shared" si="12"/>
        <v>#REF!</v>
      </c>
      <c r="W25" s="762">
        <v>12.047352594964602</v>
      </c>
      <c r="X25" s="762"/>
      <c r="Y25" s="762"/>
      <c r="Z25" s="11"/>
      <c r="AB25" s="107" t="s">
        <v>1261</v>
      </c>
      <c r="AC25" s="759">
        <f>AC24</f>
        <v>7.7493652520856049</v>
      </c>
      <c r="AD25" s="759">
        <f t="shared" ref="AD25:AI25" si="13">AD24</f>
        <v>9.5198020635214533</v>
      </c>
      <c r="AE25" s="759">
        <f t="shared" si="13"/>
        <v>8.6129083485735549</v>
      </c>
      <c r="AF25" s="759">
        <f t="shared" si="13"/>
        <v>7.0998019054806072</v>
      </c>
      <c r="AG25" s="759">
        <f t="shared" si="13"/>
        <v>6.8480180382520128</v>
      </c>
      <c r="AH25" s="759">
        <f t="shared" si="13"/>
        <v>8.7081603969945132</v>
      </c>
      <c r="AI25" s="759">
        <f t="shared" si="13"/>
        <v>8.7556066138138036</v>
      </c>
      <c r="AJ25" s="760">
        <v>23.302204213241755</v>
      </c>
    </row>
    <row r="26" spans="1:36">
      <c r="A26" s="11">
        <v>2001</v>
      </c>
      <c r="B26" s="762" t="e">
        <f t="shared" si="7"/>
        <v>#REF!</v>
      </c>
      <c r="C26" s="762" t="e">
        <f>AVERAGE('Monthly Count'!C57:C68)</f>
        <v>#REF!</v>
      </c>
      <c r="D26" s="762" t="e">
        <f t="shared" si="8"/>
        <v>#REF!</v>
      </c>
      <c r="E26" s="762" t="e">
        <f t="shared" si="9"/>
        <v>#REF!</v>
      </c>
      <c r="F26" s="762" t="e">
        <f t="shared" si="10"/>
        <v>#REF!</v>
      </c>
      <c r="G26" s="762" t="e">
        <f>AVERAGE('Monthly Count'!G57:G68)</f>
        <v>#REF!</v>
      </c>
      <c r="H26" s="762" t="e">
        <f>AVERAGE('Monthly Count'!H57:H68)</f>
        <v>#REF!</v>
      </c>
      <c r="I26" s="762" t="e">
        <f>AVERAGE('Monthly Count'!I57:I68)</f>
        <v>#REF!</v>
      </c>
      <c r="J26" s="762" t="e">
        <f>AVERAGE('Monthly Count'!J57:J68)</f>
        <v>#REF!</v>
      </c>
      <c r="K26" s="11"/>
      <c r="L26" s="762"/>
      <c r="M26" s="762"/>
      <c r="N26" s="762"/>
      <c r="O26" s="762"/>
      <c r="P26" s="762"/>
      <c r="Q26" s="762"/>
      <c r="R26" s="762"/>
      <c r="S26" s="762"/>
      <c r="T26" s="762"/>
      <c r="U26" s="762" t="e">
        <f t="shared" si="11"/>
        <v>#REF!</v>
      </c>
      <c r="V26" s="762" t="e">
        <f t="shared" si="12"/>
        <v>#REF!</v>
      </c>
      <c r="W26" s="762">
        <v>14.300309690011231</v>
      </c>
      <c r="X26" s="762"/>
      <c r="Y26" s="762"/>
      <c r="Z26" s="11"/>
      <c r="AB26" s="466" t="s">
        <v>2</v>
      </c>
      <c r="AC26" s="761">
        <v>7.7493652520856049</v>
      </c>
      <c r="AD26" s="761">
        <v>9.5198020635214533</v>
      </c>
      <c r="AE26" s="761">
        <v>8.6129083485735549</v>
      </c>
      <c r="AF26" s="761">
        <v>7.0998019054806072</v>
      </c>
      <c r="AG26" s="761">
        <v>6.8480180382520128</v>
      </c>
      <c r="AH26" s="761">
        <v>8.7081603969945132</v>
      </c>
      <c r="AI26" s="761">
        <v>8.7556066138138036</v>
      </c>
      <c r="AJ26" s="763">
        <v>8</v>
      </c>
    </row>
    <row r="27" spans="1:36">
      <c r="A27" s="11">
        <v>2002</v>
      </c>
      <c r="B27" s="762" t="e">
        <f t="shared" si="7"/>
        <v>#REF!</v>
      </c>
      <c r="C27" s="762" t="e">
        <f>AVERAGE('Monthly Count'!C69:C80)</f>
        <v>#REF!</v>
      </c>
      <c r="D27" s="762" t="e">
        <f t="shared" si="8"/>
        <v>#REF!</v>
      </c>
      <c r="E27" s="762" t="e">
        <f t="shared" si="9"/>
        <v>#REF!</v>
      </c>
      <c r="F27" s="762" t="e">
        <f t="shared" si="10"/>
        <v>#REF!</v>
      </c>
      <c r="G27" s="762" t="e">
        <f>AVERAGE('Monthly Count'!G69:G80)</f>
        <v>#REF!</v>
      </c>
      <c r="H27" s="762" t="e">
        <f>AVERAGE('Monthly Count'!H69:H80)</f>
        <v>#REF!</v>
      </c>
      <c r="I27" s="762" t="e">
        <f>AVERAGE('Monthly Count'!I69:I80)</f>
        <v>#REF!</v>
      </c>
      <c r="J27" s="762" t="e">
        <f>AVERAGE('Monthly Count'!J69:J80)</f>
        <v>#REF!</v>
      </c>
      <c r="K27" s="11"/>
      <c r="L27" s="762"/>
      <c r="M27" s="762"/>
      <c r="N27" s="762"/>
      <c r="O27" s="762"/>
      <c r="P27" s="762"/>
      <c r="Q27" s="762"/>
      <c r="R27" s="762"/>
      <c r="S27" s="762"/>
      <c r="T27" s="762"/>
      <c r="U27" s="762" t="e">
        <f t="shared" si="11"/>
        <v>#REF!</v>
      </c>
      <c r="V27" s="762" t="e">
        <f t="shared" si="12"/>
        <v>#REF!</v>
      </c>
      <c r="W27" s="762">
        <v>14.625757293276573</v>
      </c>
      <c r="X27" s="762"/>
      <c r="Y27" s="762"/>
      <c r="Z27" s="11"/>
    </row>
    <row r="28" spans="1:36">
      <c r="A28" s="11">
        <v>2003</v>
      </c>
      <c r="B28" s="762" t="e">
        <f t="shared" si="7"/>
        <v>#REF!</v>
      </c>
      <c r="C28" s="762" t="e">
        <f>AVERAGE('Monthly Count'!C81:C92)</f>
        <v>#REF!</v>
      </c>
      <c r="D28" s="762" t="e">
        <f t="shared" si="8"/>
        <v>#REF!</v>
      </c>
      <c r="E28" s="762" t="e">
        <f t="shared" si="9"/>
        <v>#REF!</v>
      </c>
      <c r="F28" s="762" t="e">
        <f t="shared" si="10"/>
        <v>#REF!</v>
      </c>
      <c r="G28" s="762" t="e">
        <f>AVERAGE('Monthly Count'!G81:G92)</f>
        <v>#REF!</v>
      </c>
      <c r="H28" s="762" t="e">
        <f>AVERAGE('Monthly Count'!H81:H92)</f>
        <v>#REF!</v>
      </c>
      <c r="I28" s="762" t="e">
        <f>AVERAGE('Monthly Count'!I81:I92)</f>
        <v>#REF!</v>
      </c>
      <c r="J28" s="762" t="e">
        <f>AVERAGE('Monthly Count'!J81:J92)</f>
        <v>#REF!</v>
      </c>
      <c r="K28" s="11"/>
      <c r="L28" s="762"/>
      <c r="M28" s="762"/>
      <c r="N28" s="762"/>
      <c r="O28" s="762"/>
      <c r="P28" s="762"/>
      <c r="Q28" s="762"/>
      <c r="R28" s="762"/>
      <c r="S28" s="762"/>
      <c r="T28" s="762"/>
      <c r="U28" s="762" t="e">
        <f t="shared" si="11"/>
        <v>#REF!</v>
      </c>
      <c r="V28" s="762" t="e">
        <f t="shared" si="12"/>
        <v>#REF!</v>
      </c>
      <c r="W28" s="762">
        <v>10.893823752506249</v>
      </c>
      <c r="X28" s="762"/>
      <c r="Y28" s="762"/>
      <c r="Z28" s="11"/>
    </row>
    <row r="29" spans="1:36">
      <c r="A29" s="11">
        <v>2004</v>
      </c>
      <c r="B29" s="762" t="e">
        <f t="shared" si="7"/>
        <v>#REF!</v>
      </c>
      <c r="C29" s="762" t="e">
        <f>AVERAGE('Monthly Count'!C93:C104)</f>
        <v>#REF!</v>
      </c>
      <c r="D29" s="762" t="e">
        <f t="shared" si="8"/>
        <v>#REF!</v>
      </c>
      <c r="E29" s="762" t="e">
        <f t="shared" si="9"/>
        <v>#REF!</v>
      </c>
      <c r="F29" s="762" t="e">
        <f t="shared" si="10"/>
        <v>#REF!</v>
      </c>
      <c r="G29" s="762" t="e">
        <f>AVERAGE('Monthly Count'!G93:G104)</f>
        <v>#REF!</v>
      </c>
      <c r="H29" s="762" t="e">
        <f>AVERAGE('Monthly Count'!H93:H104)</f>
        <v>#REF!</v>
      </c>
      <c r="I29" s="762" t="e">
        <f>AVERAGE('Monthly Count'!I93:I104)</f>
        <v>#REF!</v>
      </c>
      <c r="J29" s="762" t="e">
        <f>AVERAGE('Monthly Count'!J93:J104)</f>
        <v>#REF!</v>
      </c>
      <c r="K29" s="11"/>
      <c r="L29" s="1011" t="e">
        <f>(((B29/B23)^(1/6))-1)*100</f>
        <v>#REF!</v>
      </c>
      <c r="M29" s="490" t="e">
        <f t="shared" ref="M29:T29" si="14">(((C29/C23)^(1/6))-1)*100</f>
        <v>#REF!</v>
      </c>
      <c r="N29" s="1011" t="e">
        <f t="shared" si="14"/>
        <v>#REF!</v>
      </c>
      <c r="O29" s="1011" t="e">
        <f t="shared" si="14"/>
        <v>#REF!</v>
      </c>
      <c r="P29" s="1011" t="e">
        <f t="shared" si="14"/>
        <v>#REF!</v>
      </c>
      <c r="Q29" s="490" t="e">
        <f t="shared" si="14"/>
        <v>#REF!</v>
      </c>
      <c r="R29" s="490" t="e">
        <f t="shared" si="14"/>
        <v>#REF!</v>
      </c>
      <c r="S29" s="490" t="e">
        <f t="shared" si="14"/>
        <v>#REF!</v>
      </c>
      <c r="T29" s="490" t="e">
        <f t="shared" si="14"/>
        <v>#REF!</v>
      </c>
      <c r="U29" s="762" t="e">
        <f t="shared" si="11"/>
        <v>#REF!</v>
      </c>
      <c r="V29" s="762" t="e">
        <f t="shared" si="12"/>
        <v>#REF!</v>
      </c>
      <c r="W29" s="762">
        <v>13.444090332750772</v>
      </c>
      <c r="X29" s="762"/>
      <c r="Y29" s="762"/>
      <c r="Z29" s="762"/>
    </row>
    <row r="30" spans="1:36" s="1003" customFormat="1">
      <c r="A30" s="1166">
        <v>2005</v>
      </c>
      <c r="B30" s="933">
        <f t="shared" si="7"/>
        <v>4446.1591666666682</v>
      </c>
      <c r="C30" s="762">
        <f>AVERAGE('Monthly Count'!C105:C116)</f>
        <v>5999.0287500000004</v>
      </c>
      <c r="D30" s="762">
        <f t="shared" si="8"/>
        <v>-1552.8695833333327</v>
      </c>
      <c r="E30" s="762">
        <f t="shared" si="9"/>
        <v>1641.1508333333336</v>
      </c>
      <c r="F30" s="762">
        <f t="shared" si="10"/>
        <v>334.83833333333337</v>
      </c>
      <c r="G30" s="762">
        <f>AVERAGE('Monthly Count'!G105:G116)</f>
        <v>-122.00458333333331</v>
      </c>
      <c r="H30" s="762">
        <f>AVERAGE('Monthly Count'!H105:H116)</f>
        <v>456.84291666666667</v>
      </c>
      <c r="I30" s="762">
        <f>AVERAGE('Monthly Count'!I105:I116)</f>
        <v>1306.3125000000002</v>
      </c>
      <c r="J30" s="762">
        <f>AVERAGE('Monthly Count'!J105:J116)</f>
        <v>3194.0204166666663</v>
      </c>
      <c r="K30" s="1002" t="s">
        <v>665</v>
      </c>
      <c r="L30" s="1011">
        <v>16.512757817310341</v>
      </c>
      <c r="M30" s="1011">
        <v>10.836971270508844</v>
      </c>
      <c r="N30" s="1011">
        <v>-8.1528388962272658</v>
      </c>
      <c r="O30" s="1011">
        <v>23.266385292634407</v>
      </c>
      <c r="P30" s="1011">
        <v>16.73126711677677</v>
      </c>
      <c r="Q30" s="783">
        <v>6.5582972197552714</v>
      </c>
      <c r="R30" s="783">
        <v>-8.0419875501403499</v>
      </c>
      <c r="S30" s="783">
        <v>21.850068666165058</v>
      </c>
      <c r="T30" s="783">
        <v>5.3924904061106949</v>
      </c>
      <c r="U30" s="933" t="e">
        <f t="shared" si="11"/>
        <v>#REF!</v>
      </c>
      <c r="V30" s="933" t="e">
        <f t="shared" si="12"/>
        <v>#REF!</v>
      </c>
      <c r="W30" s="933">
        <v>13.502186434800233</v>
      </c>
      <c r="X30" s="483"/>
      <c r="Y30" s="1169">
        <v>5.5</v>
      </c>
      <c r="Z30" s="483"/>
      <c r="AA30" s="700"/>
      <c r="AB30" s="700"/>
    </row>
    <row r="31" spans="1:36">
      <c r="A31" s="488" t="s">
        <v>1220</v>
      </c>
      <c r="B31" s="762">
        <f>SUM(C31:D31)</f>
        <v>5222.8751442114153</v>
      </c>
      <c r="C31" s="762">
        <f t="shared" ref="C31:D33" si="15">C30+(C30*M30)/100</f>
        <v>6649.1417721470661</v>
      </c>
      <c r="D31" s="762">
        <f t="shared" si="15"/>
        <v>-1426.2666279356504</v>
      </c>
      <c r="E31" s="762">
        <f t="shared" si="9"/>
        <v>1881.8403378992757</v>
      </c>
      <c r="F31" s="762">
        <f t="shared" si="10"/>
        <v>290.09765965457802</v>
      </c>
      <c r="G31" s="762">
        <f t="shared" ref="G31:J32" si="16">G30+(G30*Q30)/100</f>
        <v>-130.00600653005731</v>
      </c>
      <c r="H31" s="762">
        <f t="shared" si="16"/>
        <v>420.1036661846353</v>
      </c>
      <c r="I31" s="762">
        <f t="shared" si="16"/>
        <v>1591.7426782446978</v>
      </c>
      <c r="J31" s="762">
        <f t="shared" si="16"/>
        <v>3366.2576612046332</v>
      </c>
      <c r="K31" s="11" t="s">
        <v>666</v>
      </c>
      <c r="L31" s="1011">
        <v>16.512757817310341</v>
      </c>
      <c r="M31" s="490">
        <v>10.836971270508844</v>
      </c>
      <c r="N31" s="1011">
        <v>-8.1528388962272658</v>
      </c>
      <c r="O31" s="1011">
        <v>23.266385292634407</v>
      </c>
      <c r="P31" s="1011">
        <v>16.73126711677677</v>
      </c>
      <c r="Q31" s="490">
        <v>6.5582972197552714</v>
      </c>
      <c r="R31" s="490">
        <v>-8.0419875501403499</v>
      </c>
      <c r="S31" s="490">
        <v>21.850068666165058</v>
      </c>
      <c r="T31" s="490">
        <v>5.3924904061106949</v>
      </c>
      <c r="U31" s="762" t="e">
        <f>((B35/B30)-1)*100</f>
        <v>#REF!</v>
      </c>
      <c r="V31" s="762">
        <f t="shared" si="12"/>
        <v>17.469369593600483</v>
      </c>
      <c r="W31" s="995">
        <f>GEOMEAN(W24:W29)</f>
        <v>13.417378990444295</v>
      </c>
      <c r="X31" s="762">
        <v>6</v>
      </c>
      <c r="Y31" s="994">
        <v>4.7</v>
      </c>
      <c r="Z31" s="11"/>
    </row>
    <row r="32" spans="1:36">
      <c r="A32" s="488" t="s">
        <v>1221</v>
      </c>
      <c r="B32" s="762">
        <f>SUM(C32:D32)</f>
        <v>6059.7219482006431</v>
      </c>
      <c r="C32" s="762">
        <f t="shared" si="15"/>
        <v>7369.7073557300464</v>
      </c>
      <c r="D32" s="762">
        <f t="shared" si="15"/>
        <v>-1309.9854075294036</v>
      </c>
      <c r="E32" s="762">
        <f>SUM(F32,I32)</f>
        <v>2187.3263412403699</v>
      </c>
      <c r="F32" s="762">
        <f>SUM(G32:H32)</f>
        <v>247.78679481055082</v>
      </c>
      <c r="G32" s="762">
        <f t="shared" si="16"/>
        <v>-138.53218684183292</v>
      </c>
      <c r="H32" s="762">
        <f t="shared" si="16"/>
        <v>386.31898165238374</v>
      </c>
      <c r="I32" s="762">
        <f t="shared" si="16"/>
        <v>1939.539546429819</v>
      </c>
      <c r="J32" s="762">
        <f t="shared" si="16"/>
        <v>3547.7827826300595</v>
      </c>
      <c r="K32" s="11" t="s">
        <v>667</v>
      </c>
      <c r="L32" s="1011">
        <v>16.512757817310341</v>
      </c>
      <c r="M32" s="490">
        <v>10.836971270508844</v>
      </c>
      <c r="N32" s="1011">
        <v>-8.1528388962272658</v>
      </c>
      <c r="O32" s="1011">
        <v>23.266385292634407</v>
      </c>
      <c r="P32" s="1011">
        <v>16.73126711677677</v>
      </c>
      <c r="Q32" s="490">
        <v>6.5582972197552714</v>
      </c>
      <c r="R32" s="490">
        <v>-8.0419875501403499</v>
      </c>
      <c r="S32" s="490">
        <v>21.850068666165058</v>
      </c>
      <c r="T32" s="490">
        <v>5.3924904061106949</v>
      </c>
      <c r="U32" s="762" t="e">
        <f>((B36/B35)-1)*100</f>
        <v>#REF!</v>
      </c>
      <c r="V32" s="762">
        <f t="shared" si="12"/>
        <v>16.022722751025675</v>
      </c>
      <c r="W32" s="762"/>
      <c r="X32" s="762">
        <v>6</v>
      </c>
      <c r="Y32" s="994">
        <v>4</v>
      </c>
      <c r="Z32" s="11"/>
    </row>
    <row r="33" spans="1:26">
      <c r="A33" s="488" t="s">
        <v>1222</v>
      </c>
      <c r="B33" s="762">
        <f>SUM(C33:D33)</f>
        <v>6965.1760169016434</v>
      </c>
      <c r="C33" s="762">
        <f t="shared" si="15"/>
        <v>8168.3604245910883</v>
      </c>
      <c r="D33" s="762">
        <f t="shared" si="15"/>
        <v>-1203.1844076894452</v>
      </c>
      <c r="E33" s="762">
        <f>SUM(F33,I33)</f>
        <v>2570.9639869762836</v>
      </c>
      <c r="F33" s="762">
        <f>SUM(G33:H33)</f>
        <v>207.63371784412305</v>
      </c>
      <c r="G33" s="762">
        <f>G32+(G32*Q32)/100</f>
        <v>-147.61753939994702</v>
      </c>
      <c r="H33" s="762">
        <f>H32+(H32*R32)/100</f>
        <v>355.25125724407008</v>
      </c>
      <c r="I33" s="762">
        <f>I32+(I32*S32)/100</f>
        <v>2363.3302691321605</v>
      </c>
      <c r="J33" s="762">
        <f>J32+(J32*T1)/100</f>
        <v>3547.7827826300595</v>
      </c>
      <c r="K33" s="11"/>
      <c r="L33" s="490"/>
      <c r="M33" s="490"/>
      <c r="N33" s="490"/>
      <c r="O33" s="490"/>
      <c r="P33" s="490"/>
      <c r="Q33" s="490"/>
      <c r="R33" s="490"/>
      <c r="S33" s="490"/>
      <c r="T33" s="490"/>
      <c r="U33" s="762">
        <f>((B37/B36)-1)*100</f>
        <v>12.537447721653216</v>
      </c>
      <c r="V33" s="762">
        <f t="shared" si="12"/>
        <v>14.942171875887201</v>
      </c>
      <c r="W33" s="762"/>
      <c r="X33" s="762">
        <v>6</v>
      </c>
      <c r="Y33" s="994">
        <v>4</v>
      </c>
      <c r="Z33" s="11"/>
    </row>
    <row r="34" spans="1:26">
      <c r="A34" s="11"/>
      <c r="B34" s="11"/>
      <c r="C34" s="11"/>
      <c r="D34" s="11"/>
      <c r="E34" s="11"/>
      <c r="F34" s="11"/>
      <c r="G34" s="11"/>
      <c r="H34" s="11"/>
      <c r="I34" s="11"/>
      <c r="J34" s="11"/>
      <c r="K34" s="11" t="s">
        <v>668</v>
      </c>
      <c r="L34" s="1011" t="e">
        <f>(((B30/B23)^(1/7))-1)*100</f>
        <v>#REF!</v>
      </c>
      <c r="M34" s="490">
        <f>'Reserves Projection'!J7</f>
        <v>10.720454403890614</v>
      </c>
      <c r="N34" s="1011" t="e">
        <f t="shared" ref="N34:T34" si="17">(((D30/D23)^(1/7))-1)*100</f>
        <v>#REF!</v>
      </c>
      <c r="O34" s="1011" t="e">
        <f t="shared" si="17"/>
        <v>#REF!</v>
      </c>
      <c r="P34" s="1011" t="e">
        <f t="shared" si="17"/>
        <v>#REF!</v>
      </c>
      <c r="Q34" s="490" t="e">
        <f t="shared" si="17"/>
        <v>#REF!</v>
      </c>
      <c r="R34" s="490" t="e">
        <f t="shared" si="17"/>
        <v>#REF!</v>
      </c>
      <c r="S34" s="490" t="e">
        <f t="shared" si="17"/>
        <v>#REF!</v>
      </c>
      <c r="T34" s="490" t="e">
        <f t="shared" si="17"/>
        <v>#REF!</v>
      </c>
      <c r="U34" s="996" t="e">
        <f>((B35/B30)-1)*100</f>
        <v>#REF!</v>
      </c>
      <c r="V34" s="762"/>
      <c r="W34" s="762"/>
      <c r="X34" s="762"/>
      <c r="Y34" s="762"/>
      <c r="Z34" s="762" t="e">
        <f>U34-X31</f>
        <v>#REF!</v>
      </c>
    </row>
    <row r="35" spans="1:26">
      <c r="A35" s="488" t="s">
        <v>40</v>
      </c>
      <c r="B35" s="762" t="e">
        <f>SUM(C35:D35)</f>
        <v>#REF!</v>
      </c>
      <c r="C35" s="762">
        <f t="shared" ref="C35:D37" si="18">C30+(C30*M34)/100</f>
        <v>6642.15189182004</v>
      </c>
      <c r="D35" s="762" t="e">
        <f t="shared" si="18"/>
        <v>#REF!</v>
      </c>
      <c r="E35" s="762" t="e">
        <f>SUM(F35,I35)</f>
        <v>#REF!</v>
      </c>
      <c r="F35" s="762" t="e">
        <f>SUM(G35:H35)</f>
        <v>#REF!</v>
      </c>
      <c r="G35" s="762" t="e">
        <f t="shared" ref="G35:J37" si="19">G30+(G30*Q34)/100</f>
        <v>#REF!</v>
      </c>
      <c r="H35" s="762" t="e">
        <f t="shared" si="19"/>
        <v>#REF!</v>
      </c>
      <c r="I35" s="762" t="e">
        <f t="shared" si="19"/>
        <v>#REF!</v>
      </c>
      <c r="J35" s="762" t="e">
        <f t="shared" si="19"/>
        <v>#REF!</v>
      </c>
      <c r="K35" s="11" t="s">
        <v>669</v>
      </c>
      <c r="L35" s="490">
        <v>16.512757817310341</v>
      </c>
      <c r="M35" s="490">
        <f>'Reserves Projection'!K7</f>
        <v>13.973663706137026</v>
      </c>
      <c r="N35" s="490">
        <v>-8.1528388962272658</v>
      </c>
      <c r="O35" s="490">
        <v>23.266385292634407</v>
      </c>
      <c r="P35" s="490">
        <v>16.73126711677677</v>
      </c>
      <c r="Q35" s="490">
        <v>6.5582972197552714</v>
      </c>
      <c r="R35" s="490">
        <v>-8.0419875501403499</v>
      </c>
      <c r="S35" s="490">
        <v>21.850068666165058</v>
      </c>
      <c r="T35" s="490">
        <v>5.3924904061106949</v>
      </c>
      <c r="U35" s="996" t="e">
        <f>((B36/B35)-1)*100</f>
        <v>#REF!</v>
      </c>
      <c r="V35" s="11"/>
      <c r="W35" s="11"/>
      <c r="X35" s="11"/>
      <c r="Y35" s="11"/>
      <c r="Z35" s="762" t="e">
        <f>U35-X32</f>
        <v>#REF!</v>
      </c>
    </row>
    <row r="36" spans="1:26">
      <c r="A36" s="488" t="s">
        <v>671</v>
      </c>
      <c r="B36" s="762">
        <f>SUM(C36:D36)</f>
        <v>6268.2850752017739</v>
      </c>
      <c r="C36" s="762">
        <f t="shared" si="18"/>
        <v>7578.2704827311773</v>
      </c>
      <c r="D36" s="762">
        <f t="shared" si="18"/>
        <v>-1309.9854075294036</v>
      </c>
      <c r="E36" s="762">
        <f>SUM(F36,I36)</f>
        <v>2187.3263412403699</v>
      </c>
      <c r="F36" s="762">
        <f>SUM(G36:H36)</f>
        <v>247.78679481055082</v>
      </c>
      <c r="G36" s="762">
        <f t="shared" si="19"/>
        <v>-138.53218684183292</v>
      </c>
      <c r="H36" s="762">
        <f t="shared" si="19"/>
        <v>386.31898165238374</v>
      </c>
      <c r="I36" s="762">
        <f t="shared" si="19"/>
        <v>1939.539546429819</v>
      </c>
      <c r="J36" s="762">
        <f t="shared" si="19"/>
        <v>3547.7827826300595</v>
      </c>
      <c r="K36" s="183" t="s">
        <v>670</v>
      </c>
      <c r="L36" s="780">
        <v>16.512757817310341</v>
      </c>
      <c r="M36" s="780">
        <f>'Reserves Projection'!L7</f>
        <v>12.044509349731927</v>
      </c>
      <c r="N36" s="780">
        <v>-8.1528388962272658</v>
      </c>
      <c r="O36" s="780">
        <v>23.266385292634407</v>
      </c>
      <c r="P36" s="780">
        <v>16.73126711677677</v>
      </c>
      <c r="Q36" s="780">
        <v>6.5582972197552714</v>
      </c>
      <c r="R36" s="780">
        <v>-8.0419875501403499</v>
      </c>
      <c r="S36" s="780">
        <v>21.850068666165058</v>
      </c>
      <c r="T36" s="780">
        <v>5.3924904061106949</v>
      </c>
      <c r="U36" s="990">
        <f>((B37/B36)-1)*100</f>
        <v>12.537447721653216</v>
      </c>
      <c r="V36" s="183"/>
      <c r="W36" s="183"/>
      <c r="X36" s="183"/>
      <c r="Y36" s="183"/>
      <c r="Z36" s="932">
        <f>U36-X33</f>
        <v>6.5374477216532156</v>
      </c>
    </row>
    <row r="37" spans="1:26">
      <c r="A37" s="1000" t="s">
        <v>672</v>
      </c>
      <c r="B37" s="932">
        <f>SUM(C37:D37)</f>
        <v>7054.1680395493877</v>
      </c>
      <c r="C37" s="932">
        <f t="shared" si="18"/>
        <v>8257.3524472388326</v>
      </c>
      <c r="D37" s="932">
        <f t="shared" si="18"/>
        <v>-1203.1844076894452</v>
      </c>
      <c r="E37" s="932">
        <f>SUM(F37,I37)</f>
        <v>2570.9639869762836</v>
      </c>
      <c r="F37" s="932">
        <f>SUM(G37:H37)</f>
        <v>207.63371784412305</v>
      </c>
      <c r="G37" s="932">
        <f t="shared" si="19"/>
        <v>-147.61753939994702</v>
      </c>
      <c r="H37" s="932">
        <f t="shared" si="19"/>
        <v>355.25125724407008</v>
      </c>
      <c r="I37" s="932">
        <f t="shared" si="19"/>
        <v>2363.3302691321605</v>
      </c>
      <c r="J37" s="932">
        <f t="shared" si="19"/>
        <v>3739.0966288130326</v>
      </c>
      <c r="K37" s="59"/>
    </row>
    <row r="38" spans="1:26">
      <c r="B38" s="117"/>
      <c r="W38" s="737">
        <f>AVERAGE(W24:W30)</f>
        <v>13.517682444983731</v>
      </c>
    </row>
    <row r="39" spans="1:26">
      <c r="A39" s="1095"/>
    </row>
    <row r="46" spans="1:26" ht="18">
      <c r="O46" s="810" t="s">
        <v>1256</v>
      </c>
      <c r="P46" s="2"/>
      <c r="Q46" s="2"/>
      <c r="R46" s="35"/>
    </row>
    <row r="47" spans="1:26" ht="23.25">
      <c r="O47" s="808"/>
      <c r="P47" s="808">
        <v>2006</v>
      </c>
      <c r="Q47" s="808">
        <v>2007</v>
      </c>
      <c r="R47" s="808">
        <v>2008</v>
      </c>
    </row>
    <row r="48" spans="1:26" ht="23.25">
      <c r="O48" s="809"/>
      <c r="P48" s="809"/>
      <c r="Q48" s="809"/>
      <c r="R48" s="809"/>
    </row>
    <row r="49" spans="15:18" ht="23.25">
      <c r="O49" s="809" t="s">
        <v>590</v>
      </c>
      <c r="P49" s="811" t="e">
        <f>U34</f>
        <v>#REF!</v>
      </c>
      <c r="Q49" s="811" t="e">
        <f>U35</f>
        <v>#REF!</v>
      </c>
      <c r="R49" s="811">
        <f>U36</f>
        <v>12.537447721653216</v>
      </c>
    </row>
    <row r="50" spans="15:18" ht="23.25">
      <c r="O50" s="809"/>
      <c r="P50" s="811"/>
      <c r="Q50" s="811"/>
      <c r="R50" s="811"/>
    </row>
    <row r="51" spans="15:18" ht="23.25">
      <c r="O51" s="809" t="s">
        <v>14</v>
      </c>
      <c r="P51" s="811">
        <f>M34</f>
        <v>10.720454403890614</v>
      </c>
      <c r="Q51" s="811">
        <f>M35</f>
        <v>13.973663706137026</v>
      </c>
      <c r="R51" s="811">
        <f>M36</f>
        <v>12.044509349731927</v>
      </c>
    </row>
    <row r="52" spans="15:18" ht="23.25">
      <c r="O52" s="809"/>
      <c r="P52" s="811"/>
      <c r="Q52" s="811"/>
      <c r="R52" s="811"/>
    </row>
    <row r="53" spans="15:18" ht="23.25">
      <c r="O53" s="809" t="s">
        <v>199</v>
      </c>
      <c r="P53" s="811" t="e">
        <f>O34</f>
        <v>#REF!</v>
      </c>
      <c r="Q53" s="811">
        <f>O35</f>
        <v>23.266385292634407</v>
      </c>
      <c r="R53" s="811">
        <f>O36</f>
        <v>23.266385292634407</v>
      </c>
    </row>
    <row r="54" spans="15:18" ht="23.25">
      <c r="O54" s="809"/>
      <c r="P54" s="811"/>
      <c r="Q54" s="811"/>
      <c r="R54" s="811"/>
    </row>
    <row r="55" spans="15:18" ht="23.25">
      <c r="O55" s="809" t="s">
        <v>592</v>
      </c>
      <c r="P55" s="811" t="e">
        <f>S34</f>
        <v>#REF!</v>
      </c>
      <c r="Q55" s="811">
        <f>S35</f>
        <v>21.850068666165058</v>
      </c>
      <c r="R55" s="811">
        <f>S36</f>
        <v>21.850068666165058</v>
      </c>
    </row>
    <row r="56" spans="15:18" ht="21" customHeight="1">
      <c r="O56" s="153"/>
      <c r="P56" s="153"/>
      <c r="Q56" s="153"/>
      <c r="R56" s="153"/>
    </row>
  </sheetData>
  <mergeCells count="22">
    <mergeCell ref="L2:T2"/>
    <mergeCell ref="P5:R5"/>
    <mergeCell ref="O5:O6"/>
    <mergeCell ref="N3:T3"/>
    <mergeCell ref="N4:N6"/>
    <mergeCell ref="O4:S4"/>
    <mergeCell ref="T4:T6"/>
    <mergeCell ref="B2:J2"/>
    <mergeCell ref="B3:B6"/>
    <mergeCell ref="C3:C6"/>
    <mergeCell ref="D3:J3"/>
    <mergeCell ref="D4:D6"/>
    <mergeCell ref="E4:I4"/>
    <mergeCell ref="J4:J6"/>
    <mergeCell ref="F5:H5"/>
    <mergeCell ref="U3:U6"/>
    <mergeCell ref="S5:S6"/>
    <mergeCell ref="B7:J7"/>
    <mergeCell ref="I5:I6"/>
    <mergeCell ref="L3:L6"/>
    <mergeCell ref="M3:M6"/>
    <mergeCell ref="E5:E6"/>
  </mergeCells>
  <phoneticPr fontId="44" type="noConversion"/>
  <pageMargins left="1" right="0.75" top="0.87" bottom="0.49" header="0.5" footer="0.5"/>
  <pageSetup paperSize="9" scale="32" fitToHeight="3" orientation="landscape" r:id="rId1"/>
  <headerFooter alignWithMargins="0">
    <oddFooter>&amp;L&amp;F/&amp;A</oddFooter>
  </headerFooter>
  <drawing r:id="rId2"/>
</worksheet>
</file>

<file path=xl/worksheets/sheet80.xml><?xml version="1.0" encoding="utf-8"?>
<worksheet xmlns="http://schemas.openxmlformats.org/spreadsheetml/2006/main" xmlns:r="http://schemas.openxmlformats.org/officeDocument/2006/relationships">
  <sheetPr codeName="Sheet59"/>
  <dimension ref="A1"/>
  <sheetViews>
    <sheetView topLeftCell="A7" workbookViewId="0">
      <selection activeCell="H11" sqref="H11"/>
    </sheetView>
  </sheetViews>
  <sheetFormatPr defaultRowHeight="12.75"/>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sheetPr codeName="Sheet60"/>
  <dimension ref="A2:CF112"/>
  <sheetViews>
    <sheetView showGridLines="0" view="pageBreakPreview" zoomScale="90" zoomScaleSheetLayoutView="90" workbookViewId="0">
      <pane xSplit="12" ySplit="4" topLeftCell="O9" activePane="bottomRight" state="frozen"/>
      <selection pane="topRight" activeCell="L1" sqref="L1"/>
      <selection pane="bottomLeft" activeCell="A4" sqref="A4"/>
      <selection pane="bottomRight" activeCell="O60" sqref="O60"/>
    </sheetView>
  </sheetViews>
  <sheetFormatPr defaultRowHeight="15"/>
  <cols>
    <col min="1" max="1" width="9.140625" style="1949"/>
    <col min="2" max="2" width="51.28515625" style="1949" customWidth="1"/>
    <col min="3" max="9" width="0" style="1949" hidden="1" customWidth="1"/>
    <col min="10" max="10" width="8.85546875" style="1949" hidden="1" customWidth="1"/>
    <col min="11" max="11" width="9.28515625" style="1949" hidden="1" customWidth="1"/>
    <col min="12" max="12" width="0" style="1949" hidden="1" customWidth="1"/>
    <col min="13" max="13" width="12.28515625" style="1949" hidden="1" customWidth="1"/>
    <col min="14" max="14" width="10.42578125" style="1949" customWidth="1"/>
    <col min="15" max="15" width="12.85546875" style="1949" customWidth="1"/>
    <col min="16" max="16" width="14.5703125" style="1949" customWidth="1"/>
    <col min="17" max="18" width="13.7109375" style="1949" customWidth="1"/>
    <col min="19" max="19" width="15.28515625" style="1949" hidden="1" customWidth="1"/>
    <col min="20" max="20" width="14.42578125" style="1892" customWidth="1"/>
    <col min="21" max="22" width="12.42578125" style="1949" customWidth="1"/>
    <col min="23" max="23" width="10.140625" style="1949" customWidth="1"/>
    <col min="24" max="24" width="9.7109375" style="36" bestFit="1" customWidth="1"/>
    <col min="25" max="25" width="10.28515625" style="1949" bestFit="1" customWidth="1"/>
    <col min="26" max="16384" width="9.140625" style="1949"/>
  </cols>
  <sheetData>
    <row r="2" spans="1:25" ht="15.75">
      <c r="A2" s="9"/>
      <c r="B2" s="5024" t="s">
        <v>1410</v>
      </c>
      <c r="C2" s="5025"/>
      <c r="D2" s="5025"/>
      <c r="E2" s="5025"/>
      <c r="F2" s="5025"/>
      <c r="G2" s="5025"/>
      <c r="H2" s="5025"/>
      <c r="I2" s="5025"/>
      <c r="J2" s="5025"/>
      <c r="K2" s="5025"/>
      <c r="L2" s="5025"/>
      <c r="M2" s="5025"/>
      <c r="N2" s="5025"/>
      <c r="O2" s="5026"/>
      <c r="P2" s="5026"/>
      <c r="Q2" s="5026"/>
      <c r="R2" s="5026"/>
      <c r="S2" s="5027"/>
    </row>
    <row r="3" spans="1:25">
      <c r="B3" s="5023"/>
      <c r="C3" s="5023"/>
      <c r="D3" s="5023"/>
      <c r="E3" s="5023"/>
      <c r="F3" s="5023"/>
      <c r="G3" s="5023"/>
      <c r="H3" s="5023"/>
      <c r="I3" s="5023"/>
      <c r="J3" s="5023"/>
      <c r="K3" s="5023"/>
      <c r="L3" s="5023"/>
      <c r="M3" s="5023"/>
      <c r="N3" s="5023"/>
      <c r="P3" s="9"/>
      <c r="Q3" s="9"/>
      <c r="R3" s="9"/>
      <c r="S3" s="1902"/>
      <c r="T3" s="1893"/>
      <c r="U3" s="9"/>
      <c r="V3" s="9"/>
    </row>
    <row r="4" spans="1:25" ht="15.75">
      <c r="B4" s="1942" t="s">
        <v>146</v>
      </c>
      <c r="C4" s="1899" t="s">
        <v>236</v>
      </c>
      <c r="D4" s="1899" t="s">
        <v>237</v>
      </c>
      <c r="E4" s="1899" t="s">
        <v>293</v>
      </c>
      <c r="F4" s="1899" t="s">
        <v>294</v>
      </c>
      <c r="G4" s="1899" t="s">
        <v>240</v>
      </c>
      <c r="H4" s="1899" t="s">
        <v>241</v>
      </c>
      <c r="I4" s="1899" t="s">
        <v>195</v>
      </c>
      <c r="J4" s="1899" t="s">
        <v>634</v>
      </c>
      <c r="K4" s="1899" t="s">
        <v>609</v>
      </c>
      <c r="L4" s="1899" t="s">
        <v>132</v>
      </c>
      <c r="M4" s="1899" t="s">
        <v>133</v>
      </c>
      <c r="N4" s="1900" t="s">
        <v>1034</v>
      </c>
      <c r="O4" s="1900" t="s">
        <v>805</v>
      </c>
      <c r="P4" s="1900" t="s">
        <v>806</v>
      </c>
      <c r="Q4" s="1900" t="s">
        <v>807</v>
      </c>
      <c r="R4" s="1900" t="s">
        <v>1390</v>
      </c>
      <c r="S4" s="1901" t="s">
        <v>1405</v>
      </c>
      <c r="T4" s="1927" t="s">
        <v>1490</v>
      </c>
      <c r="U4" s="1973" t="s">
        <v>1527</v>
      </c>
      <c r="V4" s="160"/>
      <c r="W4" s="160"/>
    </row>
    <row r="5" spans="1:25">
      <c r="B5" s="1956"/>
      <c r="C5" s="9"/>
      <c r="D5" s="9"/>
      <c r="E5" s="9"/>
      <c r="F5" s="9"/>
      <c r="G5" s="9"/>
      <c r="H5" s="9"/>
      <c r="I5" s="9"/>
      <c r="J5" s="9"/>
      <c r="K5" s="9"/>
      <c r="L5" s="9"/>
      <c r="M5" s="9"/>
      <c r="N5" s="9"/>
      <c r="O5" s="9"/>
      <c r="P5" s="9"/>
      <c r="Q5" s="9"/>
      <c r="R5" s="9"/>
      <c r="S5" s="9"/>
      <c r="T5" s="1893"/>
      <c r="U5" s="1972"/>
      <c r="V5" s="9"/>
      <c r="W5" s="9"/>
    </row>
    <row r="6" spans="1:25" ht="15.75">
      <c r="B6" s="1971" t="s">
        <v>1514</v>
      </c>
      <c r="C6" s="9"/>
      <c r="D6" s="9"/>
      <c r="E6" s="9"/>
      <c r="F6" s="9"/>
      <c r="G6" s="9"/>
      <c r="H6" s="9"/>
      <c r="I6" s="9"/>
      <c r="J6" s="9"/>
      <c r="K6" s="9"/>
      <c r="L6" s="9"/>
      <c r="M6" s="9"/>
      <c r="N6" s="9"/>
      <c r="O6" s="9"/>
      <c r="P6" s="9"/>
      <c r="Q6" s="1419"/>
      <c r="R6" s="9"/>
      <c r="S6" s="1419"/>
      <c r="T6" s="1894"/>
      <c r="U6" s="1966"/>
      <c r="V6" s="1419"/>
      <c r="W6" s="1419"/>
    </row>
    <row r="7" spans="1:25">
      <c r="B7" s="1956" t="s">
        <v>1521</v>
      </c>
      <c r="C7" s="9">
        <v>4.2320728088988533</v>
      </c>
      <c r="D7" s="9">
        <v>6.0774250316817708</v>
      </c>
      <c r="E7" s="9">
        <v>2.9479359021433034</v>
      </c>
      <c r="F7" s="9">
        <v>5.873482311669961</v>
      </c>
      <c r="G7" s="9">
        <v>6.1307215980239462</v>
      </c>
      <c r="H7" s="9">
        <v>7.9414957270403406</v>
      </c>
      <c r="I7" s="9">
        <v>7.6433438884963012</v>
      </c>
      <c r="J7" s="1042">
        <v>7.1705600255236535</v>
      </c>
      <c r="K7" s="1413">
        <v>9.9882780883980953</v>
      </c>
      <c r="L7" s="1413">
        <v>7.5553487978685165</v>
      </c>
      <c r="M7" s="1409">
        <v>8</v>
      </c>
      <c r="N7" s="1409">
        <v>7</v>
      </c>
      <c r="O7" s="1410">
        <v>6.4</v>
      </c>
      <c r="P7" s="1410">
        <v>19.7</v>
      </c>
      <c r="Q7" s="1410">
        <v>5</v>
      </c>
      <c r="R7" s="1042">
        <f>'[80]Keyind for Annual Report'!Q6</f>
        <v>6.7280402309805085</v>
      </c>
      <c r="S7" s="1882">
        <v>9.1</v>
      </c>
      <c r="T7" s="1895">
        <f>'[80]Keyind for Annual Report'!R6</f>
        <v>11.768646200896203</v>
      </c>
      <c r="U7" s="1967"/>
      <c r="V7" s="1932"/>
      <c r="W7" s="1410"/>
      <c r="Y7" s="9"/>
    </row>
    <row r="8" spans="1:25">
      <c r="B8" s="1956" t="s">
        <v>134</v>
      </c>
      <c r="C8" s="9">
        <v>8.1999999999999993</v>
      </c>
      <c r="D8" s="9">
        <v>9.3000000000000007</v>
      </c>
      <c r="E8" s="9">
        <v>7.4</v>
      </c>
      <c r="F8" s="9">
        <v>9.0327902660342474</v>
      </c>
      <c r="G8" s="9">
        <v>9.1866843200302508</v>
      </c>
      <c r="H8" s="9">
        <v>3.6083635040795543</v>
      </c>
      <c r="I8" s="9">
        <v>3.5737776803332655</v>
      </c>
      <c r="J8" s="1042">
        <v>2.6778154106689258</v>
      </c>
      <c r="K8" s="1413">
        <v>1.8451706009689639</v>
      </c>
      <c r="L8" s="1413">
        <v>4.55</v>
      </c>
      <c r="M8" s="1409">
        <v>5.464375362039001</v>
      </c>
      <c r="N8" s="1409">
        <v>6.1699011351153503</v>
      </c>
      <c r="O8" s="1410">
        <v>5.9</v>
      </c>
      <c r="P8" s="1410">
        <v>8.8000000000000007</v>
      </c>
      <c r="Q8" s="1410">
        <v>3</v>
      </c>
      <c r="R8" s="1042">
        <f>'[80]Keyind for Annual Report'!Q7</f>
        <v>6.14</v>
      </c>
      <c r="S8" s="1882">
        <v>4.05</v>
      </c>
      <c r="T8" s="1895">
        <f>'[80]Keyind for Annual Report'!R7</f>
        <v>8.33</v>
      </c>
      <c r="U8" s="1965"/>
      <c r="V8" s="1410"/>
      <c r="W8" s="1410"/>
    </row>
    <row r="9" spans="1:25">
      <c r="B9" s="1956" t="s">
        <v>135</v>
      </c>
      <c r="C9" s="9"/>
      <c r="D9" s="9"/>
      <c r="E9" s="9"/>
      <c r="F9" s="9">
        <v>6.3926940639269514</v>
      </c>
      <c r="G9" s="9">
        <v>2.5035765379113117</v>
      </c>
      <c r="H9" s="9">
        <v>5.3303926685667005</v>
      </c>
      <c r="I9" s="9">
        <v>6.6281212103777571</v>
      </c>
      <c r="J9" s="1042">
        <v>1.691027460091395</v>
      </c>
      <c r="K9" s="1413">
        <v>5.6786103604336935</v>
      </c>
      <c r="L9" s="1413">
        <v>5.6134301869957932</v>
      </c>
      <c r="M9" s="1409">
        <v>5.2</v>
      </c>
      <c r="N9" s="1409">
        <v>4.5999999999999996</v>
      </c>
      <c r="O9" s="1410">
        <v>5.4</v>
      </c>
      <c r="P9" s="1410">
        <v>9.6</v>
      </c>
      <c r="Q9" s="1410">
        <v>0.5</v>
      </c>
      <c r="R9" s="1042">
        <f>'[80]Keyind for Annual Report'!Q8</f>
        <v>10.644977168949787</v>
      </c>
      <c r="S9" s="1882">
        <v>7.3</v>
      </c>
      <c r="T9" s="1895">
        <f>'[80]Keyind for Annual Report'!R8</f>
        <v>9.8679471788715407</v>
      </c>
      <c r="U9" s="1965"/>
      <c r="V9" s="1410"/>
      <c r="W9" s="1410"/>
    </row>
    <row r="10" spans="1:25">
      <c r="B10" s="1956"/>
      <c r="C10" s="9"/>
      <c r="D10" s="9"/>
      <c r="E10" s="9"/>
      <c r="F10" s="9"/>
      <c r="G10" s="9"/>
      <c r="H10" s="9"/>
      <c r="I10" s="9"/>
      <c r="J10" s="9"/>
      <c r="K10" s="178"/>
      <c r="L10" s="178"/>
      <c r="M10" s="1408"/>
      <c r="N10" s="1408"/>
      <c r="O10" s="1408"/>
      <c r="P10" s="1408"/>
      <c r="Q10" s="1419"/>
      <c r="R10" s="9"/>
      <c r="S10" s="1883"/>
      <c r="T10" s="1894"/>
      <c r="U10" s="1966"/>
      <c r="V10" s="1419"/>
      <c r="W10" s="1419"/>
    </row>
    <row r="11" spans="1:25" ht="15.75">
      <c r="B11" s="1971" t="s">
        <v>1515</v>
      </c>
      <c r="C11" s="9"/>
      <c r="D11" s="9"/>
      <c r="E11" s="9"/>
      <c r="F11" s="9"/>
      <c r="G11" s="9"/>
      <c r="H11" s="9"/>
      <c r="I11" s="9"/>
      <c r="J11" s="9"/>
      <c r="K11" s="178"/>
      <c r="L11" s="178"/>
      <c r="M11" s="1408"/>
      <c r="N11" s="1408"/>
      <c r="O11" s="1408"/>
      <c r="P11" s="1408"/>
      <c r="Q11" s="1419"/>
      <c r="R11" s="9"/>
      <c r="S11" s="1883"/>
      <c r="T11" s="1894"/>
      <c r="U11" s="1966"/>
      <c r="V11" s="1419"/>
      <c r="W11" s="1419"/>
    </row>
    <row r="12" spans="1:25">
      <c r="B12" s="1956" t="s">
        <v>571</v>
      </c>
      <c r="C12" s="9">
        <v>3650.6</v>
      </c>
      <c r="D12" s="9">
        <v>4491.3</v>
      </c>
      <c r="E12" s="9">
        <v>4656.5</v>
      </c>
      <c r="F12" s="9">
        <v>4949.3</v>
      </c>
      <c r="G12" s="9">
        <v>6919.4579999999996</v>
      </c>
      <c r="H12" s="9">
        <v>7859.530999999999</v>
      </c>
      <c r="I12" s="9">
        <v>8686.7440000000006</v>
      </c>
      <c r="J12" s="1042">
        <v>8826.7119999999995</v>
      </c>
      <c r="K12" s="1413">
        <v>7054.3460000000005</v>
      </c>
      <c r="L12" s="1413">
        <v>11113.945</v>
      </c>
      <c r="M12" s="1410">
        <v>10501.1</v>
      </c>
      <c r="N12" s="1410">
        <v>13452.2</v>
      </c>
      <c r="O12" s="1410">
        <v>16083.1</v>
      </c>
      <c r="P12" s="1888">
        <v>18316.900000000001</v>
      </c>
      <c r="Q12" s="1888">
        <v>23443</v>
      </c>
      <c r="R12" s="1889">
        <v>30990.7</v>
      </c>
      <c r="S12" s="1890">
        <v>23925.9</v>
      </c>
      <c r="T12" s="1896">
        <f>'[80]Keyind for Annual Report'!R11</f>
        <v>30549.657999999999</v>
      </c>
      <c r="U12" s="1960"/>
      <c r="V12" s="1504"/>
      <c r="W12" s="1504"/>
    </row>
    <row r="13" spans="1:25">
      <c r="B13" s="1956" t="s">
        <v>1338</v>
      </c>
      <c r="C13" s="9">
        <v>1773.2</v>
      </c>
      <c r="D13" s="9">
        <v>2363.6</v>
      </c>
      <c r="E13" s="9">
        <v>2232.1</v>
      </c>
      <c r="F13" s="9">
        <v>1816.3</v>
      </c>
      <c r="G13" s="9">
        <v>3262.58</v>
      </c>
      <c r="H13" s="9">
        <v>3274.1320000000001</v>
      </c>
      <c r="I13" s="9">
        <v>3710.9940000000001</v>
      </c>
      <c r="J13" s="1042">
        <v>3748.5150000000003</v>
      </c>
      <c r="K13" s="1413">
        <v>2269.0860000000002</v>
      </c>
      <c r="L13" s="1413">
        <v>5367.3779999999997</v>
      </c>
      <c r="M13" s="1410">
        <v>4373.1000000000004</v>
      </c>
      <c r="N13" s="1410">
        <v>6424.7</v>
      </c>
      <c r="O13" s="1410">
        <v>6000.9</v>
      </c>
      <c r="P13" s="1888">
        <v>5935.4</v>
      </c>
      <c r="Q13" s="1888">
        <v>6575.1</v>
      </c>
      <c r="R13" s="1889">
        <v>11118.9</v>
      </c>
      <c r="S13" s="1890">
        <v>9485.1</v>
      </c>
      <c r="T13" s="1896">
        <f>'[80]Keyind for Annual Report'!R12</f>
        <v>13313.994999999999</v>
      </c>
      <c r="U13" s="1960"/>
      <c r="V13" s="1504"/>
      <c r="W13" s="1504"/>
    </row>
    <row r="14" spans="1:25">
      <c r="B14" s="1956" t="s">
        <v>579</v>
      </c>
      <c r="C14" s="9">
        <v>3642.7</v>
      </c>
      <c r="D14" s="9">
        <v>4252.7</v>
      </c>
      <c r="E14" s="9">
        <v>4957.2</v>
      </c>
      <c r="F14" s="9">
        <v>4806</v>
      </c>
      <c r="G14" s="9">
        <v>7224.366</v>
      </c>
      <c r="H14" s="9">
        <v>8624.0770000000011</v>
      </c>
      <c r="I14" s="9">
        <v>11177.597</v>
      </c>
      <c r="J14" s="1042">
        <v>10052.078000000001</v>
      </c>
      <c r="K14" s="1413">
        <v>9945.3189999999995</v>
      </c>
      <c r="L14" s="1413">
        <v>10534.129000000001</v>
      </c>
      <c r="M14" s="1410">
        <v>12893.7</v>
      </c>
      <c r="N14" s="1410">
        <v>13770.9</v>
      </c>
      <c r="O14" s="1410">
        <v>15795.4</v>
      </c>
      <c r="P14" s="1888">
        <v>17913.400000000001</v>
      </c>
      <c r="Q14" s="1888">
        <v>22350.5</v>
      </c>
      <c r="R14" s="1889">
        <v>29888.9</v>
      </c>
      <c r="S14" s="1890">
        <v>25519.7</v>
      </c>
      <c r="T14" s="1896">
        <f>'[80]Keyind for Annual Report'!R13</f>
        <v>34196.614999999998</v>
      </c>
      <c r="U14" s="1960"/>
      <c r="V14" s="1504"/>
      <c r="W14" s="1504"/>
    </row>
    <row r="15" spans="1:25">
      <c r="B15" s="1956" t="s">
        <v>580</v>
      </c>
      <c r="C15" s="9">
        <v>-29.3</v>
      </c>
      <c r="D15" s="9">
        <v>159.5</v>
      </c>
      <c r="E15" s="9">
        <v>83.200000000000273</v>
      </c>
      <c r="F15" s="9">
        <v>505.2</v>
      </c>
      <c r="G15" s="9">
        <v>478.58099999999968</v>
      </c>
      <c r="H15" s="9">
        <v>883.25099999999929</v>
      </c>
      <c r="I15" s="9">
        <v>540.13199999999961</v>
      </c>
      <c r="J15" s="1042">
        <v>610.3090000000002</v>
      </c>
      <c r="K15" s="1413">
        <v>204.35199999999986</v>
      </c>
      <c r="L15" s="1413">
        <v>597.34200000000055</v>
      </c>
      <c r="M15" s="1410">
        <f>6128-6170.6</f>
        <v>-42.600000000000364</v>
      </c>
      <c r="N15" s="1410">
        <v>355.1</v>
      </c>
      <c r="O15" s="1410">
        <v>2390.8000000000002</v>
      </c>
      <c r="P15" s="1888">
        <v>2655.8</v>
      </c>
      <c r="Q15" s="1888">
        <f>16867.9-11061.4</f>
        <v>5806.5000000000018</v>
      </c>
      <c r="R15" s="1889">
        <f>19871.8-12902.7</f>
        <v>6969.0999999999985</v>
      </c>
      <c r="S15" s="1890">
        <v>2530</v>
      </c>
      <c r="T15" s="1896">
        <f>'[80]Keyind for Annual Report'!R14</f>
        <v>1463.3940000000002</v>
      </c>
      <c r="U15" s="1960"/>
      <c r="V15" s="1504"/>
      <c r="W15" s="1504"/>
    </row>
    <row r="16" spans="1:25">
      <c r="B16" s="1956" t="s">
        <v>581</v>
      </c>
      <c r="C16" s="9">
        <v>7.9</v>
      </c>
      <c r="D16" s="9">
        <v>238.6</v>
      </c>
      <c r="E16" s="9">
        <v>-300.7</v>
      </c>
      <c r="F16" s="9">
        <v>143.30000000000001</v>
      </c>
      <c r="G16" s="9">
        <v>-304.90800000000036</v>
      </c>
      <c r="H16" s="9">
        <v>-764.5460000000021</v>
      </c>
      <c r="I16" s="9">
        <v>-2490.8529999999992</v>
      </c>
      <c r="J16" s="1042">
        <v>-1225.3660000000018</v>
      </c>
      <c r="K16" s="1413">
        <v>-2890.972999999999</v>
      </c>
      <c r="L16" s="1413">
        <v>579.81599999999889</v>
      </c>
      <c r="M16" s="1414">
        <v>-2392.6</v>
      </c>
      <c r="N16" s="1410">
        <v>-318.7</v>
      </c>
      <c r="O16" s="1410">
        <v>287.7</v>
      </c>
      <c r="P16" s="1888">
        <v>403.5</v>
      </c>
      <c r="Q16" s="1888">
        <v>1092.5</v>
      </c>
      <c r="R16" s="1889">
        <v>1101.8</v>
      </c>
      <c r="S16" s="1890">
        <v>-1593.8</v>
      </c>
      <c r="T16" s="1410">
        <f>'[80]Keyind for Annual Report'!R15</f>
        <v>-3646.9569999999985</v>
      </c>
      <c r="U16" s="1960"/>
      <c r="V16" s="1504"/>
      <c r="W16" s="1504"/>
    </row>
    <row r="17" spans="2:25">
      <c r="B17" s="1956" t="s">
        <v>1513</v>
      </c>
      <c r="C17" s="9"/>
      <c r="D17" s="9"/>
      <c r="E17" s="9"/>
      <c r="F17" s="9"/>
      <c r="G17" s="9"/>
      <c r="H17" s="9"/>
      <c r="I17" s="9"/>
      <c r="J17" s="1042"/>
      <c r="K17" s="1413"/>
      <c r="L17" s="1413"/>
      <c r="M17" s="1414"/>
      <c r="N17" s="1410">
        <f t="shared" ref="N17:S17" si="0">N16/N48*100</f>
        <v>-0.86333936524104138</v>
      </c>
      <c r="O17" s="1410">
        <f t="shared" si="0"/>
        <v>0.77936220702807535</v>
      </c>
      <c r="P17" s="1410">
        <f t="shared" si="0"/>
        <v>0.81586882042555386</v>
      </c>
      <c r="Q17" s="1410">
        <f t="shared" si="0"/>
        <v>1.9967843090952657</v>
      </c>
      <c r="R17" s="1410">
        <f t="shared" si="0"/>
        <v>1.7996625101943577</v>
      </c>
      <c r="S17" s="1410">
        <f t="shared" si="0"/>
        <v>-2.6032874466761369</v>
      </c>
      <c r="T17" s="1410">
        <f>'[80]Keyind for Annual Report'!R16</f>
        <v>-5.0318401823459906</v>
      </c>
      <c r="U17" s="1960"/>
      <c r="V17" s="1504"/>
      <c r="W17" s="1504"/>
    </row>
    <row r="18" spans="2:25">
      <c r="B18" s="1956"/>
      <c r="C18" s="9"/>
      <c r="D18" s="9"/>
      <c r="E18" s="9"/>
      <c r="F18" s="9"/>
      <c r="G18" s="9"/>
      <c r="H18" s="9"/>
      <c r="I18" s="9"/>
      <c r="J18" s="9"/>
      <c r="K18" s="178"/>
      <c r="L18" s="178"/>
      <c r="M18" s="1408"/>
      <c r="N18" s="1408"/>
      <c r="O18" s="1408"/>
      <c r="P18" s="1408"/>
      <c r="Q18" s="9"/>
      <c r="R18" s="9"/>
      <c r="S18" s="1411"/>
      <c r="T18" s="1893"/>
      <c r="U18" s="1959"/>
      <c r="V18" s="9"/>
      <c r="W18" s="9"/>
    </row>
    <row r="19" spans="2:25" ht="15.75">
      <c r="B19" s="1971" t="s">
        <v>1516</v>
      </c>
      <c r="C19" s="9"/>
      <c r="D19" s="9"/>
      <c r="E19" s="9"/>
      <c r="F19" s="9"/>
      <c r="G19" s="9"/>
      <c r="H19" s="9"/>
      <c r="I19" s="9"/>
      <c r="J19" s="9"/>
      <c r="K19" s="178"/>
      <c r="L19" s="178"/>
      <c r="M19" s="1408"/>
      <c r="N19" s="1408"/>
      <c r="O19" s="1408"/>
      <c r="P19" s="1408"/>
      <c r="Q19" s="9"/>
      <c r="R19" s="9"/>
      <c r="S19" s="1411"/>
      <c r="T19" s="1893"/>
      <c r="U19" s="1959"/>
      <c r="V19" s="9"/>
      <c r="W19" s="9"/>
    </row>
    <row r="20" spans="2:25">
      <c r="B20" s="1956" t="s">
        <v>1339</v>
      </c>
      <c r="C20" s="9"/>
      <c r="D20" s="9"/>
      <c r="E20" s="9"/>
      <c r="F20" s="9"/>
      <c r="G20" s="9"/>
      <c r="H20" s="9"/>
      <c r="I20" s="9"/>
      <c r="J20" s="9"/>
      <c r="K20" s="178"/>
      <c r="L20" s="178"/>
      <c r="M20" s="1408">
        <v>10.7</v>
      </c>
      <c r="N20" s="1408">
        <v>26.3</v>
      </c>
      <c r="O20" s="1410">
        <v>8.6</v>
      </c>
      <c r="P20" s="1410">
        <v>2.2999999999999998</v>
      </c>
      <c r="Q20" s="1410">
        <v>24.6</v>
      </c>
      <c r="R20" s="9">
        <v>30.1</v>
      </c>
      <c r="S20" s="1882">
        <v>39.799999999999997</v>
      </c>
      <c r="T20" s="1643">
        <f>[81]Monetary2!C330</f>
        <v>21.212827038141999</v>
      </c>
      <c r="U20" s="1965"/>
      <c r="V20" s="1410"/>
      <c r="W20" s="1499"/>
      <c r="X20" s="1421"/>
      <c r="Y20" s="69"/>
    </row>
    <row r="21" spans="2:25">
      <c r="B21" s="1956" t="s">
        <v>1340</v>
      </c>
      <c r="C21" s="9"/>
      <c r="D21" s="9"/>
      <c r="E21" s="9"/>
      <c r="F21" s="9"/>
      <c r="G21" s="9"/>
      <c r="H21" s="9"/>
      <c r="I21" s="9"/>
      <c r="J21" s="9"/>
      <c r="K21" s="178"/>
      <c r="L21" s="178"/>
      <c r="M21" s="1408">
        <v>26.3</v>
      </c>
      <c r="N21" s="1408">
        <v>32.200000000000003</v>
      </c>
      <c r="O21" s="1410">
        <v>35.5</v>
      </c>
      <c r="P21" s="1410">
        <v>37.4</v>
      </c>
      <c r="Q21" s="1410">
        <v>31.1</v>
      </c>
      <c r="R21" s="9">
        <v>38.6</v>
      </c>
      <c r="S21" s="1882">
        <v>19.2</v>
      </c>
      <c r="T21" s="1643">
        <f>[81]Monetary2!J330</f>
        <v>31.642883849907761</v>
      </c>
      <c r="U21" s="1965"/>
      <c r="V21" s="1410"/>
      <c r="W21" s="1499"/>
      <c r="X21" s="1421"/>
      <c r="Y21" s="69"/>
    </row>
    <row r="22" spans="2:25">
      <c r="B22" s="1956"/>
      <c r="C22" s="9"/>
      <c r="D22" s="9"/>
      <c r="E22" s="9"/>
      <c r="F22" s="9"/>
      <c r="G22" s="9"/>
      <c r="H22" s="9"/>
      <c r="I22" s="9"/>
      <c r="J22" s="9"/>
      <c r="K22" s="9"/>
      <c r="L22" s="9"/>
      <c r="M22" s="1408"/>
      <c r="N22" s="1408"/>
      <c r="O22" s="1408"/>
      <c r="P22" s="1408"/>
      <c r="Q22" s="9"/>
      <c r="R22" s="9"/>
      <c r="S22" s="1411"/>
      <c r="T22" s="1893"/>
      <c r="U22" s="1964"/>
      <c r="V22" s="178"/>
      <c r="W22" s="178"/>
      <c r="X22" s="1421"/>
      <c r="Y22" s="69"/>
    </row>
    <row r="23" spans="2:25" ht="15.75">
      <c r="B23" s="1971" t="s">
        <v>1517</v>
      </c>
      <c r="C23" s="9"/>
      <c r="D23" s="9"/>
      <c r="E23" s="9"/>
      <c r="F23" s="9"/>
      <c r="G23" s="9"/>
      <c r="H23" s="9"/>
      <c r="I23" s="9"/>
      <c r="J23" s="9"/>
      <c r="K23" s="178"/>
      <c r="L23" s="178"/>
      <c r="M23" s="1408"/>
      <c r="N23" s="1408"/>
      <c r="O23" s="1408"/>
      <c r="P23" s="1408"/>
      <c r="Q23" s="9"/>
      <c r="R23" s="9"/>
      <c r="S23" s="1411"/>
      <c r="T23" s="1893"/>
      <c r="U23" s="1964"/>
      <c r="V23" s="178"/>
      <c r="W23" s="178"/>
      <c r="X23" s="1421"/>
      <c r="Y23" s="69"/>
    </row>
    <row r="24" spans="2:25">
      <c r="B24" s="1956" t="s">
        <v>582</v>
      </c>
      <c r="C24" s="9">
        <v>10</v>
      </c>
      <c r="D24" s="9">
        <v>10</v>
      </c>
      <c r="E24" s="9">
        <v>10</v>
      </c>
      <c r="F24" s="9">
        <v>10</v>
      </c>
      <c r="G24" s="9">
        <v>10</v>
      </c>
      <c r="H24" s="9" t="s">
        <v>583</v>
      </c>
      <c r="I24" s="9" t="s">
        <v>583</v>
      </c>
      <c r="J24" s="1042">
        <v>9</v>
      </c>
      <c r="K24" s="1413">
        <v>7</v>
      </c>
      <c r="L24" s="1413">
        <v>6</v>
      </c>
      <c r="M24" s="1408">
        <v>4.5</v>
      </c>
      <c r="N24" s="1408">
        <v>4.5</v>
      </c>
      <c r="O24" s="1408">
        <v>4.5</v>
      </c>
      <c r="P24" s="1408">
        <v>4.8</v>
      </c>
      <c r="Q24" s="1408">
        <v>4.8</v>
      </c>
      <c r="R24" s="9">
        <v>4.8</v>
      </c>
      <c r="S24" s="1885">
        <f>(4.5+5)/2</f>
        <v>4.75</v>
      </c>
      <c r="T24" s="1643">
        <v>5.3</v>
      </c>
      <c r="U24" s="1963" t="s">
        <v>1526</v>
      </c>
      <c r="V24" s="1408"/>
      <c r="W24" s="1413"/>
    </row>
    <row r="25" spans="2:25">
      <c r="B25" s="1956" t="s">
        <v>584</v>
      </c>
      <c r="C25" s="9" t="s">
        <v>585</v>
      </c>
      <c r="D25" s="9" t="s">
        <v>585</v>
      </c>
      <c r="E25" s="9" t="s">
        <v>585</v>
      </c>
      <c r="F25" s="9" t="s">
        <v>585</v>
      </c>
      <c r="G25" s="9" t="s">
        <v>585</v>
      </c>
      <c r="H25" s="9" t="s">
        <v>586</v>
      </c>
      <c r="I25" s="9" t="s">
        <v>586</v>
      </c>
      <c r="J25" s="178" t="s">
        <v>586</v>
      </c>
      <c r="K25" s="178" t="s">
        <v>600</v>
      </c>
      <c r="L25" s="178" t="s">
        <v>601</v>
      </c>
      <c r="M25" s="1408" t="s">
        <v>601</v>
      </c>
      <c r="N25" s="1408" t="s">
        <v>601</v>
      </c>
      <c r="O25" s="1408" t="s">
        <v>601</v>
      </c>
      <c r="P25" s="1408" t="s">
        <v>601</v>
      </c>
      <c r="Q25" s="1408" t="s">
        <v>601</v>
      </c>
      <c r="R25" s="1408" t="s">
        <v>601</v>
      </c>
      <c r="S25" s="1886" t="s">
        <v>601</v>
      </c>
      <c r="T25" s="1893" t="s">
        <v>1489</v>
      </c>
      <c r="U25" s="1963" t="s">
        <v>1489</v>
      </c>
      <c r="V25" s="1408"/>
      <c r="W25" s="178"/>
    </row>
    <row r="26" spans="2:25">
      <c r="B26" s="1956" t="s">
        <v>1406</v>
      </c>
      <c r="C26" s="9"/>
      <c r="D26" s="9"/>
      <c r="E26" s="9"/>
      <c r="F26" s="9"/>
      <c r="G26" s="9"/>
      <c r="H26" s="9"/>
      <c r="I26" s="9"/>
      <c r="J26" s="9"/>
      <c r="K26" s="178"/>
      <c r="L26" s="178"/>
      <c r="M26" s="1408">
        <v>3.5</v>
      </c>
      <c r="N26" s="1408">
        <v>3.5</v>
      </c>
      <c r="O26" s="1408">
        <v>3.5</v>
      </c>
      <c r="P26" s="1409">
        <v>6</v>
      </c>
      <c r="Q26" s="1409">
        <v>6</v>
      </c>
      <c r="R26" s="1042">
        <v>1.99</v>
      </c>
      <c r="S26" s="1885">
        <v>2.5</v>
      </c>
      <c r="T26" s="1643">
        <v>2</v>
      </c>
      <c r="U26" s="1962">
        <v>2</v>
      </c>
      <c r="V26" s="1409"/>
      <c r="W26" s="1413"/>
    </row>
    <row r="27" spans="2:25">
      <c r="B27" s="1956"/>
      <c r="C27" s="9"/>
      <c r="D27" s="9"/>
      <c r="E27" s="9"/>
      <c r="F27" s="9"/>
      <c r="G27" s="9"/>
      <c r="H27" s="9"/>
      <c r="I27" s="9"/>
      <c r="J27" s="9"/>
      <c r="K27" s="178"/>
      <c r="L27" s="178"/>
      <c r="M27" s="178"/>
      <c r="N27" s="178"/>
      <c r="O27" s="9"/>
      <c r="P27" s="9"/>
      <c r="Q27" s="9"/>
      <c r="R27" s="9"/>
      <c r="S27" s="1411"/>
      <c r="T27" s="1893"/>
      <c r="U27" s="1959"/>
      <c r="V27" s="9"/>
      <c r="W27" s="9"/>
    </row>
    <row r="28" spans="2:25" ht="15.75">
      <c r="B28" s="1971" t="s">
        <v>1518</v>
      </c>
      <c r="C28" s="9"/>
      <c r="D28" s="9"/>
      <c r="E28" s="9"/>
      <c r="F28" s="9"/>
      <c r="G28" s="9"/>
      <c r="H28" s="9"/>
      <c r="I28" s="9"/>
      <c r="J28" s="9"/>
      <c r="K28" s="178"/>
      <c r="L28" s="178"/>
      <c r="M28" s="178"/>
      <c r="N28" s="178"/>
      <c r="O28" s="9"/>
      <c r="P28" s="9"/>
      <c r="Q28" s="9"/>
      <c r="R28" s="9"/>
      <c r="S28" s="1411"/>
      <c r="T28" s="1893"/>
      <c r="U28" s="1959"/>
      <c r="V28" s="9"/>
      <c r="W28" s="9"/>
    </row>
    <row r="29" spans="2:25">
      <c r="B29" s="1956" t="s">
        <v>587</v>
      </c>
      <c r="C29" s="9">
        <v>-856.5</v>
      </c>
      <c r="D29" s="9">
        <v>-453.21</v>
      </c>
      <c r="E29" s="9">
        <v>-1143.44</v>
      </c>
      <c r="F29" s="9">
        <v>-951.92</v>
      </c>
      <c r="G29" s="9">
        <v>-2453.67</v>
      </c>
      <c r="H29" s="9">
        <v>-3087.32</v>
      </c>
      <c r="I29" s="9">
        <v>-4059.1314510000002</v>
      </c>
      <c r="J29" s="1042">
        <v>-4795.4510939999991</v>
      </c>
      <c r="K29" s="1413">
        <v>-4481.0041432245143</v>
      </c>
      <c r="L29" s="1413">
        <v>-4766.0214110697534</v>
      </c>
      <c r="M29" s="1409">
        <f>'[73]Overall BOP'!J129</f>
        <v>-11098.960886084064</v>
      </c>
      <c r="N29" s="1409">
        <f>'[82]Overall BOP'!K129</f>
        <v>-5496.729496378106</v>
      </c>
      <c r="O29" s="1409">
        <f>'[82]Overall BOP'!L129</f>
        <v>2061.8372524449987</v>
      </c>
      <c r="P29" s="1409">
        <f>'[82]Overall BOP'!M129</f>
        <v>-2921.6116483715014</v>
      </c>
      <c r="Q29" s="1409">
        <f>'[82]Overall BOP'!N129</f>
        <v>-4322.4280312388182</v>
      </c>
      <c r="R29" s="1409">
        <f>'[82]Overall BOP'!O129</f>
        <v>-13938.193354925537</v>
      </c>
      <c r="S29" s="1884">
        <v>-6911.0723612099391</v>
      </c>
      <c r="T29" s="1643">
        <f>'[80]Keyind for Annual Report'!R29</f>
        <v>-23544.890359626912</v>
      </c>
      <c r="U29" s="1961"/>
      <c r="V29" s="1933"/>
      <c r="W29" s="1504"/>
      <c r="X29" s="1515"/>
    </row>
    <row r="30" spans="2:25">
      <c r="B30" s="1956" t="s">
        <v>1341</v>
      </c>
      <c r="C30" s="9">
        <v>-168.28</v>
      </c>
      <c r="D30" s="9">
        <v>288.43</v>
      </c>
      <c r="E30" s="9">
        <v>158.81</v>
      </c>
      <c r="F30" s="9">
        <v>357.2</v>
      </c>
      <c r="G30" s="9">
        <v>-738.27</v>
      </c>
      <c r="H30" s="9">
        <v>-1354.48</v>
      </c>
      <c r="I30" s="9">
        <v>-2654.3336989999998</v>
      </c>
      <c r="J30" s="1042">
        <v>-3088.307761</v>
      </c>
      <c r="K30" s="1413">
        <v>-3911.2905743833235</v>
      </c>
      <c r="L30" s="1413">
        <v>-3820.6614656999991</v>
      </c>
      <c r="M30" s="1409">
        <f>'[73]BOP India Report'!J69</f>
        <v>-3601.1743569999999</v>
      </c>
      <c r="N30" s="1409">
        <f>'[82]BOP India Report'!K70</f>
        <v>-3170.6727829999909</v>
      </c>
      <c r="O30" s="1409">
        <f>'[82]BOP India Report'!L70</f>
        <v>4447.6214299999992</v>
      </c>
      <c r="P30" s="1409">
        <f>'[82]BOP India Report'!M70</f>
        <v>-27.833990801500477</v>
      </c>
      <c r="Q30" s="1409">
        <f>'[82]BOP India Report'!N70</f>
        <v>-278.60133757882068</v>
      </c>
      <c r="R30" s="1409">
        <f>'[82]BOP India Report'!O70</f>
        <v>-4933.6404901255373</v>
      </c>
      <c r="S30" s="1884">
        <v>-2867.2456675499416</v>
      </c>
      <c r="T30" s="1643">
        <f>'[80]Keyind for Annual Report'!R30</f>
        <v>-15160.015781026912</v>
      </c>
      <c r="U30" s="1960"/>
      <c r="V30" s="1504"/>
      <c r="W30" s="1504"/>
      <c r="X30" s="1515"/>
    </row>
    <row r="31" spans="2:25">
      <c r="B31" s="1956" t="s">
        <v>588</v>
      </c>
      <c r="C31" s="9">
        <v>-1071.54</v>
      </c>
      <c r="D31" s="9">
        <v>-1272.45</v>
      </c>
      <c r="E31" s="9">
        <v>-2011.89</v>
      </c>
      <c r="F31" s="9">
        <v>1487.6341000000011</v>
      </c>
      <c r="G31" s="9">
        <v>384.20873126263268</v>
      </c>
      <c r="H31" s="9">
        <v>1049.6229642158814</v>
      </c>
      <c r="I31" s="9">
        <v>-2024.6498842624164</v>
      </c>
      <c r="J31" s="1042">
        <v>-3127.3760420893905</v>
      </c>
      <c r="K31" s="1413">
        <v>-4011.9343299844586</v>
      </c>
      <c r="L31" s="1413">
        <v>-3317.987689112641</v>
      </c>
      <c r="M31" s="1409">
        <f>'[73]Overall BOP'!J123</f>
        <v>-10487.427247351825</v>
      </c>
      <c r="N31" s="1409">
        <f>'[82]Overall BOP'!K123</f>
        <v>-1695.7309086676569</v>
      </c>
      <c r="O31" s="1409">
        <f>'[82]Overall BOP'!L123</f>
        <v>6417.1733119883629</v>
      </c>
      <c r="P31" s="1409">
        <f>'[82]Overall BOP'!M123</f>
        <v>-1080.2222559629545</v>
      </c>
      <c r="Q31" s="1409">
        <f>'[82]Overall BOP'!N123</f>
        <v>-948.68019633384483</v>
      </c>
      <c r="R31" s="1409">
        <f>'[82]Overall BOP'!O123</f>
        <v>-8768.093503239068</v>
      </c>
      <c r="S31" s="1884">
        <v>-5400.432125401645</v>
      </c>
      <c r="T31" s="1643">
        <f>'[80]Keyind for Annual Report'!R31</f>
        <v>-16088.936876262922</v>
      </c>
      <c r="U31" s="1960"/>
      <c r="V31" s="1504"/>
      <c r="W31" s="1504"/>
    </row>
    <row r="32" spans="2:25">
      <c r="B32" s="1956" t="s">
        <v>1342</v>
      </c>
      <c r="C32" s="9">
        <v>12.592131240011284</v>
      </c>
      <c r="D32" s="9">
        <v>13.042208191546061</v>
      </c>
      <c r="E32" s="9">
        <v>17.714977546887383</v>
      </c>
      <c r="F32" s="9">
        <v>-11.00496898912845</v>
      </c>
      <c r="G32" s="9">
        <v>2.429591084593838</v>
      </c>
      <c r="H32" s="9">
        <v>5.7273384076638658</v>
      </c>
      <c r="I32" s="9">
        <v>-10.093121453772568</v>
      </c>
      <c r="J32" s="1042">
        <v>-13.682056402009799</v>
      </c>
      <c r="K32" s="1413">
        <v>-15.281230783821357</v>
      </c>
      <c r="L32" s="1413">
        <v>-11.336183980022007</v>
      </c>
      <c r="M32" s="1409">
        <f>'[73]Overall BOP'!J186</f>
        <v>-32.448722918786594</v>
      </c>
      <c r="N32" s="1409">
        <f>'[82]Overall BOP'!K186</f>
        <v>-4.6957507198228861</v>
      </c>
      <c r="O32" s="1409">
        <f>'[82]Overall BOP'!L186</f>
        <v>15.777271635848578</v>
      </c>
      <c r="P32" s="1409">
        <f>'[82]Overall BOP'!M186</f>
        <v>-2.1841875037668559</v>
      </c>
      <c r="Q32" s="1409">
        <f>'[82]Overall BOP'!N186</f>
        <v>-1.7339219500126641</v>
      </c>
      <c r="R32" s="1409">
        <f>'[82]Overall BOP'!O186</f>
        <v>-14.321663789851211</v>
      </c>
      <c r="S32" s="1884">
        <v>-9.9731340197039415</v>
      </c>
      <c r="T32" s="1643">
        <f>'[80]Keyind for Annual Report'!R32</f>
        <v>-22.198495640394992</v>
      </c>
      <c r="U32" s="1960"/>
      <c r="V32" s="1504"/>
      <c r="W32" s="1504"/>
    </row>
    <row r="33" spans="2:24">
      <c r="B33" s="1956" t="s">
        <v>1341</v>
      </c>
      <c r="C33" s="9">
        <v>-450.01</v>
      </c>
      <c r="D33" s="9">
        <v>-205.45</v>
      </c>
      <c r="E33" s="9">
        <v>-461.11</v>
      </c>
      <c r="F33" s="9">
        <v>42.366466666666952</v>
      </c>
      <c r="G33" s="9">
        <v>-921.41631666666706</v>
      </c>
      <c r="H33" s="9">
        <v>1537.5446486281298</v>
      </c>
      <c r="I33" s="9">
        <v>-1918.2897192676796</v>
      </c>
      <c r="J33" s="1042">
        <v>-2327.0624967262629</v>
      </c>
      <c r="K33" s="1413">
        <v>-4479.3132437001595</v>
      </c>
      <c r="L33" s="1413">
        <v>-3420.7969915598837</v>
      </c>
      <c r="M33" s="1409">
        <f>'[73]BOP India Report'!J61</f>
        <v>-5253.9463118318099</v>
      </c>
      <c r="N33" s="1409">
        <f>'[82]BOP India Report'!K61</f>
        <v>-2344.5560287225057</v>
      </c>
      <c r="O33" s="1409">
        <f>'[82]BOP India Report'!L61</f>
        <v>5882.0951113006149</v>
      </c>
      <c r="P33" s="1409">
        <f>'[82]BOP India Report'!M61</f>
        <v>-142.43041920920859</v>
      </c>
      <c r="Q33" s="1409">
        <f>'[82]BOP India Report'!N61</f>
        <v>-1098.7812376163297</v>
      </c>
      <c r="R33" s="1409">
        <f>'[82]BOP India Report'!O61</f>
        <v>-4002.6074199964232</v>
      </c>
      <c r="S33" s="1884">
        <v>-4776.1665970990816</v>
      </c>
      <c r="T33" s="1643">
        <f>'[80]Keyind for Annual Report'!R33</f>
        <v>-13193.896400335185</v>
      </c>
      <c r="U33" s="1960"/>
      <c r="V33" s="1504"/>
      <c r="W33" s="1504"/>
    </row>
    <row r="34" spans="2:24">
      <c r="B34" s="1956" t="s">
        <v>1342</v>
      </c>
      <c r="C34" s="9">
        <v>5.2882626680455038</v>
      </c>
      <c r="D34" s="9">
        <v>2.1057972202861723</v>
      </c>
      <c r="E34" s="9">
        <v>4.0601391212468076</v>
      </c>
      <c r="F34" s="9">
        <v>-0.31341151150381241</v>
      </c>
      <c r="G34" s="9">
        <v>-5.8266892082739989</v>
      </c>
      <c r="H34" s="9">
        <v>8.3897159454437649</v>
      </c>
      <c r="I34" s="9">
        <v>-9.5629033298986492</v>
      </c>
      <c r="J34" s="1042">
        <v>-10.180739349125069</v>
      </c>
      <c r="K34" s="1413">
        <v>-17.061450612097815</v>
      </c>
      <c r="L34" s="1413">
        <v>-11.687440608014912</v>
      </c>
      <c r="M34" s="1409">
        <f>'[73]BOP India Report'!J128</f>
        <v>-16.256022004430111</v>
      </c>
      <c r="N34" s="1409">
        <f>'[82]BOP India Report'!K129</f>
        <v>-6.4924514870044847</v>
      </c>
      <c r="O34" s="1409">
        <f>'[82]BOP India Report'!L129</f>
        <v>14.461727593598628</v>
      </c>
      <c r="P34" s="1409">
        <f>'[82]BOP India Report'!M129</f>
        <v>-0.28799142035423586</v>
      </c>
      <c r="Q34" s="1409">
        <f>'[82]BOP India Report'!N129</f>
        <v>-2.0082646539135598</v>
      </c>
      <c r="R34" s="1409">
        <f>'[82]BOP India Report'!O129</f>
        <v>-6.5377949871059409</v>
      </c>
      <c r="S34" s="1884">
        <v>-8.8202848341066478</v>
      </c>
      <c r="T34" s="1643">
        <f>'[80]Keyind for Annual Report'!R34</f>
        <v>-18.204102233428237</v>
      </c>
      <c r="U34" s="1960"/>
      <c r="V34" s="1504"/>
      <c r="W34" s="1504"/>
    </row>
    <row r="35" spans="2:24">
      <c r="B35" s="1956" t="s">
        <v>136</v>
      </c>
      <c r="C35" s="9">
        <v>1692.71</v>
      </c>
      <c r="D35" s="9">
        <v>2396.5</v>
      </c>
      <c r="E35" s="9">
        <v>2867.37</v>
      </c>
      <c r="F35" s="9">
        <v>257.82</v>
      </c>
      <c r="G35" s="9">
        <v>1404.64</v>
      </c>
      <c r="H35" s="9">
        <v>1793.58</v>
      </c>
      <c r="I35" s="9">
        <v>2310.0102000000002</v>
      </c>
      <c r="J35" s="1042">
        <v>2846.2064799999998</v>
      </c>
      <c r="K35" s="1413">
        <v>4527.5402863911604</v>
      </c>
      <c r="L35" s="1413">
        <v>4666.22944254507</v>
      </c>
      <c r="M35" s="1409">
        <f>'[73]Overall BOP'!J161</f>
        <v>2939.3712665598987</v>
      </c>
      <c r="N35" s="1409">
        <f>'[82]Overall BOP'!K161</f>
        <v>3474.6802925271259</v>
      </c>
      <c r="O35" s="1409">
        <f>'[82]Overall BOP'!L161</f>
        <v>783.27114585883373</v>
      </c>
      <c r="P35" s="1409">
        <f>'[82]Overall BOP'!M161</f>
        <v>1015.0480894300001</v>
      </c>
      <c r="Q35" s="1409">
        <f>'[82]Overall BOP'!N161</f>
        <v>4193.307585958737</v>
      </c>
      <c r="R35" s="1409">
        <f>'[82]Overall BOP'!O161</f>
        <v>2215.2071746183683</v>
      </c>
      <c r="S35" s="1884">
        <v>4199.2159939615449</v>
      </c>
      <c r="T35" s="1643">
        <f>'[80]Keyind for Annual Report'!R35</f>
        <v>12467.872517231714</v>
      </c>
      <c r="U35" s="1960"/>
      <c r="V35" s="1504"/>
      <c r="W35" s="1504"/>
    </row>
    <row r="36" spans="2:24">
      <c r="B36" s="1956" t="s">
        <v>1343</v>
      </c>
      <c r="C36" s="9">
        <v>805.65</v>
      </c>
      <c r="D36" s="9">
        <v>682.09</v>
      </c>
      <c r="E36" s="9">
        <v>1364.17</v>
      </c>
      <c r="F36" s="9">
        <v>-94.28</v>
      </c>
      <c r="G36" s="9">
        <v>1218.45</v>
      </c>
      <c r="H36" s="9">
        <v>1572.45</v>
      </c>
      <c r="I36" s="9">
        <v>1707.8720000000001</v>
      </c>
      <c r="J36" s="1042">
        <v>1863.2064800000001</v>
      </c>
      <c r="K36" s="1413">
        <v>3116.0347999999999</v>
      </c>
      <c r="L36" s="1413">
        <v>3258.6318000000001</v>
      </c>
      <c r="M36" s="1409">
        <f>'[73]BOP India Report'!J102</f>
        <v>1853.1435333400002</v>
      </c>
      <c r="N36" s="1409">
        <f>'[82]BOP India Report'!K103</f>
        <v>2324.8129333400002</v>
      </c>
      <c r="O36" s="1409">
        <f>'[82]BOP India Report'!L103</f>
        <v>-30.312666659999966</v>
      </c>
      <c r="P36" s="1409">
        <f>'[82]BOP India Report'!M103</f>
        <v>482.61006600000002</v>
      </c>
      <c r="Q36" s="1409">
        <f>'[82]BOP India Report'!N103</f>
        <v>3163.1427960000001</v>
      </c>
      <c r="R36" s="1409">
        <f>'[82]BOP India Report'!O103</f>
        <v>794.17479600000001</v>
      </c>
      <c r="S36" s="1884">
        <v>3163.1427960000001</v>
      </c>
      <c r="T36" s="1643">
        <f>'[80]Keyind for Annual Report'!R36</f>
        <v>7869.9697960000003</v>
      </c>
      <c r="U36" s="1960"/>
      <c r="V36" s="1504"/>
      <c r="W36" s="1504"/>
    </row>
    <row r="37" spans="2:24">
      <c r="B37" s="1956" t="s">
        <v>589</v>
      </c>
      <c r="C37" s="9">
        <v>-109.31</v>
      </c>
      <c r="D37" s="9">
        <v>-190.77</v>
      </c>
      <c r="E37" s="9">
        <v>-50.609999999999729</v>
      </c>
      <c r="F37" s="9">
        <v>1546.8344099999993</v>
      </c>
      <c r="G37" s="9">
        <v>1985.4974220707011</v>
      </c>
      <c r="H37" s="9">
        <v>-1310.1370530199856</v>
      </c>
      <c r="I37" s="9">
        <v>-708.90691104149676</v>
      </c>
      <c r="J37" s="1042">
        <v>-598.72593609537398</v>
      </c>
      <c r="K37" s="1413">
        <v>-3838.9597670536377</v>
      </c>
      <c r="L37" s="1413">
        <v>-4708.3164048966319</v>
      </c>
      <c r="M37" s="1409">
        <f>'[73]Overall BOP'!J165</f>
        <v>1552.3732235519383</v>
      </c>
      <c r="N37" s="1409">
        <f>'[82]Overall BOP'!K165</f>
        <v>1057.7341632372754</v>
      </c>
      <c r="O37" s="1409">
        <f>'[82]Overall BOP'!L165</f>
        <v>-6091.3917626240745</v>
      </c>
      <c r="P37" s="1409">
        <f>'[82]Overall BOP'!M165</f>
        <v>-2613.4181635141458</v>
      </c>
      <c r="Q37" s="1409">
        <f>'[82]Overall BOP'!N165</f>
        <v>1578.343929797903</v>
      </c>
      <c r="R37" s="1409">
        <f>'[82]Overall BOP'!O165</f>
        <v>6153.0390733649729</v>
      </c>
      <c r="S37" s="1884">
        <v>6723.3922565722041</v>
      </c>
      <c r="T37" s="1643">
        <f>'[80]Keyind for Annual Report'!R37</f>
        <v>-520.21817598976304</v>
      </c>
      <c r="U37" s="1960"/>
      <c r="V37" s="1504"/>
      <c r="W37" s="1504"/>
    </row>
    <row r="38" spans="2:24">
      <c r="B38" s="1956" t="s">
        <v>581</v>
      </c>
      <c r="C38" s="9">
        <v>440.88</v>
      </c>
      <c r="D38" s="9">
        <v>855.78</v>
      </c>
      <c r="E38" s="9">
        <v>794.11</v>
      </c>
      <c r="F38" s="9">
        <v>1766.47721</v>
      </c>
      <c r="G38" s="9">
        <v>1847.43292</v>
      </c>
      <c r="H38" s="9">
        <v>1533.0659111958953</v>
      </c>
      <c r="I38" s="9">
        <v>236.17640469608816</v>
      </c>
      <c r="J38" s="1042">
        <v>1242.652501815234</v>
      </c>
      <c r="K38" s="1413">
        <v>2613.576182853064</v>
      </c>
      <c r="L38" s="1413">
        <v>370.06643827359494</v>
      </c>
      <c r="M38" s="1409">
        <f>'[73]Overall BOP'!J167</f>
        <v>-918.6219433550724</v>
      </c>
      <c r="N38" s="1409">
        <f>'[82]Overall BOP'!K167</f>
        <v>5209.0975902812843</v>
      </c>
      <c r="O38" s="1409">
        <f>'[82]Overall BOP'!L167</f>
        <v>5421.2329036913234</v>
      </c>
      <c r="P38" s="1409">
        <f>'[82]Overall BOP'!M167</f>
        <v>1957.0398936529002</v>
      </c>
      <c r="Q38" s="1409">
        <f>'[82]Overall BOP'!N167</f>
        <v>5694.8313709232007</v>
      </c>
      <c r="R38" s="1409">
        <f>'[82]Overall BOP'!O167</f>
        <v>4401.4043019975798</v>
      </c>
      <c r="S38" s="1884">
        <v>5695.6383229051644</v>
      </c>
      <c r="T38" s="1643">
        <f>'[80]Keyind for Annual Report'!R38</f>
        <v>4473.1513911589973</v>
      </c>
      <c r="U38" s="1960"/>
      <c r="V38" s="1504"/>
      <c r="W38" s="1504"/>
    </row>
    <row r="39" spans="2:24">
      <c r="B39" s="1956" t="s">
        <v>595</v>
      </c>
      <c r="C39" s="9">
        <v>5.1809720785935882</v>
      </c>
      <c r="D39" s="9">
        <v>8.7714730843343851</v>
      </c>
      <c r="E39" s="9">
        <v>6.9922514748613178</v>
      </c>
      <c r="F39" s="9">
        <v>13.067747583933528</v>
      </c>
      <c r="G39" s="9">
        <v>11.682468894099554</v>
      </c>
      <c r="H39" s="9">
        <v>8.365277412953537</v>
      </c>
      <c r="I39" s="9">
        <v>1.1773675812504081</v>
      </c>
      <c r="J39" s="1042">
        <v>5.4365197498205573</v>
      </c>
      <c r="K39" s="1413">
        <v>9.9549637497260015</v>
      </c>
      <c r="L39" s="1413">
        <v>1.264363108659657</v>
      </c>
      <c r="M39" s="1409">
        <f>'[73]Overall BOP'!J194</f>
        <v>-2.9363391040801941</v>
      </c>
      <c r="N39" s="1409">
        <f>'[82]Overall BOP'!K193</f>
        <v>14.424826270584298</v>
      </c>
      <c r="O39" s="1409">
        <f>'[82]Overall BOP'!L193</f>
        <v>13.328651099846322</v>
      </c>
      <c r="P39" s="1409">
        <f>'[82]Overall BOP'!M193</f>
        <v>3.9570949927146049</v>
      </c>
      <c r="Q39" s="1409">
        <f>'[82]Overall BOP'!N193</f>
        <v>10.408558283206341</v>
      </c>
      <c r="R39" s="1409">
        <f>'[82]Overall BOP'!O193</f>
        <v>7.1891834402915311</v>
      </c>
      <c r="S39" s="1884">
        <v>10.518299832880572</v>
      </c>
      <c r="T39" s="1643">
        <f>'[80]Keyind for Annual Report'!R39</f>
        <v>6.1717708521791517</v>
      </c>
      <c r="U39" s="1960"/>
      <c r="V39" s="1504"/>
      <c r="W39" s="1504"/>
    </row>
    <row r="40" spans="2:24">
      <c r="B40" s="1956"/>
      <c r="C40" s="9"/>
      <c r="D40" s="9"/>
      <c r="E40" s="9"/>
      <c r="F40" s="9"/>
      <c r="G40" s="9"/>
      <c r="H40" s="9"/>
      <c r="I40" s="9"/>
      <c r="J40" s="9"/>
      <c r="K40" s="178"/>
      <c r="L40" s="178"/>
      <c r="M40" s="1408"/>
      <c r="N40" s="1408"/>
      <c r="O40" s="1408"/>
      <c r="P40" s="1408"/>
      <c r="Q40" s="9"/>
      <c r="R40" s="9"/>
      <c r="S40" s="1411"/>
      <c r="T40" s="1893"/>
      <c r="U40" s="1959"/>
      <c r="V40" s="9"/>
      <c r="W40" s="9"/>
    </row>
    <row r="41" spans="2:24" ht="15.75">
      <c r="B41" s="1971" t="s">
        <v>1519</v>
      </c>
      <c r="C41" s="9"/>
      <c r="D41" s="9"/>
      <c r="E41" s="9"/>
      <c r="F41" s="9"/>
      <c r="G41" s="9"/>
      <c r="H41" s="9"/>
      <c r="I41" s="9"/>
      <c r="J41" s="9"/>
      <c r="K41" s="178"/>
      <c r="L41" s="178"/>
      <c r="M41" s="1408"/>
      <c r="N41" s="1408"/>
      <c r="O41" s="1408"/>
      <c r="P41" s="1408"/>
      <c r="Q41" s="9"/>
      <c r="R41" s="9"/>
      <c r="S41" s="1411"/>
      <c r="T41" s="1893"/>
      <c r="U41" s="1959"/>
      <c r="V41" s="9"/>
      <c r="W41" s="9"/>
      <c r="X41" s="36" t="s">
        <v>143</v>
      </c>
    </row>
    <row r="42" spans="2:24">
      <c r="B42" s="1956" t="s">
        <v>1363</v>
      </c>
      <c r="C42" s="9">
        <v>120.91941022864785</v>
      </c>
      <c r="D42" s="9">
        <v>145.08249506987912</v>
      </c>
      <c r="E42" s="9">
        <v>175.49287908405469</v>
      </c>
      <c r="F42" s="9">
        <v>215.99010604052262</v>
      </c>
      <c r="G42" s="9">
        <v>258.27155342281566</v>
      </c>
      <c r="H42" s="9">
        <v>291.05912101682776</v>
      </c>
      <c r="I42" s="9">
        <v>292.59759600042548</v>
      </c>
      <c r="J42" s="1042">
        <v>315.31994853046302</v>
      </c>
      <c r="K42" s="1413">
        <v>373.25998544458236</v>
      </c>
      <c r="L42" s="1413">
        <v>383.25839980662323</v>
      </c>
      <c r="M42" s="1409">
        <f>[81]Reserves!AV39</f>
        <v>363.44738471280357</v>
      </c>
      <c r="N42" s="1409">
        <f>[81]Reserves!BH39</f>
        <v>486.36696190832907</v>
      </c>
      <c r="O42" s="1410">
        <f>[81]Reserves!BT39</f>
        <v>608.40550664989098</v>
      </c>
      <c r="P42" s="1410">
        <v>655.29999999999995</v>
      </c>
      <c r="Q42" s="1042">
        <v>772.7</v>
      </c>
      <c r="R42" s="1042">
        <f>'[81]ReservesReport(Old)'!CQ6</f>
        <v>791.64652133647951</v>
      </c>
      <c r="S42" s="1885">
        <v>901.1</v>
      </c>
      <c r="T42" s="1643">
        <f>'[80]Keyind for Annual Report'!R42</f>
        <v>906.03195578215389</v>
      </c>
      <c r="U42" s="1958">
        <f>'[81]Gross Report'!DT36</f>
        <v>961.64845427029559</v>
      </c>
      <c r="W42" s="1042"/>
    </row>
    <row r="43" spans="2:24">
      <c r="B43" s="1956" t="s">
        <v>137</v>
      </c>
      <c r="C43" s="9">
        <v>-13.966044001986159</v>
      </c>
      <c r="D43" s="9">
        <v>-18.605082825005223</v>
      </c>
      <c r="E43" s="9">
        <v>-20.321455653121504</v>
      </c>
      <c r="F43" s="9">
        <v>20.953863064722256</v>
      </c>
      <c r="G43" s="9">
        <v>19.338790797929782</v>
      </c>
      <c r="H43" s="9">
        <v>19.32949920855069</v>
      </c>
      <c r="I43" s="9">
        <v>19.027166108715914</v>
      </c>
      <c r="J43" s="1042">
        <v>18.922669227428404</v>
      </c>
      <c r="K43" s="1413">
        <v>21.16583446321075</v>
      </c>
      <c r="L43" s="1413">
        <v>17.552853618129497</v>
      </c>
      <c r="M43" s="1409">
        <f>[73]Reserves!Q39</f>
        <v>9.2472347721520265</v>
      </c>
      <c r="N43" s="1409">
        <f>[73]Reserves!R39</f>
        <v>13.815473027481564</v>
      </c>
      <c r="O43" s="1409">
        <f>[73]Reserves!S39</f>
        <v>12.791489840467934</v>
      </c>
      <c r="P43" s="1409">
        <f>[73]Reserves!T39</f>
        <v>12.427612346974673</v>
      </c>
      <c r="Q43" s="1409">
        <f>[73]Reserves!U39</f>
        <v>15.410856503445459</v>
      </c>
      <c r="R43" s="1042">
        <f>'[81]ReservesReport(Old)'!CQ11</f>
        <v>11.244331484833925</v>
      </c>
      <c r="S43" s="1885">
        <v>15.6</v>
      </c>
      <c r="T43" s="1643">
        <f>'[80]Keyind for Annual Report'!R43</f>
        <v>9.0800833520469322</v>
      </c>
      <c r="U43" s="1955">
        <f>'[81]Gross Report'!DT40</f>
        <v>10.924884519255682</v>
      </c>
      <c r="V43" s="1643"/>
      <c r="W43" s="1409"/>
      <c r="X43" s="1515" t="s">
        <v>1370</v>
      </c>
    </row>
    <row r="44" spans="2:24">
      <c r="B44" s="1956" t="s">
        <v>1523</v>
      </c>
      <c r="C44" s="9">
        <v>52.461838705191909</v>
      </c>
      <c r="D44" s="9">
        <v>41.376047274190306</v>
      </c>
      <c r="E44" s="9">
        <v>36.988726992296179</v>
      </c>
      <c r="F44" s="9">
        <v>37.072586329107601</v>
      </c>
      <c r="G44" s="9">
        <v>39.82481148122087</v>
      </c>
      <c r="H44" s="9">
        <v>44.615111131061049</v>
      </c>
      <c r="I44" s="9">
        <v>54.759797904278898</v>
      </c>
      <c r="J44" s="1042">
        <v>61.545254202471099</v>
      </c>
      <c r="K44" s="1413">
        <v>74.028731532111522</v>
      </c>
      <c r="L44" s="1413">
        <v>82.104901165410638</v>
      </c>
      <c r="M44" s="1409">
        <v>96.1</v>
      </c>
      <c r="N44" s="1628">
        <f>[83]SEIKeyIndic!Q10</f>
        <v>96.734566343178301</v>
      </c>
      <c r="O44" s="1628">
        <f>[83]SEIKeyIndic!R10</f>
        <v>78.711795161606886</v>
      </c>
      <c r="P44" s="1628">
        <f>[83]SEIKeyIndic!S10</f>
        <v>66.915953945505578</v>
      </c>
      <c r="Q44" s="1628">
        <f>[83]SEIKeyIndic!T10</f>
        <v>69.450438727773474</v>
      </c>
      <c r="R44" s="1628">
        <f>[83]SEIKeyIndic!U10</f>
        <v>66.575738193272471</v>
      </c>
      <c r="S44" s="1628">
        <f>[83]SEIKeyIndic!U10</f>
        <v>66.575738193272471</v>
      </c>
      <c r="T44" s="1643">
        <f>'[80]Keyind for Annual Report'!R44</f>
        <v>80.938058138461514</v>
      </c>
      <c r="U44" s="1958">
        <v>80.7</v>
      </c>
      <c r="V44" s="1948"/>
      <c r="W44" s="9"/>
    </row>
    <row r="45" spans="2:24">
      <c r="B45" s="1956" t="s">
        <v>138</v>
      </c>
      <c r="C45" s="9">
        <v>14.177816820283276</v>
      </c>
      <c r="D45" s="9">
        <v>20.778973033225327</v>
      </c>
      <c r="E45" s="9">
        <v>8.509974597302417</v>
      </c>
      <c r="F45" s="9">
        <v>7.9696928981746806</v>
      </c>
      <c r="G45" s="9">
        <v>12.075254395483958</v>
      </c>
      <c r="H45" s="9">
        <v>4.8946024698393282</v>
      </c>
      <c r="I45" s="9">
        <v>4.7390465717413193</v>
      </c>
      <c r="J45" s="1042">
        <v>4.8586173544437106</v>
      </c>
      <c r="K45" s="1413">
        <v>4.9954082485917946</v>
      </c>
      <c r="L45" s="1413">
        <v>4.1972148096528104</v>
      </c>
      <c r="M45" s="1409">
        <v>11.9</v>
      </c>
      <c r="N45" s="1628">
        <f>[83]SEIKeyIndic!Q16</f>
        <v>7.9065466068397203</v>
      </c>
      <c r="O45" s="1628">
        <f>[83]SEIKeyIndic!R16</f>
        <v>3.6815980795608105</v>
      </c>
      <c r="P45" s="1628">
        <f>[83]SEIKeyIndic!S16</f>
        <v>18.269661538640786</v>
      </c>
      <c r="Q45" s="1628">
        <f>[83]SEIKeyIndic!T16</f>
        <v>30.513998501329898</v>
      </c>
      <c r="R45" s="1628">
        <f>[83]SEIKeyIndic!U16</f>
        <v>29.745743789619727</v>
      </c>
      <c r="S45" s="1628">
        <f>[83]SEIKeyIndic!U16</f>
        <v>29.745743789619727</v>
      </c>
      <c r="T45" s="1628">
        <f>'[80]Keyind for Annual Report'!$R$47</f>
        <v>51.653528652690639</v>
      </c>
      <c r="U45" s="1958">
        <v>130.4</v>
      </c>
      <c r="V45" s="1948"/>
      <c r="W45" s="9"/>
    </row>
    <row r="46" spans="2:24">
      <c r="B46" s="1956"/>
      <c r="C46" s="9"/>
      <c r="D46" s="9"/>
      <c r="E46" s="9"/>
      <c r="F46" s="9"/>
      <c r="G46" s="9"/>
      <c r="H46" s="9"/>
      <c r="I46" s="9"/>
      <c r="J46" s="9"/>
      <c r="K46" s="178"/>
      <c r="L46" s="178"/>
      <c r="M46" s="178"/>
      <c r="N46" s="178"/>
      <c r="O46" s="9"/>
      <c r="P46" s="9"/>
      <c r="Q46" s="9"/>
      <c r="R46" s="9"/>
      <c r="S46" s="1411"/>
      <c r="T46" s="1893"/>
      <c r="U46" s="1957"/>
      <c r="V46" s="1948"/>
      <c r="W46" s="9"/>
    </row>
    <row r="47" spans="2:24" ht="15.75">
      <c r="B47" s="1971" t="s">
        <v>596</v>
      </c>
      <c r="C47" s="9"/>
      <c r="D47" s="9"/>
      <c r="E47" s="9"/>
      <c r="F47" s="9"/>
      <c r="G47" s="9"/>
      <c r="H47" s="9"/>
      <c r="I47" s="9"/>
      <c r="J47" s="9"/>
      <c r="K47" s="178"/>
      <c r="L47" s="178"/>
      <c r="M47" s="178"/>
      <c r="N47" s="178"/>
      <c r="O47" s="9"/>
      <c r="P47" s="9"/>
      <c r="Q47" s="9"/>
      <c r="R47" s="9"/>
      <c r="S47" s="1411"/>
      <c r="T47" s="1893"/>
      <c r="U47" s="1957"/>
      <c r="V47" s="1948"/>
      <c r="W47" s="9"/>
    </row>
    <row r="48" spans="2:24">
      <c r="B48" s="1956" t="s">
        <v>1520</v>
      </c>
      <c r="C48" s="9">
        <v>8509.6</v>
      </c>
      <c r="D48" s="9">
        <v>9756.4</v>
      </c>
      <c r="E48" s="9">
        <v>11357</v>
      </c>
      <c r="F48" s="9">
        <v>13517.84</v>
      </c>
      <c r="G48" s="9">
        <v>15813.72</v>
      </c>
      <c r="H48" s="9">
        <v>18326.54</v>
      </c>
      <c r="I48" s="9">
        <v>20059.7</v>
      </c>
      <c r="J48" s="1042">
        <v>22857.5</v>
      </c>
      <c r="K48" s="1413">
        <v>26254</v>
      </c>
      <c r="L48" s="1413">
        <v>29269</v>
      </c>
      <c r="M48" s="1413">
        <v>32178.1</v>
      </c>
      <c r="N48" s="1413">
        <v>36914.800000000003</v>
      </c>
      <c r="O48" s="1413">
        <v>36914.800000000003</v>
      </c>
      <c r="P48" s="9">
        <v>49456.480000000003</v>
      </c>
      <c r="Q48" s="9">
        <v>54712.97</v>
      </c>
      <c r="R48" s="9">
        <f>'[80]Keyind for Annual Report'!$Q$52</f>
        <v>61222.590000000004</v>
      </c>
      <c r="S48" s="9">
        <v>61222.590000000004</v>
      </c>
      <c r="T48" s="1411">
        <f>'[80]Keyind for Annual Report'!$R$52</f>
        <v>72477.600000000006</v>
      </c>
      <c r="U48" s="1408" t="s">
        <v>1525</v>
      </c>
      <c r="V48" s="1948"/>
      <c r="W48" s="9"/>
    </row>
    <row r="49" spans="2:84">
      <c r="B49" s="1956" t="s">
        <v>1364</v>
      </c>
      <c r="C49" s="9"/>
      <c r="D49" s="9">
        <v>2567.1</v>
      </c>
      <c r="E49" s="9">
        <v>2122.6</v>
      </c>
      <c r="F49" s="9">
        <v>3318.5</v>
      </c>
      <c r="G49" s="9">
        <v>4464</v>
      </c>
      <c r="H49" s="9">
        <v>4872.01</v>
      </c>
      <c r="I49" s="9">
        <v>4631.93</v>
      </c>
      <c r="J49" s="1042">
        <v>5937.63</v>
      </c>
      <c r="K49" s="1413">
        <v>8008.01</v>
      </c>
      <c r="L49" s="1413">
        <v>9370.25</v>
      </c>
      <c r="M49" s="1409">
        <v>9340.07</v>
      </c>
      <c r="N49" s="1409">
        <v>13474.67</v>
      </c>
      <c r="O49" s="1410">
        <v>13319.6</v>
      </c>
      <c r="P49" s="1410">
        <v>12871</v>
      </c>
      <c r="Q49" s="1410">
        <v>14696.5</v>
      </c>
      <c r="R49" s="1042">
        <f>'[11]RMA Liabilities'!C99</f>
        <v>20574.672478370001</v>
      </c>
      <c r="S49" s="1410">
        <v>21741.200000000001</v>
      </c>
      <c r="T49" s="1643">
        <f>'[11]RMA Liabilities'!$C$111</f>
        <v>19727.626879979998</v>
      </c>
      <c r="U49" s="1955">
        <f>'[11]RMA Liabilities'!$B$116</f>
        <v>39929.855557790004</v>
      </c>
      <c r="V49" s="1643"/>
      <c r="W49" s="1410"/>
    </row>
    <row r="50" spans="2:84" hidden="1">
      <c r="B50" s="1956" t="s">
        <v>763</v>
      </c>
      <c r="C50" s="9"/>
      <c r="D50" s="9"/>
      <c r="E50" s="9"/>
      <c r="F50" s="9"/>
      <c r="G50" s="9"/>
      <c r="H50" s="9"/>
      <c r="I50" s="9"/>
      <c r="J50" s="1042">
        <v>1600.2</v>
      </c>
      <c r="K50" s="1413">
        <v>1699</v>
      </c>
      <c r="L50" s="1413">
        <v>2015.2</v>
      </c>
      <c r="M50" s="1409">
        <v>2303.4</v>
      </c>
      <c r="N50" s="1409">
        <v>2614.9</v>
      </c>
      <c r="O50" s="1410">
        <v>3166</v>
      </c>
      <c r="P50" s="1408"/>
      <c r="Q50" s="1408"/>
      <c r="R50" s="9"/>
      <c r="S50" s="1408"/>
      <c r="T50" s="1893"/>
      <c r="U50" s="1957"/>
      <c r="V50" s="1948"/>
      <c r="W50" s="9"/>
    </row>
    <row r="51" spans="2:84">
      <c r="B51" s="1956" t="s">
        <v>1362</v>
      </c>
      <c r="C51" s="9"/>
      <c r="D51" s="9" t="s">
        <v>244</v>
      </c>
      <c r="E51" s="9">
        <v>1419.12</v>
      </c>
      <c r="F51" s="9">
        <v>2082.6999999999998</v>
      </c>
      <c r="G51" s="9">
        <v>3350.08</v>
      </c>
      <c r="H51" s="9">
        <v>3685.98</v>
      </c>
      <c r="I51" s="9">
        <v>3045.28</v>
      </c>
      <c r="J51" s="1042">
        <v>4222.8599999999997</v>
      </c>
      <c r="K51" s="1413">
        <v>6242.92</v>
      </c>
      <c r="L51" s="1413">
        <v>7261.71</v>
      </c>
      <c r="M51" s="1409">
        <v>6929.5</v>
      </c>
      <c r="N51" s="1409">
        <v>10703</v>
      </c>
      <c r="O51" s="1410">
        <v>9982.34</v>
      </c>
      <c r="P51" s="1410">
        <v>8685.7000000000007</v>
      </c>
      <c r="Q51" s="1410">
        <v>9810.2000000000007</v>
      </c>
      <c r="R51" s="1042">
        <f>'[11]RMA Liabilities'!$F$99</f>
        <v>14683.920867370001</v>
      </c>
      <c r="S51" s="1410">
        <v>16522.5</v>
      </c>
      <c r="T51" s="1643">
        <f>'[11]RMA Liabilities'!$F$111</f>
        <v>11927.352111979999</v>
      </c>
      <c r="U51" s="1955">
        <f>'[11]RMA Liabilities'!$F$116</f>
        <v>17742.30660457</v>
      </c>
      <c r="V51" s="1643"/>
      <c r="W51" s="1410"/>
    </row>
    <row r="52" spans="2:84">
      <c r="B52" s="1956" t="s">
        <v>1344</v>
      </c>
      <c r="C52" s="9"/>
      <c r="D52" s="9"/>
      <c r="E52" s="9">
        <v>2.0153114105342507</v>
      </c>
      <c r="F52" s="9">
        <v>1.8270604188639448</v>
      </c>
      <c r="G52" s="9">
        <v>1.6485618279569891</v>
      </c>
      <c r="H52" s="9">
        <v>1.8168312462412846</v>
      </c>
      <c r="I52" s="9">
        <v>2.0336706297374958</v>
      </c>
      <c r="J52" s="1042">
        <v>1.8655423123367403</v>
      </c>
      <c r="K52" s="1413">
        <v>1.7801004729502083</v>
      </c>
      <c r="L52" s="1413">
        <v>1.582909770236653</v>
      </c>
      <c r="M52" s="1409">
        <v>2</v>
      </c>
      <c r="N52" s="1409">
        <v>1.7</v>
      </c>
      <c r="O52" s="1410">
        <v>1.9</v>
      </c>
      <c r="P52" s="1410">
        <v>2</v>
      </c>
      <c r="Q52" s="1410">
        <v>2.2000000000000002</v>
      </c>
      <c r="R52" s="1042">
        <f>[81]Monetary2!C200/R49</f>
        <v>2.559976591379197</v>
      </c>
      <c r="S52" s="1410">
        <f>43862.8/S49</f>
        <v>2.0174967343108938</v>
      </c>
      <c r="T52" s="1643">
        <f>[81]Monetary2!C201/'Key Ind '!T49</f>
        <v>2.765147292641835</v>
      </c>
      <c r="U52" s="1955">
        <f>[81]Monetary2!C202/'Key Ind '!U49</f>
        <v>1.4596785727815167</v>
      </c>
      <c r="V52" s="1643"/>
      <c r="W52" s="1410"/>
    </row>
    <row r="53" spans="2:84" ht="15.75" customHeight="1">
      <c r="B53" s="1943" t="s">
        <v>1345</v>
      </c>
      <c r="C53" s="1944"/>
      <c r="D53" s="1944"/>
      <c r="E53" s="1944">
        <v>2.6549313883629058</v>
      </c>
      <c r="F53" s="1944">
        <v>2.2295261499892791</v>
      </c>
      <c r="G53" s="1944">
        <v>2.148842669971383</v>
      </c>
      <c r="H53" s="1944">
        <v>2.0704164887331356</v>
      </c>
      <c r="I53" s="1944">
        <v>2.1295205216235558</v>
      </c>
      <c r="J53" s="1944">
        <v>2.0635286045734822</v>
      </c>
      <c r="K53" s="1944">
        <v>1.8417316799246353</v>
      </c>
      <c r="L53" s="1944">
        <v>1.9733337642545021</v>
      </c>
      <c r="M53" s="1944">
        <v>1.7</v>
      </c>
      <c r="N53" s="1944">
        <v>1.5</v>
      </c>
      <c r="O53" s="1944">
        <v>1.6</v>
      </c>
      <c r="P53" s="1944">
        <v>1.9</v>
      </c>
      <c r="Q53" s="1944">
        <v>1.7</v>
      </c>
      <c r="R53" s="1891">
        <f>61223/41778.7</f>
        <v>1.4654118007501431</v>
      </c>
      <c r="S53" s="1945">
        <f>54150/43862.8</f>
        <v>1.2345313112705982</v>
      </c>
      <c r="T53" s="1970">
        <f>[84]GDPnom!$Z$37/[81]Monetary2!C201</f>
        <v>1.3286502956125239</v>
      </c>
      <c r="U53" s="1931">
        <f>72477.61/[81]Monetary2!C202</f>
        <v>1.2435088820783893</v>
      </c>
      <c r="V53" s="1643"/>
      <c r="W53" s="1410"/>
    </row>
    <row r="54" spans="2:84" ht="15.75" hidden="1" customHeight="1">
      <c r="B54" s="1415" t="s">
        <v>1407</v>
      </c>
      <c r="C54" s="1411"/>
      <c r="D54" s="1411"/>
      <c r="E54" s="1411"/>
      <c r="F54" s="1411"/>
      <c r="G54" s="1411"/>
      <c r="H54" s="1411"/>
      <c r="I54" s="1411"/>
      <c r="J54" s="1411"/>
      <c r="K54" s="1411"/>
      <c r="L54" s="1411"/>
      <c r="M54" s="1408">
        <v>2.5</v>
      </c>
      <c r="N54" s="1408">
        <v>1.3</v>
      </c>
      <c r="O54" s="1408">
        <v>1.3</v>
      </c>
      <c r="P54" s="1408" t="s">
        <v>1408</v>
      </c>
      <c r="Q54" s="1408" t="s">
        <v>1408</v>
      </c>
      <c r="R54" s="1408"/>
      <c r="S54" s="1417">
        <v>1.8</v>
      </c>
      <c r="T54" s="1946" t="s">
        <v>1411</v>
      </c>
      <c r="U54" s="1947"/>
      <c r="V54" s="1951"/>
      <c r="W54" s="1951"/>
    </row>
    <row r="55" spans="2:84" ht="18" hidden="1" customHeight="1">
      <c r="B55" s="1416" t="s">
        <v>1409</v>
      </c>
      <c r="C55" s="1954"/>
      <c r="D55" s="1954"/>
      <c r="E55" s="1954"/>
      <c r="F55" s="1954"/>
      <c r="G55" s="1954"/>
      <c r="H55" s="1954"/>
      <c r="I55" s="1954"/>
      <c r="J55" s="1954"/>
      <c r="K55" s="1954"/>
      <c r="L55" s="1954"/>
      <c r="M55" s="1953">
        <v>2.5</v>
      </c>
      <c r="N55" s="1953">
        <v>2.2999999999999998</v>
      </c>
      <c r="O55" s="1953">
        <v>3.2</v>
      </c>
      <c r="P55" s="1953">
        <v>3.7</v>
      </c>
      <c r="Q55" s="1952">
        <v>4</v>
      </c>
      <c r="R55" s="1952"/>
      <c r="S55" s="1418">
        <v>4</v>
      </c>
      <c r="T55" s="1898"/>
      <c r="U55" s="1951"/>
      <c r="V55" s="1951"/>
      <c r="W55" s="1951"/>
    </row>
    <row r="56" spans="2:84" ht="102" customHeight="1">
      <c r="B56" s="5022" t="s">
        <v>1522</v>
      </c>
      <c r="C56" s="5022"/>
      <c r="D56" s="5022"/>
      <c r="E56" s="5022"/>
      <c r="F56" s="5022"/>
      <c r="G56" s="5022"/>
      <c r="H56" s="5022"/>
      <c r="I56" s="5022"/>
      <c r="J56" s="5022"/>
      <c r="K56" s="5022"/>
      <c r="L56" s="5022"/>
      <c r="M56" s="5022"/>
      <c r="N56" s="5022"/>
      <c r="O56" s="5022"/>
      <c r="P56" s="5022"/>
      <c r="Q56" s="5022"/>
      <c r="R56" s="5022"/>
      <c r="S56" s="5022"/>
      <c r="T56" s="5022"/>
      <c r="U56" s="5022"/>
      <c r="V56" s="1950"/>
    </row>
    <row r="57" spans="2:84" ht="12.75" customHeight="1">
      <c r="B57" s="1517"/>
      <c r="C57" s="1517"/>
      <c r="D57" s="1517"/>
      <c r="E57" s="1517"/>
      <c r="F57" s="1517"/>
      <c r="G57" s="1517"/>
      <c r="H57" s="1517"/>
      <c r="I57" s="1517"/>
      <c r="J57" s="1517"/>
      <c r="K57" s="1517"/>
      <c r="L57" s="1517"/>
      <c r="M57" s="1517"/>
      <c r="N57" s="1517"/>
      <c r="O57" s="1517"/>
      <c r="P57" s="1517"/>
      <c r="Q57" s="1517"/>
      <c r="R57" s="1518"/>
      <c r="S57" s="1516"/>
      <c r="T57" s="1898"/>
      <c r="U57" s="1951"/>
      <c r="V57" s="1951"/>
      <c r="W57" s="1951"/>
      <c r="X57" s="5023"/>
      <c r="Y57" s="5023"/>
      <c r="Z57" s="5023"/>
      <c r="AA57" s="5023"/>
      <c r="AB57" s="5023"/>
      <c r="AC57" s="5023"/>
      <c r="AD57" s="5023"/>
      <c r="AE57" s="5023"/>
      <c r="AF57" s="5023"/>
      <c r="AG57" s="5023"/>
      <c r="AH57" s="5023"/>
      <c r="AI57" s="5023"/>
      <c r="AJ57" s="5023"/>
      <c r="AL57" s="9"/>
      <c r="AM57" s="9"/>
      <c r="AN57" s="9"/>
      <c r="AO57" s="1902"/>
      <c r="AP57" s="1893"/>
      <c r="AQ57" s="9"/>
    </row>
    <row r="58" spans="2:84" ht="42" customHeight="1" thickBot="1">
      <c r="B58" s="1517"/>
      <c r="C58" s="1517"/>
      <c r="D58" s="1517"/>
      <c r="E58" s="1517"/>
      <c r="F58" s="1517"/>
      <c r="G58" s="1517"/>
      <c r="H58" s="1517"/>
      <c r="I58" s="1517"/>
      <c r="J58" s="1517"/>
      <c r="K58" s="1517"/>
      <c r="L58" s="1517"/>
      <c r="M58" s="1517"/>
      <c r="N58" s="1517"/>
      <c r="O58" s="1517"/>
      <c r="P58" s="1517"/>
      <c r="Q58" s="1517"/>
      <c r="R58" s="1519"/>
      <c r="S58" s="1520"/>
      <c r="T58" s="1898"/>
      <c r="U58" s="1951"/>
      <c r="V58" s="1951"/>
      <c r="W58" s="1951"/>
      <c r="X58" s="1942" t="s">
        <v>146</v>
      </c>
      <c r="Y58" s="1899" t="s">
        <v>236</v>
      </c>
      <c r="Z58" s="1899" t="s">
        <v>237</v>
      </c>
      <c r="AA58" s="1899" t="s">
        <v>293</v>
      </c>
      <c r="AB58" s="1899" t="s">
        <v>294</v>
      </c>
      <c r="AC58" s="1899" t="s">
        <v>240</v>
      </c>
      <c r="AD58" s="1899" t="s">
        <v>241</v>
      </c>
      <c r="AE58" s="1899" t="s">
        <v>195</v>
      </c>
      <c r="AF58" s="1899" t="s">
        <v>634</v>
      </c>
      <c r="AG58" s="1899" t="s">
        <v>609</v>
      </c>
      <c r="AH58" s="1899" t="s">
        <v>132</v>
      </c>
      <c r="AI58" s="1899" t="s">
        <v>133</v>
      </c>
      <c r="AJ58" s="1969" t="s">
        <v>1034</v>
      </c>
      <c r="AK58" s="1900" t="s">
        <v>805</v>
      </c>
      <c r="AL58" s="1900" t="s">
        <v>806</v>
      </c>
      <c r="AM58" s="1900" t="s">
        <v>807</v>
      </c>
      <c r="AN58" s="1900" t="s">
        <v>1390</v>
      </c>
      <c r="AO58" s="1901" t="s">
        <v>1405</v>
      </c>
      <c r="AP58" s="1927" t="s">
        <v>1490</v>
      </c>
      <c r="AQ58" s="1929" t="s">
        <v>1510</v>
      </c>
    </row>
    <row r="59" spans="2:84">
      <c r="B59" s="1517"/>
      <c r="C59" s="1517"/>
      <c r="D59" s="1517"/>
      <c r="E59" s="1517"/>
      <c r="F59" s="1517"/>
      <c r="G59" s="1517"/>
      <c r="H59" s="1517"/>
      <c r="I59" s="1517"/>
      <c r="J59" s="1517"/>
      <c r="K59" s="1517"/>
      <c r="L59" s="1517"/>
      <c r="M59" s="1517"/>
      <c r="N59" s="1517"/>
      <c r="O59" s="1517"/>
      <c r="P59" s="1517"/>
      <c r="Q59" s="1517"/>
      <c r="R59" s="1518"/>
      <c r="S59" s="1516"/>
      <c r="T59" s="1898"/>
      <c r="U59" s="1951"/>
      <c r="V59" s="1951"/>
      <c r="W59" s="1951"/>
      <c r="X59" s="1956"/>
      <c r="Y59" s="9"/>
      <c r="Z59" s="9"/>
      <c r="AA59" s="9"/>
      <c r="AB59" s="9"/>
      <c r="AC59" s="9"/>
      <c r="AD59" s="9"/>
      <c r="AE59" s="9"/>
      <c r="AF59" s="9"/>
      <c r="AG59" s="9"/>
      <c r="AH59" s="9"/>
      <c r="AI59" s="9"/>
      <c r="AJ59" s="9"/>
      <c r="AK59" s="9"/>
      <c r="AL59" s="9"/>
      <c r="AM59" s="9"/>
      <c r="AN59" s="9"/>
      <c r="AO59" s="9"/>
      <c r="AP59" s="1893"/>
      <c r="AQ59" s="1968"/>
    </row>
    <row r="60" spans="2:84">
      <c r="R60" s="1517"/>
      <c r="S60" s="1517"/>
      <c r="T60" s="1898" t="s">
        <v>143</v>
      </c>
      <c r="U60" s="1951"/>
      <c r="V60" s="1951"/>
      <c r="W60" s="1951"/>
      <c r="X60" s="1956" t="s">
        <v>1466</v>
      </c>
      <c r="Y60" s="9"/>
      <c r="Z60" s="9"/>
      <c r="AA60" s="9"/>
      <c r="AB60" s="9"/>
      <c r="AC60" s="9"/>
      <c r="AD60" s="9"/>
      <c r="AE60" s="9"/>
      <c r="AF60" s="9"/>
      <c r="AG60" s="9"/>
      <c r="AH60" s="9"/>
      <c r="AI60" s="9"/>
      <c r="AJ60" s="9"/>
      <c r="AK60" s="9"/>
      <c r="AL60" s="9"/>
      <c r="AM60" s="1419"/>
      <c r="AN60" s="9"/>
      <c r="AO60" s="1419"/>
      <c r="AP60" s="1894"/>
      <c r="AQ60" s="1966"/>
    </row>
    <row r="61" spans="2:84">
      <c r="R61" s="1517"/>
      <c r="S61" s="1517"/>
      <c r="T61" s="1898"/>
      <c r="U61" s="1951"/>
      <c r="V61" s="1951"/>
      <c r="W61" s="1951"/>
      <c r="X61" s="1956" t="s">
        <v>1337</v>
      </c>
      <c r="Y61" s="9">
        <v>4.2320728088988533</v>
      </c>
      <c r="Z61" s="9">
        <v>6.0774250316817708</v>
      </c>
      <c r="AA61" s="9">
        <v>2.9479359021433034</v>
      </c>
      <c r="AB61" s="9">
        <v>5.873482311669961</v>
      </c>
      <c r="AC61" s="9">
        <v>6.1307215980239462</v>
      </c>
      <c r="AD61" s="9">
        <v>7.9414957270403406</v>
      </c>
      <c r="AE61" s="9">
        <v>7.6433438884963012</v>
      </c>
      <c r="AF61" s="1042">
        <v>7.1705600255236535</v>
      </c>
      <c r="AG61" s="1413">
        <v>9.9882780883980953</v>
      </c>
      <c r="AH61" s="1413">
        <v>7.5553487978685165</v>
      </c>
      <c r="AI61" s="1409">
        <v>8</v>
      </c>
      <c r="AJ61" s="1409">
        <v>7</v>
      </c>
      <c r="AK61" s="1410">
        <v>6.4</v>
      </c>
      <c r="AL61" s="1410">
        <v>19.7</v>
      </c>
      <c r="AM61" s="1410">
        <v>5</v>
      </c>
      <c r="AN61" s="9">
        <v>6.7</v>
      </c>
      <c r="AO61" s="1882">
        <v>9.1</v>
      </c>
      <c r="AP61" s="1895">
        <v>11.8</v>
      </c>
      <c r="AQ61" s="1967"/>
    </row>
    <row r="62" spans="2:84" ht="12.75" customHeight="1">
      <c r="R62" s="1517"/>
      <c r="S62" s="1517"/>
      <c r="X62" s="1956" t="s">
        <v>134</v>
      </c>
      <c r="Y62" s="9">
        <v>8.1999999999999993</v>
      </c>
      <c r="Z62" s="9">
        <v>9.3000000000000007</v>
      </c>
      <c r="AA62" s="9">
        <v>7.4</v>
      </c>
      <c r="AB62" s="9">
        <v>9.0327902660342474</v>
      </c>
      <c r="AC62" s="9">
        <v>9.1866843200302508</v>
      </c>
      <c r="AD62" s="9">
        <v>3.6083635040795543</v>
      </c>
      <c r="AE62" s="9">
        <v>3.5737776803332655</v>
      </c>
      <c r="AF62" s="1042">
        <v>2.6778154106689258</v>
      </c>
      <c r="AG62" s="1413">
        <v>1.8451706009689639</v>
      </c>
      <c r="AH62" s="1413">
        <v>4.55</v>
      </c>
      <c r="AI62" s="1409">
        <v>5.464375362039001</v>
      </c>
      <c r="AJ62" s="1409">
        <v>6.1699011351153503</v>
      </c>
      <c r="AK62" s="1410">
        <v>5.9</v>
      </c>
      <c r="AL62" s="1410">
        <v>8.8000000000000007</v>
      </c>
      <c r="AM62" s="1410">
        <v>3</v>
      </c>
      <c r="AN62" s="9">
        <v>6.1</v>
      </c>
      <c r="AO62" s="1882">
        <v>4.05</v>
      </c>
      <c r="AP62" s="1643">
        <v>8.3000000000000007</v>
      </c>
      <c r="AQ62" s="1965"/>
      <c r="BK62" s="1521" t="s">
        <v>1365</v>
      </c>
      <c r="BL62" s="1518"/>
      <c r="BM62" s="1518"/>
      <c r="BN62" s="1518"/>
      <c r="BO62" s="1518"/>
      <c r="BP62" s="1518"/>
      <c r="BQ62" s="1518"/>
      <c r="BR62" s="1518"/>
      <c r="BS62" s="1518"/>
      <c r="BT62" s="1518"/>
      <c r="BU62" s="1518"/>
      <c r="BV62" s="1518"/>
      <c r="BW62" s="1518"/>
      <c r="BX62" s="1518"/>
      <c r="BY62" s="1518"/>
      <c r="BZ62" s="1518"/>
      <c r="CA62" s="1518"/>
      <c r="CB62" s="1516"/>
      <c r="CC62" s="1951"/>
      <c r="CD62" s="1951"/>
      <c r="CE62" s="1951"/>
      <c r="CF62" s="36"/>
    </row>
    <row r="63" spans="2:84" ht="12.75" hidden="1" customHeight="1">
      <c r="R63" s="1517"/>
      <c r="S63" s="1517"/>
      <c r="X63" s="1956" t="s">
        <v>135</v>
      </c>
      <c r="Y63" s="9"/>
      <c r="Z63" s="9"/>
      <c r="AA63" s="9"/>
      <c r="AB63" s="9">
        <v>6.3926940639269514</v>
      </c>
      <c r="AC63" s="9">
        <v>2.5035765379113117</v>
      </c>
      <c r="AD63" s="9">
        <v>5.3303926685667005</v>
      </c>
      <c r="AE63" s="9">
        <v>6.6281212103777571</v>
      </c>
      <c r="AF63" s="1042">
        <v>1.691027460091395</v>
      </c>
      <c r="AG63" s="1413">
        <v>5.6786103604336935</v>
      </c>
      <c r="AH63" s="1413">
        <v>5.6134301869957932</v>
      </c>
      <c r="AI63" s="1409">
        <v>5.2</v>
      </c>
      <c r="AJ63" s="1409">
        <v>4.5999999999999996</v>
      </c>
      <c r="AK63" s="1410">
        <v>5.4</v>
      </c>
      <c r="AL63" s="1410">
        <v>9.6</v>
      </c>
      <c r="AM63" s="1410">
        <v>0.5</v>
      </c>
      <c r="AN63" s="9">
        <v>10.6</v>
      </c>
      <c r="AO63" s="1882">
        <v>7.3</v>
      </c>
      <c r="AP63" s="1643">
        <v>9.6999999999999993</v>
      </c>
      <c r="AQ63" s="1965"/>
    </row>
    <row r="64" spans="2:84">
      <c r="R64" s="1517"/>
      <c r="S64" s="1517"/>
      <c r="X64" s="1956"/>
      <c r="Y64" s="9"/>
      <c r="Z64" s="9"/>
      <c r="AA64" s="9"/>
      <c r="AB64" s="9"/>
      <c r="AC64" s="9"/>
      <c r="AD64" s="9"/>
      <c r="AE64" s="9"/>
      <c r="AF64" s="9"/>
      <c r="AG64" s="178"/>
      <c r="AH64" s="178"/>
      <c r="AI64" s="1408"/>
      <c r="AJ64" s="1408"/>
      <c r="AK64" s="1408"/>
      <c r="AL64" s="1408"/>
      <c r="AM64" s="1419"/>
      <c r="AN64" s="9"/>
      <c r="AO64" s="1883"/>
      <c r="AP64" s="1894"/>
      <c r="AQ64" s="1966"/>
    </row>
    <row r="65" spans="18:43">
      <c r="R65" s="1517"/>
      <c r="S65" s="1517"/>
      <c r="X65" s="1956" t="s">
        <v>1467</v>
      </c>
      <c r="Y65" s="9"/>
      <c r="Z65" s="9"/>
      <c r="AA65" s="9"/>
      <c r="AB65" s="9"/>
      <c r="AC65" s="9"/>
      <c r="AD65" s="9"/>
      <c r="AE65" s="9"/>
      <c r="AF65" s="9"/>
      <c r="AG65" s="178"/>
      <c r="AH65" s="178"/>
      <c r="AI65" s="1408"/>
      <c r="AJ65" s="1408"/>
      <c r="AK65" s="1408"/>
      <c r="AL65" s="1408"/>
      <c r="AM65" s="1419"/>
      <c r="AN65" s="9"/>
      <c r="AO65" s="1883"/>
      <c r="AP65" s="1894"/>
      <c r="AQ65" s="1966"/>
    </row>
    <row r="66" spans="18:43">
      <c r="X66" s="1956" t="s">
        <v>571</v>
      </c>
      <c r="Y66" s="9">
        <v>3650.6</v>
      </c>
      <c r="Z66" s="9">
        <v>4491.3</v>
      </c>
      <c r="AA66" s="9">
        <v>4656.5</v>
      </c>
      <c r="AB66" s="9">
        <v>4949.3</v>
      </c>
      <c r="AC66" s="9">
        <v>6919.4579999999996</v>
      </c>
      <c r="AD66" s="9">
        <v>7859.530999999999</v>
      </c>
      <c r="AE66" s="9">
        <v>8686.7440000000006</v>
      </c>
      <c r="AF66" s="1042">
        <v>8826.7119999999995</v>
      </c>
      <c r="AG66" s="1413">
        <v>7054.3460000000005</v>
      </c>
      <c r="AH66" s="1413">
        <v>11113.945</v>
      </c>
      <c r="AI66" s="1410">
        <v>10501.1</v>
      </c>
      <c r="AJ66" s="1410">
        <v>13452.2</v>
      </c>
      <c r="AK66" s="1410">
        <v>16083.1</v>
      </c>
      <c r="AL66" s="1888">
        <v>18316.900000000001</v>
      </c>
      <c r="AM66" s="1888">
        <v>23443</v>
      </c>
      <c r="AN66" s="1889">
        <v>30990.7</v>
      </c>
      <c r="AO66" s="1890">
        <v>23925.9</v>
      </c>
      <c r="AP66" s="1896">
        <v>30549.7</v>
      </c>
      <c r="AQ66" s="1960"/>
    </row>
    <row r="67" spans="18:43">
      <c r="X67" s="1956" t="s">
        <v>1338</v>
      </c>
      <c r="Y67" s="9">
        <v>1773.2</v>
      </c>
      <c r="Z67" s="9">
        <v>2363.6</v>
      </c>
      <c r="AA67" s="9">
        <v>2232.1</v>
      </c>
      <c r="AB67" s="9">
        <v>1816.3</v>
      </c>
      <c r="AC67" s="9">
        <v>3262.58</v>
      </c>
      <c r="AD67" s="9">
        <v>3274.1320000000001</v>
      </c>
      <c r="AE67" s="9">
        <v>3710.9940000000001</v>
      </c>
      <c r="AF67" s="1042">
        <v>3748.5150000000003</v>
      </c>
      <c r="AG67" s="1413">
        <v>2269.0860000000002</v>
      </c>
      <c r="AH67" s="1413">
        <v>5367.3779999999997</v>
      </c>
      <c r="AI67" s="1410">
        <v>4373.1000000000004</v>
      </c>
      <c r="AJ67" s="1410">
        <v>6424.7</v>
      </c>
      <c r="AK67" s="1410">
        <v>6000.9</v>
      </c>
      <c r="AL67" s="1888">
        <v>5935.4</v>
      </c>
      <c r="AM67" s="1888">
        <v>6575.1</v>
      </c>
      <c r="AN67" s="1889">
        <v>11118.9</v>
      </c>
      <c r="AO67" s="1890">
        <v>9485.1</v>
      </c>
      <c r="AP67" s="1897">
        <v>13314</v>
      </c>
      <c r="AQ67" s="1960"/>
    </row>
    <row r="68" spans="18:43">
      <c r="X68" s="1956" t="s">
        <v>579</v>
      </c>
      <c r="Y68" s="9">
        <v>3642.7</v>
      </c>
      <c r="Z68" s="9">
        <v>4252.7</v>
      </c>
      <c r="AA68" s="9">
        <v>4957.2</v>
      </c>
      <c r="AB68" s="9">
        <v>4806</v>
      </c>
      <c r="AC68" s="9">
        <v>7224.366</v>
      </c>
      <c r="AD68" s="9">
        <v>8624.0770000000011</v>
      </c>
      <c r="AE68" s="9">
        <v>11177.597</v>
      </c>
      <c r="AF68" s="1042">
        <v>10052.078000000001</v>
      </c>
      <c r="AG68" s="1413">
        <v>9945.3189999999995</v>
      </c>
      <c r="AH68" s="1413">
        <v>10534.129000000001</v>
      </c>
      <c r="AI68" s="1410">
        <v>12893.7</v>
      </c>
      <c r="AJ68" s="1410">
        <v>13770.9</v>
      </c>
      <c r="AK68" s="1410">
        <v>15795.4</v>
      </c>
      <c r="AL68" s="1888">
        <v>17913.400000000001</v>
      </c>
      <c r="AM68" s="1888">
        <v>22350.5</v>
      </c>
      <c r="AN68" s="1889">
        <v>29888.9</v>
      </c>
      <c r="AO68" s="1890">
        <v>25519.7</v>
      </c>
      <c r="AP68" s="1897">
        <v>34196.6</v>
      </c>
      <c r="AQ68" s="1960"/>
    </row>
    <row r="69" spans="18:43">
      <c r="X69" s="1956" t="s">
        <v>580</v>
      </c>
      <c r="Y69" s="9">
        <v>-29.3</v>
      </c>
      <c r="Z69" s="9">
        <v>159.5</v>
      </c>
      <c r="AA69" s="9">
        <v>83.200000000000273</v>
      </c>
      <c r="AB69" s="9">
        <v>505.2</v>
      </c>
      <c r="AC69" s="9">
        <v>478.58099999999968</v>
      </c>
      <c r="AD69" s="9">
        <v>883.25099999999929</v>
      </c>
      <c r="AE69" s="9">
        <v>540.13199999999961</v>
      </c>
      <c r="AF69" s="1042">
        <v>610.3090000000002</v>
      </c>
      <c r="AG69" s="1413">
        <v>204.35199999999986</v>
      </c>
      <c r="AH69" s="1413">
        <v>597.34200000000055</v>
      </c>
      <c r="AI69" s="1410">
        <f>6128-6170.6</f>
        <v>-42.600000000000364</v>
      </c>
      <c r="AJ69" s="1410">
        <v>355.1</v>
      </c>
      <c r="AK69" s="1410">
        <v>2390.8000000000002</v>
      </c>
      <c r="AL69" s="1888">
        <v>2655.8</v>
      </c>
      <c r="AM69" s="1888">
        <f>16867.9-11061.4</f>
        <v>5806.5000000000018</v>
      </c>
      <c r="AN69" s="1889">
        <f>19871.8-12902.7</f>
        <v>6969.0999999999985</v>
      </c>
      <c r="AO69" s="1890">
        <v>2530</v>
      </c>
      <c r="AP69" s="1897">
        <f>17235.7-15772.3</f>
        <v>1463.4000000000015</v>
      </c>
      <c r="AQ69" s="1960"/>
    </row>
    <row r="70" spans="18:43">
      <c r="X70" s="1956" t="s">
        <v>581</v>
      </c>
      <c r="Y70" s="9">
        <v>7.9</v>
      </c>
      <c r="Z70" s="9">
        <v>238.6</v>
      </c>
      <c r="AA70" s="9">
        <v>-300.7</v>
      </c>
      <c r="AB70" s="9">
        <v>143.30000000000001</v>
      </c>
      <c r="AC70" s="9">
        <v>-304.90800000000036</v>
      </c>
      <c r="AD70" s="9">
        <v>-764.5460000000021</v>
      </c>
      <c r="AE70" s="9">
        <v>-2490.8529999999992</v>
      </c>
      <c r="AF70" s="1042">
        <v>-1225.3660000000018</v>
      </c>
      <c r="AG70" s="1413">
        <v>-2890.972999999999</v>
      </c>
      <c r="AH70" s="1413">
        <v>579.81599999999889</v>
      </c>
      <c r="AI70" s="1414">
        <v>-2392.6</v>
      </c>
      <c r="AJ70" s="1410">
        <v>-318.7</v>
      </c>
      <c r="AK70" s="1410">
        <v>287.7</v>
      </c>
      <c r="AL70" s="1888">
        <v>403.5</v>
      </c>
      <c r="AM70" s="1888">
        <v>1092.5</v>
      </c>
      <c r="AN70" s="1889">
        <v>1101.8</v>
      </c>
      <c r="AO70" s="1890">
        <v>-1593.8</v>
      </c>
      <c r="AP70" s="1897">
        <v>3647</v>
      </c>
      <c r="AQ70" s="1960"/>
    </row>
    <row r="71" spans="18:43">
      <c r="X71" s="1956"/>
      <c r="Y71" s="9"/>
      <c r="Z71" s="9"/>
      <c r="AA71" s="9"/>
      <c r="AB71" s="9"/>
      <c r="AC71" s="9"/>
      <c r="AD71" s="9"/>
      <c r="AE71" s="9"/>
      <c r="AF71" s="9"/>
      <c r="AG71" s="178"/>
      <c r="AH71" s="178"/>
      <c r="AI71" s="1408"/>
      <c r="AJ71" s="1408"/>
      <c r="AK71" s="1408"/>
      <c r="AL71" s="1408"/>
      <c r="AM71" s="9"/>
      <c r="AN71" s="9"/>
      <c r="AO71" s="1411"/>
      <c r="AP71" s="1893"/>
      <c r="AQ71" s="1959"/>
    </row>
    <row r="72" spans="18:43">
      <c r="X72" s="1956" t="s">
        <v>1468</v>
      </c>
      <c r="Y72" s="9"/>
      <c r="Z72" s="9"/>
      <c r="AA72" s="9"/>
      <c r="AB72" s="9"/>
      <c r="AC72" s="9"/>
      <c r="AD72" s="9"/>
      <c r="AE72" s="9"/>
      <c r="AF72" s="9"/>
      <c r="AG72" s="178"/>
      <c r="AH72" s="178"/>
      <c r="AI72" s="1408"/>
      <c r="AJ72" s="1408"/>
      <c r="AK72" s="1408"/>
      <c r="AL72" s="1408"/>
      <c r="AM72" s="9"/>
      <c r="AN72" s="9"/>
      <c r="AO72" s="1411"/>
      <c r="AP72" s="1893"/>
      <c r="AQ72" s="1959"/>
    </row>
    <row r="73" spans="18:43">
      <c r="X73" s="1956" t="s">
        <v>1339</v>
      </c>
      <c r="Y73" s="9"/>
      <c r="Z73" s="9"/>
      <c r="AA73" s="9"/>
      <c r="AB73" s="9"/>
      <c r="AC73" s="9"/>
      <c r="AD73" s="9"/>
      <c r="AE73" s="9"/>
      <c r="AF73" s="9"/>
      <c r="AG73" s="178"/>
      <c r="AH73" s="178"/>
      <c r="AI73" s="1408">
        <v>10.7</v>
      </c>
      <c r="AJ73" s="1408">
        <v>26.3</v>
      </c>
      <c r="AK73" s="1410">
        <v>8.6</v>
      </c>
      <c r="AL73" s="1410">
        <v>2.2999999999999998</v>
      </c>
      <c r="AM73" s="1410">
        <v>24.6</v>
      </c>
      <c r="AN73" s="9">
        <v>30.1</v>
      </c>
      <c r="AO73" s="1882">
        <v>39.799999999999997</v>
      </c>
      <c r="AP73" s="1643" t="e">
        <f>[81]Monetary2!Y388</f>
        <v>#REF!</v>
      </c>
      <c r="AQ73" s="1965">
        <v>6.4</v>
      </c>
    </row>
    <row r="74" spans="18:43">
      <c r="X74" s="1956" t="s">
        <v>1340</v>
      </c>
      <c r="Y74" s="9"/>
      <c r="Z74" s="9"/>
      <c r="AA74" s="9"/>
      <c r="AB74" s="9"/>
      <c r="AC74" s="9"/>
      <c r="AD74" s="9"/>
      <c r="AE74" s="9"/>
      <c r="AF74" s="9"/>
      <c r="AG74" s="178"/>
      <c r="AH74" s="178"/>
      <c r="AI74" s="1408">
        <v>26.3</v>
      </c>
      <c r="AJ74" s="1408">
        <v>32.200000000000003</v>
      </c>
      <c r="AK74" s="1410">
        <v>35.5</v>
      </c>
      <c r="AL74" s="1410">
        <v>37.4</v>
      </c>
      <c r="AM74" s="1410">
        <v>31.1</v>
      </c>
      <c r="AN74" s="9">
        <v>38.6</v>
      </c>
      <c r="AO74" s="1882">
        <v>19.2</v>
      </c>
      <c r="AP74" s="1643" t="e">
        <f>[81]Monetary2!AF388</f>
        <v>#REF!</v>
      </c>
      <c r="AQ74" s="1965">
        <v>34.9</v>
      </c>
    </row>
    <row r="75" spans="18:43">
      <c r="X75" s="1956"/>
      <c r="Y75" s="9"/>
      <c r="Z75" s="9"/>
      <c r="AA75" s="9"/>
      <c r="AB75" s="9"/>
      <c r="AC75" s="9"/>
      <c r="AD75" s="9"/>
      <c r="AE75" s="9"/>
      <c r="AF75" s="9"/>
      <c r="AG75" s="9"/>
      <c r="AH75" s="9"/>
      <c r="AI75" s="1408"/>
      <c r="AJ75" s="1408"/>
      <c r="AK75" s="1408"/>
      <c r="AL75" s="1408"/>
      <c r="AM75" s="9"/>
      <c r="AN75" s="9"/>
      <c r="AO75" s="1411"/>
      <c r="AP75" s="1893"/>
      <c r="AQ75" s="1964"/>
    </row>
    <row r="76" spans="18:43">
      <c r="X76" s="1956" t="s">
        <v>1469</v>
      </c>
      <c r="Y76" s="9"/>
      <c r="Z76" s="9"/>
      <c r="AA76" s="9"/>
      <c r="AB76" s="9"/>
      <c r="AC76" s="9"/>
      <c r="AD76" s="9"/>
      <c r="AE76" s="9"/>
      <c r="AF76" s="9"/>
      <c r="AG76" s="178"/>
      <c r="AH76" s="178"/>
      <c r="AI76" s="1408"/>
      <c r="AJ76" s="1408"/>
      <c r="AK76" s="1408"/>
      <c r="AL76" s="1408"/>
      <c r="AM76" s="9"/>
      <c r="AN76" s="9"/>
      <c r="AO76" s="1411"/>
      <c r="AP76" s="1893"/>
      <c r="AQ76" s="1964"/>
    </row>
    <row r="77" spans="18:43">
      <c r="X77" s="1956" t="s">
        <v>582</v>
      </c>
      <c r="Y77" s="9">
        <v>10</v>
      </c>
      <c r="Z77" s="9">
        <v>10</v>
      </c>
      <c r="AA77" s="9">
        <v>10</v>
      </c>
      <c r="AB77" s="9">
        <v>10</v>
      </c>
      <c r="AC77" s="9">
        <v>10</v>
      </c>
      <c r="AD77" s="9" t="s">
        <v>583</v>
      </c>
      <c r="AE77" s="9" t="s">
        <v>583</v>
      </c>
      <c r="AF77" s="1042">
        <v>9</v>
      </c>
      <c r="AG77" s="1413">
        <v>7</v>
      </c>
      <c r="AH77" s="1413">
        <v>6</v>
      </c>
      <c r="AI77" s="1408">
        <v>4.5</v>
      </c>
      <c r="AJ77" s="1408">
        <v>4.5</v>
      </c>
      <c r="AK77" s="1408">
        <v>4.5</v>
      </c>
      <c r="AL77" s="1408">
        <v>4.8</v>
      </c>
      <c r="AM77" s="1408">
        <v>4.8</v>
      </c>
      <c r="AN77" s="9">
        <v>4.8</v>
      </c>
      <c r="AO77" s="1885">
        <f>(4.5+5)/2</f>
        <v>4.75</v>
      </c>
      <c r="AP77" s="1643">
        <v>5.3</v>
      </c>
      <c r="AQ77" s="1963" t="s">
        <v>1499</v>
      </c>
    </row>
    <row r="78" spans="18:43">
      <c r="X78" s="1956" t="s">
        <v>584</v>
      </c>
      <c r="Y78" s="9" t="s">
        <v>585</v>
      </c>
      <c r="Z78" s="9" t="s">
        <v>585</v>
      </c>
      <c r="AA78" s="9" t="s">
        <v>585</v>
      </c>
      <c r="AB78" s="9" t="s">
        <v>585</v>
      </c>
      <c r="AC78" s="9" t="s">
        <v>585</v>
      </c>
      <c r="AD78" s="9" t="s">
        <v>586</v>
      </c>
      <c r="AE78" s="9" t="s">
        <v>586</v>
      </c>
      <c r="AF78" s="178" t="s">
        <v>586</v>
      </c>
      <c r="AG78" s="178" t="s">
        <v>600</v>
      </c>
      <c r="AH78" s="178" t="s">
        <v>601</v>
      </c>
      <c r="AI78" s="1408" t="s">
        <v>601</v>
      </c>
      <c r="AJ78" s="1408" t="s">
        <v>601</v>
      </c>
      <c r="AK78" s="1408" t="s">
        <v>601</v>
      </c>
      <c r="AL78" s="1408" t="s">
        <v>601</v>
      </c>
      <c r="AM78" s="1408" t="s">
        <v>601</v>
      </c>
      <c r="AN78" s="1408" t="s">
        <v>601</v>
      </c>
      <c r="AO78" s="1886" t="s">
        <v>601</v>
      </c>
      <c r="AP78" s="1893" t="s">
        <v>1489</v>
      </c>
      <c r="AQ78" s="1963" t="s">
        <v>1500</v>
      </c>
    </row>
    <row r="79" spans="18:43">
      <c r="X79" s="1956" t="s">
        <v>1406</v>
      </c>
      <c r="Y79" s="9"/>
      <c r="Z79" s="9"/>
      <c r="AA79" s="9"/>
      <c r="AB79" s="9"/>
      <c r="AC79" s="9"/>
      <c r="AD79" s="9"/>
      <c r="AE79" s="9"/>
      <c r="AF79" s="9"/>
      <c r="AG79" s="178"/>
      <c r="AH79" s="178"/>
      <c r="AI79" s="1408">
        <v>3.5</v>
      </c>
      <c r="AJ79" s="1408">
        <v>3.5</v>
      </c>
      <c r="AK79" s="1408">
        <v>3.5</v>
      </c>
      <c r="AL79" s="1409">
        <v>6</v>
      </c>
      <c r="AM79" s="1409">
        <v>6</v>
      </c>
      <c r="AN79" s="1042">
        <v>1.99</v>
      </c>
      <c r="AO79" s="1885">
        <v>2.5</v>
      </c>
      <c r="AP79" s="1643">
        <v>2</v>
      </c>
      <c r="AQ79" s="1962">
        <v>2</v>
      </c>
    </row>
    <row r="80" spans="18:43">
      <c r="X80" s="1956"/>
      <c r="Y80" s="9"/>
      <c r="Z80" s="9"/>
      <c r="AA80" s="9"/>
      <c r="AB80" s="9"/>
      <c r="AC80" s="9"/>
      <c r="AD80" s="9"/>
      <c r="AE80" s="9"/>
      <c r="AF80" s="9"/>
      <c r="AG80" s="178"/>
      <c r="AH80" s="178"/>
      <c r="AI80" s="178"/>
      <c r="AJ80" s="178"/>
      <c r="AK80" s="9"/>
      <c r="AL80" s="9"/>
      <c r="AM80" s="9"/>
      <c r="AN80" s="9"/>
      <c r="AO80" s="1411"/>
      <c r="AP80" s="1893"/>
      <c r="AQ80" s="1959"/>
    </row>
    <row r="81" spans="24:43" s="1949" customFormat="1">
      <c r="X81" s="1956" t="s">
        <v>1470</v>
      </c>
      <c r="Y81" s="9"/>
      <c r="Z81" s="9"/>
      <c r="AA81" s="9"/>
      <c r="AB81" s="9"/>
      <c r="AC81" s="9"/>
      <c r="AD81" s="9"/>
      <c r="AE81" s="9"/>
      <c r="AF81" s="9"/>
      <c r="AG81" s="178"/>
      <c r="AH81" s="178"/>
      <c r="AI81" s="178"/>
      <c r="AJ81" s="178"/>
      <c r="AK81" s="9"/>
      <c r="AL81" s="9"/>
      <c r="AM81" s="9"/>
      <c r="AN81" s="9"/>
      <c r="AO81" s="1411"/>
      <c r="AP81" s="1893"/>
      <c r="AQ81" s="1959"/>
    </row>
    <row r="82" spans="24:43" s="1949" customFormat="1">
      <c r="X82" s="1956" t="s">
        <v>587</v>
      </c>
      <c r="Y82" s="9">
        <v>-856.5</v>
      </c>
      <c r="Z82" s="9">
        <v>-453.21</v>
      </c>
      <c r="AA82" s="9">
        <v>-1143.44</v>
      </c>
      <c r="AB82" s="9">
        <v>-951.92</v>
      </c>
      <c r="AC82" s="9">
        <v>-2453.67</v>
      </c>
      <c r="AD82" s="9">
        <v>-3087.32</v>
      </c>
      <c r="AE82" s="9">
        <v>-4059.1314510000002</v>
      </c>
      <c r="AF82" s="1042">
        <v>-4795.4510939999991</v>
      </c>
      <c r="AG82" s="1413">
        <v>-4481.0041432245143</v>
      </c>
      <c r="AH82" s="1413">
        <v>-4766.0214110697534</v>
      </c>
      <c r="AI82" s="1409">
        <f>'[73]Overall BOP'!AF185</f>
        <v>0</v>
      </c>
      <c r="AJ82" s="1409" t="e">
        <f>'[82]Overall BOP'!AG185</f>
        <v>#REF!</v>
      </c>
      <c r="AK82" s="1409" t="e">
        <f>'[82]Overall BOP'!AH185</f>
        <v>#REF!</v>
      </c>
      <c r="AL82" s="1409" t="e">
        <f>'[82]Overall BOP'!AI185</f>
        <v>#REF!</v>
      </c>
      <c r="AM82" s="1409" t="e">
        <f>'[82]Overall BOP'!AJ185</f>
        <v>#REF!</v>
      </c>
      <c r="AN82" s="1409" t="e">
        <f>'[82]Overall BOP'!AK185</f>
        <v>#REF!</v>
      </c>
      <c r="AO82" s="1884">
        <v>-6911.0723612099391</v>
      </c>
      <c r="AP82" s="1643">
        <f>'[80]Keyind for Annual Report'!$R$29</f>
        <v>-23544.890359626912</v>
      </c>
      <c r="AQ82" s="1961"/>
    </row>
    <row r="83" spans="24:43" s="1949" customFormat="1">
      <c r="X83" s="1956" t="s">
        <v>1341</v>
      </c>
      <c r="Y83" s="9">
        <v>-168.28</v>
      </c>
      <c r="Z83" s="9">
        <v>288.43</v>
      </c>
      <c r="AA83" s="9">
        <v>158.81</v>
      </c>
      <c r="AB83" s="9">
        <v>357.2</v>
      </c>
      <c r="AC83" s="9">
        <v>-738.27</v>
      </c>
      <c r="AD83" s="9">
        <v>-1354.48</v>
      </c>
      <c r="AE83" s="9">
        <v>-2654.3336989999998</v>
      </c>
      <c r="AF83" s="1042">
        <v>-3088.307761</v>
      </c>
      <c r="AG83" s="1413">
        <v>-3911.2905743833235</v>
      </c>
      <c r="AH83" s="1413">
        <v>-3820.6614656999991</v>
      </c>
      <c r="AI83" s="1409">
        <f>'[73]BOP India Report'!AF125</f>
        <v>0</v>
      </c>
      <c r="AJ83" s="1409" t="e">
        <f>'[82]BOP India Report'!AG126</f>
        <v>#REF!</v>
      </c>
      <c r="AK83" s="1409" t="e">
        <f>'[82]BOP India Report'!AH126</f>
        <v>#REF!</v>
      </c>
      <c r="AL83" s="1409" t="e">
        <f>'[82]BOP India Report'!AI126</f>
        <v>#REF!</v>
      </c>
      <c r="AM83" s="1409" t="e">
        <f>'[82]BOP India Report'!AJ126</f>
        <v>#REF!</v>
      </c>
      <c r="AN83" s="1409" t="e">
        <f>'[82]BOP India Report'!AK126</f>
        <v>#REF!</v>
      </c>
      <c r="AO83" s="1884">
        <v>-2867.2456675499416</v>
      </c>
      <c r="AP83" s="1643">
        <f>'[80]Keyind for Annual Report'!$R$30</f>
        <v>-15160.015781026912</v>
      </c>
      <c r="AQ83" s="1960"/>
    </row>
    <row r="84" spans="24:43" s="1949" customFormat="1">
      <c r="X84" s="1956" t="s">
        <v>588</v>
      </c>
      <c r="Y84" s="9">
        <v>-1071.54</v>
      </c>
      <c r="Z84" s="9">
        <v>-1272.45</v>
      </c>
      <c r="AA84" s="9">
        <v>-2011.89</v>
      </c>
      <c r="AB84" s="9">
        <v>1487.6341000000011</v>
      </c>
      <c r="AC84" s="9">
        <v>384.20873126263268</v>
      </c>
      <c r="AD84" s="9">
        <v>1049.6229642158814</v>
      </c>
      <c r="AE84" s="9">
        <v>-2024.6498842624164</v>
      </c>
      <c r="AF84" s="1042">
        <v>-3127.3760420893905</v>
      </c>
      <c r="AG84" s="1413">
        <v>-4011.9343299844586</v>
      </c>
      <c r="AH84" s="1413">
        <v>-3317.987689112641</v>
      </c>
      <c r="AI84" s="1409">
        <f>'[73]Overall BOP'!AF179</f>
        <v>0</v>
      </c>
      <c r="AJ84" s="1409" t="e">
        <f>'[82]Overall BOP'!AG179</f>
        <v>#REF!</v>
      </c>
      <c r="AK84" s="1409" t="e">
        <f>'[82]Overall BOP'!AH179</f>
        <v>#REF!</v>
      </c>
      <c r="AL84" s="1409" t="e">
        <f>'[82]Overall BOP'!AI179</f>
        <v>#REF!</v>
      </c>
      <c r="AM84" s="1409" t="e">
        <f>'[82]Overall BOP'!AJ179</f>
        <v>#REF!</v>
      </c>
      <c r="AN84" s="1409" t="e">
        <f>'[82]Overall BOP'!AK179</f>
        <v>#REF!</v>
      </c>
      <c r="AO84" s="1884">
        <v>-5400.432125401645</v>
      </c>
      <c r="AP84" s="1643">
        <f>'[80]Keyind for Annual Report'!$R$31</f>
        <v>-16088.936876262922</v>
      </c>
      <c r="AQ84" s="1960"/>
    </row>
    <row r="85" spans="24:43" s="1949" customFormat="1">
      <c r="X85" s="1956" t="s">
        <v>1342</v>
      </c>
      <c r="Y85" s="9">
        <v>12.592131240011284</v>
      </c>
      <c r="Z85" s="9">
        <v>13.042208191546061</v>
      </c>
      <c r="AA85" s="9">
        <v>17.714977546887383</v>
      </c>
      <c r="AB85" s="9">
        <v>-11.00496898912845</v>
      </c>
      <c r="AC85" s="9">
        <v>2.429591084593838</v>
      </c>
      <c r="AD85" s="9">
        <v>5.7273384076638658</v>
      </c>
      <c r="AE85" s="9">
        <v>-10.093121453772568</v>
      </c>
      <c r="AF85" s="1042">
        <v>-13.682056402009799</v>
      </c>
      <c r="AG85" s="1413">
        <v>-15.281230783821357</v>
      </c>
      <c r="AH85" s="1413">
        <v>-11.336183980022007</v>
      </c>
      <c r="AI85" s="1409">
        <f>'[73]Overall BOP'!AF242</f>
        <v>0</v>
      </c>
      <c r="AJ85" s="1409" t="e">
        <f>'[82]Overall BOP'!AG242</f>
        <v>#REF!</v>
      </c>
      <c r="AK85" s="1409" t="e">
        <f>'[82]Overall BOP'!AH242</f>
        <v>#REF!</v>
      </c>
      <c r="AL85" s="1409" t="e">
        <f>'[82]Overall BOP'!AI242</f>
        <v>#REF!</v>
      </c>
      <c r="AM85" s="1409" t="e">
        <f>'[82]Overall BOP'!AJ242</f>
        <v>#REF!</v>
      </c>
      <c r="AN85" s="1409" t="e">
        <f>'[82]Overall BOP'!AK242</f>
        <v>#REF!</v>
      </c>
      <c r="AO85" s="1884">
        <v>-9.9731340197039415</v>
      </c>
      <c r="AP85" s="1643">
        <f>'[80]Keyind for Annual Report'!$R$34</f>
        <v>-18.204102233428237</v>
      </c>
      <c r="AQ85" s="1960"/>
    </row>
    <row r="86" spans="24:43" s="1949" customFormat="1">
      <c r="X86" s="1956" t="s">
        <v>1341</v>
      </c>
      <c r="Y86" s="9">
        <v>-450.01</v>
      </c>
      <c r="Z86" s="9">
        <v>-205.45</v>
      </c>
      <c r="AA86" s="9">
        <v>-461.11</v>
      </c>
      <c r="AB86" s="9">
        <v>42.366466666666952</v>
      </c>
      <c r="AC86" s="9">
        <v>-921.41631666666706</v>
      </c>
      <c r="AD86" s="9">
        <v>1537.5446486281298</v>
      </c>
      <c r="AE86" s="9">
        <v>-1918.2897192676796</v>
      </c>
      <c r="AF86" s="1042">
        <v>-2327.0624967262629</v>
      </c>
      <c r="AG86" s="1413">
        <v>-4479.3132437001595</v>
      </c>
      <c r="AH86" s="1413">
        <v>-3420.7969915598837</v>
      </c>
      <c r="AI86" s="1409">
        <f>'[73]BOP India Report'!AF117</f>
        <v>0</v>
      </c>
      <c r="AJ86" s="1409" t="e">
        <f>'[82]BOP India Report'!AG117</f>
        <v>#REF!</v>
      </c>
      <c r="AK86" s="1409" t="e">
        <f>'[82]BOP India Report'!AH117</f>
        <v>#REF!</v>
      </c>
      <c r="AL86" s="1409" t="e">
        <f>'[82]BOP India Report'!AI117</f>
        <v>#REF!</v>
      </c>
      <c r="AM86" s="1409" t="e">
        <f>'[82]BOP India Report'!AJ117</f>
        <v>#REF!</v>
      </c>
      <c r="AN86" s="1409" t="e">
        <f>'[82]BOP India Report'!AK117</f>
        <v>#REF!</v>
      </c>
      <c r="AO86" s="1884">
        <v>-4776.1665970990816</v>
      </c>
      <c r="AP86" s="1643">
        <f>'[80]Keyind for Annual Report'!$R$33</f>
        <v>-13193.896400335185</v>
      </c>
      <c r="AQ86" s="1960"/>
    </row>
    <row r="87" spans="24:43" s="1949" customFormat="1">
      <c r="X87" s="1956" t="s">
        <v>1342</v>
      </c>
      <c r="Y87" s="9">
        <v>5.2882626680455038</v>
      </c>
      <c r="Z87" s="9">
        <v>2.1057972202861723</v>
      </c>
      <c r="AA87" s="9">
        <v>4.0601391212468076</v>
      </c>
      <c r="AB87" s="9">
        <v>-0.31341151150381241</v>
      </c>
      <c r="AC87" s="9">
        <v>-5.8266892082739989</v>
      </c>
      <c r="AD87" s="9">
        <v>8.3897159454437649</v>
      </c>
      <c r="AE87" s="9">
        <v>-9.5629033298986492</v>
      </c>
      <c r="AF87" s="1042">
        <v>-10.180739349125069</v>
      </c>
      <c r="AG87" s="1413">
        <v>-17.061450612097815</v>
      </c>
      <c r="AH87" s="1413">
        <v>-11.687440608014912</v>
      </c>
      <c r="AI87" s="1409">
        <f>'[73]BOP India Report'!AF184</f>
        <v>0</v>
      </c>
      <c r="AJ87" s="1409" t="e">
        <f>'[82]BOP India Report'!AG185</f>
        <v>#REF!</v>
      </c>
      <c r="AK87" s="1409" t="e">
        <f>'[82]BOP India Report'!AH185</f>
        <v>#REF!</v>
      </c>
      <c r="AL87" s="1409" t="e">
        <f>'[82]BOP India Report'!AI185</f>
        <v>#REF!</v>
      </c>
      <c r="AM87" s="1409" t="e">
        <f>'[82]BOP India Report'!AJ185</f>
        <v>#REF!</v>
      </c>
      <c r="AN87" s="1409" t="e">
        <f>'[82]BOP India Report'!AK185</f>
        <v>#REF!</v>
      </c>
      <c r="AO87" s="1884">
        <v>-8.8202848341066478</v>
      </c>
      <c r="AP87" s="1643">
        <f>'[80]Keyind for Annual Report'!$R$34</f>
        <v>-18.204102233428237</v>
      </c>
      <c r="AQ87" s="1960"/>
    </row>
    <row r="88" spans="24:43" s="1949" customFormat="1">
      <c r="X88" s="1956" t="s">
        <v>136</v>
      </c>
      <c r="Y88" s="9">
        <v>1692.71</v>
      </c>
      <c r="Z88" s="9">
        <v>2396.5</v>
      </c>
      <c r="AA88" s="9">
        <v>2867.37</v>
      </c>
      <c r="AB88" s="9">
        <v>257.82</v>
      </c>
      <c r="AC88" s="9">
        <v>1404.64</v>
      </c>
      <c r="AD88" s="9">
        <v>1793.58</v>
      </c>
      <c r="AE88" s="9">
        <v>2310.0102000000002</v>
      </c>
      <c r="AF88" s="1042">
        <v>2846.2064799999998</v>
      </c>
      <c r="AG88" s="1413">
        <v>4527.5402863911604</v>
      </c>
      <c r="AH88" s="1413">
        <v>4666.22944254507</v>
      </c>
      <c r="AI88" s="1409">
        <f>'[73]Overall BOP'!AF217</f>
        <v>0</v>
      </c>
      <c r="AJ88" s="1409" t="e">
        <f>'[82]Overall BOP'!AG217</f>
        <v>#REF!</v>
      </c>
      <c r="AK88" s="1409" t="e">
        <f>'[82]Overall BOP'!AH217</f>
        <v>#REF!</v>
      </c>
      <c r="AL88" s="1409" t="e">
        <f>'[82]Overall BOP'!AI217</f>
        <v>#REF!</v>
      </c>
      <c r="AM88" s="1409" t="e">
        <f>'[82]Overall BOP'!AJ217</f>
        <v>#REF!</v>
      </c>
      <c r="AN88" s="1409" t="e">
        <f>'[82]Overall BOP'!AK217</f>
        <v>#REF!</v>
      </c>
      <c r="AO88" s="1884">
        <v>4199.2159939615449</v>
      </c>
      <c r="AP88" s="1643">
        <f>'[80]Keyind for Annual Report'!$R$35</f>
        <v>12467.872517231714</v>
      </c>
      <c r="AQ88" s="1960"/>
    </row>
    <row r="89" spans="24:43" s="1949" customFormat="1">
      <c r="X89" s="1956" t="s">
        <v>1343</v>
      </c>
      <c r="Y89" s="9">
        <v>805.65</v>
      </c>
      <c r="Z89" s="9">
        <v>682.09</v>
      </c>
      <c r="AA89" s="9">
        <v>1364.17</v>
      </c>
      <c r="AB89" s="9">
        <v>-94.28</v>
      </c>
      <c r="AC89" s="9">
        <v>1218.45</v>
      </c>
      <c r="AD89" s="9">
        <v>1572.45</v>
      </c>
      <c r="AE89" s="9">
        <v>1707.8720000000001</v>
      </c>
      <c r="AF89" s="1042">
        <v>1863.2064800000001</v>
      </c>
      <c r="AG89" s="1413">
        <v>3116.0347999999999</v>
      </c>
      <c r="AH89" s="1413">
        <v>3258.6318000000001</v>
      </c>
      <c r="AI89" s="1409">
        <f>'[73]BOP India Report'!AF158</f>
        <v>0</v>
      </c>
      <c r="AJ89" s="1409" t="e">
        <f>'[82]BOP India Report'!AG159</f>
        <v>#REF!</v>
      </c>
      <c r="AK89" s="1409" t="e">
        <f>'[82]BOP India Report'!AH159</f>
        <v>#REF!</v>
      </c>
      <c r="AL89" s="1409" t="e">
        <f>'[82]BOP India Report'!AI159</f>
        <v>#REF!</v>
      </c>
      <c r="AM89" s="1409" t="e">
        <f>'[82]BOP India Report'!AJ159</f>
        <v>#REF!</v>
      </c>
      <c r="AN89" s="1409" t="e">
        <f>'[82]BOP India Report'!AK159</f>
        <v>#REF!</v>
      </c>
      <c r="AO89" s="1884">
        <v>3163.1427960000001</v>
      </c>
      <c r="AP89" s="1643">
        <f>'[80]Keyind for Annual Report'!$R$36</f>
        <v>7869.9697960000003</v>
      </c>
      <c r="AQ89" s="1960"/>
    </row>
    <row r="90" spans="24:43" s="1949" customFormat="1">
      <c r="X90" s="1956" t="s">
        <v>589</v>
      </c>
      <c r="Y90" s="9">
        <v>-109.31</v>
      </c>
      <c r="Z90" s="9">
        <v>-190.77</v>
      </c>
      <c r="AA90" s="9">
        <v>-50.609999999999729</v>
      </c>
      <c r="AB90" s="9">
        <v>1546.8344099999993</v>
      </c>
      <c r="AC90" s="9">
        <v>1985.4974220707011</v>
      </c>
      <c r="AD90" s="9">
        <v>-1310.1370530199856</v>
      </c>
      <c r="AE90" s="9">
        <v>-708.90691104149676</v>
      </c>
      <c r="AF90" s="1042">
        <v>-598.72593609537398</v>
      </c>
      <c r="AG90" s="1413">
        <v>-3838.9597670536377</v>
      </c>
      <c r="AH90" s="1413">
        <v>-4708.3164048966319</v>
      </c>
      <c r="AI90" s="1409">
        <f>'[73]Overall BOP'!AF221</f>
        <v>0</v>
      </c>
      <c r="AJ90" s="1409" t="e">
        <f>'[82]Overall BOP'!AG221</f>
        <v>#REF!</v>
      </c>
      <c r="AK90" s="1409" t="e">
        <f>'[82]Overall BOP'!AH221</f>
        <v>#REF!</v>
      </c>
      <c r="AL90" s="1409" t="e">
        <f>'[82]Overall BOP'!AI221</f>
        <v>#REF!</v>
      </c>
      <c r="AM90" s="1409" t="e">
        <f>'[82]Overall BOP'!AJ221</f>
        <v>#REF!</v>
      </c>
      <c r="AN90" s="1409" t="e">
        <f>'[82]Overall BOP'!AK221</f>
        <v>#REF!</v>
      </c>
      <c r="AO90" s="1884">
        <v>6723.3922565722041</v>
      </c>
      <c r="AP90" s="1643">
        <f>'[80]Keyind for Annual Report'!$R$37</f>
        <v>-520.21817598976304</v>
      </c>
      <c r="AQ90" s="1960"/>
    </row>
    <row r="91" spans="24:43" s="1949" customFormat="1">
      <c r="X91" s="1956" t="s">
        <v>581</v>
      </c>
      <c r="Y91" s="9">
        <v>440.88</v>
      </c>
      <c r="Z91" s="9">
        <v>855.78</v>
      </c>
      <c r="AA91" s="9">
        <v>794.11</v>
      </c>
      <c r="AB91" s="9">
        <v>1766.47721</v>
      </c>
      <c r="AC91" s="9">
        <v>1847.43292</v>
      </c>
      <c r="AD91" s="9">
        <v>1533.0659111958953</v>
      </c>
      <c r="AE91" s="9">
        <v>236.17640469608816</v>
      </c>
      <c r="AF91" s="1042">
        <v>1242.652501815234</v>
      </c>
      <c r="AG91" s="1413">
        <v>2613.576182853064</v>
      </c>
      <c r="AH91" s="1413">
        <v>370.06643827359494</v>
      </c>
      <c r="AI91" s="1409">
        <f>'[73]Overall BOP'!AF223</f>
        <v>0</v>
      </c>
      <c r="AJ91" s="1409" t="e">
        <f>'[82]Overall BOP'!AG223</f>
        <v>#REF!</v>
      </c>
      <c r="AK91" s="1409" t="e">
        <f>'[82]Overall BOP'!AH223</f>
        <v>#REF!</v>
      </c>
      <c r="AL91" s="1409" t="e">
        <f>'[82]Overall BOP'!AI223</f>
        <v>#REF!</v>
      </c>
      <c r="AM91" s="1409" t="e">
        <f>'[82]Overall BOP'!AJ223</f>
        <v>#REF!</v>
      </c>
      <c r="AN91" s="1409" t="e">
        <f>'[82]Overall BOP'!AK223</f>
        <v>#REF!</v>
      </c>
      <c r="AO91" s="1884">
        <v>5695.6383229051644</v>
      </c>
      <c r="AP91" s="1643">
        <f>'[80]Keyind for Annual Report'!$R$38</f>
        <v>4473.1513911589973</v>
      </c>
      <c r="AQ91" s="1960"/>
    </row>
    <row r="92" spans="24:43" s="1949" customFormat="1">
      <c r="X92" s="1956" t="s">
        <v>595</v>
      </c>
      <c r="Y92" s="9">
        <v>5.1809720785935882</v>
      </c>
      <c r="Z92" s="9">
        <v>8.7714730843343851</v>
      </c>
      <c r="AA92" s="9">
        <v>6.9922514748613178</v>
      </c>
      <c r="AB92" s="9">
        <v>13.067747583933528</v>
      </c>
      <c r="AC92" s="9">
        <v>11.682468894099554</v>
      </c>
      <c r="AD92" s="9">
        <v>8.365277412953537</v>
      </c>
      <c r="AE92" s="9">
        <v>1.1773675812504081</v>
      </c>
      <c r="AF92" s="1042">
        <v>5.4365197498205573</v>
      </c>
      <c r="AG92" s="1413">
        <v>9.9549637497260015</v>
      </c>
      <c r="AH92" s="1413">
        <v>1.264363108659657</v>
      </c>
      <c r="AI92" s="1409">
        <f>'[73]Overall BOP'!AF250</f>
        <v>0</v>
      </c>
      <c r="AJ92" s="1409" t="e">
        <f>'[82]Overall BOP'!AG249</f>
        <v>#REF!</v>
      </c>
      <c r="AK92" s="1409" t="e">
        <f>'[82]Overall BOP'!AH249</f>
        <v>#REF!</v>
      </c>
      <c r="AL92" s="1409" t="e">
        <f>'[82]Overall BOP'!AI249</f>
        <v>#REF!</v>
      </c>
      <c r="AM92" s="1409" t="e">
        <f>'[82]Overall BOP'!AJ249</f>
        <v>#REF!</v>
      </c>
      <c r="AN92" s="1409" t="e">
        <f>'[82]Overall BOP'!AK249</f>
        <v>#REF!</v>
      </c>
      <c r="AO92" s="1884">
        <v>10.518299832880572</v>
      </c>
      <c r="AP92" s="1643">
        <f>'[80]Keyind for Annual Report'!$R$39</f>
        <v>6.1717708521791517</v>
      </c>
      <c r="AQ92" s="1960"/>
    </row>
    <row r="93" spans="24:43" s="1949" customFormat="1">
      <c r="X93" s="1956"/>
      <c r="Y93" s="9"/>
      <c r="Z93" s="9"/>
      <c r="AA93" s="9"/>
      <c r="AB93" s="9"/>
      <c r="AC93" s="9"/>
      <c r="AD93" s="9"/>
      <c r="AE93" s="9"/>
      <c r="AF93" s="9"/>
      <c r="AG93" s="178"/>
      <c r="AH93" s="178"/>
      <c r="AI93" s="1408"/>
      <c r="AJ93" s="1408"/>
      <c r="AK93" s="1408"/>
      <c r="AL93" s="1408"/>
      <c r="AM93" s="9"/>
      <c r="AN93" s="9"/>
      <c r="AO93" s="1411"/>
      <c r="AP93" s="1893"/>
      <c r="AQ93" s="1959"/>
    </row>
    <row r="94" spans="24:43" s="1949" customFormat="1">
      <c r="X94" s="1956" t="s">
        <v>1471</v>
      </c>
      <c r="Y94" s="9"/>
      <c r="Z94" s="9"/>
      <c r="AA94" s="9"/>
      <c r="AB94" s="9"/>
      <c r="AC94" s="9"/>
      <c r="AD94" s="9"/>
      <c r="AE94" s="9"/>
      <c r="AF94" s="9"/>
      <c r="AG94" s="178"/>
      <c r="AH94" s="178"/>
      <c r="AI94" s="1408"/>
      <c r="AJ94" s="1408"/>
      <c r="AK94" s="1408"/>
      <c r="AL94" s="1408"/>
      <c r="AM94" s="9"/>
      <c r="AN94" s="9"/>
      <c r="AO94" s="1411"/>
      <c r="AP94" s="1893"/>
      <c r="AQ94" s="1959"/>
    </row>
    <row r="95" spans="24:43" s="1949" customFormat="1">
      <c r="X95" s="1956" t="s">
        <v>1363</v>
      </c>
      <c r="Y95" s="9">
        <v>120.91941022864785</v>
      </c>
      <c r="Z95" s="9">
        <v>145.08249506987912</v>
      </c>
      <c r="AA95" s="9">
        <v>175.49287908405469</v>
      </c>
      <c r="AB95" s="9">
        <v>215.99010604052262</v>
      </c>
      <c r="AC95" s="9">
        <v>258.27155342281566</v>
      </c>
      <c r="AD95" s="9">
        <v>291.05912101682776</v>
      </c>
      <c r="AE95" s="9">
        <v>292.59759600042548</v>
      </c>
      <c r="AF95" s="1042">
        <v>315.31994853046302</v>
      </c>
      <c r="AG95" s="1413">
        <v>373.25998544458236</v>
      </c>
      <c r="AH95" s="1413">
        <v>383.25839980662323</v>
      </c>
      <c r="AI95" s="1409" t="e">
        <f>[81]Reserves!BR95</f>
        <v>#REF!</v>
      </c>
      <c r="AJ95" s="1409" t="e">
        <f>[81]Reserves!CD95</f>
        <v>#REF!</v>
      </c>
      <c r="AK95" s="1410" t="e">
        <f>[81]Reserves!CP95</f>
        <v>#REF!</v>
      </c>
      <c r="AL95" s="1410">
        <v>655.29999999999995</v>
      </c>
      <c r="AM95" s="1042">
        <v>772.7</v>
      </c>
      <c r="AN95" s="1042" t="e">
        <f>'[81]ReservesReport(Old)'!DM62</f>
        <v>#REF!</v>
      </c>
      <c r="AO95" s="1885">
        <v>901.1</v>
      </c>
      <c r="AP95" s="1643">
        <v>906</v>
      </c>
      <c r="AQ95" s="1958" t="e">
        <f>'[81]Reserve Report ( new)'!EO62</f>
        <v>#REF!</v>
      </c>
    </row>
    <row r="96" spans="24:43" s="1949" customFormat="1">
      <c r="X96" s="1956" t="s">
        <v>137</v>
      </c>
      <c r="Y96" s="9">
        <v>-13.966044001986159</v>
      </c>
      <c r="Z96" s="9">
        <v>-18.605082825005223</v>
      </c>
      <c r="AA96" s="9">
        <v>-20.321455653121504</v>
      </c>
      <c r="AB96" s="9">
        <v>20.953863064722256</v>
      </c>
      <c r="AC96" s="9">
        <v>19.338790797929782</v>
      </c>
      <c r="AD96" s="9">
        <v>19.32949920855069</v>
      </c>
      <c r="AE96" s="9">
        <v>19.027166108715914</v>
      </c>
      <c r="AF96" s="1042">
        <v>18.922669227428404</v>
      </c>
      <c r="AG96" s="1413">
        <v>21.16583446321075</v>
      </c>
      <c r="AH96" s="1413">
        <v>17.552853618129497</v>
      </c>
      <c r="AI96" s="1409">
        <f>[73]Reserves!AM95</f>
        <v>0</v>
      </c>
      <c r="AJ96" s="1409">
        <f>[73]Reserves!AN95</f>
        <v>0</v>
      </c>
      <c r="AK96" s="1409">
        <f>[73]Reserves!AO95</f>
        <v>0</v>
      </c>
      <c r="AL96" s="1409">
        <f>[73]Reserves!AP95</f>
        <v>0</v>
      </c>
      <c r="AM96" s="1409">
        <f>[73]Reserves!AQ95</f>
        <v>0</v>
      </c>
      <c r="AN96" s="1042" t="e">
        <f>'[81]ReservesReport(Old)'!DM67</f>
        <v>#REF!</v>
      </c>
      <c r="AO96" s="1885">
        <v>15.6</v>
      </c>
      <c r="AP96" s="1643">
        <v>11.2</v>
      </c>
      <c r="AQ96" s="1955" t="e">
        <f>'[81]Reserve Report ( new)'!EO67</f>
        <v>#REF!</v>
      </c>
    </row>
    <row r="97" spans="24:43" s="1949" customFormat="1">
      <c r="X97" s="1956" t="s">
        <v>1152</v>
      </c>
      <c r="Y97" s="9">
        <v>52.461838705191909</v>
      </c>
      <c r="Z97" s="9">
        <v>41.376047274190306</v>
      </c>
      <c r="AA97" s="9">
        <v>36.988726992296179</v>
      </c>
      <c r="AB97" s="9">
        <v>37.072586329107601</v>
      </c>
      <c r="AC97" s="9">
        <v>39.82481148122087</v>
      </c>
      <c r="AD97" s="9">
        <v>44.615111131061049</v>
      </c>
      <c r="AE97" s="9">
        <v>54.759797904278898</v>
      </c>
      <c r="AF97" s="1042">
        <v>61.545254202471099</v>
      </c>
      <c r="AG97" s="1413">
        <v>74.028731532111522</v>
      </c>
      <c r="AH97" s="1413">
        <v>82.104901165410638</v>
      </c>
      <c r="AI97" s="1409">
        <v>96.1</v>
      </c>
      <c r="AJ97" s="1409">
        <f>[85]Graph!AW91</f>
        <v>0</v>
      </c>
      <c r="AK97" s="1409">
        <f>[85]Graph!AX91</f>
        <v>0</v>
      </c>
      <c r="AL97" s="1409">
        <f>[85]Graph!AY91</f>
        <v>0</v>
      </c>
      <c r="AM97" s="1409">
        <f>[85]Graph!AZ91</f>
        <v>0</v>
      </c>
      <c r="AN97" s="1409">
        <f>[85]Graph!BA91</f>
        <v>0</v>
      </c>
      <c r="AO97" s="1411">
        <v>69.599999999999994</v>
      </c>
      <c r="AP97" s="1893">
        <v>74.400000000000006</v>
      </c>
      <c r="AQ97" s="1957">
        <v>83.3</v>
      </c>
    </row>
    <row r="98" spans="24:43" s="1949" customFormat="1">
      <c r="X98" s="1956" t="s">
        <v>138</v>
      </c>
      <c r="Y98" s="9">
        <v>14.177816820283276</v>
      </c>
      <c r="Z98" s="9">
        <v>20.778973033225327</v>
      </c>
      <c r="AA98" s="9">
        <v>8.509974597302417</v>
      </c>
      <c r="AB98" s="9">
        <v>7.9696928981746806</v>
      </c>
      <c r="AC98" s="9">
        <v>12.075254395483958</v>
      </c>
      <c r="AD98" s="9">
        <v>4.8946024698393282</v>
      </c>
      <c r="AE98" s="9">
        <v>4.7390465717413193</v>
      </c>
      <c r="AF98" s="1042">
        <v>4.8586173544437106</v>
      </c>
      <c r="AG98" s="1413">
        <v>4.9954082485917946</v>
      </c>
      <c r="AH98" s="1413">
        <v>4.1972148096528104</v>
      </c>
      <c r="AI98" s="1409">
        <v>11.9</v>
      </c>
      <c r="AJ98" s="1409">
        <f>[85]Graph!AW103</f>
        <v>0</v>
      </c>
      <c r="AK98" s="1409">
        <f>[85]Graph!AX103</f>
        <v>0</v>
      </c>
      <c r="AL98" s="1409">
        <f>[85]Graph!AY103</f>
        <v>0</v>
      </c>
      <c r="AM98" s="1409">
        <f>[85]Graph!AZ103</f>
        <v>0</v>
      </c>
      <c r="AN98" s="1409">
        <f>[85]Graph!BA103</f>
        <v>0</v>
      </c>
      <c r="AO98" s="1411">
        <v>26.4</v>
      </c>
      <c r="AP98" s="1893">
        <v>81.2</v>
      </c>
      <c r="AQ98" s="1957">
        <v>25.9</v>
      </c>
    </row>
    <row r="99" spans="24:43" s="1949" customFormat="1">
      <c r="X99" s="1956"/>
      <c r="Y99" s="9"/>
      <c r="Z99" s="9"/>
      <c r="AA99" s="9"/>
      <c r="AB99" s="9"/>
      <c r="AC99" s="9"/>
      <c r="AD99" s="9"/>
      <c r="AE99" s="9"/>
      <c r="AF99" s="9"/>
      <c r="AG99" s="178"/>
      <c r="AH99" s="178"/>
      <c r="AI99" s="178"/>
      <c r="AJ99" s="178"/>
      <c r="AK99" s="9"/>
      <c r="AL99" s="9"/>
      <c r="AM99" s="9"/>
      <c r="AN99" s="9"/>
      <c r="AO99" s="1411"/>
      <c r="AP99" s="1893"/>
      <c r="AQ99" s="1957"/>
    </row>
    <row r="100" spans="24:43" s="1949" customFormat="1">
      <c r="X100" s="1956" t="s">
        <v>596</v>
      </c>
      <c r="Y100" s="9"/>
      <c r="Z100" s="9"/>
      <c r="AA100" s="9"/>
      <c r="AB100" s="9"/>
      <c r="AC100" s="9"/>
      <c r="AD100" s="9"/>
      <c r="AE100" s="9"/>
      <c r="AF100" s="9"/>
      <c r="AG100" s="178"/>
      <c r="AH100" s="178"/>
      <c r="AI100" s="178"/>
      <c r="AJ100" s="178"/>
      <c r="AK100" s="9"/>
      <c r="AL100" s="9"/>
      <c r="AM100" s="9"/>
      <c r="AN100" s="9"/>
      <c r="AO100" s="1411"/>
      <c r="AP100" s="1893"/>
      <c r="AQ100" s="1957"/>
    </row>
    <row r="101" spans="24:43" s="1949" customFormat="1">
      <c r="X101" s="1956" t="s">
        <v>139</v>
      </c>
      <c r="Y101" s="9">
        <v>8509.6</v>
      </c>
      <c r="Z101" s="9">
        <v>9756.4</v>
      </c>
      <c r="AA101" s="9">
        <v>11357</v>
      </c>
      <c r="AB101" s="9">
        <v>13517.84</v>
      </c>
      <c r="AC101" s="9">
        <v>15813.72</v>
      </c>
      <c r="AD101" s="9">
        <v>18326.54</v>
      </c>
      <c r="AE101" s="9">
        <v>20059.7</v>
      </c>
      <c r="AF101" s="1042">
        <v>22857.5</v>
      </c>
      <c r="AG101" s="1413">
        <v>26254</v>
      </c>
      <c r="AH101" s="1413">
        <v>29269</v>
      </c>
      <c r="AI101" s="1413">
        <v>32178.1</v>
      </c>
      <c r="AJ101" s="1413">
        <v>36914.800000000003</v>
      </c>
      <c r="AK101" s="1413">
        <v>36914.800000000003</v>
      </c>
      <c r="AL101" s="9"/>
      <c r="AM101" s="9"/>
      <c r="AN101" s="9"/>
      <c r="AO101" s="1411"/>
      <c r="AP101" s="1893"/>
      <c r="AQ101" s="1957"/>
    </row>
    <row r="102" spans="24:43" s="1949" customFormat="1">
      <c r="X102" s="1956" t="s">
        <v>1364</v>
      </c>
      <c r="Y102" s="9"/>
      <c r="Z102" s="9">
        <v>2567.1</v>
      </c>
      <c r="AA102" s="9">
        <v>2122.6</v>
      </c>
      <c r="AB102" s="9">
        <v>3318.5</v>
      </c>
      <c r="AC102" s="9">
        <v>4464</v>
      </c>
      <c r="AD102" s="9">
        <v>4872.01</v>
      </c>
      <c r="AE102" s="9">
        <v>4631.93</v>
      </c>
      <c r="AF102" s="1042">
        <v>5937.63</v>
      </c>
      <c r="AG102" s="1413">
        <v>8008.01</v>
      </c>
      <c r="AH102" s="1413">
        <v>9370.25</v>
      </c>
      <c r="AI102" s="1409">
        <v>9340.07</v>
      </c>
      <c r="AJ102" s="1409">
        <v>13474.67</v>
      </c>
      <c r="AK102" s="1410">
        <v>13319.6</v>
      </c>
      <c r="AL102" s="1410">
        <v>12871</v>
      </c>
      <c r="AM102" s="1410">
        <v>14696.5</v>
      </c>
      <c r="AN102" s="1042">
        <f>'[11]RMA Liabilities'!Y155</f>
        <v>18105.034899722508</v>
      </c>
      <c r="AO102" s="1410">
        <v>21741.200000000001</v>
      </c>
      <c r="AP102" s="1643">
        <f>'[11]RMA Liabilities'!$C$111</f>
        <v>19727.626879979998</v>
      </c>
      <c r="AQ102" s="1955">
        <f>'[11]RMA Liabilities'!$C$115</f>
        <v>23393.19300802</v>
      </c>
    </row>
    <row r="103" spans="24:43" s="1949" customFormat="1">
      <c r="X103" s="1956" t="s">
        <v>763</v>
      </c>
      <c r="Y103" s="9"/>
      <c r="Z103" s="9"/>
      <c r="AA103" s="9"/>
      <c r="AB103" s="9"/>
      <c r="AC103" s="9"/>
      <c r="AD103" s="9"/>
      <c r="AE103" s="9"/>
      <c r="AF103" s="1042">
        <v>1600.2</v>
      </c>
      <c r="AG103" s="1413">
        <v>1699</v>
      </c>
      <c r="AH103" s="1413">
        <v>2015.2</v>
      </c>
      <c r="AI103" s="1409">
        <v>2303.4</v>
      </c>
      <c r="AJ103" s="1409">
        <v>2614.9</v>
      </c>
      <c r="AK103" s="1410">
        <v>3166</v>
      </c>
      <c r="AL103" s="1408"/>
      <c r="AM103" s="1408"/>
      <c r="AN103" s="9"/>
      <c r="AO103" s="1408"/>
      <c r="AP103" s="1893"/>
      <c r="AQ103" s="1957"/>
    </row>
    <row r="104" spans="24:43" s="1949" customFormat="1">
      <c r="X104" s="1956" t="s">
        <v>1362</v>
      </c>
      <c r="Y104" s="9"/>
      <c r="Z104" s="9" t="s">
        <v>244</v>
      </c>
      <c r="AA104" s="9">
        <v>1419.12</v>
      </c>
      <c r="AB104" s="9">
        <v>2082.6999999999998</v>
      </c>
      <c r="AC104" s="9">
        <v>3350.08</v>
      </c>
      <c r="AD104" s="9">
        <v>3685.98</v>
      </c>
      <c r="AE104" s="9">
        <v>3045.28</v>
      </c>
      <c r="AF104" s="1042">
        <v>4222.8599999999997</v>
      </c>
      <c r="AG104" s="1413">
        <v>6242.92</v>
      </c>
      <c r="AH104" s="1413">
        <v>7261.71</v>
      </c>
      <c r="AI104" s="1409">
        <v>6929.5</v>
      </c>
      <c r="AJ104" s="1409">
        <v>10703</v>
      </c>
      <c r="AK104" s="1410">
        <v>9982.34</v>
      </c>
      <c r="AL104" s="1410">
        <v>8685.7000000000007</v>
      </c>
      <c r="AM104" s="1410">
        <v>9810.2000000000007</v>
      </c>
      <c r="AN104" s="1042">
        <f>'[11]RMA Liabilities'!$F$99</f>
        <v>14683.920867370001</v>
      </c>
      <c r="AO104" s="1410">
        <v>16522.5</v>
      </c>
      <c r="AP104" s="1643">
        <f>'[11]RMA Liabilities'!$F$111</f>
        <v>11927.352111979999</v>
      </c>
      <c r="AQ104" s="1955">
        <f>'[11]RMA Liabilities'!$F$115</f>
        <v>15910.522640020001</v>
      </c>
    </row>
    <row r="105" spans="24:43" s="1949" customFormat="1">
      <c r="X105" s="1956" t="s">
        <v>1344</v>
      </c>
      <c r="Y105" s="9"/>
      <c r="Z105" s="9"/>
      <c r="AA105" s="9">
        <v>2.0153114105342507</v>
      </c>
      <c r="AB105" s="9">
        <v>1.8270604188639448</v>
      </c>
      <c r="AC105" s="9">
        <v>1.6485618279569891</v>
      </c>
      <c r="AD105" s="9">
        <v>1.8168312462412846</v>
      </c>
      <c r="AE105" s="9">
        <v>2.0336706297374958</v>
      </c>
      <c r="AF105" s="1042">
        <v>1.8655423123367403</v>
      </c>
      <c r="AG105" s="1413">
        <v>1.7801004729502083</v>
      </c>
      <c r="AH105" s="1413">
        <v>1.582909770236653</v>
      </c>
      <c r="AI105" s="1409">
        <v>2</v>
      </c>
      <c r="AJ105" s="1409">
        <v>1.7</v>
      </c>
      <c r="AK105" s="1410">
        <v>1.9</v>
      </c>
      <c r="AL105" s="1410">
        <v>2</v>
      </c>
      <c r="AM105" s="1410">
        <v>2.2000000000000002</v>
      </c>
      <c r="AN105" s="1042">
        <f>'[11]Monetary Survey Liabilities'!$C$102/AN102</f>
        <v>2.3075735207844494</v>
      </c>
      <c r="AO105" s="1410">
        <f>43862.8/AO102</f>
        <v>2.0174967343108938</v>
      </c>
      <c r="AP105" s="1643" t="e">
        <f>[81]Monetary2!Y255/'Key Ind '!AP102</f>
        <v>#REF!</v>
      </c>
      <c r="AQ105" s="1955">
        <f>'[11]Monetary Survey Liabilities'!$C$117/AQ102</f>
        <v>2.2730992506386682</v>
      </c>
    </row>
    <row r="106" spans="24:43" s="1949" customFormat="1">
      <c r="X106" s="1943" t="s">
        <v>1345</v>
      </c>
      <c r="Y106" s="1944"/>
      <c r="Z106" s="1944"/>
      <c r="AA106" s="1944">
        <v>2.6549313883629058</v>
      </c>
      <c r="AB106" s="1944">
        <v>2.2295261499892791</v>
      </c>
      <c r="AC106" s="1944">
        <v>2.148842669971383</v>
      </c>
      <c r="AD106" s="1944">
        <v>2.0704164887331356</v>
      </c>
      <c r="AE106" s="1944">
        <v>2.1295205216235558</v>
      </c>
      <c r="AF106" s="1944">
        <v>2.0635286045734822</v>
      </c>
      <c r="AG106" s="1944">
        <v>1.8417316799246353</v>
      </c>
      <c r="AH106" s="1944">
        <v>1.9733337642545021</v>
      </c>
      <c r="AI106" s="1944">
        <v>1.7</v>
      </c>
      <c r="AJ106" s="1944">
        <v>1.5</v>
      </c>
      <c r="AK106" s="1944">
        <v>1.6</v>
      </c>
      <c r="AL106" s="1944">
        <v>1.9</v>
      </c>
      <c r="AM106" s="1944">
        <v>1.7</v>
      </c>
      <c r="AN106" s="1891">
        <f>61223/41778.7</f>
        <v>1.4654118007501431</v>
      </c>
      <c r="AO106" s="1887">
        <f>54150/43862.8</f>
        <v>1.2345313112705982</v>
      </c>
      <c r="AP106" s="1928" t="e">
        <f>[84]GDPnom!$Z$37/[81]Monetary2!Y255</f>
        <v>#REF!</v>
      </c>
      <c r="AQ106" s="1931" t="e">
        <f>72477.61/[81]Monetary1!X260</f>
        <v>#REF!</v>
      </c>
    </row>
    <row r="107" spans="24:43" s="1949" customFormat="1">
      <c r="X107" s="1415" t="s">
        <v>1407</v>
      </c>
      <c r="Y107" s="1411"/>
      <c r="Z107" s="1411"/>
      <c r="AA107" s="1411"/>
      <c r="AB107" s="1411"/>
      <c r="AC107" s="1411"/>
      <c r="AD107" s="1411"/>
      <c r="AE107" s="1411"/>
      <c r="AF107" s="1411"/>
      <c r="AG107" s="1411"/>
      <c r="AH107" s="1411"/>
      <c r="AI107" s="1408">
        <v>2.5</v>
      </c>
      <c r="AJ107" s="1408">
        <v>1.3</v>
      </c>
      <c r="AK107" s="1408">
        <v>1.3</v>
      </c>
      <c r="AL107" s="1408" t="s">
        <v>1408</v>
      </c>
      <c r="AM107" s="1408" t="s">
        <v>1408</v>
      </c>
      <c r="AN107" s="1408"/>
      <c r="AO107" s="1417">
        <v>1.8</v>
      </c>
      <c r="AP107" s="5028" t="s">
        <v>1411</v>
      </c>
      <c r="AQ107" s="5028"/>
    </row>
    <row r="108" spans="24:43" s="1949" customFormat="1">
      <c r="X108" s="1416" t="s">
        <v>1409</v>
      </c>
      <c r="Y108" s="1954"/>
      <c r="Z108" s="1954"/>
      <c r="AA108" s="1954"/>
      <c r="AB108" s="1954"/>
      <c r="AC108" s="1954"/>
      <c r="AD108" s="1954"/>
      <c r="AE108" s="1954"/>
      <c r="AF108" s="1954"/>
      <c r="AG108" s="1954"/>
      <c r="AH108" s="1954"/>
      <c r="AI108" s="1953">
        <v>2.5</v>
      </c>
      <c r="AJ108" s="1953">
        <v>2.2999999999999998</v>
      </c>
      <c r="AK108" s="1953">
        <v>3.2</v>
      </c>
      <c r="AL108" s="1953">
        <v>3.7</v>
      </c>
      <c r="AM108" s="1952">
        <v>4</v>
      </c>
      <c r="AN108" s="1952"/>
      <c r="AO108" s="1418">
        <v>4</v>
      </c>
      <c r="AP108" s="1898"/>
      <c r="AQ108" s="1951"/>
    </row>
    <row r="109" spans="24:43" s="1949" customFormat="1">
      <c r="X109" s="5022" t="s">
        <v>1501</v>
      </c>
      <c r="Y109" s="5022"/>
      <c r="Z109" s="5022"/>
      <c r="AA109" s="5022"/>
      <c r="AB109" s="5022"/>
      <c r="AC109" s="5022"/>
      <c r="AD109" s="5022"/>
      <c r="AE109" s="5022"/>
      <c r="AF109" s="5022"/>
      <c r="AG109" s="5022"/>
      <c r="AH109" s="5022"/>
      <c r="AI109" s="5022"/>
      <c r="AJ109" s="5022"/>
      <c r="AK109" s="5022"/>
      <c r="AL109" s="5022"/>
      <c r="AM109" s="5022"/>
      <c r="AN109" s="5022"/>
      <c r="AO109" s="5022"/>
      <c r="AP109" s="5022"/>
      <c r="AQ109" s="5022"/>
    </row>
    <row r="110" spans="24:43" s="1949" customFormat="1">
      <c r="X110" s="5022"/>
      <c r="Y110" s="5022"/>
      <c r="Z110" s="5022"/>
      <c r="AA110" s="5022"/>
      <c r="AB110" s="5022"/>
      <c r="AC110" s="5022"/>
      <c r="AD110" s="5022"/>
      <c r="AE110" s="5022"/>
      <c r="AF110" s="5022"/>
      <c r="AG110" s="5022"/>
      <c r="AH110" s="5022"/>
      <c r="AI110" s="5022"/>
      <c r="AJ110" s="5022"/>
      <c r="AK110" s="5022"/>
      <c r="AL110" s="5022"/>
      <c r="AM110" s="5022"/>
      <c r="AN110" s="5022"/>
      <c r="AO110" s="5022"/>
      <c r="AP110" s="5022"/>
      <c r="AQ110" s="5022"/>
    </row>
    <row r="111" spans="24:43" s="1949" customFormat="1">
      <c r="X111" s="5022"/>
      <c r="Y111" s="5022"/>
      <c r="Z111" s="5022"/>
      <c r="AA111" s="5022"/>
      <c r="AB111" s="5022"/>
      <c r="AC111" s="5022"/>
      <c r="AD111" s="5022"/>
      <c r="AE111" s="5022"/>
      <c r="AF111" s="5022"/>
      <c r="AG111" s="5022"/>
      <c r="AH111" s="5022"/>
      <c r="AI111" s="5022"/>
      <c r="AJ111" s="5022"/>
      <c r="AK111" s="5022"/>
      <c r="AL111" s="5022"/>
      <c r="AM111" s="5022"/>
      <c r="AN111" s="5022"/>
      <c r="AO111" s="5022"/>
      <c r="AP111" s="5022"/>
      <c r="AQ111" s="5022"/>
    </row>
    <row r="112" spans="24:43" s="1949" customFormat="1">
      <c r="X112" s="5022"/>
      <c r="Y112" s="5022"/>
      <c r="Z112" s="5022"/>
      <c r="AA112" s="5022"/>
      <c r="AB112" s="5022"/>
      <c r="AC112" s="5022"/>
      <c r="AD112" s="5022"/>
      <c r="AE112" s="5022"/>
      <c r="AF112" s="5022"/>
      <c r="AG112" s="5022"/>
      <c r="AH112" s="5022"/>
      <c r="AI112" s="5022"/>
      <c r="AJ112" s="5022"/>
      <c r="AK112" s="5022"/>
      <c r="AL112" s="5022"/>
      <c r="AM112" s="5022"/>
      <c r="AN112" s="5022"/>
      <c r="AO112" s="5022"/>
      <c r="AP112" s="5022"/>
      <c r="AQ112" s="5022"/>
    </row>
  </sheetData>
  <mergeCells count="6">
    <mergeCell ref="X109:AQ112"/>
    <mergeCell ref="B3:N3"/>
    <mergeCell ref="B2:S2"/>
    <mergeCell ref="X57:AJ57"/>
    <mergeCell ref="AP107:AQ107"/>
    <mergeCell ref="B56:U56"/>
  </mergeCells>
  <pageMargins left="0.75" right="0.75" top="1" bottom="0.59" header="0.5" footer="0.5"/>
  <pageSetup scale="56" orientation="portrait" r:id="rId1"/>
  <headerFooter alignWithMargins="0"/>
  <colBreaks count="1" manualBreakCount="1">
    <brk id="23" max="1048575" man="1"/>
  </colBreaks>
</worksheet>
</file>

<file path=xl/worksheets/sheet9.xml><?xml version="1.0" encoding="utf-8"?>
<worksheet xmlns="http://schemas.openxmlformats.org/spreadsheetml/2006/main" xmlns:r="http://schemas.openxmlformats.org/officeDocument/2006/relationships">
  <sheetPr codeName="Sheet12"/>
  <dimension ref="A1:AK65"/>
  <sheetViews>
    <sheetView topLeftCell="B4" zoomScale="75" workbookViewId="0">
      <pane xSplit="1" ySplit="8" topLeftCell="M25" activePane="bottomRight" state="frozen"/>
      <selection activeCell="B4" sqref="B4"/>
      <selection pane="topRight" activeCell="C4" sqref="C4"/>
      <selection pane="bottomLeft" activeCell="B12" sqref="B12"/>
      <selection pane="bottomRight" activeCell="N39" sqref="N39:S39"/>
    </sheetView>
  </sheetViews>
  <sheetFormatPr defaultRowHeight="15"/>
  <cols>
    <col min="1" max="1" width="0.5703125" style="5" hidden="1" customWidth="1"/>
    <col min="2" max="2" width="38.140625" style="5" customWidth="1"/>
    <col min="3" max="3" width="6" style="5" customWidth="1"/>
    <col min="4" max="9" width="9.140625" style="5"/>
    <col min="10" max="12" width="12" style="5" customWidth="1"/>
    <col min="13" max="13" width="9.140625" style="5"/>
    <col min="14" max="14" width="10.85546875" style="5" customWidth="1"/>
    <col min="15" max="15" width="10.28515625" style="5" customWidth="1"/>
    <col min="16" max="16" width="11.140625" style="5" customWidth="1"/>
    <col min="17" max="17" width="10.7109375" style="5" customWidth="1"/>
    <col min="18" max="18" width="10.5703125" style="5" customWidth="1"/>
    <col min="19" max="19" width="12.5703125" style="5" customWidth="1"/>
    <col min="20" max="20" width="11.140625" style="5" customWidth="1"/>
    <col min="21" max="21" width="12" style="5" customWidth="1"/>
    <col min="22" max="22" width="10.42578125" style="5" customWidth="1"/>
    <col min="23" max="23" width="41.5703125" style="5" customWidth="1"/>
    <col min="24" max="24" width="11.85546875" style="5" bestFit="1" customWidth="1"/>
    <col min="25" max="16384" width="9.140625" style="5"/>
  </cols>
  <sheetData>
    <row r="1" spans="2:25" ht="15.75">
      <c r="B1" s="4441" t="s">
        <v>377</v>
      </c>
      <c r="C1" s="4441"/>
      <c r="D1" s="4441"/>
      <c r="E1" s="4441"/>
      <c r="F1" s="4441"/>
      <c r="G1" s="4441"/>
      <c r="H1" s="4441"/>
      <c r="I1" s="4441"/>
      <c r="J1" s="4441"/>
      <c r="K1" s="4441"/>
      <c r="L1" s="4441"/>
      <c r="M1" s="4441"/>
      <c r="N1" s="4441"/>
      <c r="O1" s="4441"/>
      <c r="P1" s="4441"/>
      <c r="Q1" s="4441"/>
      <c r="R1" s="4441"/>
      <c r="S1" s="4441"/>
      <c r="T1" s="925"/>
      <c r="U1" s="925"/>
      <c r="V1" s="925"/>
    </row>
    <row r="2" spans="2:25">
      <c r="F2" s="33"/>
      <c r="G2" s="33"/>
    </row>
    <row r="4" spans="2:25">
      <c r="B4" s="4446" t="s">
        <v>117</v>
      </c>
      <c r="C4" s="4446"/>
      <c r="D4" s="4446"/>
      <c r="E4" s="4446"/>
      <c r="F4" s="4446"/>
      <c r="G4" s="4446"/>
      <c r="H4" s="4446"/>
      <c r="I4" s="4446"/>
      <c r="J4" s="4446"/>
      <c r="K4" s="4446"/>
      <c r="L4" s="4446"/>
      <c r="M4" s="4446"/>
      <c r="N4" s="4446"/>
      <c r="O4" s="4446"/>
      <c r="P4" s="4446"/>
      <c r="Q4" s="4446"/>
      <c r="R4" s="4446"/>
      <c r="S4" s="4446"/>
      <c r="T4" s="4446"/>
      <c r="U4" s="4446"/>
      <c r="V4" s="4446"/>
      <c r="W4" s="4446"/>
    </row>
    <row r="5" spans="2:25" ht="15.75" customHeight="1">
      <c r="B5" s="4446"/>
      <c r="C5" s="4446"/>
      <c r="D5" s="4446"/>
      <c r="E5" s="4446"/>
      <c r="F5" s="4446"/>
      <c r="G5" s="4446"/>
      <c r="H5" s="4446"/>
      <c r="I5" s="4446"/>
      <c r="J5" s="4446"/>
      <c r="K5" s="4446"/>
      <c r="L5" s="4446"/>
      <c r="M5" s="4446"/>
      <c r="N5" s="4446"/>
      <c r="O5" s="4446"/>
      <c r="P5" s="4446"/>
      <c r="Q5" s="4446"/>
      <c r="R5" s="4446"/>
      <c r="S5" s="4446"/>
      <c r="T5" s="4446"/>
      <c r="U5" s="4446"/>
      <c r="V5" s="4446"/>
      <c r="W5" s="4446"/>
    </row>
    <row r="6" spans="2:25" ht="24" customHeight="1">
      <c r="B6" s="76" t="s">
        <v>129</v>
      </c>
      <c r="C6" s="76"/>
      <c r="D6" s="76"/>
      <c r="E6" s="76"/>
      <c r="F6" s="76"/>
      <c r="G6" s="19"/>
      <c r="H6" s="19"/>
      <c r="I6" s="19"/>
      <c r="J6" s="24"/>
      <c r="K6" s="24"/>
      <c r="L6" s="82"/>
      <c r="M6" s="82"/>
      <c r="N6" s="82"/>
      <c r="O6" s="295"/>
      <c r="P6" s="295"/>
      <c r="Q6" s="1103"/>
      <c r="R6" s="1103"/>
      <c r="S6" s="1103"/>
      <c r="T6" s="929"/>
      <c r="U6" s="929"/>
      <c r="V6" s="32"/>
    </row>
    <row r="7" spans="2:25" ht="15" customHeight="1">
      <c r="B7" s="77"/>
      <c r="C7" s="77"/>
      <c r="D7" s="77"/>
      <c r="E7" s="77"/>
      <c r="F7" s="77"/>
      <c r="G7" s="18"/>
      <c r="H7" s="18"/>
      <c r="I7" s="18"/>
      <c r="O7" s="9"/>
      <c r="P7" s="9"/>
      <c r="Q7" s="12"/>
      <c r="R7" s="12"/>
      <c r="S7" s="12"/>
      <c r="T7" s="930"/>
      <c r="U7" s="930"/>
      <c r="V7" s="12"/>
    </row>
    <row r="8" spans="2:25" ht="15" customHeight="1">
      <c r="B8" s="78" t="s">
        <v>142</v>
      </c>
      <c r="C8" s="77" t="s">
        <v>527</v>
      </c>
      <c r="D8" s="77"/>
      <c r="E8" s="77"/>
      <c r="F8" s="77"/>
      <c r="G8" s="77" t="s">
        <v>527</v>
      </c>
      <c r="H8" s="77" t="s">
        <v>527</v>
      </c>
      <c r="I8" s="77" t="s">
        <v>527</v>
      </c>
      <c r="L8" s="1107"/>
      <c r="M8" s="1107"/>
      <c r="N8" s="1107"/>
      <c r="O8" s="1107"/>
      <c r="P8" s="1107"/>
      <c r="Q8" s="1104"/>
      <c r="R8" s="1104"/>
      <c r="S8" s="1104"/>
      <c r="T8" s="930"/>
      <c r="U8" s="930"/>
      <c r="V8" s="12"/>
    </row>
    <row r="9" spans="2:25">
      <c r="B9" s="1053"/>
      <c r="C9" s="1133"/>
      <c r="D9" s="1133"/>
      <c r="E9" s="1133"/>
      <c r="F9" s="1133"/>
      <c r="G9" s="1134"/>
      <c r="H9" s="1134"/>
      <c r="I9" s="273"/>
      <c r="J9" s="273"/>
      <c r="K9" s="273"/>
      <c r="L9" s="273"/>
      <c r="M9" s="273"/>
      <c r="N9" s="1135"/>
      <c r="O9" s="32"/>
      <c r="P9" s="20"/>
      <c r="Q9" s="32"/>
      <c r="R9" s="32"/>
      <c r="S9" s="4447" t="s">
        <v>1181</v>
      </c>
      <c r="T9" s="4448"/>
      <c r="U9" s="4448"/>
      <c r="V9" s="4448"/>
      <c r="W9" s="32"/>
    </row>
    <row r="10" spans="2:25" ht="15.75" customHeight="1">
      <c r="B10" s="1056"/>
      <c r="C10" s="81"/>
      <c r="D10" s="81"/>
      <c r="E10" s="81"/>
      <c r="F10" s="81"/>
      <c r="G10" s="156"/>
      <c r="H10" s="156"/>
      <c r="I10" s="8"/>
      <c r="J10" s="8"/>
      <c r="K10" s="8"/>
      <c r="L10" s="8"/>
      <c r="M10" s="8"/>
      <c r="N10" s="18"/>
      <c r="O10" s="12"/>
      <c r="P10" s="28"/>
      <c r="Q10" s="12"/>
      <c r="R10" s="12"/>
      <c r="S10" s="4449"/>
      <c r="T10" s="4450"/>
      <c r="U10" s="4450"/>
      <c r="V10" s="4450"/>
      <c r="W10" s="12"/>
      <c r="X10" s="274"/>
    </row>
    <row r="11" spans="2:25" ht="15" customHeight="1">
      <c r="B11" s="1061" t="s">
        <v>610</v>
      </c>
      <c r="C11" s="83" t="s">
        <v>528</v>
      </c>
      <c r="D11" s="1014">
        <v>1990</v>
      </c>
      <c r="E11" s="1014">
        <v>1991</v>
      </c>
      <c r="F11" s="1014">
        <v>1992</v>
      </c>
      <c r="G11" s="168" t="s">
        <v>155</v>
      </c>
      <c r="H11" s="168" t="s">
        <v>156</v>
      </c>
      <c r="I11" s="10" t="s">
        <v>144</v>
      </c>
      <c r="J11" s="10" t="s">
        <v>154</v>
      </c>
      <c r="K11" s="10" t="s">
        <v>529</v>
      </c>
      <c r="L11" s="84">
        <v>1998</v>
      </c>
      <c r="M11" s="84">
        <v>1999</v>
      </c>
      <c r="N11" s="74">
        <v>2000</v>
      </c>
      <c r="O11" s="85">
        <v>2001</v>
      </c>
      <c r="P11" s="1102">
        <v>2002</v>
      </c>
      <c r="Q11" s="85">
        <v>2003</v>
      </c>
      <c r="R11" s="85">
        <v>2004</v>
      </c>
      <c r="S11" s="1015">
        <v>2005</v>
      </c>
      <c r="T11" s="931">
        <v>2006</v>
      </c>
      <c r="U11" s="931">
        <v>2007</v>
      </c>
      <c r="V11" s="1136">
        <v>2008</v>
      </c>
      <c r="W11" s="13" t="s">
        <v>116</v>
      </c>
      <c r="X11" s="1016"/>
      <c r="Y11" s="1016"/>
    </row>
    <row r="12" spans="2:25">
      <c r="B12" s="1065" t="s">
        <v>142</v>
      </c>
      <c r="C12" s="86"/>
      <c r="D12" s="86"/>
      <c r="E12" s="86"/>
      <c r="F12" s="86"/>
      <c r="G12" s="1017"/>
      <c r="H12" s="1017"/>
      <c r="I12" s="1018"/>
      <c r="J12" s="1018"/>
      <c r="K12" s="1018"/>
      <c r="L12" s="86"/>
      <c r="M12" s="86"/>
      <c r="N12" s="86"/>
      <c r="O12" s="1019"/>
      <c r="P12" s="1020"/>
      <c r="Q12" s="1021"/>
      <c r="R12" s="1020"/>
      <c r="S12" s="1020"/>
      <c r="T12" s="1022"/>
      <c r="U12" s="1022"/>
      <c r="V12" s="9"/>
      <c r="W12" s="12"/>
      <c r="X12" s="9"/>
      <c r="Y12" s="9"/>
    </row>
    <row r="13" spans="2:25">
      <c r="B13" s="1068" t="s">
        <v>530</v>
      </c>
      <c r="C13" s="86"/>
      <c r="D13" s="86"/>
      <c r="E13" s="86"/>
      <c r="F13" s="86"/>
      <c r="G13" s="1017"/>
      <c r="H13" s="1017"/>
      <c r="I13" s="1018"/>
      <c r="J13" s="1018"/>
      <c r="K13" s="1018"/>
      <c r="L13" s="87" t="s">
        <v>142</v>
      </c>
      <c r="M13" s="87"/>
      <c r="N13" s="87"/>
      <c r="O13" s="296"/>
      <c r="P13" s="297"/>
      <c r="Q13" s="100"/>
      <c r="R13" s="297"/>
      <c r="S13" s="297"/>
      <c r="T13" s="100"/>
      <c r="U13" s="100"/>
      <c r="V13" s="9"/>
      <c r="W13" s="12"/>
      <c r="X13" s="9"/>
      <c r="Y13" s="9"/>
    </row>
    <row r="14" spans="2:25">
      <c r="B14" s="1068" t="s">
        <v>531</v>
      </c>
      <c r="C14" s="1023">
        <f t="shared" ref="C14:S14" si="0">C16+C17+C18</f>
        <v>621.4</v>
      </c>
      <c r="D14" s="1023">
        <f t="shared" si="0"/>
        <v>1872.6</v>
      </c>
      <c r="E14" s="1023">
        <f t="shared" si="0"/>
        <v>1943.7</v>
      </c>
      <c r="F14" s="1023">
        <f t="shared" si="0"/>
        <v>2266.5</v>
      </c>
      <c r="G14" s="1023">
        <f t="shared" si="0"/>
        <v>2343.9</v>
      </c>
      <c r="H14" s="1023">
        <f t="shared" si="0"/>
        <v>2968.1000000000004</v>
      </c>
      <c r="I14" s="1023">
        <f t="shared" si="0"/>
        <v>3160.9</v>
      </c>
      <c r="J14" s="1023">
        <f t="shared" si="0"/>
        <v>3540.0000000000005</v>
      </c>
      <c r="K14" s="1023">
        <f t="shared" si="0"/>
        <v>4229.95</v>
      </c>
      <c r="L14" s="1023">
        <f t="shared" si="0"/>
        <v>4702.3500000000004</v>
      </c>
      <c r="M14" s="1023">
        <f t="shared" si="0"/>
        <v>5047.53</v>
      </c>
      <c r="N14" s="1023">
        <f t="shared" si="0"/>
        <v>5568.6900000000005</v>
      </c>
      <c r="O14" s="1023">
        <f t="shared" si="0"/>
        <v>6050.7599999999993</v>
      </c>
      <c r="P14" s="1023">
        <f t="shared" si="0"/>
        <v>7016.84</v>
      </c>
      <c r="Q14" s="1024">
        <f t="shared" si="0"/>
        <v>7527.9999999999991</v>
      </c>
      <c r="R14" s="1024">
        <f t="shared" si="0"/>
        <v>8174.66</v>
      </c>
      <c r="S14" s="1024">
        <f t="shared" si="0"/>
        <v>8917.6</v>
      </c>
      <c r="T14" s="1025"/>
      <c r="U14" s="101"/>
      <c r="V14" s="9"/>
      <c r="W14" s="12"/>
      <c r="X14" s="101"/>
      <c r="Y14" s="101"/>
    </row>
    <row r="15" spans="2:25">
      <c r="B15" s="1074"/>
      <c r="C15" s="299"/>
      <c r="D15" s="299"/>
      <c r="E15" s="299"/>
      <c r="F15" s="299"/>
      <c r="G15" s="1026"/>
      <c r="H15" s="1026"/>
      <c r="I15" s="299"/>
      <c r="J15" s="299"/>
      <c r="K15" s="299"/>
      <c r="L15" s="299"/>
      <c r="M15" s="299"/>
      <c r="N15" s="299"/>
      <c r="O15" s="1027"/>
      <c r="P15" s="1028"/>
      <c r="Q15" s="1029"/>
      <c r="R15" s="1028"/>
      <c r="S15" s="1028"/>
      <c r="T15" s="1025"/>
      <c r="U15" s="101"/>
      <c r="V15" s="9"/>
      <c r="W15" s="12"/>
      <c r="X15" s="300"/>
      <c r="Y15" s="9"/>
    </row>
    <row r="16" spans="2:25">
      <c r="B16" s="1068" t="s">
        <v>532</v>
      </c>
      <c r="C16" s="279">
        <v>309.89999999999998</v>
      </c>
      <c r="D16" s="279">
        <v>809.2</v>
      </c>
      <c r="E16" s="279">
        <v>842.6</v>
      </c>
      <c r="F16" s="279">
        <v>1044.7</v>
      </c>
      <c r="G16" s="1023">
        <v>1073.5999999999999</v>
      </c>
      <c r="H16" s="1023">
        <v>1412.3</v>
      </c>
      <c r="I16" s="298">
        <v>1555.4</v>
      </c>
      <c r="J16" s="298">
        <v>1752.9</v>
      </c>
      <c r="K16" s="298">
        <v>1895.78</v>
      </c>
      <c r="L16" s="279">
        <v>2122.59</v>
      </c>
      <c r="M16" s="279">
        <v>2290.67</v>
      </c>
      <c r="N16" s="279">
        <v>2516.09</v>
      </c>
      <c r="O16" s="280">
        <v>2682</v>
      </c>
      <c r="P16" s="1030">
        <v>3000.65</v>
      </c>
      <c r="Q16" s="1031">
        <v>3196.22</v>
      </c>
      <c r="R16" s="1032">
        <v>3483.24</v>
      </c>
      <c r="S16" s="1032">
        <v>3748.5</v>
      </c>
      <c r="T16" s="1025"/>
      <c r="U16" s="101"/>
      <c r="V16" s="9"/>
      <c r="W16" s="12"/>
      <c r="X16" s="301"/>
      <c r="Y16" s="9"/>
    </row>
    <row r="17" spans="2:25">
      <c r="B17" s="1074" t="s">
        <v>533</v>
      </c>
      <c r="C17" s="299">
        <v>139.19999999999999</v>
      </c>
      <c r="D17" s="299">
        <v>559</v>
      </c>
      <c r="E17" s="299">
        <v>585.29999999999995</v>
      </c>
      <c r="F17" s="299">
        <v>647.4</v>
      </c>
      <c r="G17" s="1026">
        <v>644.70000000000005</v>
      </c>
      <c r="H17" s="1026">
        <v>857.6</v>
      </c>
      <c r="I17" s="299">
        <v>801.5</v>
      </c>
      <c r="J17" s="299">
        <v>975.2</v>
      </c>
      <c r="K17" s="299">
        <v>1351.02</v>
      </c>
      <c r="L17" s="279">
        <v>1485.95</v>
      </c>
      <c r="M17" s="279">
        <v>1607.24</v>
      </c>
      <c r="N17" s="279">
        <v>1747.47</v>
      </c>
      <c r="O17" s="280">
        <v>1930.06</v>
      </c>
      <c r="P17" s="1030">
        <v>2031.69</v>
      </c>
      <c r="Q17" s="1031">
        <v>2224.08</v>
      </c>
      <c r="R17" s="1032">
        <v>2440.02</v>
      </c>
      <c r="S17" s="1032">
        <v>2586.1999999999998</v>
      </c>
      <c r="T17" s="1025"/>
      <c r="U17" s="101"/>
      <c r="V17" s="9"/>
      <c r="W17" s="12"/>
      <c r="X17" s="301"/>
      <c r="Y17" s="9"/>
    </row>
    <row r="18" spans="2:25">
      <c r="B18" s="1068" t="s">
        <v>539</v>
      </c>
      <c r="C18" s="279">
        <v>172.3</v>
      </c>
      <c r="D18" s="279">
        <v>504.4</v>
      </c>
      <c r="E18" s="279">
        <v>515.79999999999995</v>
      </c>
      <c r="F18" s="279">
        <v>574.4</v>
      </c>
      <c r="G18" s="1026">
        <v>625.6</v>
      </c>
      <c r="H18" s="1026">
        <v>698.2</v>
      </c>
      <c r="I18" s="299">
        <v>804</v>
      </c>
      <c r="J18" s="299">
        <v>811.9</v>
      </c>
      <c r="K18" s="299">
        <v>983.15</v>
      </c>
      <c r="L18" s="279">
        <v>1093.81</v>
      </c>
      <c r="M18" s="279">
        <v>1149.6199999999999</v>
      </c>
      <c r="N18" s="279">
        <v>1305.1300000000001</v>
      </c>
      <c r="O18" s="280">
        <v>1438.7</v>
      </c>
      <c r="P18" s="1030">
        <v>1984.5</v>
      </c>
      <c r="Q18" s="1031">
        <v>2107.6999999999998</v>
      </c>
      <c r="R18" s="1032">
        <v>2251.4</v>
      </c>
      <c r="S18" s="1032">
        <v>2582.9</v>
      </c>
      <c r="T18" s="1025"/>
      <c r="U18" s="101"/>
      <c r="V18" s="9"/>
      <c r="W18" s="12"/>
      <c r="X18" s="301"/>
      <c r="Y18" s="9"/>
    </row>
    <row r="19" spans="2:25">
      <c r="B19" s="1074"/>
      <c r="C19" s="299"/>
      <c r="D19" s="299"/>
      <c r="E19" s="299"/>
      <c r="F19" s="299"/>
      <c r="G19" s="1026"/>
      <c r="H19" s="1026"/>
      <c r="I19" s="299"/>
      <c r="J19" s="299"/>
      <c r="K19" s="299"/>
      <c r="L19" s="279"/>
      <c r="M19" s="279"/>
      <c r="N19" s="279"/>
      <c r="O19" s="280"/>
      <c r="P19" s="1030"/>
      <c r="Q19" s="1031"/>
      <c r="R19" s="1032"/>
      <c r="S19" s="1032"/>
      <c r="T19" s="1025"/>
      <c r="U19" s="101"/>
      <c r="V19" s="9"/>
      <c r="W19" s="12"/>
      <c r="X19" s="301"/>
      <c r="Y19" s="9"/>
    </row>
    <row r="20" spans="2:25">
      <c r="B20" s="1068" t="s">
        <v>540</v>
      </c>
      <c r="C20" s="279">
        <v>6.8</v>
      </c>
      <c r="D20" s="279">
        <v>44.9</v>
      </c>
      <c r="E20" s="279">
        <v>88.9</v>
      </c>
      <c r="F20" s="279">
        <v>98.1</v>
      </c>
      <c r="G20" s="1026">
        <v>124.2</v>
      </c>
      <c r="H20" s="1026">
        <v>145.80000000000001</v>
      </c>
      <c r="I20" s="299">
        <v>205.9</v>
      </c>
      <c r="J20" s="299">
        <v>268.10000000000002</v>
      </c>
      <c r="K20" s="299">
        <v>306.5</v>
      </c>
      <c r="L20" s="279">
        <v>312.3</v>
      </c>
      <c r="M20" s="279">
        <v>359.6</v>
      </c>
      <c r="N20" s="279">
        <v>301.39999999999998</v>
      </c>
      <c r="O20" s="280">
        <v>343.6</v>
      </c>
      <c r="P20" s="1030">
        <v>439.5</v>
      </c>
      <c r="Q20" s="1031">
        <v>580.5</v>
      </c>
      <c r="R20" s="1032">
        <v>431.8</v>
      </c>
      <c r="S20" s="1032">
        <v>522</v>
      </c>
      <c r="T20" s="1025"/>
      <c r="U20" s="101"/>
      <c r="V20" s="9"/>
      <c r="W20" s="12"/>
      <c r="X20" s="301"/>
      <c r="Y20" s="9"/>
    </row>
    <row r="21" spans="2:25">
      <c r="B21" s="1068" t="s">
        <v>541</v>
      </c>
      <c r="C21" s="279">
        <v>35.799999999999997</v>
      </c>
      <c r="D21" s="279">
        <v>404</v>
      </c>
      <c r="E21" s="279">
        <v>484</v>
      </c>
      <c r="F21" s="279">
        <v>571</v>
      </c>
      <c r="G21" s="1026">
        <v>635</v>
      </c>
      <c r="H21" s="1026">
        <v>772</v>
      </c>
      <c r="I21" s="299">
        <v>1013</v>
      </c>
      <c r="J21" s="299">
        <v>1259</v>
      </c>
      <c r="K21" s="299">
        <v>1307</v>
      </c>
      <c r="L21" s="279">
        <v>1433</v>
      </c>
      <c r="M21" s="279">
        <v>1557</v>
      </c>
      <c r="N21" s="279">
        <v>1658.6</v>
      </c>
      <c r="O21" s="280">
        <v>1897.4</v>
      </c>
      <c r="P21" s="1030">
        <v>1936.7</v>
      </c>
      <c r="Q21" s="1031">
        <v>2121.6</v>
      </c>
      <c r="R21" s="1032">
        <v>2442.3000000000002</v>
      </c>
      <c r="S21" s="1032">
        <v>2627.2</v>
      </c>
      <c r="T21" s="1025"/>
      <c r="U21" s="101"/>
      <c r="V21" s="9"/>
      <c r="W21" s="12"/>
      <c r="X21" s="301"/>
      <c r="Y21" s="9"/>
    </row>
    <row r="22" spans="2:25" s="33" customFormat="1">
      <c r="B22" s="1076" t="s">
        <v>378</v>
      </c>
      <c r="C22" s="282">
        <v>2.5</v>
      </c>
      <c r="D22" s="282">
        <v>453.9</v>
      </c>
      <c r="E22" s="282">
        <v>478.1</v>
      </c>
      <c r="F22" s="282">
        <v>536.6</v>
      </c>
      <c r="G22" s="1026">
        <v>686.2</v>
      </c>
      <c r="H22" s="1026">
        <v>732.2</v>
      </c>
      <c r="I22" s="1026">
        <v>1026.3</v>
      </c>
      <c r="J22" s="1026">
        <v>1122.9000000000001</v>
      </c>
      <c r="K22" s="1026">
        <v>1594.15</v>
      </c>
      <c r="L22" s="282">
        <v>1788.7</v>
      </c>
      <c r="M22" s="282">
        <v>2312.9</v>
      </c>
      <c r="N22" s="282">
        <v>2255.3000000000002</v>
      </c>
      <c r="O22" s="1033">
        <v>2392.1</v>
      </c>
      <c r="P22" s="1034">
        <v>2631.2</v>
      </c>
      <c r="Q22" s="1035">
        <v>2813.1</v>
      </c>
      <c r="R22" s="1036">
        <v>2863</v>
      </c>
      <c r="S22" s="1036">
        <v>3189</v>
      </c>
      <c r="T22" s="1025"/>
      <c r="U22" s="1037"/>
      <c r="V22" s="34"/>
      <c r="W22" s="158"/>
      <c r="X22" s="1038"/>
      <c r="Y22" s="34"/>
    </row>
    <row r="23" spans="2:25">
      <c r="B23" s="1068" t="s">
        <v>542</v>
      </c>
      <c r="C23" s="279">
        <v>88.5</v>
      </c>
      <c r="D23" s="279">
        <v>441.4</v>
      </c>
      <c r="E23" s="279">
        <v>504.4</v>
      </c>
      <c r="F23" s="279">
        <v>622.4</v>
      </c>
      <c r="G23" s="1026">
        <v>697.6</v>
      </c>
      <c r="H23" s="1026">
        <v>871.7</v>
      </c>
      <c r="I23" s="299">
        <v>984.5</v>
      </c>
      <c r="J23" s="299">
        <v>1046.9000000000001</v>
      </c>
      <c r="K23" s="299">
        <v>1218.28</v>
      </c>
      <c r="L23" s="279">
        <v>1476.04</v>
      </c>
      <c r="M23" s="279">
        <v>2056.42</v>
      </c>
      <c r="N23" s="279">
        <v>2673</v>
      </c>
      <c r="O23" s="280">
        <v>3822.5</v>
      </c>
      <c r="P23" s="1030">
        <v>4788.3</v>
      </c>
      <c r="Q23" s="1031">
        <v>5277.7</v>
      </c>
      <c r="R23" s="1032">
        <v>6282.7</v>
      </c>
      <c r="S23" s="1032">
        <v>7138.5</v>
      </c>
      <c r="T23" s="1025"/>
      <c r="U23" s="101"/>
      <c r="V23" s="9"/>
      <c r="W23" s="12"/>
      <c r="X23" s="301"/>
      <c r="Y23" s="9"/>
    </row>
    <row r="24" spans="2:25">
      <c r="B24" s="1044" t="s">
        <v>379</v>
      </c>
      <c r="C24" s="279"/>
      <c r="D24" s="279">
        <v>244.3</v>
      </c>
      <c r="E24" s="279">
        <v>288.89999999999998</v>
      </c>
      <c r="F24" s="279">
        <v>344.3</v>
      </c>
      <c r="G24" s="1026">
        <v>396.1</v>
      </c>
      <c r="H24" s="1026">
        <v>460.6</v>
      </c>
      <c r="I24" s="299">
        <v>486.5</v>
      </c>
      <c r="J24" s="299">
        <v>625.5</v>
      </c>
      <c r="K24" s="299">
        <v>713.6</v>
      </c>
      <c r="L24" s="279">
        <v>815.6</v>
      </c>
      <c r="M24" s="279">
        <v>892</v>
      </c>
      <c r="N24" s="279">
        <v>1040.5999999999999</v>
      </c>
      <c r="O24" s="1039">
        <v>1232</v>
      </c>
      <c r="P24" s="1040">
        <v>1364.7</v>
      </c>
      <c r="Q24" s="1137">
        <v>1728.3</v>
      </c>
      <c r="R24" s="1041">
        <v>2482</v>
      </c>
      <c r="S24" s="1041">
        <v>2773.8</v>
      </c>
      <c r="T24" s="1025"/>
      <c r="U24" s="101"/>
      <c r="V24" s="9"/>
      <c r="W24" s="12"/>
      <c r="X24" s="1042"/>
      <c r="Y24" s="9"/>
    </row>
    <row r="25" spans="2:25">
      <c r="B25" s="1043" t="s">
        <v>380</v>
      </c>
      <c r="C25" s="279">
        <v>121.5</v>
      </c>
      <c r="D25" s="279">
        <v>9.1999999999999993</v>
      </c>
      <c r="E25" s="279">
        <v>12.5</v>
      </c>
      <c r="F25" s="279">
        <v>29.8</v>
      </c>
      <c r="G25" s="1026">
        <v>34.200000000000003</v>
      </c>
      <c r="H25" s="1026">
        <v>42.4</v>
      </c>
      <c r="I25" s="299">
        <v>55.5</v>
      </c>
      <c r="J25" s="299">
        <v>61.6</v>
      </c>
      <c r="K25" s="299">
        <v>65.7</v>
      </c>
      <c r="L25" s="279">
        <v>76</v>
      </c>
      <c r="M25" s="279">
        <v>87.5</v>
      </c>
      <c r="N25" s="279">
        <v>90.1</v>
      </c>
      <c r="O25" s="280">
        <v>116.9</v>
      </c>
      <c r="P25" s="1030">
        <v>123.1</v>
      </c>
      <c r="Q25" s="1031">
        <v>138.5</v>
      </c>
      <c r="R25" s="1032">
        <v>188</v>
      </c>
      <c r="S25" s="1032">
        <v>209.3</v>
      </c>
      <c r="T25" s="1025"/>
      <c r="U25" s="101"/>
      <c r="V25" s="9"/>
      <c r="W25" s="12"/>
      <c r="X25" s="301"/>
      <c r="Y25" s="9"/>
    </row>
    <row r="26" spans="2:25">
      <c r="B26" s="4444" t="s">
        <v>381</v>
      </c>
      <c r="C26" s="279"/>
      <c r="D26" s="279"/>
      <c r="E26" s="279"/>
      <c r="F26" s="279"/>
      <c r="G26" s="1026"/>
      <c r="H26" s="1026"/>
      <c r="I26" s="299"/>
      <c r="J26" s="299"/>
      <c r="K26" s="299"/>
      <c r="L26" s="279"/>
      <c r="M26" s="279"/>
      <c r="N26" s="279"/>
      <c r="O26" s="280"/>
      <c r="P26" s="1030"/>
      <c r="Q26" s="1031"/>
      <c r="R26" s="1032"/>
      <c r="S26" s="1032"/>
      <c r="T26" s="1025"/>
      <c r="U26" s="101"/>
      <c r="V26" s="9"/>
      <c r="W26" s="12"/>
      <c r="X26" s="301"/>
      <c r="Y26" s="9"/>
    </row>
    <row r="27" spans="2:25">
      <c r="B27" s="4445"/>
      <c r="C27" s="279">
        <v>47.9</v>
      </c>
      <c r="D27" s="279">
        <v>347.2</v>
      </c>
      <c r="E27" s="279">
        <v>399</v>
      </c>
      <c r="F27" s="279">
        <v>471.2</v>
      </c>
      <c r="G27" s="1026">
        <v>611.1</v>
      </c>
      <c r="H27" s="1026">
        <v>638</v>
      </c>
      <c r="I27" s="299">
        <v>713.5</v>
      </c>
      <c r="J27" s="299">
        <v>849.2</v>
      </c>
      <c r="K27" s="299">
        <v>1016.16</v>
      </c>
      <c r="L27" s="279">
        <v>1233.27</v>
      </c>
      <c r="M27" s="279">
        <v>1636.65</v>
      </c>
      <c r="N27" s="279">
        <v>1881.06</v>
      </c>
      <c r="O27" s="280">
        <v>2261.2399999999998</v>
      </c>
      <c r="P27" s="1030">
        <v>2558.98</v>
      </c>
      <c r="Q27" s="1031">
        <v>2818.4</v>
      </c>
      <c r="R27" s="1032">
        <v>3445.1</v>
      </c>
      <c r="S27" s="1032">
        <v>4110.3</v>
      </c>
      <c r="T27" s="1025"/>
      <c r="U27" s="101"/>
      <c r="V27" s="9"/>
      <c r="W27" s="12"/>
      <c r="X27" s="301"/>
      <c r="Y27" s="9"/>
    </row>
    <row r="28" spans="2:25">
      <c r="B28" s="1044" t="s">
        <v>382</v>
      </c>
      <c r="C28" s="279"/>
      <c r="D28" s="279">
        <f>SUM(D29:D30)</f>
        <v>457.70000000000005</v>
      </c>
      <c r="E28" s="279">
        <f t="shared" ref="E28:S28" si="1">SUM(E29:E30)</f>
        <v>444.4</v>
      </c>
      <c r="F28" s="279">
        <f t="shared" si="1"/>
        <v>487.20000000000005</v>
      </c>
      <c r="G28" s="279">
        <f t="shared" si="1"/>
        <v>530.4</v>
      </c>
      <c r="H28" s="279">
        <f t="shared" si="1"/>
        <v>602.70000000000005</v>
      </c>
      <c r="I28" s="279">
        <f t="shared" si="1"/>
        <v>709.7</v>
      </c>
      <c r="J28" s="279">
        <f t="shared" si="1"/>
        <v>756.3</v>
      </c>
      <c r="K28" s="279">
        <f t="shared" si="1"/>
        <v>887.88</v>
      </c>
      <c r="L28" s="279">
        <f t="shared" si="1"/>
        <v>1210.0999999999999</v>
      </c>
      <c r="M28" s="279">
        <f t="shared" si="1"/>
        <v>1205.8600000000001</v>
      </c>
      <c r="N28" s="279">
        <f t="shared" si="1"/>
        <v>1373.88</v>
      </c>
      <c r="O28" s="279">
        <f t="shared" si="1"/>
        <v>1450.8</v>
      </c>
      <c r="P28" s="279">
        <f t="shared" si="1"/>
        <v>1368</v>
      </c>
      <c r="Q28" s="279">
        <f t="shared" si="1"/>
        <v>1672.1999999999998</v>
      </c>
      <c r="R28" s="279">
        <f t="shared" si="1"/>
        <v>1858</v>
      </c>
      <c r="S28" s="279">
        <f t="shared" si="1"/>
        <v>2005.7</v>
      </c>
      <c r="T28" s="1025"/>
      <c r="U28" s="101"/>
      <c r="V28" s="9"/>
      <c r="W28" s="12"/>
      <c r="X28" s="1042"/>
      <c r="Y28" s="9"/>
    </row>
    <row r="29" spans="2:25">
      <c r="B29" s="1043" t="s">
        <v>383</v>
      </c>
      <c r="C29" s="279">
        <v>70.2</v>
      </c>
      <c r="D29" s="279">
        <v>190.4</v>
      </c>
      <c r="E29" s="279">
        <v>167.5</v>
      </c>
      <c r="F29" s="279">
        <v>177.6</v>
      </c>
      <c r="G29" s="1026">
        <v>150.9</v>
      </c>
      <c r="H29" s="1026">
        <v>191.7</v>
      </c>
      <c r="I29" s="299">
        <v>283.10000000000002</v>
      </c>
      <c r="J29" s="299">
        <v>290.8</v>
      </c>
      <c r="K29" s="299">
        <v>395.38</v>
      </c>
      <c r="L29" s="279">
        <v>668.4</v>
      </c>
      <c r="M29" s="279">
        <v>621.46</v>
      </c>
      <c r="N29" s="279">
        <v>742.78</v>
      </c>
      <c r="O29" s="280">
        <v>805.5</v>
      </c>
      <c r="P29" s="1030">
        <v>651.70000000000005</v>
      </c>
      <c r="Q29" s="1031">
        <v>750.3</v>
      </c>
      <c r="R29" s="1032">
        <v>856.7</v>
      </c>
      <c r="S29" s="1032">
        <v>871.2</v>
      </c>
      <c r="T29" s="1025"/>
      <c r="U29" s="101"/>
      <c r="V29" s="9"/>
      <c r="W29" s="12"/>
      <c r="X29" s="301"/>
      <c r="Y29" s="9"/>
    </row>
    <row r="30" spans="2:25">
      <c r="B30" s="1043" t="s">
        <v>384</v>
      </c>
      <c r="C30" s="279"/>
      <c r="D30" s="279">
        <v>267.3</v>
      </c>
      <c r="E30" s="279">
        <v>276.89999999999998</v>
      </c>
      <c r="F30" s="279">
        <v>309.60000000000002</v>
      </c>
      <c r="G30" s="1026">
        <v>379.5</v>
      </c>
      <c r="H30" s="1026">
        <v>411</v>
      </c>
      <c r="I30" s="299">
        <v>426.6</v>
      </c>
      <c r="J30" s="299">
        <v>465.5</v>
      </c>
      <c r="K30" s="299">
        <v>492.5</v>
      </c>
      <c r="L30" s="279">
        <v>541.70000000000005</v>
      </c>
      <c r="M30" s="279">
        <v>584.4</v>
      </c>
      <c r="N30" s="279">
        <v>631.1</v>
      </c>
      <c r="O30" s="280">
        <v>645.29999999999995</v>
      </c>
      <c r="P30" s="1030">
        <v>716.3</v>
      </c>
      <c r="Q30" s="1031">
        <v>921.9</v>
      </c>
      <c r="R30" s="1032">
        <v>1001.3</v>
      </c>
      <c r="S30" s="1032">
        <v>1134.5</v>
      </c>
      <c r="T30" s="1025"/>
      <c r="U30" s="101"/>
      <c r="V30" s="9"/>
      <c r="W30" s="12"/>
      <c r="X30" s="301"/>
      <c r="Y30" s="9"/>
    </row>
    <row r="31" spans="2:25">
      <c r="B31" s="1043"/>
      <c r="C31" s="279"/>
      <c r="D31" s="279"/>
      <c r="E31" s="279"/>
      <c r="F31" s="279"/>
      <c r="G31" s="1026"/>
      <c r="H31" s="1026"/>
      <c r="I31" s="299"/>
      <c r="J31" s="299"/>
      <c r="K31" s="299"/>
      <c r="L31" s="279"/>
      <c r="M31" s="279"/>
      <c r="N31" s="279"/>
      <c r="O31" s="280"/>
      <c r="P31" s="1030"/>
      <c r="Q31" s="1031"/>
      <c r="R31" s="1032"/>
      <c r="S31" s="1032"/>
      <c r="T31" s="1025"/>
      <c r="U31" s="101"/>
      <c r="V31" s="9"/>
      <c r="W31" s="12"/>
      <c r="X31" s="301"/>
      <c r="Y31" s="9"/>
    </row>
    <row r="32" spans="2:25" ht="15" customHeight="1">
      <c r="B32" s="1138" t="s">
        <v>385</v>
      </c>
      <c r="C32" s="299">
        <v>120.4</v>
      </c>
      <c r="D32" s="299">
        <f>SUM(D33:D34)</f>
        <v>885</v>
      </c>
      <c r="E32" s="299">
        <f t="shared" ref="E32:R32" si="2">SUM(E33:E34)</f>
        <v>914.1</v>
      </c>
      <c r="F32" s="299">
        <f t="shared" si="2"/>
        <v>947.6</v>
      </c>
      <c r="G32" s="299">
        <f t="shared" si="2"/>
        <v>981.6</v>
      </c>
      <c r="H32" s="299">
        <f t="shared" si="2"/>
        <v>1016.2</v>
      </c>
      <c r="I32" s="299">
        <f t="shared" si="2"/>
        <v>1133.7</v>
      </c>
      <c r="J32" s="299">
        <f t="shared" si="2"/>
        <v>1298.9000000000001</v>
      </c>
      <c r="K32" s="299">
        <f t="shared" si="2"/>
        <v>1604.12</v>
      </c>
      <c r="L32" s="299">
        <f t="shared" si="2"/>
        <v>2028.63</v>
      </c>
      <c r="M32" s="299">
        <f t="shared" si="2"/>
        <v>2341.44</v>
      </c>
      <c r="N32" s="299">
        <f t="shared" si="2"/>
        <v>2813.7999999999997</v>
      </c>
      <c r="O32" s="299">
        <f t="shared" si="2"/>
        <v>3037.2999999999997</v>
      </c>
      <c r="P32" s="299">
        <f t="shared" si="2"/>
        <v>3342</v>
      </c>
      <c r="Q32" s="299">
        <f t="shared" si="2"/>
        <v>3663.6000000000004</v>
      </c>
      <c r="R32" s="299">
        <f t="shared" si="2"/>
        <v>3822.8999999999996</v>
      </c>
      <c r="S32" s="299">
        <v>5036.1000000000004</v>
      </c>
      <c r="T32" s="1025"/>
      <c r="U32" s="101"/>
      <c r="V32" s="9"/>
      <c r="W32" s="12"/>
      <c r="X32" s="301"/>
      <c r="Y32" s="9"/>
    </row>
    <row r="33" spans="2:37" ht="15" customHeight="1">
      <c r="B33" s="1138" t="s">
        <v>386</v>
      </c>
      <c r="C33" s="299"/>
      <c r="D33" s="299">
        <v>830.4</v>
      </c>
      <c r="E33" s="299">
        <v>857.7</v>
      </c>
      <c r="F33" s="299">
        <v>889.1</v>
      </c>
      <c r="G33" s="1026">
        <v>921</v>
      </c>
      <c r="H33" s="1026">
        <v>953.5</v>
      </c>
      <c r="I33" s="299">
        <v>1063.7</v>
      </c>
      <c r="J33" s="299">
        <v>1218.7</v>
      </c>
      <c r="K33" s="299">
        <v>1505.1</v>
      </c>
      <c r="L33" s="279">
        <v>1903.4</v>
      </c>
      <c r="M33" s="279">
        <v>2196.9</v>
      </c>
      <c r="N33" s="279">
        <v>2640.1</v>
      </c>
      <c r="O33" s="280">
        <v>2861.1</v>
      </c>
      <c r="P33" s="1030">
        <v>3143.5</v>
      </c>
      <c r="Q33" s="1031">
        <v>3449.3</v>
      </c>
      <c r="R33" s="1032">
        <v>3596.7</v>
      </c>
      <c r="S33" s="1032"/>
      <c r="T33" s="1025"/>
      <c r="U33" s="101"/>
      <c r="V33" s="9"/>
      <c r="W33" s="12"/>
      <c r="X33" s="301"/>
      <c r="Y33" s="9"/>
    </row>
    <row r="34" spans="2:37" ht="15" customHeight="1">
      <c r="B34" s="1138" t="s">
        <v>387</v>
      </c>
      <c r="C34" s="299"/>
      <c r="D34" s="299">
        <v>54.6</v>
      </c>
      <c r="E34" s="299">
        <v>56.4</v>
      </c>
      <c r="F34" s="299">
        <v>58.5</v>
      </c>
      <c r="G34" s="1026">
        <v>60.6</v>
      </c>
      <c r="H34" s="1026">
        <v>62.7</v>
      </c>
      <c r="I34" s="299">
        <v>70</v>
      </c>
      <c r="J34" s="299">
        <v>80.2</v>
      </c>
      <c r="K34" s="299">
        <v>99.02</v>
      </c>
      <c r="L34" s="279">
        <v>125.23</v>
      </c>
      <c r="M34" s="279">
        <v>144.54</v>
      </c>
      <c r="N34" s="279">
        <v>173.7</v>
      </c>
      <c r="O34" s="280">
        <v>176.2</v>
      </c>
      <c r="P34" s="1030">
        <v>198.5</v>
      </c>
      <c r="Q34" s="1031">
        <v>214.3</v>
      </c>
      <c r="R34" s="1032">
        <v>226.2</v>
      </c>
      <c r="S34" s="1032"/>
      <c r="T34" s="1025"/>
      <c r="U34" s="101"/>
      <c r="V34" s="9"/>
      <c r="W34" s="12"/>
      <c r="X34" s="301"/>
      <c r="Y34" s="9"/>
    </row>
    <row r="35" spans="2:37" ht="30">
      <c r="B35" s="1043" t="s">
        <v>388</v>
      </c>
      <c r="C35" s="299"/>
      <c r="D35" s="1046" t="s">
        <v>244</v>
      </c>
      <c r="E35" s="1046" t="s">
        <v>244</v>
      </c>
      <c r="F35" s="1046" t="s">
        <v>244</v>
      </c>
      <c r="G35" s="1046" t="s">
        <v>244</v>
      </c>
      <c r="H35" s="1046" t="s">
        <v>244</v>
      </c>
      <c r="I35" s="1046" t="s">
        <v>244</v>
      </c>
      <c r="J35" s="1046" t="s">
        <v>244</v>
      </c>
      <c r="K35" s="1046" t="s">
        <v>244</v>
      </c>
      <c r="L35" s="1046" t="s">
        <v>244</v>
      </c>
      <c r="M35" s="1046" t="s">
        <v>244</v>
      </c>
      <c r="N35" s="279">
        <v>96.2</v>
      </c>
      <c r="O35" s="280">
        <v>99.3</v>
      </c>
      <c r="P35" s="1030">
        <v>108.3</v>
      </c>
      <c r="Q35" s="1031">
        <v>118.6</v>
      </c>
      <c r="R35" s="1032">
        <v>136.30000000000001</v>
      </c>
      <c r="S35" s="1032"/>
      <c r="T35" s="1025"/>
      <c r="U35" s="101"/>
      <c r="V35" s="9"/>
      <c r="W35" s="12"/>
      <c r="X35" s="301"/>
      <c r="Y35" s="9"/>
    </row>
    <row r="36" spans="2:37" ht="19.5" customHeight="1">
      <c r="B36" s="1074" t="s">
        <v>389</v>
      </c>
      <c r="C36" s="299"/>
      <c r="D36" s="299">
        <v>134</v>
      </c>
      <c r="E36" s="299">
        <v>159</v>
      </c>
      <c r="F36" s="299">
        <v>176</v>
      </c>
      <c r="G36" s="1026">
        <v>185</v>
      </c>
      <c r="H36" s="1026">
        <v>351</v>
      </c>
      <c r="I36" s="299">
        <v>358</v>
      </c>
      <c r="J36" s="299">
        <v>359</v>
      </c>
      <c r="K36" s="299">
        <v>506</v>
      </c>
      <c r="L36" s="279">
        <v>546</v>
      </c>
      <c r="M36" s="279">
        <v>621</v>
      </c>
      <c r="N36" s="279">
        <v>491.4</v>
      </c>
      <c r="O36" s="280">
        <v>550.70000000000005</v>
      </c>
      <c r="P36" s="1030">
        <v>878.1</v>
      </c>
      <c r="Q36" s="1031">
        <v>1067.9000000000001</v>
      </c>
      <c r="R36" s="1032">
        <v>1392.6</v>
      </c>
      <c r="S36" s="1032">
        <v>1531.9</v>
      </c>
      <c r="T36" s="1025"/>
      <c r="U36" s="1047"/>
      <c r="V36" s="9"/>
      <c r="W36" s="12"/>
      <c r="X36" s="301"/>
      <c r="Y36" s="9"/>
    </row>
    <row r="37" spans="2:37">
      <c r="B37" s="4442" t="s">
        <v>390</v>
      </c>
      <c r="C37" s="299"/>
      <c r="D37" s="299"/>
      <c r="E37" s="299"/>
      <c r="F37" s="299"/>
      <c r="G37" s="1026"/>
      <c r="H37" s="1026"/>
      <c r="I37" s="299"/>
      <c r="J37" s="299"/>
      <c r="K37" s="299"/>
      <c r="L37" s="279" t="s">
        <v>142</v>
      </c>
      <c r="M37" s="279"/>
      <c r="N37" s="279"/>
      <c r="O37" s="280"/>
      <c r="P37" s="1030"/>
      <c r="Q37" s="1031"/>
      <c r="R37" s="1032"/>
      <c r="S37" s="1032"/>
      <c r="T37" s="1025"/>
      <c r="U37" s="1047"/>
      <c r="V37" s="9"/>
      <c r="W37" s="12"/>
      <c r="X37" s="301"/>
      <c r="Y37" s="9"/>
    </row>
    <row r="38" spans="2:37">
      <c r="B38" s="4443"/>
      <c r="C38" s="299">
        <v>-20</v>
      </c>
      <c r="D38" s="299">
        <v>53</v>
      </c>
      <c r="E38" s="299">
        <v>28</v>
      </c>
      <c r="F38" s="299">
        <v>78.599999999999994</v>
      </c>
      <c r="G38" s="1026">
        <v>79.900000000000006</v>
      </c>
      <c r="H38" s="1026">
        <v>91.1</v>
      </c>
      <c r="I38" s="299">
        <v>91.1</v>
      </c>
      <c r="J38" s="299">
        <v>28.3</v>
      </c>
      <c r="K38" s="299">
        <v>126.4</v>
      </c>
      <c r="L38" s="279">
        <v>144</v>
      </c>
      <c r="M38" s="279">
        <v>192.8</v>
      </c>
      <c r="N38" s="279">
        <v>159.43</v>
      </c>
      <c r="O38" s="280">
        <v>297.83999999999997</v>
      </c>
      <c r="P38" s="1030">
        <v>241.36</v>
      </c>
      <c r="Q38" s="1031">
        <v>347.4</v>
      </c>
      <c r="R38" s="1032">
        <v>415.24</v>
      </c>
      <c r="S38" s="1032">
        <v>422.4</v>
      </c>
      <c r="T38" s="1025"/>
      <c r="U38" s="1047"/>
      <c r="V38" s="9"/>
      <c r="W38" s="12"/>
      <c r="X38" s="301"/>
      <c r="Y38" s="9"/>
    </row>
    <row r="39" spans="2:37">
      <c r="B39" s="1080" t="s">
        <v>142</v>
      </c>
      <c r="C39" s="1023">
        <f t="shared" ref="C39:M39" si="3">SUM(C14,C20:C28,C32,C36)-C38</f>
        <v>1064.8</v>
      </c>
      <c r="D39" s="1023">
        <f t="shared" si="3"/>
        <v>5241.2</v>
      </c>
      <c r="E39" s="1023">
        <f t="shared" si="3"/>
        <v>5689</v>
      </c>
      <c r="F39" s="1023">
        <f t="shared" si="3"/>
        <v>6472.0999999999995</v>
      </c>
      <c r="G39" s="1023">
        <f t="shared" si="3"/>
        <v>7145.4000000000015</v>
      </c>
      <c r="H39" s="1023">
        <f t="shared" si="3"/>
        <v>8509.6</v>
      </c>
      <c r="I39" s="1023">
        <f t="shared" si="3"/>
        <v>9756.4000000000015</v>
      </c>
      <c r="J39" s="1023">
        <f t="shared" si="3"/>
        <v>11159.1</v>
      </c>
      <c r="K39" s="1023">
        <f t="shared" si="3"/>
        <v>13322.94</v>
      </c>
      <c r="L39" s="1023">
        <f t="shared" si="3"/>
        <v>15477.990000000002</v>
      </c>
      <c r="M39" s="1023">
        <f t="shared" si="3"/>
        <v>17925.100000000002</v>
      </c>
      <c r="N39" s="1023">
        <f t="shared" ref="N39:S39" si="4">SUM(N14,N20:N28,N32,N35:N36)-N38</f>
        <v>20084.600000000002</v>
      </c>
      <c r="O39" s="1023">
        <f t="shared" si="4"/>
        <v>22956.76</v>
      </c>
      <c r="P39" s="1023">
        <f t="shared" si="4"/>
        <v>26314.359999999997</v>
      </c>
      <c r="Q39" s="1023">
        <f t="shared" si="4"/>
        <v>29181</v>
      </c>
      <c r="R39" s="1023">
        <f t="shared" si="4"/>
        <v>33104.120000000003</v>
      </c>
      <c r="S39" s="1023">
        <f t="shared" si="4"/>
        <v>37639</v>
      </c>
      <c r="T39" s="1106"/>
      <c r="U39" s="1030"/>
      <c r="V39" s="28"/>
      <c r="W39" s="12"/>
      <c r="X39" s="301"/>
      <c r="Y39" s="9"/>
    </row>
    <row r="40" spans="2:37" ht="32.25" customHeight="1">
      <c r="B40" s="1074" t="s">
        <v>1306</v>
      </c>
      <c r="C40" s="1023">
        <f>SUM(C16:C38)</f>
        <v>1095</v>
      </c>
      <c r="D40" s="1023">
        <f t="shared" ref="D40:R40" si="5">SUM(D14,D20:D28,D32,D35,D36)-D38</f>
        <v>5241.2</v>
      </c>
      <c r="E40" s="1023">
        <f t="shared" si="5"/>
        <v>5689</v>
      </c>
      <c r="F40" s="1023">
        <f t="shared" si="5"/>
        <v>6472.0999999999995</v>
      </c>
      <c r="G40" s="1023">
        <f t="shared" si="5"/>
        <v>7145.4000000000015</v>
      </c>
      <c r="H40" s="1023">
        <f t="shared" si="5"/>
        <v>8509.6</v>
      </c>
      <c r="I40" s="1024">
        <f t="shared" si="5"/>
        <v>9756.4000000000015</v>
      </c>
      <c r="J40" s="1109">
        <f t="shared" si="5"/>
        <v>11159.1</v>
      </c>
      <c r="K40" s="1109">
        <f t="shared" si="5"/>
        <v>13322.94</v>
      </c>
      <c r="L40" s="1109">
        <f t="shared" si="5"/>
        <v>15477.990000000002</v>
      </c>
      <c r="M40" s="1109">
        <f t="shared" si="5"/>
        <v>17925.100000000002</v>
      </c>
      <c r="N40" s="1109">
        <f t="shared" si="5"/>
        <v>20084.600000000002</v>
      </c>
      <c r="O40" s="1108">
        <f t="shared" si="5"/>
        <v>22956.76</v>
      </c>
      <c r="P40" s="1023">
        <f t="shared" si="5"/>
        <v>26314.359999999997</v>
      </c>
      <c r="Q40" s="1023">
        <f t="shared" si="5"/>
        <v>29181</v>
      </c>
      <c r="R40" s="1023">
        <f t="shared" si="5"/>
        <v>33104.120000000003</v>
      </c>
      <c r="S40" s="1024">
        <f>S43*S44</f>
        <v>37679.780882875581</v>
      </c>
      <c r="T40" s="1105">
        <f>T43*T44</f>
        <v>42434.68341314001</v>
      </c>
      <c r="U40" s="1105">
        <f>U43*U44</f>
        <v>49189.836447206813</v>
      </c>
      <c r="V40" s="1139">
        <f>V43*V44</f>
        <v>54144.978961802284</v>
      </c>
      <c r="W40" s="1140" t="s">
        <v>111</v>
      </c>
      <c r="X40" s="101"/>
      <c r="Y40" s="101"/>
    </row>
    <row r="41" spans="2:37" ht="32.25" customHeight="1">
      <c r="B41" s="1048" t="s">
        <v>1310</v>
      </c>
      <c r="C41" s="1141"/>
      <c r="D41" s="1142">
        <v>16.8</v>
      </c>
      <c r="E41" s="1142">
        <f>((E40-D40)/D40)*100</f>
        <v>8.5438449210104608</v>
      </c>
      <c r="F41" s="1142">
        <f t="shared" ref="F41:S41" si="6">((F40-E40)/E40)*100</f>
        <v>13.765160836702398</v>
      </c>
      <c r="G41" s="1142">
        <f t="shared" si="6"/>
        <v>10.403114908607748</v>
      </c>
      <c r="H41" s="1142">
        <f t="shared" si="6"/>
        <v>19.092003246844104</v>
      </c>
      <c r="I41" s="1143">
        <f t="shared" si="6"/>
        <v>14.65168750587573</v>
      </c>
      <c r="J41" s="1142">
        <f t="shared" si="6"/>
        <v>14.377229305891504</v>
      </c>
      <c r="K41" s="1142">
        <f t="shared" si="6"/>
        <v>19.390811086915612</v>
      </c>
      <c r="L41" s="1142">
        <f t="shared" si="6"/>
        <v>16.175483789614013</v>
      </c>
      <c r="M41" s="1142">
        <f t="shared" si="6"/>
        <v>15.810257016576443</v>
      </c>
      <c r="N41" s="1142">
        <f t="shared" si="6"/>
        <v>12.047352594964602</v>
      </c>
      <c r="O41" s="1144">
        <f t="shared" si="6"/>
        <v>14.300309690011231</v>
      </c>
      <c r="P41" s="1142">
        <f t="shared" si="6"/>
        <v>14.625757293276573</v>
      </c>
      <c r="Q41" s="1142">
        <f t="shared" si="6"/>
        <v>10.893823752506249</v>
      </c>
      <c r="R41" s="1142">
        <f t="shared" si="6"/>
        <v>13.444090332750772</v>
      </c>
      <c r="S41" s="1143">
        <f t="shared" si="6"/>
        <v>13.82202844502611</v>
      </c>
      <c r="T41" s="1142">
        <f>((T40-S40)/S40)*100</f>
        <v>12.619241457493191</v>
      </c>
      <c r="U41" s="1142">
        <f>((U40-T40)/T40)*100</f>
        <v>15.918942927650198</v>
      </c>
      <c r="V41" s="1143">
        <f>((V40-U40)/U40)*100</f>
        <v>10.073508823135846</v>
      </c>
      <c r="W41" s="1140" t="s">
        <v>112</v>
      </c>
      <c r="X41" s="9"/>
      <c r="Y41" s="9"/>
    </row>
    <row r="42" spans="2:37" ht="32.25" customHeight="1">
      <c r="B42" s="1048" t="s">
        <v>1311</v>
      </c>
      <c r="C42" s="840"/>
      <c r="D42" s="1145"/>
      <c r="E42" s="1145"/>
      <c r="F42" s="1145"/>
      <c r="G42" s="1145"/>
      <c r="H42" s="1145"/>
      <c r="I42" s="1145"/>
      <c r="J42" s="1146"/>
      <c r="K42" s="1146"/>
      <c r="L42" s="1146"/>
      <c r="M42" s="1146"/>
      <c r="N42" s="1146"/>
      <c r="O42" s="1147"/>
      <c r="P42" s="1146"/>
      <c r="Q42" s="1146"/>
      <c r="R42" s="1146"/>
      <c r="S42" s="1148">
        <f>S41-S45</f>
        <v>8.3220284450261097</v>
      </c>
      <c r="T42" s="1148">
        <f>T41-T45</f>
        <v>6.6192414574931906</v>
      </c>
      <c r="U42" s="1148">
        <f>U41-U45</f>
        <v>9.9189429276501979</v>
      </c>
      <c r="V42" s="1143">
        <f>V41-V45</f>
        <v>4.0735088231358461</v>
      </c>
      <c r="W42" s="1140" t="s">
        <v>113</v>
      </c>
      <c r="X42" s="9"/>
      <c r="Y42" s="9"/>
    </row>
    <row r="43" spans="2:37" ht="32.25" customHeight="1">
      <c r="B43" s="20" t="s">
        <v>1307</v>
      </c>
      <c r="C43" s="840"/>
      <c r="D43" s="1145"/>
      <c r="E43" s="1145"/>
      <c r="F43" s="1145"/>
      <c r="G43" s="1145"/>
      <c r="H43" s="1145"/>
      <c r="I43" s="1145"/>
      <c r="J43" s="1146">
        <f>'[7]Yearly Count'!B21</f>
        <v>4563.7000000000007</v>
      </c>
      <c r="K43" s="1146">
        <f>'[7]Yearly Count'!B22</f>
        <v>5662.7499999999991</v>
      </c>
      <c r="L43" s="1146">
        <f>'[7]Yearly Count'!B23</f>
        <v>6048.2712499999998</v>
      </c>
      <c r="M43" s="1146">
        <f>'[7]Yearly Count'!B24</f>
        <v>7673.0929166666647</v>
      </c>
      <c r="N43" s="1146">
        <f>'[7]Yearly Count'!B25</f>
        <v>9228.277500000002</v>
      </c>
      <c r="O43" s="1147">
        <f>'[7]Yearly Count'!B26</f>
        <v>10013.837916666664</v>
      </c>
      <c r="P43" s="1146">
        <f>'[7]Yearly Count'!B27</f>
        <v>11698.607916666668</v>
      </c>
      <c r="Q43" s="1146">
        <f>'[7]Yearly Count'!B28</f>
        <v>14169.044563744585</v>
      </c>
      <c r="R43" s="1146">
        <f>'[7]Yearly Count'!B29</f>
        <v>15131.153052717498</v>
      </c>
      <c r="S43" s="1148">
        <f>'[7]Yearly Count'!B30</f>
        <v>17127.173128579809</v>
      </c>
      <c r="T43" s="1142">
        <f>'[7]Yearly Count'!B35</f>
        <v>19288.492460518184</v>
      </c>
      <c r="U43" s="1142">
        <f>'[7]Yearly Count'!B36</f>
        <v>22359.016566912185</v>
      </c>
      <c r="V43" s="1143">
        <f>'[7]Yearly Count'!B37</f>
        <v>24611.354073546492</v>
      </c>
      <c r="W43" s="1140" t="s">
        <v>114</v>
      </c>
      <c r="X43" s="9"/>
      <c r="Y43" s="9"/>
    </row>
    <row r="44" spans="2:37" ht="32.25" customHeight="1">
      <c r="B44" s="20" t="s">
        <v>1308</v>
      </c>
      <c r="C44" s="840"/>
      <c r="D44" s="1145"/>
      <c r="E44" s="1145"/>
      <c r="F44" s="1145"/>
      <c r="G44" s="1145"/>
      <c r="H44" s="1145"/>
      <c r="I44" s="1145"/>
      <c r="J44" s="1142">
        <f t="shared" ref="J44:R44" si="7">J40/J43</f>
        <v>2.4451870193045115</v>
      </c>
      <c r="K44" s="1142">
        <f t="shared" si="7"/>
        <v>2.3527332126616933</v>
      </c>
      <c r="L44" s="1142">
        <f t="shared" si="7"/>
        <v>2.5590766948489625</v>
      </c>
      <c r="M44" s="1142">
        <f t="shared" si="7"/>
        <v>2.3360983888341864</v>
      </c>
      <c r="N44" s="1142">
        <f t="shared" si="7"/>
        <v>2.1764191638146988</v>
      </c>
      <c r="O44" s="1144">
        <f t="shared" si="7"/>
        <v>2.292503652549799</v>
      </c>
      <c r="P44" s="1142">
        <f t="shared" si="7"/>
        <v>2.2493582302652175</v>
      </c>
      <c r="Q44" s="1142">
        <f t="shared" si="7"/>
        <v>2.0594896055777574</v>
      </c>
      <c r="R44" s="1142">
        <f t="shared" si="7"/>
        <v>2.1878121174681149</v>
      </c>
      <c r="S44" s="1142">
        <v>2.2000000000000002</v>
      </c>
      <c r="T44" s="1142">
        <v>2.2000000000000002</v>
      </c>
      <c r="U44" s="1142">
        <v>2.2000000000000002</v>
      </c>
      <c r="V44" s="1143">
        <v>2.2000000000000002</v>
      </c>
      <c r="W44" s="1140" t="s">
        <v>118</v>
      </c>
      <c r="X44" s="9"/>
      <c r="Y44" s="9"/>
    </row>
    <row r="45" spans="2:37" ht="32.25" customHeight="1">
      <c r="B45" s="1048" t="s">
        <v>1309</v>
      </c>
      <c r="C45" s="1141"/>
      <c r="D45" s="1141"/>
      <c r="E45" s="1141"/>
      <c r="F45" s="1141"/>
      <c r="G45" s="1141"/>
      <c r="H45" s="1141"/>
      <c r="I45" s="1141"/>
      <c r="J45" s="1141"/>
      <c r="K45" s="1141"/>
      <c r="L45" s="1141"/>
      <c r="M45" s="1141"/>
      <c r="N45" s="1141"/>
      <c r="O45" s="1141"/>
      <c r="P45" s="1141"/>
      <c r="Q45" s="1141"/>
      <c r="R45" s="1141"/>
      <c r="S45" s="1141">
        <v>5.5</v>
      </c>
      <c r="T45" s="1142">
        <v>6</v>
      </c>
      <c r="U45" s="1142">
        <v>6</v>
      </c>
      <c r="V45" s="1143">
        <v>6</v>
      </c>
      <c r="W45" s="1149" t="s">
        <v>115</v>
      </c>
      <c r="X45" s="9"/>
      <c r="Y45" s="9"/>
    </row>
    <row r="46" spans="2:37">
      <c r="B46" s="65"/>
      <c r="C46" s="65"/>
      <c r="D46" s="65"/>
      <c r="E46" s="65"/>
      <c r="F46" s="65"/>
      <c r="G46" s="65"/>
      <c r="H46" s="65"/>
      <c r="I46" s="65"/>
      <c r="J46" s="65"/>
      <c r="K46" s="65"/>
      <c r="L46" s="65"/>
      <c r="M46" s="65"/>
      <c r="N46" s="65"/>
      <c r="O46" s="65"/>
      <c r="P46" s="65"/>
      <c r="Q46" s="65"/>
      <c r="R46" s="65"/>
      <c r="S46" s="1101"/>
      <c r="T46" s="1101"/>
      <c r="U46" s="779"/>
    </row>
    <row r="47" spans="2:37" ht="18.75" customHeight="1">
      <c r="B47" s="34"/>
      <c r="C47" s="1096"/>
      <c r="D47" s="1096"/>
      <c r="E47" s="1096"/>
      <c r="F47" s="1096"/>
      <c r="G47" s="1097"/>
      <c r="H47" s="1097"/>
      <c r="I47" s="1097"/>
      <c r="J47" s="1097"/>
      <c r="K47" s="1097"/>
      <c r="L47" s="1097"/>
      <c r="M47" s="1097"/>
      <c r="N47" s="1098"/>
      <c r="O47" s="1099"/>
      <c r="P47" s="1099"/>
      <c r="Q47" s="1100"/>
      <c r="R47" s="1100"/>
      <c r="S47" s="1163">
        <f>1.083*1.055</f>
        <v>1.1425649999999998</v>
      </c>
      <c r="T47" s="1163">
        <f>1.066*1.06</f>
        <v>1.1299600000000001</v>
      </c>
      <c r="U47" s="1163">
        <f>1.099*1.06</f>
        <v>1.1649400000000001</v>
      </c>
      <c r="V47" s="1163">
        <f>1.041*1.06</f>
        <v>1.1034599999999999</v>
      </c>
      <c r="W47" s="166" t="s">
        <v>597</v>
      </c>
      <c r="X47" s="88"/>
      <c r="Y47" s="88"/>
      <c r="Z47" s="88"/>
      <c r="AA47" s="88"/>
      <c r="AB47" s="88"/>
      <c r="AC47" s="88"/>
      <c r="AD47" s="88"/>
      <c r="AE47" s="88"/>
      <c r="AF47" s="88"/>
      <c r="AG47" s="88"/>
      <c r="AH47" s="88"/>
      <c r="AI47" s="88"/>
      <c r="AJ47" s="88"/>
      <c r="AK47" s="88"/>
    </row>
    <row r="48" spans="2:37">
      <c r="B48" s="1096"/>
      <c r="C48" s="34"/>
      <c r="D48" s="34"/>
      <c r="E48" s="34"/>
      <c r="F48" s="34"/>
      <c r="G48" s="34"/>
      <c r="H48" s="34"/>
      <c r="I48" s="34"/>
      <c r="J48" s="34"/>
      <c r="K48" s="34"/>
      <c r="L48" s="34"/>
      <c r="M48" s="34"/>
      <c r="N48" s="34"/>
      <c r="O48" s="34"/>
      <c r="P48" s="34"/>
      <c r="Q48" s="34"/>
      <c r="R48" s="34"/>
      <c r="S48" s="1164">
        <f>1.138/1.055</f>
        <v>1.0786729857819906</v>
      </c>
      <c r="T48" s="34"/>
      <c r="U48" s="34"/>
      <c r="V48" s="34"/>
      <c r="W48" s="33"/>
    </row>
    <row r="49" spans="2:24">
      <c r="B49" s="34" t="s">
        <v>125</v>
      </c>
      <c r="C49" s="34"/>
      <c r="D49" s="34"/>
      <c r="E49" s="34"/>
      <c r="F49" s="34"/>
      <c r="G49" s="34"/>
      <c r="H49" s="34"/>
      <c r="I49" s="34"/>
      <c r="J49" s="34"/>
      <c r="K49" s="34"/>
      <c r="L49" s="34"/>
      <c r="M49" s="34"/>
      <c r="N49" s="34"/>
      <c r="O49" s="34"/>
      <c r="P49" s="34"/>
      <c r="Q49" s="34"/>
      <c r="R49" s="34"/>
      <c r="S49" s="34"/>
      <c r="T49" s="34"/>
      <c r="U49" s="34"/>
      <c r="V49" s="33"/>
      <c r="W49" s="33"/>
    </row>
    <row r="50" spans="2:24">
      <c r="B50" s="34" t="s">
        <v>124</v>
      </c>
      <c r="C50" s="34"/>
      <c r="D50" s="34"/>
      <c r="E50" s="34"/>
      <c r="F50" s="34"/>
      <c r="G50" s="34"/>
      <c r="H50" s="34"/>
      <c r="I50" s="34"/>
      <c r="J50" s="34"/>
      <c r="K50" s="34"/>
      <c r="L50" s="34"/>
      <c r="M50" s="34"/>
      <c r="N50" s="34"/>
      <c r="O50" s="34"/>
      <c r="P50" s="34"/>
      <c r="Q50" s="34"/>
      <c r="R50" s="34"/>
      <c r="S50" s="34"/>
      <c r="T50" s="34"/>
      <c r="U50" s="34"/>
      <c r="V50" s="33"/>
      <c r="W50" s="33"/>
    </row>
    <row r="51" spans="2:24" ht="28.5" customHeight="1">
      <c r="B51" s="1150"/>
      <c r="C51" s="1151"/>
      <c r="D51" s="1151"/>
      <c r="E51" s="1151"/>
      <c r="F51" s="1151"/>
      <c r="G51" s="1151"/>
      <c r="H51" s="1151"/>
      <c r="I51" s="1151"/>
      <c r="J51" s="1152">
        <v>2006</v>
      </c>
      <c r="K51" s="1152">
        <v>2007</v>
      </c>
      <c r="L51" s="1150">
        <v>2008</v>
      </c>
      <c r="M51" s="112"/>
      <c r="N51" s="112"/>
      <c r="O51" s="112"/>
      <c r="P51" s="112"/>
      <c r="Q51" s="112"/>
      <c r="R51" s="112"/>
      <c r="S51" s="112"/>
      <c r="T51" s="34"/>
      <c r="U51" s="34"/>
      <c r="V51" s="33"/>
      <c r="W51" s="33"/>
    </row>
    <row r="52" spans="2:24" ht="37.5" customHeight="1">
      <c r="B52" s="1153" t="s">
        <v>119</v>
      </c>
      <c r="C52" s="1154"/>
      <c r="D52" s="1154"/>
      <c r="E52" s="1154"/>
      <c r="F52" s="1154"/>
      <c r="G52" s="1154"/>
      <c r="H52" s="1154"/>
      <c r="I52" s="1154"/>
      <c r="J52" s="1155">
        <f t="shared" ref="J52:L57" si="8">T40</f>
        <v>42434.68341314001</v>
      </c>
      <c r="K52" s="1155">
        <f t="shared" si="8"/>
        <v>49189.836447206813</v>
      </c>
      <c r="L52" s="1155">
        <f t="shared" si="8"/>
        <v>54144.978961802284</v>
      </c>
      <c r="M52" s="34"/>
      <c r="N52" s="34"/>
      <c r="O52" s="34"/>
      <c r="P52" s="34"/>
      <c r="Q52" s="34"/>
      <c r="R52" s="34"/>
      <c r="S52" s="34"/>
      <c r="T52" s="34"/>
      <c r="U52" s="34"/>
      <c r="V52" s="33"/>
      <c r="W52" s="33"/>
    </row>
    <row r="53" spans="2:24" ht="28.5" customHeight="1">
      <c r="B53" s="1156" t="s">
        <v>120</v>
      </c>
      <c r="C53" s="1154"/>
      <c r="D53" s="1154"/>
      <c r="E53" s="1154"/>
      <c r="F53" s="1154"/>
      <c r="G53" s="1154"/>
      <c r="H53" s="1154"/>
      <c r="I53" s="1154"/>
      <c r="J53" s="1157">
        <f t="shared" si="8"/>
        <v>12.619241457493191</v>
      </c>
      <c r="K53" s="1157">
        <f t="shared" si="8"/>
        <v>15.918942927650198</v>
      </c>
      <c r="L53" s="1157">
        <f t="shared" si="8"/>
        <v>10.073508823135846</v>
      </c>
      <c r="M53" s="34"/>
      <c r="N53" s="34"/>
      <c r="O53" s="34"/>
      <c r="P53" s="34"/>
      <c r="Q53" s="34"/>
      <c r="R53" s="34"/>
      <c r="S53" s="34"/>
      <c r="T53" s="34"/>
      <c r="U53" s="34"/>
      <c r="V53" s="33"/>
      <c r="W53" s="33"/>
    </row>
    <row r="54" spans="2:24" ht="28.5" customHeight="1">
      <c r="B54" s="1156" t="s">
        <v>121</v>
      </c>
      <c r="C54" s="1154"/>
      <c r="D54" s="1154"/>
      <c r="E54" s="1154"/>
      <c r="F54" s="1154"/>
      <c r="G54" s="1154"/>
      <c r="H54" s="1154"/>
      <c r="I54" s="1154"/>
      <c r="J54" s="1157">
        <f t="shared" si="8"/>
        <v>6.6192414574931906</v>
      </c>
      <c r="K54" s="1157">
        <f t="shared" si="8"/>
        <v>9.9189429276501979</v>
      </c>
      <c r="L54" s="1157">
        <f t="shared" si="8"/>
        <v>4.0735088231358461</v>
      </c>
      <c r="M54" s="34"/>
      <c r="N54" s="34"/>
      <c r="O54" s="34"/>
      <c r="P54" s="34"/>
      <c r="Q54" s="34"/>
      <c r="R54" s="34"/>
      <c r="S54" s="34"/>
      <c r="T54" s="34"/>
      <c r="U54" s="34"/>
      <c r="V54" s="33"/>
      <c r="W54" s="33"/>
    </row>
    <row r="55" spans="2:24" ht="28.5" customHeight="1">
      <c r="B55" s="1156" t="s">
        <v>13</v>
      </c>
      <c r="C55" s="1154"/>
      <c r="D55" s="1154"/>
      <c r="E55" s="1154"/>
      <c r="F55" s="1154"/>
      <c r="G55" s="1154"/>
      <c r="H55" s="1154"/>
      <c r="I55" s="1154"/>
      <c r="J55" s="1157">
        <f t="shared" si="8"/>
        <v>19288.492460518184</v>
      </c>
      <c r="K55" s="1157">
        <f t="shared" si="8"/>
        <v>22359.016566912185</v>
      </c>
      <c r="L55" s="1157">
        <f t="shared" si="8"/>
        <v>24611.354073546492</v>
      </c>
      <c r="M55" s="34"/>
      <c r="N55" s="34"/>
      <c r="O55" s="34"/>
      <c r="P55" s="34"/>
      <c r="Q55" s="34"/>
      <c r="R55" s="34"/>
      <c r="S55" s="34"/>
      <c r="T55" s="34"/>
      <c r="U55" s="34"/>
      <c r="V55" s="33"/>
      <c r="W55" s="33"/>
    </row>
    <row r="56" spans="2:24" ht="28.5" customHeight="1">
      <c r="B56" s="1156" t="s">
        <v>122</v>
      </c>
      <c r="C56" s="1154"/>
      <c r="D56" s="1154"/>
      <c r="E56" s="1154"/>
      <c r="F56" s="1154"/>
      <c r="G56" s="1154"/>
      <c r="H56" s="1154"/>
      <c r="I56" s="1154"/>
      <c r="J56" s="1157">
        <f t="shared" si="8"/>
        <v>2.2000000000000002</v>
      </c>
      <c r="K56" s="1157">
        <f t="shared" si="8"/>
        <v>2.2000000000000002</v>
      </c>
      <c r="L56" s="1157">
        <f t="shared" si="8"/>
        <v>2.2000000000000002</v>
      </c>
      <c r="M56" s="33"/>
      <c r="N56" s="33"/>
      <c r="O56" s="33"/>
      <c r="P56" s="33"/>
      <c r="Q56" s="33"/>
      <c r="R56" s="33"/>
      <c r="S56" s="33"/>
      <c r="T56" s="33"/>
      <c r="U56" s="33"/>
      <c r="V56" s="33"/>
      <c r="W56" s="33"/>
    </row>
    <row r="57" spans="2:24" ht="28.5" customHeight="1">
      <c r="B57" s="1158" t="s">
        <v>123</v>
      </c>
      <c r="C57" s="1159"/>
      <c r="D57" s="1159"/>
      <c r="E57" s="1159"/>
      <c r="F57" s="1159"/>
      <c r="G57" s="1159"/>
      <c r="H57" s="1159"/>
      <c r="I57" s="1159"/>
      <c r="J57" s="1160">
        <f t="shared" si="8"/>
        <v>6</v>
      </c>
      <c r="K57" s="1160">
        <f t="shared" si="8"/>
        <v>6</v>
      </c>
      <c r="L57" s="1160">
        <f t="shared" si="8"/>
        <v>6</v>
      </c>
      <c r="M57" s="33"/>
      <c r="N57" s="33"/>
      <c r="O57" s="33"/>
      <c r="P57" s="33"/>
      <c r="Q57" s="33"/>
      <c r="R57" s="33"/>
      <c r="S57" s="33"/>
      <c r="T57" s="33"/>
      <c r="U57" s="33"/>
      <c r="V57" s="33"/>
      <c r="W57" s="33"/>
    </row>
    <row r="58" spans="2:24">
      <c r="B58" s="33"/>
      <c r="C58" s="33"/>
      <c r="D58" s="33"/>
      <c r="E58" s="33"/>
      <c r="F58" s="33"/>
      <c r="G58" s="33"/>
      <c r="H58" s="33"/>
      <c r="I58" s="33"/>
      <c r="J58" s="33"/>
      <c r="K58" s="33"/>
      <c r="L58" s="33"/>
      <c r="M58" s="33"/>
      <c r="N58" s="33"/>
      <c r="O58" s="33"/>
      <c r="P58" s="33"/>
      <c r="Q58" s="33"/>
      <c r="R58" s="33"/>
      <c r="S58" s="33"/>
      <c r="T58" s="33"/>
      <c r="U58" s="33"/>
      <c r="V58" s="33"/>
      <c r="W58" s="33"/>
    </row>
    <row r="59" spans="2:24">
      <c r="X59" s="294"/>
    </row>
    <row r="60" spans="2:24">
      <c r="Q60" s="5">
        <v>4</v>
      </c>
    </row>
    <row r="62" spans="2:24" ht="15.75">
      <c r="B62" s="17" t="s">
        <v>394</v>
      </c>
      <c r="Q62" s="1051">
        <v>2003</v>
      </c>
      <c r="R62" s="1051">
        <v>2004</v>
      </c>
    </row>
    <row r="63" spans="2:24">
      <c r="B63" s="81" t="s">
        <v>532</v>
      </c>
      <c r="Q63" s="5">
        <f>(Q16/Q14)*100</f>
        <v>42.457757704569609</v>
      </c>
      <c r="R63" s="5">
        <f>(R16/R14)*100</f>
        <v>42.610212534833252</v>
      </c>
    </row>
    <row r="64" spans="2:24">
      <c r="B64" s="8" t="s">
        <v>533</v>
      </c>
      <c r="Q64" s="5">
        <f>(Q17/Q14)*100</f>
        <v>29.544102019128587</v>
      </c>
      <c r="R64" s="5">
        <f>(R17/R14)*100</f>
        <v>29.848580858408791</v>
      </c>
    </row>
    <row r="65" spans="2:18">
      <c r="B65" s="81" t="s">
        <v>539</v>
      </c>
      <c r="Q65" s="5">
        <f>(Q18/Q14)*100</f>
        <v>27.998140276301807</v>
      </c>
      <c r="R65" s="5">
        <f>(R18/R14)*100</f>
        <v>27.541206606757957</v>
      </c>
    </row>
  </sheetData>
  <mergeCells count="5">
    <mergeCell ref="B1:S1"/>
    <mergeCell ref="B37:B38"/>
    <mergeCell ref="B26:B27"/>
    <mergeCell ref="B4:W5"/>
    <mergeCell ref="S9:V10"/>
  </mergeCells>
  <phoneticPr fontId="0" type="noConversion"/>
  <pageMargins left="0.75" right="0.75" top="1" bottom="1" header="0.5" footer="0.5"/>
  <pageSetup paperSize="9"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40</vt:i4>
      </vt:variant>
    </vt:vector>
  </HeadingPairs>
  <TitlesOfParts>
    <vt:vector size="121" baseType="lpstr">
      <vt:lpstr>BOPI</vt:lpstr>
      <vt:lpstr>BOP COTI</vt:lpstr>
      <vt:lpstr>Inflow Outflow</vt:lpstr>
      <vt:lpstr>Worksheet</vt:lpstr>
      <vt:lpstr>Revised assumptions</vt:lpstr>
      <vt:lpstr>Revised reserves</vt:lpstr>
      <vt:lpstr>Reserves Projection</vt:lpstr>
      <vt:lpstr>Yearly Count</vt:lpstr>
      <vt:lpstr>final outpt</vt:lpstr>
      <vt:lpstr>GDPreal</vt:lpstr>
      <vt:lpstr>Monthly Comp</vt:lpstr>
      <vt:lpstr>Velocity</vt:lpstr>
      <vt:lpstr>Yearly Comp</vt:lpstr>
      <vt:lpstr>Monthly Count</vt:lpstr>
      <vt:lpstr>Charts</vt:lpstr>
      <vt:lpstr>Sheet2</vt:lpstr>
      <vt:lpstr>Sheet1</vt:lpstr>
      <vt:lpstr>Annaul Report</vt:lpstr>
      <vt:lpstr>Contribution to M2</vt:lpstr>
      <vt:lpstr>Monthly Statistical Bulletin</vt:lpstr>
      <vt:lpstr>Abbreviations and Symbols</vt:lpstr>
      <vt:lpstr>Preface</vt:lpstr>
      <vt:lpstr>Key Econ. Ind.</vt:lpstr>
      <vt:lpstr>Monetary Survey Components</vt:lpstr>
      <vt:lpstr>Monetary Survey Counterparts</vt:lpstr>
      <vt:lpstr>Monetary Charts</vt:lpstr>
      <vt:lpstr>DMB Assets</vt:lpstr>
      <vt:lpstr>DMB Liabilities</vt:lpstr>
      <vt:lpstr>BOB Assets</vt:lpstr>
      <vt:lpstr>BOB Liabilities</vt:lpstr>
      <vt:lpstr>BNB Assets</vt:lpstr>
      <vt:lpstr>BNB Liabilities</vt:lpstr>
      <vt:lpstr>TBank Assets</vt:lpstr>
      <vt:lpstr>TBank Liabilities</vt:lpstr>
      <vt:lpstr>DPNB Assets</vt:lpstr>
      <vt:lpstr>DPNB Liabilities</vt:lpstr>
      <vt:lpstr>BDBL Assets</vt:lpstr>
      <vt:lpstr>BDBL Liabilities</vt:lpstr>
      <vt:lpstr>RICB Assets </vt:lpstr>
      <vt:lpstr>RICB Liabilities</vt:lpstr>
      <vt:lpstr>BIL Assets</vt:lpstr>
      <vt:lpstr>BIL Liabilities</vt:lpstr>
      <vt:lpstr>RMA Assets</vt:lpstr>
      <vt:lpstr>RMA Liabilities</vt:lpstr>
      <vt:lpstr>Banks' Reserves with RMA</vt:lpstr>
      <vt:lpstr>Foreign Assets of Banks</vt:lpstr>
      <vt:lpstr>Sectoral Credit by the FIs</vt:lpstr>
      <vt:lpstr>Sectoral Credit Charts</vt:lpstr>
      <vt:lpstr>Deposits Liabilities of Banks</vt:lpstr>
      <vt:lpstr>Gross International Reserves</vt:lpstr>
      <vt:lpstr>External Debt</vt:lpstr>
      <vt:lpstr>Overall BOP</vt:lpstr>
      <vt:lpstr>BOP India</vt:lpstr>
      <vt:lpstr>BOP Countries other than India</vt:lpstr>
      <vt:lpstr>Intl. Investment Position</vt:lpstr>
      <vt:lpstr>Tourist Arrivals and Revenue</vt:lpstr>
      <vt:lpstr>ForEx Earnings Tourism Chart</vt:lpstr>
      <vt:lpstr>Operations-Hydropower Projects</vt:lpstr>
      <vt:lpstr>HydropowerExport Earnings Chart</vt:lpstr>
      <vt:lpstr>NRB Remittances</vt:lpstr>
      <vt:lpstr>Exchange Rates</vt:lpstr>
      <vt:lpstr>Exchange Rates Chart</vt:lpstr>
      <vt:lpstr>CPI Quarterly</vt:lpstr>
      <vt:lpstr>CPI Monthly</vt:lpstr>
      <vt:lpstr>PPI</vt:lpstr>
      <vt:lpstr>Deposit Rates</vt:lpstr>
      <vt:lpstr>Lending Rates</vt:lpstr>
      <vt:lpstr>Interest Rates India</vt:lpstr>
      <vt:lpstr>Key Policy Indicators</vt:lpstr>
      <vt:lpstr>Sheet3</vt:lpstr>
      <vt:lpstr>Reserves</vt:lpstr>
      <vt:lpstr>ReservesReport(Old)</vt:lpstr>
      <vt:lpstr>BOPOverall</vt:lpstr>
      <vt:lpstr>BOPIndia</vt:lpstr>
      <vt:lpstr>BOPCOTI</vt:lpstr>
      <vt:lpstr>old NRB REMIT</vt:lpstr>
      <vt:lpstr>old CPI</vt:lpstr>
      <vt:lpstr>Budget</vt:lpstr>
      <vt:lpstr>Int Bht</vt:lpstr>
      <vt:lpstr>Sheet4</vt:lpstr>
      <vt:lpstr>Key Ind </vt:lpstr>
      <vt:lpstr>'Abbreviations and Symbols'!Print_Area</vt:lpstr>
      <vt:lpstr>'Banks'' Reserves with RMA'!Print_Area</vt:lpstr>
      <vt:lpstr>'BDBL Assets'!Print_Area</vt:lpstr>
      <vt:lpstr>'BDBL Liabilities'!Print_Area</vt:lpstr>
      <vt:lpstr>'BIL Assets'!Print_Area</vt:lpstr>
      <vt:lpstr>'BIL Liabilities'!Print_Area</vt:lpstr>
      <vt:lpstr>'BNB Assets'!Print_Area</vt:lpstr>
      <vt:lpstr>'BNB Liabilities'!Print_Area</vt:lpstr>
      <vt:lpstr>'BOB Assets'!Print_Area</vt:lpstr>
      <vt:lpstr>'BOB Liabilities'!Print_Area</vt:lpstr>
      <vt:lpstr>BOPOverall!Print_Area</vt:lpstr>
      <vt:lpstr>'Deposits Liabilities of Banks'!Print_Area</vt:lpstr>
      <vt:lpstr>'DMB Assets'!Print_Area</vt:lpstr>
      <vt:lpstr>'DMB Liabilities'!Print_Area</vt:lpstr>
      <vt:lpstr>'DPNB Assets'!Print_Area</vt:lpstr>
      <vt:lpstr>'DPNB Liabilities'!Print_Area</vt:lpstr>
      <vt:lpstr>'Exchange Rates'!Print_Area</vt:lpstr>
      <vt:lpstr>'Exchange Rates Chart'!Print_Area</vt:lpstr>
      <vt:lpstr>'External Debt'!Print_Area</vt:lpstr>
      <vt:lpstr>'Foreign Assets of Banks'!Print_Area</vt:lpstr>
      <vt:lpstr>'Gross International Reserves'!Print_Area</vt:lpstr>
      <vt:lpstr>'Interest Rates India'!Print_Area</vt:lpstr>
      <vt:lpstr>'Key Econ. Ind.'!Print_Area</vt:lpstr>
      <vt:lpstr>'Key Ind '!Print_Area</vt:lpstr>
      <vt:lpstr>'Monetary Charts'!Print_Area</vt:lpstr>
      <vt:lpstr>'Monetary Survey Components'!Print_Area</vt:lpstr>
      <vt:lpstr>'Monetary Survey Counterparts'!Print_Area</vt:lpstr>
      <vt:lpstr>'Monthly Statistical Bulletin'!Print_Area</vt:lpstr>
      <vt:lpstr>'old NRB REMIT'!Print_Area</vt:lpstr>
      <vt:lpstr>'Operations-Hydropower Projects'!Print_Area</vt:lpstr>
      <vt:lpstr>Preface!Print_Area</vt:lpstr>
      <vt:lpstr>Reserves!Print_Area</vt:lpstr>
      <vt:lpstr>'ReservesReport(Old)'!Print_Area</vt:lpstr>
      <vt:lpstr>'RICB Assets '!Print_Area</vt:lpstr>
      <vt:lpstr>'RICB Liabilities'!Print_Area</vt:lpstr>
      <vt:lpstr>'Sectoral Credit by the FIs'!Print_Area</vt:lpstr>
      <vt:lpstr>'Sectoral Credit Charts'!Print_Area</vt:lpstr>
      <vt:lpstr>'TBank Assets'!Print_Area</vt:lpstr>
      <vt:lpstr>'TBank Liabilities'!Print_Area</vt:lpstr>
      <vt:lpstr>'Tourist Arrivals and Revenue'!Print_Area</vt:lpstr>
    </vt:vector>
  </TitlesOfParts>
  <Company>ADB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Consultant</dc:creator>
  <cp:lastModifiedBy>sangaytashi</cp:lastModifiedBy>
  <cp:lastPrinted>2014-11-04T04:26:25Z</cp:lastPrinted>
  <dcterms:created xsi:type="dcterms:W3CDTF">2000-11-27T07:28:54Z</dcterms:created>
  <dcterms:modified xsi:type="dcterms:W3CDTF">2016-05-04T10:09:24Z</dcterms:modified>
</cp:coreProperties>
</file>